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updateLinks="never" codeName="Denne_projektmappe" defaultThemeVersion="124226"/>
  <xr:revisionPtr revIDLastSave="0" documentId="13_ncr:1_{190145B6-9AA4-45FD-A8CA-9AA3CDADC794}" xr6:coauthVersionLast="47" xr6:coauthVersionMax="47" xr10:uidLastSave="{00000000-0000-0000-0000-000000000000}"/>
  <bookViews>
    <workbookView xWindow="17916" yWindow="0" windowWidth="21012" windowHeight="14256" tabRatio="878" firstSheet="19" activeTab="22" xr2:uid="{00000000-000D-0000-FFFF-FFFF00000000}"/>
  </bookViews>
  <sheets>
    <sheet name="LOG" sheetId="87" r:id="rId1"/>
    <sheet name="Description" sheetId="23" r:id="rId2"/>
    <sheet name="TRA_Cars" sheetId="9" r:id="rId3"/>
    <sheet name="Cars INVCOST" sheetId="88" r:id="rId4"/>
    <sheet name="Eff SF" sheetId="91" r:id="rId5"/>
    <sheet name="Eff PHEV" sheetId="90" r:id="rId6"/>
    <sheet name="Eff BEV" sheetId="89" r:id="rId7"/>
    <sheet name="O&amp;M" sheetId="92" r:id="rId8"/>
    <sheet name="TRA_Moto" sheetId="82" r:id="rId9"/>
    <sheet name="TRA_Bikes" sheetId="83" r:id="rId10"/>
    <sheet name="TRA_Walk" sheetId="84" r:id="rId11"/>
    <sheet name="TRA_Buses" sheetId="85" r:id="rId12"/>
    <sheet name="EU Bus" sheetId="57" r:id="rId13"/>
    <sheet name="EU Bus Gas" sheetId="58" r:id="rId14"/>
    <sheet name="EU Bus El" sheetId="59" r:id="rId15"/>
    <sheet name="EU Bus Hybrid" sheetId="60" r:id="rId16"/>
    <sheet name="TRA_Train" sheetId="86" r:id="rId17"/>
    <sheet name="EU Diesel IC-reg.tog" sheetId="68" r:id="rId18"/>
    <sheet name="EU El IC-reg.tog" sheetId="69" r:id="rId19"/>
    <sheet name="EU Diesel Lokaltog" sheetId="66" r:id="rId20"/>
    <sheet name="EU Gas Lokaltog" sheetId="67" r:id="rId21"/>
    <sheet name="TRA_Vans" sheetId="105" r:id="rId22"/>
    <sheet name="Tra_Trucks" sheetId="106" r:id="rId23"/>
    <sheet name="Old TRA_Trucks" sheetId="19" r:id="rId24"/>
    <sheet name="EU Varebil benzin" sheetId="49" r:id="rId25"/>
    <sheet name="EU varebil diesel" sheetId="51" r:id="rId26"/>
    <sheet name="EU Varebil CNG" sheetId="50" r:id="rId27"/>
    <sheet name="EU varebil el" sheetId="52" r:id="rId28"/>
    <sheet name="EU Lastbil" sheetId="53" r:id="rId29"/>
    <sheet name="EU Lastbil El" sheetId="93" r:id="rId30"/>
    <sheet name="EU Lastbil DME" sheetId="54" r:id="rId31"/>
    <sheet name="EU Lastbil RME" sheetId="55" r:id="rId32"/>
    <sheet name="EU Lastbil Gas" sheetId="56" r:id="rId33"/>
    <sheet name="TRA_Ship_Passenger" sheetId="100" r:id="rId34"/>
    <sheet name="TRA_Ship_Freight" sheetId="101" r:id="rId35"/>
    <sheet name="TRA_Ship_Freight_INT" sheetId="103" r:id="rId36"/>
    <sheet name="ShipData" sheetId="104" r:id="rId37"/>
    <sheet name="EU 9000 TEU Diesel" sheetId="98" r:id="rId38"/>
    <sheet name="EU 9000 TEU HFO" sheetId="97" r:id="rId39"/>
    <sheet name="EU 9000 TEU Dual fuel" sheetId="99" r:id="rId40"/>
    <sheet name="EU Katamaran ferry" sheetId="64" r:id="rId41"/>
    <sheet name="TRA_Airplane" sheetId="112" r:id="rId42"/>
    <sheet name="EU SAS avg. airplane adjusted" sheetId="113" r:id="rId43"/>
    <sheet name="EU SAS avg. airplane" sheetId="65" r:id="rId44"/>
    <sheet name="Reference" sheetId="17" r:id="rId45"/>
    <sheet name="EMIS_factors" sheetId="111" r:id="rId46"/>
    <sheet name="Input B%" sheetId="107" r:id="rId47"/>
    <sheet name="Road" sheetId="108" r:id="rId48"/>
    <sheet name="Other" sheetId="109" r:id="rId49"/>
    <sheet name="Non exhaust" sheetId="110" r:id="rId50"/>
  </sheets>
  <externalReferences>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s>
  <definedNames>
    <definedName name="_Order1" hidden="1">255</definedName>
    <definedName name="_Order2" hidden="1">255</definedName>
    <definedName name="_Sort" localSheetId="37" hidden="1">#REF!</definedName>
    <definedName name="_Sort" localSheetId="39" hidden="1">#REF!</definedName>
    <definedName name="_Sort" localSheetId="38" hidden="1">#REF!</definedName>
    <definedName name="_Sort" localSheetId="12" hidden="1">#REF!</definedName>
    <definedName name="_Sort" localSheetId="14" hidden="1">#REF!</definedName>
    <definedName name="_Sort" localSheetId="13" hidden="1">#REF!</definedName>
    <definedName name="_Sort" localSheetId="15" hidden="1">#REF!</definedName>
    <definedName name="_Sort" localSheetId="19" hidden="1">#REF!</definedName>
    <definedName name="_Sort" localSheetId="20" hidden="1">#REF!</definedName>
    <definedName name="_Sort" localSheetId="40" hidden="1">#REF!</definedName>
    <definedName name="_Sort" localSheetId="29" hidden="1">#REF!</definedName>
    <definedName name="_Sort" localSheetId="32" hidden="1">#REF!</definedName>
    <definedName name="_Sort" localSheetId="43" hidden="1">#REF!</definedName>
    <definedName name="_Sort" localSheetId="42" hidden="1">#REF!</definedName>
    <definedName name="_Sort" localSheetId="9" hidden="1">#REF!</definedName>
    <definedName name="_Sort" localSheetId="11" hidden="1">#REF!</definedName>
    <definedName name="_Sort" localSheetId="8" hidden="1">#REF!</definedName>
    <definedName name="_Sort" localSheetId="34" hidden="1">#REF!</definedName>
    <definedName name="_Sort" localSheetId="35" hidden="1">#REF!</definedName>
    <definedName name="_Sort" localSheetId="33" hidden="1">#REF!</definedName>
    <definedName name="_Sort" localSheetId="16" hidden="1">#REF!</definedName>
    <definedName name="_Sort" localSheetId="10" hidden="1">#REF!</definedName>
    <definedName name="_Sort" hidden="1">#REF!</definedName>
    <definedName name="A4chosenYear" localSheetId="37">#REF!</definedName>
    <definedName name="A4chosenYear" localSheetId="39">#REF!</definedName>
    <definedName name="A4chosenYear" localSheetId="38">#REF!</definedName>
    <definedName name="A4chosenYear" localSheetId="29">#REF!</definedName>
    <definedName name="A4chosenYear" localSheetId="9">#REF!</definedName>
    <definedName name="A4chosenYear" localSheetId="11">#REF!</definedName>
    <definedName name="A4chosenYear" localSheetId="8">#REF!</definedName>
    <definedName name="A4chosenYear" localSheetId="35">#REF!</definedName>
    <definedName name="A4chosenYear" localSheetId="16">#REF!</definedName>
    <definedName name="A4chosenYear" localSheetId="10">#REF!</definedName>
    <definedName name="A4chosenYear">#REF!</definedName>
    <definedName name="A4colActive" localSheetId="37">#REF!</definedName>
    <definedName name="A4colActive" localSheetId="39">#REF!</definedName>
    <definedName name="A4colActive" localSheetId="38">#REF!</definedName>
    <definedName name="A4colActive" localSheetId="29">#REF!</definedName>
    <definedName name="A4colActive" localSheetId="9">#REF!</definedName>
    <definedName name="A4colActive" localSheetId="11">#REF!</definedName>
    <definedName name="A4colActive" localSheetId="8">#REF!</definedName>
    <definedName name="A4colActive" localSheetId="35">#REF!</definedName>
    <definedName name="A4colActive" localSheetId="16">#REF!</definedName>
    <definedName name="A4colActive" localSheetId="10">#REF!</definedName>
    <definedName name="A4colActive">#REF!</definedName>
    <definedName name="A4colCount" localSheetId="37">#REF!</definedName>
    <definedName name="A4colCount" localSheetId="39">#REF!</definedName>
    <definedName name="A4colCount" localSheetId="38">#REF!</definedName>
    <definedName name="A4colCount" localSheetId="29">#REF!</definedName>
    <definedName name="A4colCount" localSheetId="9">#REF!</definedName>
    <definedName name="A4colCount" localSheetId="11">#REF!</definedName>
    <definedName name="A4colCount" localSheetId="8">#REF!</definedName>
    <definedName name="A4colCount" localSheetId="35">#REF!</definedName>
    <definedName name="A4colCount" localSheetId="16">#REF!</definedName>
    <definedName name="A4colCount" localSheetId="10">#REF!</definedName>
    <definedName name="A4colCount">#REF!</definedName>
    <definedName name="A4filePath" localSheetId="37">#REF!</definedName>
    <definedName name="A4filePath" localSheetId="39">#REF!</definedName>
    <definedName name="A4filePath" localSheetId="38">#REF!</definedName>
    <definedName name="A4filePath" localSheetId="29">#REF!</definedName>
    <definedName name="A4filePath" localSheetId="9">#REF!</definedName>
    <definedName name="A4filePath" localSheetId="11">#REF!</definedName>
    <definedName name="A4filePath" localSheetId="8">#REF!</definedName>
    <definedName name="A4filePath" localSheetId="35">#REF!</definedName>
    <definedName name="A4filePath" localSheetId="16">#REF!</definedName>
    <definedName name="A4filePath" localSheetId="10">#REF!</definedName>
    <definedName name="A4filePath">#REF!</definedName>
    <definedName name="A4firstRow" localSheetId="37">#REF!</definedName>
    <definedName name="A4firstRow" localSheetId="39">#REF!</definedName>
    <definedName name="A4firstRow" localSheetId="38">#REF!</definedName>
    <definedName name="A4firstRow" localSheetId="29">#REF!</definedName>
    <definedName name="A4firstRow" localSheetId="9">#REF!</definedName>
    <definedName name="A4firstRow" localSheetId="11">#REF!</definedName>
    <definedName name="A4firstRow" localSheetId="8">#REF!</definedName>
    <definedName name="A4firstRow" localSheetId="35">#REF!</definedName>
    <definedName name="A4firstRow" localSheetId="16">#REF!</definedName>
    <definedName name="A4firstRow" localSheetId="10">#REF!</definedName>
    <definedName name="A4firstRow">#REF!</definedName>
    <definedName name="A4resultCol" localSheetId="37">#REF!</definedName>
    <definedName name="A4resultCol" localSheetId="39">#REF!</definedName>
    <definedName name="A4resultCol" localSheetId="38">#REF!</definedName>
    <definedName name="A4resultCol" localSheetId="29">#REF!</definedName>
    <definedName name="A4resultCol" localSheetId="9">#REF!</definedName>
    <definedName name="A4resultCol" localSheetId="11">#REF!</definedName>
    <definedName name="A4resultCol" localSheetId="8">#REF!</definedName>
    <definedName name="A4resultCol" localSheetId="35">#REF!</definedName>
    <definedName name="A4resultCol" localSheetId="16">#REF!</definedName>
    <definedName name="A4resultCol" localSheetId="10">#REF!</definedName>
    <definedName name="A4resultCol">#REF!</definedName>
    <definedName name="A4rowActive" localSheetId="37">#REF!</definedName>
    <definedName name="A4rowActive" localSheetId="39">#REF!</definedName>
    <definedName name="A4rowActive" localSheetId="38">#REF!</definedName>
    <definedName name="A4rowActive" localSheetId="40">#REF!</definedName>
    <definedName name="A4rowActive">[1]A4results!$X$7</definedName>
    <definedName name="A4rowCount" localSheetId="37">#REF!</definedName>
    <definedName name="A4rowCount" localSheetId="39">#REF!</definedName>
    <definedName name="A4rowCount" localSheetId="38">#REF!</definedName>
    <definedName name="A4rowCount" localSheetId="29">#REF!</definedName>
    <definedName name="A4rowCount" localSheetId="9">#REF!</definedName>
    <definedName name="A4rowCount" localSheetId="11">#REF!</definedName>
    <definedName name="A4rowCount" localSheetId="8">#REF!</definedName>
    <definedName name="A4rowCount" localSheetId="35">#REF!</definedName>
    <definedName name="A4rowCount" localSheetId="16">#REF!</definedName>
    <definedName name="A4rowCount" localSheetId="10">#REF!</definedName>
    <definedName name="A4rowCount">#REF!</definedName>
    <definedName name="A4sensitivity" localSheetId="37">#REF!</definedName>
    <definedName name="A4sensitivity" localSheetId="39">#REF!</definedName>
    <definedName name="A4sensitivity" localSheetId="38">#REF!</definedName>
    <definedName name="A4sensitivity" localSheetId="29">#REF!</definedName>
    <definedName name="A4sensitivity" localSheetId="9">#REF!</definedName>
    <definedName name="A4sensitivity" localSheetId="11">#REF!</definedName>
    <definedName name="A4sensitivity" localSheetId="8">#REF!</definedName>
    <definedName name="A4sensitivity" localSheetId="35">#REF!</definedName>
    <definedName name="A4sensitivity" localSheetId="16">#REF!</definedName>
    <definedName name="A4sensitivity" localSheetId="10">#REF!</definedName>
    <definedName name="A4sensitivity">#REF!</definedName>
    <definedName name="A4yearTable" localSheetId="37">#REF!</definedName>
    <definedName name="A4yearTable" localSheetId="39">#REF!</definedName>
    <definedName name="A4yearTable" localSheetId="38">#REF!</definedName>
    <definedName name="A4yearTable" localSheetId="29">#REF!</definedName>
    <definedName name="A4yearTable" localSheetId="9">#REF!</definedName>
    <definedName name="A4yearTable" localSheetId="11">#REF!</definedName>
    <definedName name="A4yearTable" localSheetId="8">#REF!</definedName>
    <definedName name="A4yearTable" localSheetId="35">#REF!</definedName>
    <definedName name="A4yearTable" localSheetId="16">#REF!</definedName>
    <definedName name="A4yearTable" localSheetId="10">#REF!</definedName>
    <definedName name="A4yearTable">#REF!</definedName>
    <definedName name="BG_valg">'[1]Biogas ENS'!$T$201</definedName>
    <definedName name="chosenLUC" localSheetId="37">[2]ResultsOneYear!$B$8</definedName>
    <definedName name="chosenLUC" localSheetId="39">[2]ResultsOneYear!$B$8</definedName>
    <definedName name="chosenLUC" localSheetId="38">[2]ResultsOneYear!$B$8</definedName>
    <definedName name="chosenLUC" localSheetId="40">[3]Sheet1!$B$8</definedName>
    <definedName name="chosenLUC">[1]Cockpit!$B$8</definedName>
    <definedName name="chosenYear" localSheetId="37">[2]ResultsOneYear!$B$5</definedName>
    <definedName name="chosenYear" localSheetId="39">[2]ResultsOneYear!$B$5</definedName>
    <definedName name="chosenYear" localSheetId="38">[2]ResultsOneYear!$B$5</definedName>
    <definedName name="chosenYear" localSheetId="40">[3]Sheet1!$B$5</definedName>
    <definedName name="chosenYear">[1]Cockpit!$B$5</definedName>
    <definedName name="dkkPerEUR" localSheetId="37">'[2]General ass. and conv.'!$C$5</definedName>
    <definedName name="dkkPerEUR" localSheetId="39">'[2]General ass. and conv.'!$C$5</definedName>
    <definedName name="dkkPerEUR" localSheetId="38">'[2]General ass. and conv.'!$C$5</definedName>
    <definedName name="dkkPerEUR" localSheetId="40">[3]Sheet1!$C$5</definedName>
    <definedName name="dkkPerEUR" localSheetId="34">'[4]Centrale data'!$C$34</definedName>
    <definedName name="dkkPerEUR" localSheetId="35">'[4]Centrale data'!$C$34</definedName>
    <definedName name="dkkPerEUR" localSheetId="33">'[4]Centrale data'!$C$34</definedName>
    <definedName name="dkkPerEUR">'[5]Centrale data'!$C$34</definedName>
    <definedName name="dkkPerUSD" localSheetId="37">'[2]General ass. and conv.'!$C$6</definedName>
    <definedName name="dkkPerUSD" localSheetId="39">'[2]General ass. and conv.'!$C$6</definedName>
    <definedName name="dkkPerUSD" localSheetId="38">'[2]General ass. and conv.'!$C$6</definedName>
    <definedName name="dkkPerUSD" localSheetId="40">[3]Sheet1!$C$6</definedName>
    <definedName name="dkkPerUSD">[1]Supplementary!$C$38</definedName>
    <definedName name="EmissionOil" localSheetId="37">[2]ResultsOneYear!$B$17</definedName>
    <definedName name="EmissionOil" localSheetId="39">[2]ResultsOneYear!$B$17</definedName>
    <definedName name="EmissionOil" localSheetId="38">[2]ResultsOneYear!$B$17</definedName>
    <definedName name="EmissionOil">[3]Sheet1!$B$17</definedName>
    <definedName name="FID_1" localSheetId="1">[6]AGR_Fuels!$A$2</definedName>
    <definedName name="FID_1" localSheetId="2">[6]AGR_Fuels!$A$2</definedName>
    <definedName name="FID_1">[7]AGR_Fuels!$A$2</definedName>
    <definedName name="HTML_CodePage" hidden="1">1252</definedName>
    <definedName name="HTML_Control" hidden="1">{"'Ark1'!$A$8:$M$33"}</definedName>
    <definedName name="HTML_Control_1" localSheetId="11" hidden="1">{"'Ark1'!$A$8:$M$33"}</definedName>
    <definedName name="HTML_Control_1_1" localSheetId="11" hidden="1">{"'Ark1'!$A$8:$M$33"}</definedName>
    <definedName name="HTML_Control_1_1_1" hidden="1">{"'Ark1'!$A$8:$M$33"}</definedName>
    <definedName name="HTML_Control_1_1_1_1" hidden="1">{"'Ark1'!$A$8:$M$33"}</definedName>
    <definedName name="HTML_Control_1_1_2" hidden="1">{"'Ark1'!$A$8:$M$33"}</definedName>
    <definedName name="HTML_Control_1_2" hidden="1">{"'Ark1'!$A$8:$M$33"}</definedName>
    <definedName name="HTML_Control_1_2_1" hidden="1">{"'Ark1'!$A$8:$M$33"}</definedName>
    <definedName name="HTML_Control_1_2_1_1" hidden="1">{"'Ark1'!$A$8:$M$33"}</definedName>
    <definedName name="HTML_Control_1_2_2" hidden="1">{"'Ark1'!$A$8:$M$33"}</definedName>
    <definedName name="HTML_Control_1_3" hidden="1">{"'Ark1'!$A$8:$M$33"}</definedName>
    <definedName name="HTML_Control_1_4"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priceYear" localSheetId="37">'[2]General ass. and conv.'!$C$8</definedName>
    <definedName name="priceYear" localSheetId="39">'[2]General ass. and conv.'!$C$8</definedName>
    <definedName name="priceYear" localSheetId="38">'[2]General ass. and conv.'!$C$8</definedName>
    <definedName name="priceYear" localSheetId="40">[3]Sheet1!$C$8</definedName>
    <definedName name="priceYear">[1]Supplementary!$C$40</definedName>
    <definedName name="_xlnm.Print_Area" localSheetId="37">'EU 9000 TEU Diesel'!$B$1:$O$61,'EU 9000 TEU Diesel'!$B$64:$J$85</definedName>
    <definedName name="_xlnm.Print_Area" localSheetId="39">'EU 9000 TEU Dual fuel'!$B$1:$O$61,'EU 9000 TEU Dual fuel'!$B$64:$J$85</definedName>
    <definedName name="_xlnm.Print_Area" localSheetId="38">'EU 9000 TEU HFO'!$B$1:$O$61,'EU 9000 TEU HFO'!$B$64:$J$85</definedName>
    <definedName name="_xlnm.Print_Area" localSheetId="17">'EU Diesel IC-reg.tog'!$B$1:$O$62,'EU Diesel IC-reg.tog'!$B$64:$J$86</definedName>
    <definedName name="_xlnm.Print_Area" localSheetId="19">'EU Diesel Lokaltog'!$B$1:$O$61,'EU Diesel Lokaltog'!$B$64:$J$86</definedName>
    <definedName name="_xlnm.Print_Area" localSheetId="18">'EU El IC-reg.tog'!$B$1:$O$61,'EU El IC-reg.tog'!$B$64:$J$85</definedName>
    <definedName name="_xlnm.Print_Area" localSheetId="20">'EU Gas Lokaltog'!$B$1:$O$61,'EU Gas Lokaltog'!$B$64:$J$86</definedName>
    <definedName name="_xlnm.Print_Area" localSheetId="40">'EU Katamaran ferry'!$B$1:$O$61,'EU Katamaran ferry'!$B$64:$J$86</definedName>
    <definedName name="_xlnm.Print_Area" localSheetId="28">'EU Lastbil'!$B$1:$P$61,'EU Lastbil'!$B$64:$J$81</definedName>
    <definedName name="_xlnm.Print_Area" localSheetId="30">'EU Lastbil DME'!$B$1:$P$61,'EU Lastbil DME'!$B$64:$J$81</definedName>
    <definedName name="_xlnm.Print_Area" localSheetId="29">'EU Lastbil El'!$B$1:$P$69,'EU Lastbil El'!$B$72:$J$99</definedName>
    <definedName name="_xlnm.Print_Area" localSheetId="32">'EU Lastbil Gas'!$B$1:$P$61,'EU Lastbil Gas'!$B$64:$J$82</definedName>
    <definedName name="_xlnm.Print_Area" localSheetId="43">'EU SAS avg. airplane'!$B$1:$O$61,'EU SAS avg. airplane'!$B$64:$J$107</definedName>
    <definedName name="_xlnm.Print_Area" localSheetId="42">'EU SAS avg. airplane adjusted'!$B$1:$O$65,'EU SAS avg. airplane adjusted'!$B$68:$J$111</definedName>
    <definedName name="referencer" localSheetId="37">#REF!</definedName>
    <definedName name="referencer" localSheetId="39">#REF!</definedName>
    <definedName name="referencer" localSheetId="38">#REF!</definedName>
    <definedName name="referencer" localSheetId="14">#REF!</definedName>
    <definedName name="referencer" localSheetId="29">#REF!</definedName>
    <definedName name="referencer" localSheetId="9">#REF!</definedName>
    <definedName name="referencer" localSheetId="11">#REF!</definedName>
    <definedName name="referencer" localSheetId="8">#REF!</definedName>
    <definedName name="referencer" localSheetId="34">#REF!</definedName>
    <definedName name="referencer" localSheetId="35">#REF!</definedName>
    <definedName name="referencer" localSheetId="33">#REF!</definedName>
    <definedName name="referencer" localSheetId="16">#REF!</definedName>
    <definedName name="referencer" localSheetId="10">#REF!</definedName>
    <definedName name="referencer">#REF!</definedName>
    <definedName name="rfdfd" localSheetId="35">#REF!</definedName>
    <definedName name="rfdfd">#REF!</definedName>
    <definedName name="rSØK" localSheetId="37">'[2]General ass. and conv.'!$C$3</definedName>
    <definedName name="rSØK" localSheetId="39">'[2]General ass. and conv.'!$C$3</definedName>
    <definedName name="rSØK" localSheetId="38">'[2]General ass. and conv.'!$C$3</definedName>
    <definedName name="rSØK" localSheetId="40">[3]Sheet1!$C$3</definedName>
    <definedName name="rSØK" localSheetId="34">'[4]Centrale data'!$C$32</definedName>
    <definedName name="rSØK" localSheetId="35">'[4]Centrale data'!$C$32</definedName>
    <definedName name="rSØK" localSheetId="33">'[4]Centrale data'!$C$32</definedName>
    <definedName name="rSØK">'[5]Centrale data'!$C$32</definedName>
    <definedName name="solver_cvg" localSheetId="16" hidden="1">0.0001</definedName>
    <definedName name="solver_drv" localSheetId="16" hidden="1">1</definedName>
    <definedName name="solver_eng" localSheetId="16" hidden="1">1</definedName>
    <definedName name="solver_est" localSheetId="16" hidden="1">1</definedName>
    <definedName name="solver_itr" localSheetId="16" hidden="1">2147483647</definedName>
    <definedName name="solver_mip" localSheetId="16" hidden="1">2147483647</definedName>
    <definedName name="solver_mni" localSheetId="16" hidden="1">30</definedName>
    <definedName name="solver_mrt" localSheetId="16" hidden="1">0.075</definedName>
    <definedName name="solver_msl" localSheetId="16" hidden="1">2</definedName>
    <definedName name="solver_neg" localSheetId="16" hidden="1">1</definedName>
    <definedName name="solver_nod" localSheetId="16" hidden="1">2147483647</definedName>
    <definedName name="solver_num" localSheetId="16" hidden="1">0</definedName>
    <definedName name="solver_nwt" localSheetId="16" hidden="1">1</definedName>
    <definedName name="solver_pre" localSheetId="16" hidden="1">0.000001</definedName>
    <definedName name="solver_rbv" localSheetId="16" hidden="1">1</definedName>
    <definedName name="solver_rel1" localSheetId="16" hidden="1">3</definedName>
    <definedName name="solver_rel2" localSheetId="16" hidden="1">3</definedName>
    <definedName name="solver_rel3" localSheetId="16" hidden="1">3</definedName>
    <definedName name="solver_rel4" localSheetId="16" hidden="1">3</definedName>
    <definedName name="solver_rel5" localSheetId="16" hidden="1">3</definedName>
    <definedName name="solver_rlx" localSheetId="16" hidden="1">2</definedName>
    <definedName name="solver_rsd" localSheetId="16" hidden="1">0</definedName>
    <definedName name="solver_scl" localSheetId="16" hidden="1">1</definedName>
    <definedName name="solver_sho" localSheetId="16" hidden="1">2</definedName>
    <definedName name="solver_ssz" localSheetId="16" hidden="1">100</definedName>
    <definedName name="solver_tim" localSheetId="16" hidden="1">2147483647</definedName>
    <definedName name="solver_tol" localSheetId="16" hidden="1">0.01</definedName>
    <definedName name="solver_typ" localSheetId="16" hidden="1">3</definedName>
    <definedName name="solver_val" localSheetId="16" hidden="1">239.1</definedName>
    <definedName name="solver_ver" localSheetId="16" hidden="1">3</definedName>
    <definedName name="vehicleproductionemissions" localSheetId="37">[2]ResultsOneYear!$B$14</definedName>
    <definedName name="vehicleproductionemissions" localSheetId="39">[2]ResultsOneYear!$B$14</definedName>
    <definedName name="vehicleproductionemissions" localSheetId="38">[2]ResultsOneYear!$B$14</definedName>
    <definedName name="vehicleproductionemissions">[3]Sheet1!$B$14</definedName>
    <definedName name="x">[8]AGR_Fuels!$A$2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13" i="106" l="1"/>
  <c r="K112" i="106"/>
  <c r="K111" i="106"/>
  <c r="K110" i="106"/>
  <c r="K109" i="106"/>
  <c r="K108" i="106"/>
  <c r="K107" i="106"/>
  <c r="K106" i="106"/>
  <c r="K105" i="106"/>
  <c r="K102" i="106"/>
  <c r="K104" i="106"/>
  <c r="K103" i="106"/>
  <c r="L14" i="112"/>
  <c r="L15" i="112"/>
  <c r="L16" i="112"/>
  <c r="W6" i="112"/>
  <c r="O5" i="112" s="1"/>
  <c r="O15" i="112" l="1"/>
  <c r="N15" i="112"/>
  <c r="O14" i="112"/>
  <c r="N16" i="112"/>
  <c r="O16" i="112"/>
  <c r="E84" i="113"/>
  <c r="E85" i="113" s="1"/>
  <c r="E89" i="113" s="1"/>
  <c r="D84" i="113"/>
  <c r="D85" i="113" s="1"/>
  <c r="D89" i="113" s="1"/>
  <c r="G82" i="113"/>
  <c r="F82" i="113"/>
  <c r="F75" i="113" s="1"/>
  <c r="F83" i="113" s="1"/>
  <c r="F91" i="113" s="1"/>
  <c r="F92" i="113" s="1"/>
  <c r="E82" i="113"/>
  <c r="D82" i="113"/>
  <c r="E77" i="113"/>
  <c r="G77" i="113" s="1"/>
  <c r="G84" i="113" s="1"/>
  <c r="G85" i="113" s="1"/>
  <c r="G89" i="113" s="1"/>
  <c r="G75" i="113"/>
  <c r="G83" i="113" s="1"/>
  <c r="G91" i="113" s="1"/>
  <c r="G92" i="113" s="1"/>
  <c r="E75" i="113"/>
  <c r="E83" i="113" s="1"/>
  <c r="E91" i="113" s="1"/>
  <c r="E92" i="113" s="1"/>
  <c r="D75" i="113"/>
  <c r="G111" i="113" s="1"/>
  <c r="G55" i="113" s="1"/>
  <c r="G63" i="113" s="1"/>
  <c r="G64" i="113"/>
  <c r="F64" i="113"/>
  <c r="E64" i="113"/>
  <c r="D64" i="113"/>
  <c r="G62" i="113"/>
  <c r="F62" i="113"/>
  <c r="E62" i="113"/>
  <c r="D62" i="113"/>
  <c r="G61" i="113"/>
  <c r="G56" i="113"/>
  <c r="F56" i="113"/>
  <c r="E56" i="113"/>
  <c r="D56" i="113"/>
  <c r="G54" i="113"/>
  <c r="F54" i="113"/>
  <c r="E54" i="113"/>
  <c r="D54" i="113"/>
  <c r="G53" i="113"/>
  <c r="F53" i="113"/>
  <c r="F61" i="113" s="1"/>
  <c r="E53" i="113"/>
  <c r="E61" i="113" s="1"/>
  <c r="D53" i="113"/>
  <c r="D61" i="113" s="1"/>
  <c r="G52" i="113"/>
  <c r="G60" i="113" s="1"/>
  <c r="F52" i="113"/>
  <c r="F60" i="113" s="1"/>
  <c r="E52" i="113"/>
  <c r="E60" i="113" s="1"/>
  <c r="D52" i="113"/>
  <c r="D60" i="113" s="1"/>
  <c r="G45" i="113"/>
  <c r="G43" i="113" s="1"/>
  <c r="F45" i="113"/>
  <c r="E45" i="113"/>
  <c r="D45" i="113"/>
  <c r="F43" i="113"/>
  <c r="E43" i="113"/>
  <c r="D43" i="113"/>
  <c r="F33" i="113"/>
  <c r="E33" i="113"/>
  <c r="D33" i="113"/>
  <c r="E29" i="113"/>
  <c r="E30" i="113" s="1"/>
  <c r="D29" i="113"/>
  <c r="D30" i="113" s="1"/>
  <c r="D27" i="113"/>
  <c r="D28" i="113" s="1"/>
  <c r="G26" i="113"/>
  <c r="G33" i="113" s="1"/>
  <c r="F26" i="113"/>
  <c r="E26" i="113"/>
  <c r="D26" i="113"/>
  <c r="E25" i="113"/>
  <c r="F23" i="113"/>
  <c r="E23" i="113"/>
  <c r="D23" i="113"/>
  <c r="D47" i="112"/>
  <c r="D46" i="112"/>
  <c r="D45" i="112"/>
  <c r="D44" i="112"/>
  <c r="D43" i="112"/>
  <c r="D42" i="112"/>
  <c r="D41" i="112"/>
  <c r="D40" i="112"/>
  <c r="D39" i="112"/>
  <c r="D38" i="112"/>
  <c r="D37" i="112"/>
  <c r="D36" i="112"/>
  <c r="D35" i="112"/>
  <c r="D34" i="112"/>
  <c r="D33" i="112"/>
  <c r="D32" i="112"/>
  <c r="AN45" i="112"/>
  <c r="AM45" i="112"/>
  <c r="AN44" i="112"/>
  <c r="AM44" i="112"/>
  <c r="AN43" i="112"/>
  <c r="AM43" i="112"/>
  <c r="AN42" i="112"/>
  <c r="AM42" i="112"/>
  <c r="AN41" i="112"/>
  <c r="AM41" i="112"/>
  <c r="AN40" i="112"/>
  <c r="AM40" i="112"/>
  <c r="AN39" i="112"/>
  <c r="AM39" i="112"/>
  <c r="AN38" i="112"/>
  <c r="AM38" i="112"/>
  <c r="AL35" i="112"/>
  <c r="AI35" i="112" s="1"/>
  <c r="AH35" i="112"/>
  <c r="AL34" i="112"/>
  <c r="AI34" i="112"/>
  <c r="AN34" i="112" s="1"/>
  <c r="AO34" i="112" s="1"/>
  <c r="AP34" i="112" s="1"/>
  <c r="AQ34" i="112" s="1"/>
  <c r="V34" i="112"/>
  <c r="V33" i="112" s="1"/>
  <c r="F21" i="112"/>
  <c r="F24" i="112" s="1"/>
  <c r="C24" i="112" s="1"/>
  <c r="C47" i="112" s="1"/>
  <c r="F20" i="112"/>
  <c r="C20" i="112" s="1"/>
  <c r="C45" i="112" s="1"/>
  <c r="M17" i="112"/>
  <c r="F17" i="112"/>
  <c r="C17" i="112" s="1"/>
  <c r="C44" i="112" s="1"/>
  <c r="V28" i="112"/>
  <c r="G16" i="112"/>
  <c r="E16" i="112"/>
  <c r="C16" i="112" s="1"/>
  <c r="C43" i="112" s="1"/>
  <c r="G15" i="112"/>
  <c r="E15" i="112"/>
  <c r="C15" i="112" s="1"/>
  <c r="C42" i="112" s="1"/>
  <c r="G14" i="112"/>
  <c r="E14" i="112"/>
  <c r="C14" i="112" s="1"/>
  <c r="C41" i="112" s="1"/>
  <c r="K13" i="112"/>
  <c r="G13" i="112"/>
  <c r="C13" i="112"/>
  <c r="C40" i="112" s="1"/>
  <c r="K12" i="112"/>
  <c r="G12" i="112"/>
  <c r="C12" i="112"/>
  <c r="C39" i="112" s="1"/>
  <c r="O11" i="112"/>
  <c r="K11" i="112"/>
  <c r="G11" i="112"/>
  <c r="C11" i="112"/>
  <c r="C38" i="112" s="1"/>
  <c r="K10" i="112"/>
  <c r="K20" i="112" s="1"/>
  <c r="G10" i="112"/>
  <c r="C10" i="112"/>
  <c r="AR22" i="112" s="1"/>
  <c r="K9" i="112"/>
  <c r="K24" i="112" s="1"/>
  <c r="G9" i="112"/>
  <c r="C9" i="112"/>
  <c r="AR21" i="112" s="1"/>
  <c r="O8" i="112"/>
  <c r="K8" i="112"/>
  <c r="K21" i="112" s="1"/>
  <c r="G8" i="112"/>
  <c r="C8" i="112"/>
  <c r="C35" i="112" s="1"/>
  <c r="K7" i="112"/>
  <c r="G7" i="112"/>
  <c r="C7" i="112"/>
  <c r="C34" i="112" s="1"/>
  <c r="K6" i="112"/>
  <c r="G6" i="112"/>
  <c r="C6" i="112"/>
  <c r="C33" i="112" s="1"/>
  <c r="N5" i="112"/>
  <c r="N8" i="112" s="1"/>
  <c r="K5" i="112"/>
  <c r="G5" i="112"/>
  <c r="C5" i="112"/>
  <c r="C32" i="112" s="1"/>
  <c r="N11" i="112" l="1"/>
  <c r="N14" i="112"/>
  <c r="Q6" i="112"/>
  <c r="Q16" i="112"/>
  <c r="Q14" i="112"/>
  <c r="Q15" i="112"/>
  <c r="R16" i="112"/>
  <c r="R14" i="112"/>
  <c r="R15" i="112"/>
  <c r="R7" i="112"/>
  <c r="C21" i="112"/>
  <c r="C46" i="112" s="1"/>
  <c r="AN35" i="112"/>
  <c r="AO35" i="112" s="1"/>
  <c r="Q21" i="112"/>
  <c r="Q17" i="112" s="1"/>
  <c r="Q5" i="112"/>
  <c r="Q7" i="112"/>
  <c r="R21" i="112"/>
  <c r="R17" i="112" s="1"/>
  <c r="L5" i="112"/>
  <c r="L6" i="112"/>
  <c r="V35" i="112"/>
  <c r="L8" i="112"/>
  <c r="L11" i="112"/>
  <c r="K17" i="112"/>
  <c r="AJ23" i="112"/>
  <c r="R11" i="112"/>
  <c r="AR23" i="112"/>
  <c r="R5" i="112"/>
  <c r="O9" i="112"/>
  <c r="O12" i="112"/>
  <c r="R8" i="112"/>
  <c r="R9" i="112"/>
  <c r="Q12" i="112"/>
  <c r="Q20" i="112"/>
  <c r="G23" i="113"/>
  <c r="F77" i="113"/>
  <c r="F84" i="113" s="1"/>
  <c r="F85" i="113" s="1"/>
  <c r="F89" i="113" s="1"/>
  <c r="Q11" i="112"/>
  <c r="R20" i="112"/>
  <c r="R6" i="112"/>
  <c r="C36" i="112"/>
  <c r="E24" i="113"/>
  <c r="E27" i="113" s="1"/>
  <c r="E28" i="113" s="1"/>
  <c r="D107" i="113"/>
  <c r="N6" i="112"/>
  <c r="N9" i="112" s="1"/>
  <c r="N12" i="112" s="1"/>
  <c r="AJ21" i="112"/>
  <c r="O6" i="112"/>
  <c r="R12" i="112"/>
  <c r="F24" i="113"/>
  <c r="F27" i="113" s="1"/>
  <c r="F28" i="113" s="1"/>
  <c r="C37" i="112"/>
  <c r="E107" i="113"/>
  <c r="F107" i="113"/>
  <c r="O10" i="112"/>
  <c r="O13" i="112"/>
  <c r="F25" i="113"/>
  <c r="F29" i="113" s="1"/>
  <c r="F30" i="113" s="1"/>
  <c r="G107" i="113"/>
  <c r="Q24" i="112"/>
  <c r="D83" i="113"/>
  <c r="D91" i="113" s="1"/>
  <c r="D92" i="113" s="1"/>
  <c r="D111" i="113"/>
  <c r="D55" i="113" s="1"/>
  <c r="D63" i="113" s="1"/>
  <c r="Q9" i="112"/>
  <c r="Q10" i="112"/>
  <c r="O7" i="112"/>
  <c r="R10" i="112"/>
  <c r="R13" i="112"/>
  <c r="R24" i="112"/>
  <c r="E111" i="113"/>
  <c r="E55" i="113" s="1"/>
  <c r="E63" i="113" s="1"/>
  <c r="N7" i="112"/>
  <c r="F111" i="113"/>
  <c r="F55" i="113" s="1"/>
  <c r="F63" i="113" s="1"/>
  <c r="Q8" i="112"/>
  <c r="Q13" i="112"/>
  <c r="AJ22" i="112"/>
  <c r="V31" i="112" l="1"/>
  <c r="N20" i="112"/>
  <c r="N10" i="112"/>
  <c r="N17" i="112"/>
  <c r="L9" i="112"/>
  <c r="L12" i="112"/>
  <c r="G25" i="113"/>
  <c r="G29" i="113" s="1"/>
  <c r="G30" i="113" s="1"/>
  <c r="G24" i="113"/>
  <c r="G27" i="113" s="1"/>
  <c r="G28" i="113" s="1"/>
  <c r="L13" i="112"/>
  <c r="L10" i="112"/>
  <c r="L7" i="112"/>
  <c r="L17" i="112" l="1"/>
  <c r="L20" i="112"/>
  <c r="L21" i="112"/>
  <c r="L24" i="112"/>
  <c r="V30" i="112"/>
  <c r="V36" i="112"/>
  <c r="V32" i="112" s="1"/>
  <c r="N13" i="112"/>
  <c r="N21" i="112"/>
  <c r="N24" i="112"/>
  <c r="O24" i="112" l="1"/>
  <c r="P20" i="112"/>
  <c r="O23" i="112"/>
  <c r="O17" i="112"/>
  <c r="O20" i="112"/>
  <c r="O19" i="112"/>
  <c r="O18" i="112"/>
  <c r="O22" i="112"/>
  <c r="P17" i="112"/>
  <c r="P21" i="112"/>
  <c r="P24" i="112"/>
  <c r="O21" i="112"/>
  <c r="AW11" i="9" l="1"/>
  <c r="AW10" i="9"/>
  <c r="AW9" i="9"/>
  <c r="AW8" i="9"/>
  <c r="AW7" i="9"/>
  <c r="AW6" i="9"/>
  <c r="AW5" i="9"/>
  <c r="P5" i="9" s="1" a="1"/>
  <c r="P5" i="9" s="1"/>
  <c r="AG7" i="9"/>
  <c r="AY5" i="9"/>
  <c r="F19" i="111"/>
  <c r="F20" i="111"/>
  <c r="F21" i="111"/>
  <c r="F18" i="111"/>
  <c r="C19" i="111"/>
  <c r="B19" i="111"/>
  <c r="O17" i="111"/>
  <c r="N17" i="111"/>
  <c r="M17" i="111"/>
  <c r="K17" i="111"/>
  <c r="I17" i="111"/>
  <c r="H17" i="111"/>
  <c r="O16" i="111"/>
  <c r="N16" i="111"/>
  <c r="M16" i="111"/>
  <c r="K16" i="111"/>
  <c r="I16" i="111"/>
  <c r="H16" i="111"/>
  <c r="M15" i="111"/>
  <c r="H15" i="111"/>
  <c r="C15" i="111"/>
  <c r="B15" i="111"/>
  <c r="O14" i="111"/>
  <c r="O15" i="111" s="1"/>
  <c r="N14" i="111"/>
  <c r="N15" i="111" s="1"/>
  <c r="M14" i="111"/>
  <c r="K14" i="111"/>
  <c r="K15" i="111" s="1"/>
  <c r="I14" i="111"/>
  <c r="I15" i="111" s="1"/>
  <c r="H14" i="111"/>
  <c r="B23" i="111"/>
  <c r="C23" i="111"/>
  <c r="D23" i="111"/>
  <c r="G23" i="111"/>
  <c r="H23" i="111"/>
  <c r="I23" i="111"/>
  <c r="K23" i="111"/>
  <c r="L23" i="111"/>
  <c r="M23" i="111"/>
  <c r="N23" i="111"/>
  <c r="O23" i="111"/>
  <c r="F71" i="111"/>
  <c r="C71" i="111"/>
  <c r="B71" i="111"/>
  <c r="C79" i="111"/>
  <c r="B79" i="111"/>
  <c r="N86" i="85" l="1" a="1"/>
  <c r="N86" i="85" s="1"/>
  <c r="N68" i="85" a="1"/>
  <c r="N68" i="85" s="1"/>
  <c r="F47" i="111"/>
  <c r="F48" i="111"/>
  <c r="F49" i="111"/>
  <c r="F50" i="111"/>
  <c r="F46" i="111"/>
  <c r="C47" i="111"/>
  <c r="B47" i="111"/>
  <c r="D45" i="111"/>
  <c r="O45" i="111"/>
  <c r="N45" i="111"/>
  <c r="M45" i="111"/>
  <c r="L45" i="111"/>
  <c r="K45" i="111"/>
  <c r="I45" i="111"/>
  <c r="H45" i="111"/>
  <c r="G45" i="111"/>
  <c r="F45" i="111"/>
  <c r="F30" i="111"/>
  <c r="F35" i="111"/>
  <c r="F40" i="111"/>
  <c r="F39" i="111"/>
  <c r="F38" i="111"/>
  <c r="F37" i="111"/>
  <c r="F36" i="111"/>
  <c r="C37" i="111"/>
  <c r="B37" i="111"/>
  <c r="C98" i="111"/>
  <c r="B98" i="111"/>
  <c r="D96" i="111"/>
  <c r="D93" i="111"/>
  <c r="C93" i="111"/>
  <c r="B93" i="111"/>
  <c r="C88" i="111"/>
  <c r="B88" i="111"/>
  <c r="D7" i="111"/>
  <c r="C7" i="111"/>
  <c r="B7" i="111"/>
  <c r="D11" i="111"/>
  <c r="N76" i="85" s="1" a="1"/>
  <c r="N76" i="85" s="1"/>
  <c r="C11" i="111"/>
  <c r="B11" i="111"/>
  <c r="D27" i="111"/>
  <c r="C27" i="111"/>
  <c r="B27" i="111"/>
  <c r="D32" i="111"/>
  <c r="C32" i="111"/>
  <c r="B32" i="111"/>
  <c r="O42" i="111"/>
  <c r="N42" i="111"/>
  <c r="M42" i="111"/>
  <c r="L42" i="111"/>
  <c r="K42" i="111"/>
  <c r="I42" i="111"/>
  <c r="H42" i="111"/>
  <c r="G42" i="111"/>
  <c r="D42" i="111"/>
  <c r="C42" i="111"/>
  <c r="B42" i="111"/>
  <c r="O75" i="111"/>
  <c r="N75" i="111"/>
  <c r="M75" i="111"/>
  <c r="L75" i="111"/>
  <c r="K75" i="111"/>
  <c r="I75" i="111"/>
  <c r="H75" i="111"/>
  <c r="G75" i="111"/>
  <c r="D75" i="111"/>
  <c r="C75" i="111"/>
  <c r="B75" i="111"/>
  <c r="D67" i="111"/>
  <c r="C67" i="111"/>
  <c r="B67" i="111"/>
  <c r="B83" i="111"/>
  <c r="C83" i="111"/>
  <c r="D83" i="111"/>
  <c r="B109" i="111"/>
  <c r="D109" i="111"/>
  <c r="M109" i="111"/>
  <c r="L109" i="111"/>
  <c r="F109" i="111"/>
  <c r="M118" i="111"/>
  <c r="L118" i="111"/>
  <c r="F118" i="111"/>
  <c r="D118" i="111"/>
  <c r="B118" i="111"/>
  <c r="O117" i="111"/>
  <c r="O118" i="111" s="1"/>
  <c r="N117" i="111"/>
  <c r="N118" i="111" s="1"/>
  <c r="K117" i="111"/>
  <c r="K118" i="111" s="1"/>
  <c r="I117" i="111"/>
  <c r="I118" i="111" s="1"/>
  <c r="H117" i="111"/>
  <c r="H118" i="111" s="1"/>
  <c r="O116" i="111"/>
  <c r="N116" i="111"/>
  <c r="K116" i="111"/>
  <c r="I116" i="111"/>
  <c r="H116" i="111"/>
  <c r="M115" i="111"/>
  <c r="L115" i="111"/>
  <c r="F115" i="111"/>
  <c r="D115" i="111"/>
  <c r="B115" i="111"/>
  <c r="O114" i="111"/>
  <c r="O115" i="111" s="1"/>
  <c r="N114" i="111"/>
  <c r="N115" i="111" s="1"/>
  <c r="K114" i="111"/>
  <c r="K115" i="111" s="1"/>
  <c r="I114" i="111"/>
  <c r="I115" i="111" s="1"/>
  <c r="H114" i="111"/>
  <c r="H115" i="111" s="1"/>
  <c r="M107" i="111"/>
  <c r="L107" i="111"/>
  <c r="F107" i="111"/>
  <c r="D107" i="111"/>
  <c r="B107" i="111"/>
  <c r="M113" i="111"/>
  <c r="L113" i="111"/>
  <c r="F113" i="111"/>
  <c r="D113" i="111"/>
  <c r="B113" i="111"/>
  <c r="M104" i="111"/>
  <c r="L104" i="111"/>
  <c r="F104" i="111"/>
  <c r="D104" i="111"/>
  <c r="B104" i="111"/>
  <c r="L110" i="111"/>
  <c r="M110" i="111"/>
  <c r="F110" i="111"/>
  <c r="D110" i="111"/>
  <c r="B110" i="111"/>
  <c r="G135" i="111"/>
  <c r="J135" i="111"/>
  <c r="L135" i="111"/>
  <c r="M135" i="111"/>
  <c r="F135" i="111"/>
  <c r="M129" i="111"/>
  <c r="M130" i="111" s="1"/>
  <c r="L129" i="111"/>
  <c r="L130" i="111" s="1"/>
  <c r="F129" i="111"/>
  <c r="F130" i="111" s="1"/>
  <c r="D129" i="111"/>
  <c r="D130" i="111" s="1"/>
  <c r="M133" i="111"/>
  <c r="L133" i="111"/>
  <c r="F133" i="111"/>
  <c r="D133" i="111"/>
  <c r="D123" i="111"/>
  <c r="D124" i="111" s="1"/>
  <c r="D127" i="111"/>
  <c r="M127" i="111"/>
  <c r="L127" i="111"/>
  <c r="F127" i="111"/>
  <c r="M123" i="111"/>
  <c r="M124" i="111" s="1"/>
  <c r="L123" i="111"/>
  <c r="L124" i="111" s="1"/>
  <c r="F123" i="111"/>
  <c r="F124" i="111" s="1"/>
  <c r="K134" i="111"/>
  <c r="K135" i="111" s="1"/>
  <c r="K136" i="111"/>
  <c r="K137" i="111"/>
  <c r="O137" i="111"/>
  <c r="N137" i="111"/>
  <c r="I137" i="111"/>
  <c r="H137" i="111"/>
  <c r="O136" i="111"/>
  <c r="N136" i="111"/>
  <c r="I136" i="111"/>
  <c r="H136" i="111"/>
  <c r="O134" i="111"/>
  <c r="O135" i="111" s="1"/>
  <c r="N134" i="111"/>
  <c r="N135" i="111" s="1"/>
  <c r="I134" i="111"/>
  <c r="I135" i="111" s="1"/>
  <c r="H134" i="111"/>
  <c r="H135" i="111" s="1"/>
  <c r="T45" i="9" l="1" a="1"/>
  <c r="T45" i="9" s="1"/>
  <c r="V37" i="9" a="1"/>
  <c r="V37" i="9" s="1"/>
  <c r="V73" i="9" a="1"/>
  <c r="V73" i="9" s="1"/>
  <c r="U73" i="9" a="1"/>
  <c r="U73" i="9" s="1"/>
  <c r="T73" i="9" a="1"/>
  <c r="T73" i="9" s="1"/>
  <c r="V69" i="9" a="1"/>
  <c r="V69" i="9" s="1"/>
  <c r="U69" i="9" a="1"/>
  <c r="U69" i="9" s="1"/>
  <c r="T69" i="9" a="1"/>
  <c r="T69" i="9" s="1"/>
  <c r="V65" i="9" a="1"/>
  <c r="V65" i="9" s="1"/>
  <c r="U65" i="9" a="1"/>
  <c r="U65" i="9" s="1"/>
  <c r="T65" i="9" a="1"/>
  <c r="T65" i="9" s="1"/>
  <c r="U33" i="9" a="1"/>
  <c r="U33" i="9" s="1"/>
  <c r="T33" i="9" a="1"/>
  <c r="T33" i="9" s="1"/>
  <c r="T41" i="9" a="1"/>
  <c r="T41" i="9" s="1"/>
  <c r="P13" i="85" a="1"/>
  <c r="P13" i="85" s="1"/>
  <c r="V29" i="9" a="1"/>
  <c r="V29" i="9" s="1"/>
  <c r="O13" i="85" a="1"/>
  <c r="O13" i="85" s="1"/>
  <c r="U29" i="9" a="1"/>
  <c r="U29" i="9" s="1"/>
  <c r="T29" i="9" a="1"/>
  <c r="T29" i="9" s="1"/>
  <c r="V49" i="9" a="1"/>
  <c r="V49" i="9" s="1"/>
  <c r="U49" i="9" a="1"/>
  <c r="U49" i="9" s="1"/>
  <c r="T49" i="9" a="1"/>
  <c r="T49" i="9" s="1"/>
  <c r="V45" i="9" a="1"/>
  <c r="V45" i="9" s="1"/>
  <c r="U45" i="9" a="1"/>
  <c r="U45" i="9" s="1"/>
  <c r="V41" i="9" a="1"/>
  <c r="V41" i="9" s="1"/>
  <c r="U41" i="9" a="1"/>
  <c r="U41" i="9" s="1"/>
  <c r="U37" i="9" a="1"/>
  <c r="U37" i="9" s="1"/>
  <c r="T37" i="9" a="1"/>
  <c r="T37" i="9" s="1"/>
  <c r="V33" i="9" a="1"/>
  <c r="V33" i="9" s="1"/>
  <c r="Y32" i="105" a="1"/>
  <c r="Y32" i="105" s="1"/>
  <c r="N80" i="85" a="1"/>
  <c r="N80" i="85" s="1"/>
  <c r="N72" i="85" a="1"/>
  <c r="N72" i="85" s="1"/>
  <c r="N83" i="85" a="1"/>
  <c r="N83" i="85" s="1"/>
  <c r="N13" i="85" a="1"/>
  <c r="N13" i="85" s="1"/>
  <c r="W24" i="105" a="1"/>
  <c r="W24" i="105" s="1"/>
  <c r="X24" i="105" a="1"/>
  <c r="X24" i="105" s="1"/>
  <c r="Y24" i="105" a="1"/>
  <c r="Y24" i="105" s="1"/>
  <c r="W26" i="105" a="1"/>
  <c r="W26" i="105" s="1"/>
  <c r="W28" i="105" a="1"/>
  <c r="W28" i="105" s="1"/>
  <c r="W30" i="105" a="1"/>
  <c r="W30" i="105" s="1"/>
  <c r="X30" i="105" a="1"/>
  <c r="X30" i="105" s="1"/>
  <c r="Y30" i="105" a="1"/>
  <c r="Y30" i="105" s="1"/>
  <c r="W32" i="105" a="1"/>
  <c r="W32" i="105" s="1"/>
  <c r="X32" i="105" a="1"/>
  <c r="X32" i="105" s="1"/>
  <c r="AC22" i="103" a="1"/>
  <c r="AC22" i="103" s="1"/>
  <c r="Y48" i="101" a="1"/>
  <c r="Y48" i="101" s="1"/>
  <c r="Y43" i="101" a="1"/>
  <c r="Y43" i="101" s="1"/>
  <c r="W43" i="101" a="1"/>
  <c r="W43" i="101" s="1"/>
  <c r="AC24" i="103" a="1"/>
  <c r="AC24" i="103" s="1"/>
  <c r="Z25" i="103" a="1"/>
  <c r="Z25" i="103" s="1"/>
  <c r="AC25" i="103" a="1"/>
  <c r="AC25" i="103" s="1"/>
  <c r="AC23" i="103" a="1"/>
  <c r="AC23" i="103" s="1"/>
  <c r="Y50" i="101" a="1"/>
  <c r="Y50" i="101" s="1"/>
  <c r="W50" i="101" a="1"/>
  <c r="W50" i="101" s="1"/>
  <c r="Z48" i="101" a="1"/>
  <c r="Z48" i="101" s="1"/>
  <c r="Z50" i="101" a="1"/>
  <c r="Z50" i="101" s="1"/>
  <c r="AA22" i="103" a="1"/>
  <c r="AA22" i="103" s="1"/>
  <c r="AB22" i="103" a="1"/>
  <c r="AB22" i="103" s="1"/>
  <c r="AB25" i="103" a="1"/>
  <c r="AB25" i="103" s="1"/>
  <c r="X50" i="101" a="1"/>
  <c r="X50" i="101" s="1"/>
  <c r="Z23" i="103" a="1"/>
  <c r="Z23" i="103" s="1"/>
  <c r="AA23" i="103" a="1"/>
  <c r="AA23" i="103" s="1"/>
  <c r="Z24" i="103" a="1"/>
  <c r="Z24" i="103" s="1"/>
  <c r="AA24" i="103" a="1"/>
  <c r="AA24" i="103" s="1"/>
  <c r="AB24" i="103" a="1"/>
  <c r="AB24" i="103" s="1"/>
  <c r="W49" i="101" a="1"/>
  <c r="W49" i="101" s="1"/>
  <c r="Z42" i="101" a="1"/>
  <c r="Z42" i="101" s="1"/>
  <c r="Z49" i="101" a="1"/>
  <c r="Z49" i="101" s="1"/>
  <c r="Y49" i="101" a="1"/>
  <c r="Y49" i="101" s="1"/>
  <c r="X49" i="101" a="1"/>
  <c r="X49" i="101" s="1"/>
  <c r="W45" i="101" a="1"/>
  <c r="W45" i="101" s="1"/>
  <c r="Z44" i="101" a="1"/>
  <c r="Z44" i="101" s="1"/>
  <c r="X44" i="101" a="1"/>
  <c r="X44" i="101" s="1"/>
  <c r="X43" i="101" a="1"/>
  <c r="X43" i="101" s="1"/>
  <c r="Y41" i="101" a="1"/>
  <c r="Y41" i="101" s="1"/>
  <c r="Y40" i="101" a="1"/>
  <c r="Y40" i="101" s="1"/>
  <c r="AB23" i="103" a="1"/>
  <c r="AB23" i="103" s="1"/>
  <c r="Z41" i="101" a="1"/>
  <c r="Z41" i="101" s="1"/>
  <c r="X40" i="101" a="1"/>
  <c r="X40" i="101" s="1"/>
  <c r="X48" i="101" a="1"/>
  <c r="X48" i="101" s="1"/>
  <c r="W48" i="101" a="1"/>
  <c r="W48" i="101" s="1"/>
  <c r="Z22" i="103" a="1"/>
  <c r="Z22" i="103" s="1"/>
  <c r="Z47" i="101" a="1"/>
  <c r="Z47" i="101" s="1"/>
  <c r="Y47" i="101" a="1"/>
  <c r="Y47" i="101" s="1"/>
  <c r="X47" i="101" a="1"/>
  <c r="X47" i="101" s="1"/>
  <c r="Z46" i="101" a="1"/>
  <c r="Z46" i="101" s="1"/>
  <c r="Y46" i="101" a="1"/>
  <c r="Y46" i="101" s="1"/>
  <c r="X46" i="101" a="1"/>
  <c r="X46" i="101" s="1"/>
  <c r="Z45" i="101" a="1"/>
  <c r="Z45" i="101" s="1"/>
  <c r="Y45" i="101" a="1"/>
  <c r="Y45" i="101" s="1"/>
  <c r="X45" i="101" a="1"/>
  <c r="X45" i="101" s="1"/>
  <c r="Y44" i="101" a="1"/>
  <c r="Y44" i="101" s="1"/>
  <c r="AA25" i="103" a="1"/>
  <c r="AA25" i="103" s="1"/>
  <c r="W44" i="101" a="1"/>
  <c r="W44" i="101" s="1"/>
  <c r="Z43" i="101" a="1"/>
  <c r="Z43" i="101" s="1"/>
  <c r="Z40" i="101" a="1"/>
  <c r="Z40" i="101" s="1"/>
  <c r="Y42" i="101" a="1"/>
  <c r="Y42" i="101" s="1"/>
  <c r="X42" i="101" a="1"/>
  <c r="X42" i="101" s="1"/>
  <c r="W42" i="101" a="1"/>
  <c r="W42" i="101" s="1"/>
  <c r="W47" i="101" a="1"/>
  <c r="W47" i="101" s="1"/>
  <c r="W40" i="101" a="1"/>
  <c r="W40" i="101" s="1"/>
  <c r="W46" i="101" a="1"/>
  <c r="W46" i="101" s="1"/>
  <c r="X41" i="101" a="1"/>
  <c r="X41" i="101" s="1"/>
  <c r="W41" i="101" a="1"/>
  <c r="W41" i="101" s="1"/>
  <c r="G105" i="111" l="1"/>
  <c r="H105" i="111"/>
  <c r="I105" i="111"/>
  <c r="K105" i="111"/>
  <c r="J105" i="111"/>
  <c r="N105" i="111"/>
  <c r="O105" i="111"/>
  <c r="G106" i="111"/>
  <c r="G107" i="111" s="1"/>
  <c r="H106" i="111"/>
  <c r="H107" i="111" s="1"/>
  <c r="I106" i="111"/>
  <c r="I107" i="111" s="1"/>
  <c r="K106" i="111"/>
  <c r="K107" i="111" s="1"/>
  <c r="J106" i="111"/>
  <c r="J107" i="111" s="1"/>
  <c r="N106" i="111"/>
  <c r="N107" i="111" s="1"/>
  <c r="O106" i="111"/>
  <c r="O107" i="111" s="1"/>
  <c r="G108" i="111"/>
  <c r="H108" i="111"/>
  <c r="I108" i="111"/>
  <c r="K108" i="111"/>
  <c r="J108" i="111"/>
  <c r="N108" i="111"/>
  <c r="O108" i="111"/>
  <c r="G111" i="111"/>
  <c r="H111" i="111"/>
  <c r="I111" i="111"/>
  <c r="K111" i="111"/>
  <c r="J111" i="111"/>
  <c r="N111" i="111"/>
  <c r="O111" i="111"/>
  <c r="G112" i="111"/>
  <c r="H112" i="111"/>
  <c r="H113" i="111" s="1"/>
  <c r="I112" i="111"/>
  <c r="I113" i="111" s="1"/>
  <c r="K112" i="111"/>
  <c r="K113" i="111" s="1"/>
  <c r="J112" i="111"/>
  <c r="N112" i="111"/>
  <c r="N113" i="111" s="1"/>
  <c r="O112" i="111"/>
  <c r="O113" i="111" s="1"/>
  <c r="G119" i="111"/>
  <c r="H119" i="111"/>
  <c r="I119" i="111"/>
  <c r="K119" i="111"/>
  <c r="J119" i="111"/>
  <c r="N119" i="111"/>
  <c r="O119" i="111"/>
  <c r="G120" i="111"/>
  <c r="H120" i="111"/>
  <c r="I120" i="111"/>
  <c r="K120" i="111"/>
  <c r="J120" i="111"/>
  <c r="N120" i="111"/>
  <c r="O120" i="111"/>
  <c r="G121" i="111"/>
  <c r="H121" i="111"/>
  <c r="I121" i="111"/>
  <c r="K121" i="111"/>
  <c r="J121" i="111"/>
  <c r="N121" i="111"/>
  <c r="O121" i="111"/>
  <c r="G122" i="111"/>
  <c r="G123" i="111" s="1"/>
  <c r="G124" i="111" s="1"/>
  <c r="H122" i="111"/>
  <c r="H123" i="111" s="1"/>
  <c r="H124" i="111" s="1"/>
  <c r="I122" i="111"/>
  <c r="I123" i="111" s="1"/>
  <c r="I124" i="111" s="1"/>
  <c r="K122" i="111"/>
  <c r="K123" i="111" s="1"/>
  <c r="K124" i="111" s="1"/>
  <c r="J122" i="111"/>
  <c r="J123" i="111" s="1"/>
  <c r="J124" i="111" s="1"/>
  <c r="N122" i="111"/>
  <c r="N123" i="111" s="1"/>
  <c r="N124" i="111" s="1"/>
  <c r="O122" i="111"/>
  <c r="O123" i="111" s="1"/>
  <c r="O124" i="111" s="1"/>
  <c r="G125" i="111"/>
  <c r="H125" i="111"/>
  <c r="I125" i="111"/>
  <c r="K125" i="111"/>
  <c r="J125" i="111"/>
  <c r="N125" i="111"/>
  <c r="O125" i="111"/>
  <c r="G126" i="111"/>
  <c r="G127" i="111" s="1"/>
  <c r="H126" i="111"/>
  <c r="H127" i="111" s="1"/>
  <c r="I126" i="111"/>
  <c r="I127" i="111" s="1"/>
  <c r="K126" i="111"/>
  <c r="K127" i="111" s="1"/>
  <c r="J126" i="111"/>
  <c r="J127" i="111" s="1"/>
  <c r="N126" i="111"/>
  <c r="N127" i="111" s="1"/>
  <c r="O126" i="111"/>
  <c r="O127" i="111" s="1"/>
  <c r="G128" i="111"/>
  <c r="G129" i="111" s="1"/>
  <c r="H128" i="111"/>
  <c r="H129" i="111" s="1"/>
  <c r="I128" i="111"/>
  <c r="I129" i="111" s="1"/>
  <c r="K128" i="111"/>
  <c r="K129" i="111" s="1"/>
  <c r="K130" i="111" s="1"/>
  <c r="J128" i="111"/>
  <c r="J129" i="111" s="1"/>
  <c r="N128" i="111"/>
  <c r="N129" i="111" s="1"/>
  <c r="N130" i="111" s="1"/>
  <c r="O128" i="111"/>
  <c r="O129" i="111" s="1"/>
  <c r="O130" i="111" s="1"/>
  <c r="G131" i="111"/>
  <c r="H131" i="111"/>
  <c r="I131" i="111"/>
  <c r="K131" i="111"/>
  <c r="J131" i="111"/>
  <c r="N131" i="111"/>
  <c r="O131" i="111"/>
  <c r="G132" i="111"/>
  <c r="G133" i="111" s="1"/>
  <c r="H132" i="111"/>
  <c r="H133" i="111" s="1"/>
  <c r="I132" i="111"/>
  <c r="I133" i="111" s="1"/>
  <c r="K132" i="111"/>
  <c r="K133" i="111" s="1"/>
  <c r="J132" i="111"/>
  <c r="J133" i="111" s="1"/>
  <c r="N132" i="111"/>
  <c r="N133" i="111" s="1"/>
  <c r="O132" i="111"/>
  <c r="O133" i="111" s="1"/>
  <c r="G141" i="111"/>
  <c r="H141" i="111"/>
  <c r="I141" i="111"/>
  <c r="K141" i="111"/>
  <c r="J141" i="111"/>
  <c r="N141" i="111"/>
  <c r="O141" i="111"/>
  <c r="G142" i="111"/>
  <c r="H142" i="111"/>
  <c r="I142" i="111"/>
  <c r="K142" i="111"/>
  <c r="J142" i="111"/>
  <c r="N142" i="111"/>
  <c r="O142" i="111"/>
  <c r="G143" i="111"/>
  <c r="H143" i="111"/>
  <c r="I143" i="111"/>
  <c r="K143" i="111"/>
  <c r="J143" i="111"/>
  <c r="N143" i="111"/>
  <c r="O143" i="111"/>
  <c r="G147" i="111"/>
  <c r="H147" i="111"/>
  <c r="I147" i="111"/>
  <c r="K147" i="111"/>
  <c r="J147" i="111"/>
  <c r="N147" i="111"/>
  <c r="O147" i="111"/>
  <c r="G148" i="111"/>
  <c r="H148" i="111"/>
  <c r="I148" i="111"/>
  <c r="K148" i="111"/>
  <c r="J148" i="111"/>
  <c r="N148" i="111"/>
  <c r="O148" i="111"/>
  <c r="G149" i="111"/>
  <c r="H149" i="111"/>
  <c r="I149" i="111"/>
  <c r="K149" i="111"/>
  <c r="J149" i="111"/>
  <c r="N149" i="111"/>
  <c r="O149" i="111"/>
  <c r="G150" i="111"/>
  <c r="H150" i="111"/>
  <c r="I150" i="111"/>
  <c r="K150" i="111"/>
  <c r="J150" i="111"/>
  <c r="N150" i="111"/>
  <c r="O150" i="111"/>
  <c r="G151" i="111"/>
  <c r="H151" i="111"/>
  <c r="I151" i="111"/>
  <c r="K151" i="111"/>
  <c r="J151" i="111"/>
  <c r="N151" i="111"/>
  <c r="O151" i="111"/>
  <c r="G152" i="111"/>
  <c r="H152" i="111"/>
  <c r="I152" i="111"/>
  <c r="K152" i="111"/>
  <c r="J152" i="111"/>
  <c r="N152" i="111"/>
  <c r="O152" i="111"/>
  <c r="O103" i="111"/>
  <c r="O104" i="111" s="1"/>
  <c r="N103" i="111"/>
  <c r="N104" i="111" s="1"/>
  <c r="J103" i="111"/>
  <c r="K103" i="111"/>
  <c r="K104" i="111" s="1"/>
  <c r="I103" i="111"/>
  <c r="I104" i="111" s="1"/>
  <c r="H103" i="111"/>
  <c r="H104" i="111" s="1"/>
  <c r="G103" i="111"/>
  <c r="G104" i="111" s="1"/>
  <c r="T54" i="111"/>
  <c r="T55" i="111" s="1"/>
  <c r="U54" i="111"/>
  <c r="U55" i="111" s="1"/>
  <c r="H8" i="111"/>
  <c r="U9" i="9" s="1" a="1"/>
  <c r="U9" i="9" s="1"/>
  <c r="I8" i="111"/>
  <c r="V9" i="9" s="1" a="1"/>
  <c r="V9" i="9" s="1"/>
  <c r="K8" i="111"/>
  <c r="M8" i="111"/>
  <c r="N8" i="111"/>
  <c r="O8" i="111"/>
  <c r="H9" i="111"/>
  <c r="U13" i="9" s="1" a="1"/>
  <c r="U13" i="9" s="1"/>
  <c r="I9" i="111"/>
  <c r="V13" i="9" s="1" a="1"/>
  <c r="V13" i="9" s="1"/>
  <c r="K9" i="111"/>
  <c r="M9" i="111"/>
  <c r="N9" i="111"/>
  <c r="O9" i="111"/>
  <c r="H10" i="111"/>
  <c r="I10" i="111"/>
  <c r="K10" i="111"/>
  <c r="M10" i="111"/>
  <c r="M18" i="111" s="1"/>
  <c r="N10" i="111"/>
  <c r="O10" i="111"/>
  <c r="H12" i="111"/>
  <c r="I12" i="111"/>
  <c r="K12" i="111"/>
  <c r="K20" i="111" s="1"/>
  <c r="M12" i="111"/>
  <c r="N12" i="111"/>
  <c r="N20" i="111" s="1"/>
  <c r="O12" i="111"/>
  <c r="O20" i="111" s="1"/>
  <c r="H13" i="111"/>
  <c r="I13" i="111"/>
  <c r="K13" i="111"/>
  <c r="K21" i="111" s="1"/>
  <c r="M13" i="111"/>
  <c r="N13" i="111"/>
  <c r="N21" i="111" s="1"/>
  <c r="O13" i="111"/>
  <c r="O21" i="111" s="1"/>
  <c r="H26" i="111"/>
  <c r="H27" i="111" s="1"/>
  <c r="I26" i="111"/>
  <c r="I27" i="111" s="1"/>
  <c r="K26" i="111"/>
  <c r="K27" i="111" s="1"/>
  <c r="M26" i="111"/>
  <c r="N26" i="111"/>
  <c r="N27" i="111" s="1"/>
  <c r="O26" i="111"/>
  <c r="O27" i="111" s="1"/>
  <c r="H28" i="111"/>
  <c r="I28" i="111"/>
  <c r="K28" i="111"/>
  <c r="M28" i="111"/>
  <c r="N28" i="111"/>
  <c r="O28" i="111"/>
  <c r="H29" i="111"/>
  <c r="H30" i="111" s="1"/>
  <c r="I29" i="111"/>
  <c r="I30" i="111" s="1"/>
  <c r="K29" i="111"/>
  <c r="K30" i="111" s="1"/>
  <c r="M29" i="111"/>
  <c r="N29" i="111"/>
  <c r="N30" i="111" s="1"/>
  <c r="O29" i="111"/>
  <c r="O30" i="111" s="1"/>
  <c r="H31" i="111"/>
  <c r="H46" i="111" s="1"/>
  <c r="I31" i="111"/>
  <c r="I46" i="111" s="1"/>
  <c r="K31" i="111"/>
  <c r="K46" i="111" s="1"/>
  <c r="M31" i="111"/>
  <c r="N31" i="111"/>
  <c r="N46" i="111" s="1"/>
  <c r="O31" i="111"/>
  <c r="O46" i="111" s="1"/>
  <c r="H33" i="111"/>
  <c r="H48" i="111" s="1"/>
  <c r="I33" i="111"/>
  <c r="I48" i="111" s="1"/>
  <c r="K33" i="111"/>
  <c r="M33" i="111"/>
  <c r="M48" i="111" s="1"/>
  <c r="N33" i="111"/>
  <c r="O33" i="111"/>
  <c r="H34" i="111"/>
  <c r="H49" i="111" s="1"/>
  <c r="I34" i="111"/>
  <c r="I49" i="111" s="1"/>
  <c r="K34" i="111"/>
  <c r="K49" i="111" s="1"/>
  <c r="M34" i="111"/>
  <c r="N34" i="111"/>
  <c r="N49" i="111" s="1"/>
  <c r="O34" i="111"/>
  <c r="O49" i="111" s="1"/>
  <c r="H51" i="111"/>
  <c r="I51" i="111"/>
  <c r="K51" i="111"/>
  <c r="M51" i="111"/>
  <c r="N51" i="111"/>
  <c r="O51" i="111"/>
  <c r="H52" i="111"/>
  <c r="I52" i="111"/>
  <c r="K52" i="111"/>
  <c r="M52" i="111"/>
  <c r="N52" i="111"/>
  <c r="O52" i="111"/>
  <c r="H53" i="111"/>
  <c r="H85" i="111" s="1"/>
  <c r="I53" i="111"/>
  <c r="I85" i="111" s="1"/>
  <c r="K53" i="111"/>
  <c r="K85" i="111" s="1"/>
  <c r="M53" i="111"/>
  <c r="M85" i="111" s="1"/>
  <c r="N53" i="111"/>
  <c r="N85" i="111" s="1"/>
  <c r="O53" i="111"/>
  <c r="O85" i="111" s="1"/>
  <c r="H54" i="111"/>
  <c r="I54" i="111"/>
  <c r="K54" i="111"/>
  <c r="M54" i="111"/>
  <c r="N54" i="111"/>
  <c r="O54" i="111"/>
  <c r="H55" i="111"/>
  <c r="I55" i="111"/>
  <c r="K55" i="111"/>
  <c r="M55" i="111"/>
  <c r="N55" i="111"/>
  <c r="O55" i="111"/>
  <c r="H56" i="111"/>
  <c r="I56" i="111"/>
  <c r="K56" i="111"/>
  <c r="M56" i="111"/>
  <c r="N56" i="111"/>
  <c r="O56" i="111"/>
  <c r="H57" i="111"/>
  <c r="I57" i="111"/>
  <c r="K57" i="111"/>
  <c r="M57" i="111"/>
  <c r="N57" i="111"/>
  <c r="O57" i="111"/>
  <c r="H58" i="111"/>
  <c r="I58" i="111"/>
  <c r="K58" i="111"/>
  <c r="M58" i="111"/>
  <c r="N58" i="111"/>
  <c r="O58" i="111"/>
  <c r="H59" i="111"/>
  <c r="I59" i="111"/>
  <c r="K59" i="111"/>
  <c r="M59" i="111"/>
  <c r="N59" i="111"/>
  <c r="O59" i="111"/>
  <c r="H60" i="111"/>
  <c r="I60" i="111"/>
  <c r="K60" i="111"/>
  <c r="M60" i="111"/>
  <c r="N60" i="111"/>
  <c r="O60" i="111"/>
  <c r="H61" i="111"/>
  <c r="I61" i="111"/>
  <c r="K61" i="111"/>
  <c r="M61" i="111"/>
  <c r="N61" i="111"/>
  <c r="O61" i="111"/>
  <c r="H62" i="111"/>
  <c r="I62" i="111"/>
  <c r="K62" i="111"/>
  <c r="M62" i="111"/>
  <c r="N62" i="111"/>
  <c r="O62" i="111"/>
  <c r="M66" i="111"/>
  <c r="M70" i="111" s="1"/>
  <c r="O6" i="111"/>
  <c r="O7" i="111" s="1"/>
  <c r="N6" i="111"/>
  <c r="N7" i="111" s="1"/>
  <c r="M6" i="111"/>
  <c r="K6" i="111"/>
  <c r="K7" i="111" s="1"/>
  <c r="I6" i="111"/>
  <c r="I7" i="111" s="1"/>
  <c r="V5" i="9" s="1" a="1"/>
  <c r="V5" i="9" s="1"/>
  <c r="H6" i="111"/>
  <c r="H7" i="111" s="1"/>
  <c r="U5" i="9" s="1" a="1"/>
  <c r="U5" i="9" s="1"/>
  <c r="F69" i="111"/>
  <c r="F68" i="111"/>
  <c r="F66" i="111"/>
  <c r="F65" i="111"/>
  <c r="F64" i="111"/>
  <c r="F63" i="111"/>
  <c r="K39" i="110"/>
  <c r="J39" i="110"/>
  <c r="I39" i="110"/>
  <c r="K38" i="110"/>
  <c r="J38" i="110"/>
  <c r="I38" i="110"/>
  <c r="K37" i="110"/>
  <c r="J37" i="110"/>
  <c r="I37" i="110"/>
  <c r="K36" i="110"/>
  <c r="J36" i="110"/>
  <c r="I36" i="110"/>
  <c r="K35" i="110"/>
  <c r="J35" i="110"/>
  <c r="I35" i="110"/>
  <c r="K34" i="110"/>
  <c r="J34" i="110"/>
  <c r="I34" i="110"/>
  <c r="K33" i="110"/>
  <c r="J33" i="110"/>
  <c r="I33" i="110"/>
  <c r="K32" i="110"/>
  <c r="J32" i="110"/>
  <c r="I32" i="110"/>
  <c r="K31" i="110"/>
  <c r="J31" i="110"/>
  <c r="I31" i="110"/>
  <c r="K30" i="110"/>
  <c r="J30" i="110"/>
  <c r="I30" i="110"/>
  <c r="K29" i="110"/>
  <c r="J29" i="110"/>
  <c r="I29" i="110"/>
  <c r="K28" i="110"/>
  <c r="J28" i="110"/>
  <c r="I28" i="110"/>
  <c r="K27" i="110"/>
  <c r="J27" i="110"/>
  <c r="I27" i="110"/>
  <c r="K26" i="110"/>
  <c r="J26" i="110"/>
  <c r="I26" i="110"/>
  <c r="K25" i="110"/>
  <c r="J25" i="110"/>
  <c r="I25" i="110"/>
  <c r="K24" i="110"/>
  <c r="J24" i="110"/>
  <c r="I24" i="110"/>
  <c r="K23" i="110"/>
  <c r="J23" i="110"/>
  <c r="I23" i="110"/>
  <c r="K22" i="110"/>
  <c r="J22" i="110"/>
  <c r="I22" i="110"/>
  <c r="K21" i="110"/>
  <c r="J21" i="110"/>
  <c r="I21" i="110"/>
  <c r="K20" i="110"/>
  <c r="J20" i="110"/>
  <c r="I20" i="110"/>
  <c r="K19" i="110"/>
  <c r="J19" i="110"/>
  <c r="I19" i="110"/>
  <c r="K18" i="110"/>
  <c r="J18" i="110"/>
  <c r="I18" i="110"/>
  <c r="K17" i="110"/>
  <c r="J17" i="110"/>
  <c r="I17" i="110"/>
  <c r="K16" i="110"/>
  <c r="J16" i="110"/>
  <c r="I16" i="110"/>
  <c r="K15" i="110"/>
  <c r="J15" i="110"/>
  <c r="I15" i="110"/>
  <c r="K14" i="110"/>
  <c r="J14" i="110"/>
  <c r="I14" i="110"/>
  <c r="K13" i="110"/>
  <c r="J13" i="110"/>
  <c r="I13" i="110"/>
  <c r="K12" i="110"/>
  <c r="J12" i="110"/>
  <c r="I12" i="110"/>
  <c r="K11" i="110"/>
  <c r="J11" i="110"/>
  <c r="I11" i="110"/>
  <c r="K10" i="110"/>
  <c r="J10" i="110"/>
  <c r="I10" i="110"/>
  <c r="K9" i="110"/>
  <c r="J9" i="110"/>
  <c r="I9" i="110"/>
  <c r="K8" i="110"/>
  <c r="J8" i="110"/>
  <c r="I8" i="110"/>
  <c r="K7" i="110"/>
  <c r="J7" i="110"/>
  <c r="I7" i="110"/>
  <c r="K6" i="110"/>
  <c r="J6" i="110"/>
  <c r="I6" i="110"/>
  <c r="K5" i="110"/>
  <c r="J5" i="110"/>
  <c r="I5" i="110"/>
  <c r="K4" i="110"/>
  <c r="J4" i="110"/>
  <c r="I4" i="110"/>
  <c r="K51" i="109"/>
  <c r="F51" i="109"/>
  <c r="A51" i="109"/>
  <c r="K50" i="109"/>
  <c r="F50" i="109"/>
  <c r="A50" i="109"/>
  <c r="K49" i="109"/>
  <c r="F49" i="109"/>
  <c r="A49" i="109"/>
  <c r="K48" i="109"/>
  <c r="F48" i="109"/>
  <c r="A48" i="109"/>
  <c r="K47" i="109"/>
  <c r="F47" i="109"/>
  <c r="A47" i="109"/>
  <c r="K46" i="109"/>
  <c r="F46" i="109"/>
  <c r="A46" i="109"/>
  <c r="K45" i="109"/>
  <c r="F45" i="109"/>
  <c r="A45" i="109"/>
  <c r="K44" i="109"/>
  <c r="F44" i="109"/>
  <c r="A44" i="109"/>
  <c r="K43" i="109"/>
  <c r="F43" i="109"/>
  <c r="A43" i="109"/>
  <c r="K42" i="109"/>
  <c r="F42" i="109"/>
  <c r="A42" i="109"/>
  <c r="K41" i="109"/>
  <c r="F41" i="109"/>
  <c r="A41" i="109"/>
  <c r="K40" i="109"/>
  <c r="F40" i="109"/>
  <c r="A40" i="109"/>
  <c r="K39" i="109"/>
  <c r="F39" i="109"/>
  <c r="A39" i="109"/>
  <c r="K38" i="109"/>
  <c r="F38" i="109"/>
  <c r="A38" i="109"/>
  <c r="K37" i="109"/>
  <c r="F37" i="109"/>
  <c r="A37" i="109"/>
  <c r="K36" i="109"/>
  <c r="F36" i="109"/>
  <c r="A36" i="109"/>
  <c r="K35" i="109"/>
  <c r="F35" i="109"/>
  <c r="A35" i="109"/>
  <c r="K34" i="109"/>
  <c r="F34" i="109"/>
  <c r="A34" i="109"/>
  <c r="K33" i="109"/>
  <c r="F33" i="109"/>
  <c r="A33" i="109"/>
  <c r="K32" i="109"/>
  <c r="F32" i="109"/>
  <c r="A32" i="109"/>
  <c r="K31" i="109"/>
  <c r="F31" i="109"/>
  <c r="A31" i="109"/>
  <c r="L178" i="108"/>
  <c r="L177" i="108"/>
  <c r="L176" i="108"/>
  <c r="L175" i="108"/>
  <c r="L174" i="108"/>
  <c r="L173" i="108"/>
  <c r="L172" i="108"/>
  <c r="L171" i="108"/>
  <c r="L170" i="108"/>
  <c r="L169" i="108"/>
  <c r="L168" i="108"/>
  <c r="L167" i="108"/>
  <c r="L166" i="108"/>
  <c r="L165" i="108"/>
  <c r="L164" i="108"/>
  <c r="L163" i="108"/>
  <c r="L162" i="108"/>
  <c r="L161" i="108"/>
  <c r="F154" i="108"/>
  <c r="M150" i="108"/>
  <c r="K150" i="108"/>
  <c r="H150" i="108"/>
  <c r="F150" i="108"/>
  <c r="M149" i="108"/>
  <c r="F149" i="108"/>
  <c r="M148" i="108"/>
  <c r="F148" i="108"/>
  <c r="M147" i="108"/>
  <c r="K147" i="108"/>
  <c r="F147" i="108"/>
  <c r="M146" i="108"/>
  <c r="F146" i="108"/>
  <c r="M145" i="108"/>
  <c r="F145" i="108"/>
  <c r="N144" i="108"/>
  <c r="M144" i="108"/>
  <c r="K144" i="108"/>
  <c r="J144" i="108"/>
  <c r="I144" i="108"/>
  <c r="F144" i="108"/>
  <c r="M143" i="108"/>
  <c r="F143" i="108"/>
  <c r="M142" i="108"/>
  <c r="F142" i="108"/>
  <c r="M141" i="108"/>
  <c r="I141" i="108"/>
  <c r="H141" i="108"/>
  <c r="F141" i="108"/>
  <c r="O140" i="108"/>
  <c r="M140" i="108"/>
  <c r="F140" i="108"/>
  <c r="M139" i="108"/>
  <c r="F139" i="108"/>
  <c r="L128" i="108"/>
  <c r="L127" i="108"/>
  <c r="L126" i="108"/>
  <c r="L125" i="108"/>
  <c r="L124" i="108"/>
  <c r="L123" i="108"/>
  <c r="F119" i="108"/>
  <c r="M118" i="108"/>
  <c r="J118" i="108"/>
  <c r="I118" i="108"/>
  <c r="H118" i="108"/>
  <c r="F118" i="108"/>
  <c r="O117" i="108"/>
  <c r="F117" i="108"/>
  <c r="F116" i="108"/>
  <c r="K115" i="108"/>
  <c r="I115" i="108"/>
  <c r="F115" i="108"/>
  <c r="F114" i="108"/>
  <c r="M105" i="108"/>
  <c r="K105" i="108"/>
  <c r="L101" i="108"/>
  <c r="K101" i="108"/>
  <c r="J101" i="108"/>
  <c r="L100" i="108"/>
  <c r="L99" i="108"/>
  <c r="L98" i="108"/>
  <c r="H98" i="108"/>
  <c r="L97" i="108"/>
  <c r="I97" i="108"/>
  <c r="L96" i="108"/>
  <c r="L94" i="108"/>
  <c r="L93" i="108"/>
  <c r="J93" i="108"/>
  <c r="I93" i="108"/>
  <c r="H93" i="108"/>
  <c r="N92" i="108"/>
  <c r="M92" i="108"/>
  <c r="L92" i="108"/>
  <c r="L91" i="108"/>
  <c r="L90" i="108"/>
  <c r="K90" i="108"/>
  <c r="I90" i="108"/>
  <c r="L89" i="108"/>
  <c r="N87" i="108"/>
  <c r="M87" i="108"/>
  <c r="K87" i="108"/>
  <c r="J87" i="108"/>
  <c r="I87" i="108"/>
  <c r="H87" i="108"/>
  <c r="N86" i="108"/>
  <c r="M86" i="108"/>
  <c r="K86" i="108"/>
  <c r="J86" i="108"/>
  <c r="I86" i="108"/>
  <c r="H86" i="108"/>
  <c r="N85" i="108"/>
  <c r="M85" i="108"/>
  <c r="K85" i="108"/>
  <c r="J85" i="108"/>
  <c r="I85" i="108"/>
  <c r="H85" i="108"/>
  <c r="N84" i="108"/>
  <c r="M84" i="108"/>
  <c r="K84" i="108"/>
  <c r="J84" i="108"/>
  <c r="I84" i="108"/>
  <c r="H84" i="108"/>
  <c r="N83" i="108"/>
  <c r="M83" i="108"/>
  <c r="K83" i="108"/>
  <c r="J83" i="108"/>
  <c r="I83" i="108"/>
  <c r="H83" i="108"/>
  <c r="N82" i="108"/>
  <c r="M82" i="108"/>
  <c r="K82" i="108"/>
  <c r="J82" i="108"/>
  <c r="I82" i="108"/>
  <c r="H82" i="108"/>
  <c r="P78" i="108"/>
  <c r="N78" i="108"/>
  <c r="N108" i="108" s="1"/>
  <c r="M78" i="108"/>
  <c r="K78" i="108"/>
  <c r="J78" i="108"/>
  <c r="I78" i="108"/>
  <c r="H78" i="108"/>
  <c r="P77" i="108"/>
  <c r="N77" i="108"/>
  <c r="M77" i="108"/>
  <c r="K77" i="108"/>
  <c r="J77" i="108"/>
  <c r="I77" i="108"/>
  <c r="H77" i="108"/>
  <c r="P76" i="108"/>
  <c r="K106" i="108" s="1"/>
  <c r="N76" i="108"/>
  <c r="M76" i="108"/>
  <c r="K76" i="108"/>
  <c r="J76" i="108"/>
  <c r="I76" i="108"/>
  <c r="H76" i="108"/>
  <c r="P75" i="108"/>
  <c r="N75" i="108"/>
  <c r="N105" i="108" s="1"/>
  <c r="M75" i="108"/>
  <c r="K75" i="108"/>
  <c r="J75" i="108"/>
  <c r="J105" i="108" s="1"/>
  <c r="I75" i="108"/>
  <c r="I105" i="108" s="1"/>
  <c r="H75" i="108"/>
  <c r="P74" i="108"/>
  <c r="O74" i="108"/>
  <c r="N74" i="108"/>
  <c r="M74" i="108"/>
  <c r="K74" i="108"/>
  <c r="J74" i="108"/>
  <c r="I74" i="108"/>
  <c r="H74" i="108"/>
  <c r="P73" i="108"/>
  <c r="O73" i="108"/>
  <c r="N73" i="108"/>
  <c r="N103" i="108" s="1"/>
  <c r="M73" i="108"/>
  <c r="M103" i="108" s="1"/>
  <c r="K73" i="108"/>
  <c r="K103" i="108" s="1"/>
  <c r="J73" i="108"/>
  <c r="I73" i="108"/>
  <c r="H73" i="108"/>
  <c r="O72" i="108"/>
  <c r="P71" i="108"/>
  <c r="N71" i="108"/>
  <c r="N101" i="108" s="1"/>
  <c r="M71" i="108"/>
  <c r="M101" i="108" s="1"/>
  <c r="K71" i="108"/>
  <c r="J71" i="108"/>
  <c r="I71" i="108"/>
  <c r="I101" i="108" s="1"/>
  <c r="H71" i="108"/>
  <c r="H101" i="108" s="1"/>
  <c r="P70" i="108"/>
  <c r="N70" i="108"/>
  <c r="N100" i="108" s="1"/>
  <c r="M70" i="108"/>
  <c r="M100" i="108" s="1"/>
  <c r="K70" i="108"/>
  <c r="J70" i="108"/>
  <c r="J100" i="108" s="1"/>
  <c r="I70" i="108"/>
  <c r="I100" i="108" s="1"/>
  <c r="H70" i="108"/>
  <c r="H100" i="108" s="1"/>
  <c r="P69" i="108"/>
  <c r="N69" i="108"/>
  <c r="M69" i="108"/>
  <c r="M99" i="108" s="1"/>
  <c r="K69" i="108"/>
  <c r="K99" i="108" s="1"/>
  <c r="J69" i="108"/>
  <c r="I69" i="108"/>
  <c r="I99" i="108" s="1"/>
  <c r="H69" i="108"/>
  <c r="P68" i="108"/>
  <c r="N68" i="108"/>
  <c r="N98" i="108" s="1"/>
  <c r="M68" i="108"/>
  <c r="M98" i="108" s="1"/>
  <c r="K68" i="108"/>
  <c r="K98" i="108" s="1"/>
  <c r="J68" i="108"/>
  <c r="J98" i="108" s="1"/>
  <c r="I68" i="108"/>
  <c r="I98" i="108" s="1"/>
  <c r="H68" i="108"/>
  <c r="P67" i="108"/>
  <c r="N97" i="108" s="1"/>
  <c r="N67" i="108"/>
  <c r="M67" i="108"/>
  <c r="M97" i="108" s="1"/>
  <c r="K67" i="108"/>
  <c r="K97" i="108" s="1"/>
  <c r="J67" i="108"/>
  <c r="J97" i="108" s="1"/>
  <c r="I67" i="108"/>
  <c r="H67" i="108"/>
  <c r="H97" i="108" s="1"/>
  <c r="P66" i="108"/>
  <c r="N96" i="108" s="1"/>
  <c r="N66" i="108"/>
  <c r="M66" i="108"/>
  <c r="M96" i="108" s="1"/>
  <c r="K66" i="108"/>
  <c r="K96" i="108" s="1"/>
  <c r="J66" i="108"/>
  <c r="J96" i="108" s="1"/>
  <c r="I66" i="108"/>
  <c r="H66" i="108"/>
  <c r="P64" i="108"/>
  <c r="N64" i="108"/>
  <c r="N94" i="108" s="1"/>
  <c r="M64" i="108"/>
  <c r="M94" i="108" s="1"/>
  <c r="K64" i="108"/>
  <c r="J64" i="108"/>
  <c r="I64" i="108"/>
  <c r="H64" i="108"/>
  <c r="P63" i="108"/>
  <c r="N63" i="108"/>
  <c r="N93" i="108" s="1"/>
  <c r="M63" i="108"/>
  <c r="M93" i="108" s="1"/>
  <c r="K63" i="108"/>
  <c r="K93" i="108" s="1"/>
  <c r="J63" i="108"/>
  <c r="I63" i="108"/>
  <c r="H63" i="108"/>
  <c r="P62" i="108"/>
  <c r="N62" i="108"/>
  <c r="M62" i="108"/>
  <c r="K62" i="108"/>
  <c r="K92" i="108" s="1"/>
  <c r="J62" i="108"/>
  <c r="J92" i="108" s="1"/>
  <c r="I62" i="108"/>
  <c r="I92" i="108" s="1"/>
  <c r="H62" i="108"/>
  <c r="H92" i="108" s="1"/>
  <c r="P61" i="108"/>
  <c r="N61" i="108"/>
  <c r="M61" i="108"/>
  <c r="M91" i="108" s="1"/>
  <c r="K61" i="108"/>
  <c r="K91" i="108" s="1"/>
  <c r="J61" i="108"/>
  <c r="J91" i="108" s="1"/>
  <c r="I61" i="108"/>
  <c r="H61" i="108"/>
  <c r="P60" i="108"/>
  <c r="N60" i="108"/>
  <c r="N90" i="108" s="1"/>
  <c r="M60" i="108"/>
  <c r="M90" i="108" s="1"/>
  <c r="K60" i="108"/>
  <c r="J60" i="108"/>
  <c r="J90" i="108" s="1"/>
  <c r="I60" i="108"/>
  <c r="H60" i="108"/>
  <c r="H90" i="108" s="1"/>
  <c r="P59" i="108"/>
  <c r="N59" i="108"/>
  <c r="N89" i="108" s="1"/>
  <c r="M59" i="108"/>
  <c r="M89" i="108" s="1"/>
  <c r="K59" i="108"/>
  <c r="K89" i="108" s="1"/>
  <c r="J59" i="108"/>
  <c r="J89" i="108" s="1"/>
  <c r="I59" i="108"/>
  <c r="I89" i="108" s="1"/>
  <c r="H59" i="108"/>
  <c r="H89" i="108" s="1"/>
  <c r="O58" i="108"/>
  <c r="N48" i="108"/>
  <c r="M48" i="108"/>
  <c r="K48" i="108"/>
  <c r="J48" i="108"/>
  <c r="I48" i="108"/>
  <c r="H48" i="108"/>
  <c r="N47" i="108"/>
  <c r="M47" i="108"/>
  <c r="K47" i="108"/>
  <c r="J47" i="108"/>
  <c r="I47" i="108"/>
  <c r="H47" i="108"/>
  <c r="N46" i="108"/>
  <c r="M46" i="108"/>
  <c r="K46" i="108"/>
  <c r="J46" i="108"/>
  <c r="I46" i="108"/>
  <c r="H46" i="108"/>
  <c r="N45" i="108"/>
  <c r="M45" i="108"/>
  <c r="K45" i="108"/>
  <c r="J45" i="108"/>
  <c r="I45" i="108"/>
  <c r="H45" i="108"/>
  <c r="N44" i="108"/>
  <c r="M44" i="108"/>
  <c r="K44" i="108"/>
  <c r="J44" i="108"/>
  <c r="I44" i="108"/>
  <c r="H44" i="108"/>
  <c r="N43" i="108"/>
  <c r="M43" i="108"/>
  <c r="K43" i="108"/>
  <c r="J43" i="108"/>
  <c r="I43" i="108"/>
  <c r="H43" i="108"/>
  <c r="N42" i="108"/>
  <c r="M42" i="108"/>
  <c r="K42" i="108"/>
  <c r="J42" i="108"/>
  <c r="I42" i="108"/>
  <c r="H42" i="108"/>
  <c r="G42" i="108"/>
  <c r="N41" i="108"/>
  <c r="M41" i="108"/>
  <c r="K41" i="108"/>
  <c r="J41" i="108"/>
  <c r="I41" i="108"/>
  <c r="H41" i="108"/>
  <c r="N40" i="108"/>
  <c r="M40" i="108"/>
  <c r="K40" i="108"/>
  <c r="J40" i="108"/>
  <c r="I40" i="108"/>
  <c r="H40" i="108"/>
  <c r="N39" i="108"/>
  <c r="M39" i="108"/>
  <c r="K39" i="108"/>
  <c r="J39" i="108"/>
  <c r="I39" i="108"/>
  <c r="H39" i="108"/>
  <c r="N38" i="108"/>
  <c r="M38" i="108"/>
  <c r="K38" i="108"/>
  <c r="J38" i="108"/>
  <c r="I38" i="108"/>
  <c r="H38" i="108"/>
  <c r="N37" i="108"/>
  <c r="M37" i="108"/>
  <c r="K37" i="108"/>
  <c r="J37" i="108"/>
  <c r="I37" i="108"/>
  <c r="H37" i="108"/>
  <c r="F33" i="108"/>
  <c r="F156" i="108" s="1"/>
  <c r="F32" i="108"/>
  <c r="N32" i="108" s="1"/>
  <c r="P31" i="108"/>
  <c r="O31" i="108"/>
  <c r="G31" i="108" s="1"/>
  <c r="G66" i="111" s="1"/>
  <c r="N31" i="108"/>
  <c r="N52" i="108" s="1"/>
  <c r="F31" i="108"/>
  <c r="M31" i="108" s="1"/>
  <c r="K66" i="111" s="1"/>
  <c r="K70" i="111" s="1"/>
  <c r="I30" i="108"/>
  <c r="I65" i="111" s="1"/>
  <c r="F30" i="108"/>
  <c r="F153" i="108" s="1"/>
  <c r="P29" i="108"/>
  <c r="N29" i="108"/>
  <c r="N50" i="108" s="1"/>
  <c r="M29" i="108"/>
  <c r="L29" i="108"/>
  <c r="K29" i="108"/>
  <c r="O64" i="111" s="1"/>
  <c r="J29" i="108"/>
  <c r="J50" i="108" s="1"/>
  <c r="I29" i="108"/>
  <c r="F29" i="108"/>
  <c r="F152" i="108" s="1"/>
  <c r="F28" i="108"/>
  <c r="M28" i="108" s="1"/>
  <c r="K63" i="111" s="1"/>
  <c r="O27" i="108"/>
  <c r="O150" i="108" s="1"/>
  <c r="P150" i="108" s="1"/>
  <c r="O26" i="108"/>
  <c r="O149" i="108" s="1"/>
  <c r="O25" i="108"/>
  <c r="O148" i="108" s="1"/>
  <c r="O24" i="108"/>
  <c r="G24" i="108" s="1"/>
  <c r="G59" i="111" s="1"/>
  <c r="O23" i="108"/>
  <c r="O146" i="108" s="1"/>
  <c r="G23" i="108"/>
  <c r="G44" i="108" s="1"/>
  <c r="O22" i="108"/>
  <c r="O145" i="108" s="1"/>
  <c r="O21" i="108"/>
  <c r="L56" i="111" s="1"/>
  <c r="G21" i="108"/>
  <c r="G166" i="108" s="1"/>
  <c r="O20" i="108"/>
  <c r="G20" i="108" s="1"/>
  <c r="G55" i="111" s="1"/>
  <c r="O19" i="108"/>
  <c r="L54" i="111" s="1"/>
  <c r="G19" i="108"/>
  <c r="G40" i="108" s="1"/>
  <c r="O18" i="108"/>
  <c r="L53" i="111" s="1"/>
  <c r="L85" i="111" s="1"/>
  <c r="G18" i="108"/>
  <c r="G163" i="108" s="1"/>
  <c r="O17" i="108"/>
  <c r="L52" i="111" s="1"/>
  <c r="G17" i="108"/>
  <c r="G162" i="108" s="1"/>
  <c r="O16" i="108"/>
  <c r="G16" i="108" s="1"/>
  <c r="G51" i="111" s="1"/>
  <c r="O15" i="108"/>
  <c r="O119" i="108" s="1"/>
  <c r="L15" i="108"/>
  <c r="G15" i="108"/>
  <c r="G128" i="108" s="1"/>
  <c r="O14" i="108"/>
  <c r="L33" i="111" s="1"/>
  <c r="L14" i="108"/>
  <c r="O13" i="108"/>
  <c r="L17" i="111" s="1"/>
  <c r="L13" i="108"/>
  <c r="G13" i="108"/>
  <c r="G99" i="108" s="1"/>
  <c r="O12" i="108"/>
  <c r="G12" i="108" s="1"/>
  <c r="L12" i="108"/>
  <c r="O11" i="108"/>
  <c r="L28" i="111" s="1"/>
  <c r="L11" i="108"/>
  <c r="G11" i="108"/>
  <c r="G86" i="108" s="1"/>
  <c r="O10" i="108"/>
  <c r="O76" i="108" s="1"/>
  <c r="L10" i="108"/>
  <c r="G10" i="108"/>
  <c r="G92" i="108" s="1"/>
  <c r="O9" i="108"/>
  <c r="O68" i="108" s="1"/>
  <c r="L9" i="108"/>
  <c r="O8" i="108"/>
  <c r="O67" i="108" s="1"/>
  <c r="L8" i="108"/>
  <c r="O7" i="108"/>
  <c r="L10" i="111" s="1"/>
  <c r="L7" i="108"/>
  <c r="O6" i="108"/>
  <c r="L9" i="111" s="1"/>
  <c r="L6" i="108"/>
  <c r="G6" i="108"/>
  <c r="G9" i="111" s="1"/>
  <c r="T13" i="9" s="1" a="1"/>
  <c r="T13" i="9" s="1"/>
  <c r="O5" i="108"/>
  <c r="L8" i="111" s="1"/>
  <c r="L5" i="108"/>
  <c r="G5" i="108"/>
  <c r="G8" i="111" s="1"/>
  <c r="T9" i="9" s="1" a="1"/>
  <c r="T9" i="9" s="1"/>
  <c r="O4" i="108"/>
  <c r="O114" i="108" s="1"/>
  <c r="L4" i="108"/>
  <c r="B8" i="107"/>
  <c r="N143" i="108" s="1"/>
  <c r="B6" i="107"/>
  <c r="B7" i="107" s="1"/>
  <c r="L11" i="111" l="1"/>
  <c r="L19" i="111" s="1"/>
  <c r="L18" i="111"/>
  <c r="G87" i="108"/>
  <c r="G29" i="111"/>
  <c r="G30" i="111" s="1"/>
  <c r="I21" i="111"/>
  <c r="V61" i="9" s="1" a="1"/>
  <c r="V61" i="9" s="1"/>
  <c r="V81" i="9" a="1"/>
  <c r="V81" i="9" s="1"/>
  <c r="V25" i="9" a="1"/>
  <c r="V25" i="9" s="1"/>
  <c r="H32" i="108"/>
  <c r="H68" i="111" s="1"/>
  <c r="H72" i="111" s="1"/>
  <c r="M107" i="108"/>
  <c r="G27" i="108"/>
  <c r="K94" i="108"/>
  <c r="J99" i="108"/>
  <c r="J103" i="108"/>
  <c r="N107" i="108"/>
  <c r="H115" i="108"/>
  <c r="I20" i="111"/>
  <c r="V57" i="9" s="1" a="1"/>
  <c r="V57" i="9" s="1"/>
  <c r="V77" i="9" a="1"/>
  <c r="V77" i="9" s="1"/>
  <c r="V21" i="9" a="1"/>
  <c r="V21" i="9" s="1"/>
  <c r="O71" i="108"/>
  <c r="L16" i="111"/>
  <c r="H104" i="108"/>
  <c r="H108" i="108"/>
  <c r="L62" i="111"/>
  <c r="L28" i="108"/>
  <c r="I94" i="108"/>
  <c r="N99" i="108"/>
  <c r="J104" i="108"/>
  <c r="I108" i="108"/>
  <c r="J141" i="108"/>
  <c r="F78" i="111"/>
  <c r="F70" i="111"/>
  <c r="O11" i="111"/>
  <c r="O19" i="111" s="1"/>
  <c r="O18" i="111"/>
  <c r="L61" i="111"/>
  <c r="G4" i="108"/>
  <c r="H29" i="108"/>
  <c r="G38" i="108"/>
  <c r="H91" i="108"/>
  <c r="H96" i="108"/>
  <c r="O69" i="108"/>
  <c r="K104" i="108"/>
  <c r="J108" i="108"/>
  <c r="N150" i="108"/>
  <c r="F72" i="111"/>
  <c r="F80" i="111"/>
  <c r="F79" i="111"/>
  <c r="N11" i="111"/>
  <c r="N19" i="111" s="1"/>
  <c r="N18" i="111"/>
  <c r="L60" i="111"/>
  <c r="H20" i="111"/>
  <c r="U57" i="9" s="1" a="1"/>
  <c r="U57" i="9" s="1"/>
  <c r="U77" i="9" a="1"/>
  <c r="U77" i="9" s="1"/>
  <c r="U21" i="9" a="1"/>
  <c r="U21" i="9" s="1"/>
  <c r="I104" i="108"/>
  <c r="G14" i="108"/>
  <c r="I50" i="108"/>
  <c r="I91" i="108"/>
  <c r="I96" i="108"/>
  <c r="M104" i="108"/>
  <c r="K108" i="108"/>
  <c r="N117" i="108"/>
  <c r="F81" i="111"/>
  <c r="F73" i="111"/>
  <c r="J62" i="111"/>
  <c r="J28" i="111"/>
  <c r="L59" i="111"/>
  <c r="N104" i="108"/>
  <c r="M108" i="108"/>
  <c r="K11" i="111"/>
  <c r="K19" i="111" s="1"/>
  <c r="K18" i="111"/>
  <c r="L58" i="111"/>
  <c r="I11" i="111"/>
  <c r="I18" i="111"/>
  <c r="L57" i="111"/>
  <c r="H11" i="111"/>
  <c r="H18" i="111"/>
  <c r="M50" i="108"/>
  <c r="N91" i="108"/>
  <c r="K100" i="108"/>
  <c r="H105" i="108"/>
  <c r="G164" i="108"/>
  <c r="G58" i="111"/>
  <c r="G54" i="111"/>
  <c r="G34" i="111"/>
  <c r="G49" i="111" s="1"/>
  <c r="G28" i="111"/>
  <c r="L55" i="111"/>
  <c r="O66" i="108"/>
  <c r="L6" i="111"/>
  <c r="L7" i="111" s="1"/>
  <c r="G39" i="108"/>
  <c r="G101" i="108"/>
  <c r="J22" i="111"/>
  <c r="W41" i="9" s="1" a="1"/>
  <c r="W41" i="9" s="1"/>
  <c r="J61" i="111"/>
  <c r="K50" i="108"/>
  <c r="G7" i="108"/>
  <c r="H30" i="108"/>
  <c r="H65" i="111" s="1"/>
  <c r="L51" i="111"/>
  <c r="L34" i="111"/>
  <c r="L49" i="111" s="1"/>
  <c r="G125" i="108"/>
  <c r="N64" i="111"/>
  <c r="G53" i="111"/>
  <c r="G85" i="111" s="1"/>
  <c r="W12" i="106" s="1" a="1"/>
  <c r="W12" i="106" s="1"/>
  <c r="G26" i="111"/>
  <c r="G27" i="111" s="1"/>
  <c r="L31" i="111"/>
  <c r="L46" i="111" s="1"/>
  <c r="J30" i="108"/>
  <c r="N65" i="111" s="1"/>
  <c r="G8" i="108"/>
  <c r="K30" i="108"/>
  <c r="O65" i="111" s="1"/>
  <c r="M52" i="108"/>
  <c r="O60" i="108"/>
  <c r="M64" i="111"/>
  <c r="L29" i="111"/>
  <c r="L30" i="111" s="1"/>
  <c r="J64" i="111"/>
  <c r="K64" i="111"/>
  <c r="J60" i="111"/>
  <c r="J13" i="111"/>
  <c r="M21" i="111"/>
  <c r="L26" i="111"/>
  <c r="L27" i="111" s="1"/>
  <c r="G124" i="108"/>
  <c r="J147" i="108"/>
  <c r="I64" i="111"/>
  <c r="L13" i="111"/>
  <c r="L21" i="111" s="1"/>
  <c r="L12" i="111"/>
  <c r="L20" i="111" s="1"/>
  <c r="I32" i="108"/>
  <c r="I68" i="111" s="1"/>
  <c r="I72" i="111" s="1"/>
  <c r="H107" i="108"/>
  <c r="O147" i="108"/>
  <c r="G56" i="111"/>
  <c r="G52" i="111"/>
  <c r="G31" i="111"/>
  <c r="G46" i="111" s="1"/>
  <c r="K32" i="108"/>
  <c r="O68" i="111" s="1"/>
  <c r="O72" i="111" s="1"/>
  <c r="I107" i="108"/>
  <c r="J107" i="108"/>
  <c r="M114" i="108"/>
  <c r="H21" i="111"/>
  <c r="U61" i="9" s="1" a="1"/>
  <c r="U61" i="9" s="1"/>
  <c r="U81" i="9" a="1"/>
  <c r="U81" i="9" s="1"/>
  <c r="U25" i="9" a="1"/>
  <c r="U25" i="9" s="1"/>
  <c r="O70" i="108"/>
  <c r="L14" i="111"/>
  <c r="L15" i="111" s="1"/>
  <c r="G26" i="108"/>
  <c r="H99" i="108"/>
  <c r="K107" i="108"/>
  <c r="N114" i="108"/>
  <c r="N140" i="108"/>
  <c r="J59" i="111"/>
  <c r="J55" i="111"/>
  <c r="J51" i="111"/>
  <c r="J12" i="111"/>
  <c r="M20" i="111"/>
  <c r="L66" i="111"/>
  <c r="L70" i="111" s="1"/>
  <c r="J9" i="111"/>
  <c r="W13" i="9" s="1" a="1"/>
  <c r="W13" i="9" s="1"/>
  <c r="J25" i="111"/>
  <c r="J8" i="111"/>
  <c r="W9" i="9" s="1" a="1"/>
  <c r="W9" i="9" s="1"/>
  <c r="J24" i="111"/>
  <c r="P72" i="85" a="1"/>
  <c r="P72" i="85" s="1"/>
  <c r="P83" i="85" a="1"/>
  <c r="P83" i="85" s="1"/>
  <c r="O72" i="85" a="1"/>
  <c r="O72" i="85" s="1"/>
  <c r="O83" i="85" a="1"/>
  <c r="O83" i="85" s="1"/>
  <c r="K67" i="111"/>
  <c r="G67" i="111"/>
  <c r="G78" i="111" s="1"/>
  <c r="J68" i="111"/>
  <c r="P51" i="85" a="1"/>
  <c r="P51" i="85" s="1"/>
  <c r="P62" i="85" a="1"/>
  <c r="P62" i="85" s="1"/>
  <c r="O51" i="85" a="1"/>
  <c r="O51" i="85" s="1"/>
  <c r="O62" i="85" a="1"/>
  <c r="O62" i="85" s="1"/>
  <c r="L67" i="111"/>
  <c r="L78" i="111"/>
  <c r="S33" i="86" a="1"/>
  <c r="S33" i="86" s="1"/>
  <c r="S17" i="86" a="1"/>
  <c r="S17" i="86" s="1"/>
  <c r="S24" i="86" a="1"/>
  <c r="S24" i="86" s="1"/>
  <c r="S9" i="86" a="1"/>
  <c r="S9" i="86" s="1"/>
  <c r="R33" i="86" a="1"/>
  <c r="R33" i="86" s="1"/>
  <c r="R17" i="86" a="1"/>
  <c r="R17" i="86" s="1"/>
  <c r="R24" i="86" a="1"/>
  <c r="R24" i="86" s="1"/>
  <c r="R9" i="86" a="1"/>
  <c r="R9" i="86" s="1"/>
  <c r="M35" i="111"/>
  <c r="M50" i="111" s="1"/>
  <c r="M49" i="111"/>
  <c r="Q33" i="86" a="1"/>
  <c r="Q33" i="86" s="1"/>
  <c r="Q17" i="86" a="1"/>
  <c r="Q17" i="86" s="1"/>
  <c r="Q24" i="86" a="1"/>
  <c r="Q24" i="86" s="1"/>
  <c r="Q9" i="86" a="1"/>
  <c r="Q9" i="86" s="1"/>
  <c r="J145" i="111"/>
  <c r="T33" i="86" a="1"/>
  <c r="T33" i="86" s="1"/>
  <c r="T17" i="86" a="1"/>
  <c r="T17" i="86" s="1"/>
  <c r="T24" i="86" a="1"/>
  <c r="T24" i="86" s="1"/>
  <c r="T9" i="86" a="1"/>
  <c r="T9" i="86" s="1"/>
  <c r="J144" i="111"/>
  <c r="T6" i="86" a="1"/>
  <c r="T6" i="86" s="1"/>
  <c r="T30" i="86" a="1"/>
  <c r="T30" i="86" s="1"/>
  <c r="T15" i="86" a="1"/>
  <c r="T15" i="86" s="1"/>
  <c r="T21" i="86" a="1"/>
  <c r="T21" i="86" s="1"/>
  <c r="O38" i="111"/>
  <c r="O48" i="111"/>
  <c r="S21" i="86" a="1"/>
  <c r="S21" i="86" s="1"/>
  <c r="S6" i="86" a="1"/>
  <c r="S6" i="86" s="1"/>
  <c r="S30" i="86" a="1"/>
  <c r="S30" i="86" s="1"/>
  <c r="S15" i="86" a="1"/>
  <c r="S15" i="86" s="1"/>
  <c r="N38" i="111"/>
  <c r="N48" i="111"/>
  <c r="R21" i="86" a="1"/>
  <c r="R21" i="86" s="1"/>
  <c r="R6" i="86" a="1"/>
  <c r="R6" i="86" s="1"/>
  <c r="R30" i="86" a="1"/>
  <c r="R30" i="86" s="1"/>
  <c r="R15" i="86" a="1"/>
  <c r="R15" i="86" s="1"/>
  <c r="Q21" i="86" a="1"/>
  <c r="Q21" i="86" s="1"/>
  <c r="Q6" i="86" a="1"/>
  <c r="Q6" i="86" s="1"/>
  <c r="Q30" i="86" a="1"/>
  <c r="Q30" i="86" s="1"/>
  <c r="Q15" i="86" a="1"/>
  <c r="Q15" i="86" s="1"/>
  <c r="K38" i="111"/>
  <c r="K48" i="111"/>
  <c r="L38" i="111"/>
  <c r="L48" i="111"/>
  <c r="J146" i="111"/>
  <c r="T19" i="86" a="1"/>
  <c r="T19" i="86" s="1"/>
  <c r="T36" i="86" a="1"/>
  <c r="T36" i="86" s="1"/>
  <c r="T12" i="86" a="1"/>
  <c r="T12" i="86" s="1"/>
  <c r="T27" i="86" a="1"/>
  <c r="T27" i="86" s="1"/>
  <c r="M36" i="111"/>
  <c r="M46" i="111"/>
  <c r="S19" i="86" a="1"/>
  <c r="S19" i="86" s="1"/>
  <c r="S36" i="86" a="1"/>
  <c r="S36" i="86" s="1"/>
  <c r="S12" i="86" a="1"/>
  <c r="S12" i="86" s="1"/>
  <c r="S27" i="86" a="1"/>
  <c r="S27" i="86" s="1"/>
  <c r="R19" i="86" a="1"/>
  <c r="R19" i="86" s="1"/>
  <c r="R36" i="86" a="1"/>
  <c r="R36" i="86" s="1"/>
  <c r="R12" i="86" a="1"/>
  <c r="R12" i="86" s="1"/>
  <c r="R27" i="86" a="1"/>
  <c r="R27" i="86" s="1"/>
  <c r="Q19" i="86" a="1"/>
  <c r="Q19" i="86" s="1"/>
  <c r="Q36" i="86" a="1"/>
  <c r="Q36" i="86" s="1"/>
  <c r="Q27" i="86" a="1"/>
  <c r="Q27" i="86" s="1"/>
  <c r="Q12" i="86" a="1"/>
  <c r="Q12" i="86" s="1"/>
  <c r="Y36" i="105" a="1"/>
  <c r="Y36" i="105" s="1"/>
  <c r="Y40" i="105" a="1"/>
  <c r="Y40" i="105" s="1"/>
  <c r="X36" i="105" a="1"/>
  <c r="X36" i="105" s="1"/>
  <c r="X40" i="105" a="1"/>
  <c r="X40" i="105" s="1"/>
  <c r="W36" i="105" a="1"/>
  <c r="W36" i="105" s="1"/>
  <c r="W40" i="105" a="1"/>
  <c r="W40" i="105" s="1"/>
  <c r="I38" i="111"/>
  <c r="Y34" i="105" a="1"/>
  <c r="Y34" i="105" s="1"/>
  <c r="Y38" i="105" a="1"/>
  <c r="Y38" i="105" s="1"/>
  <c r="H38" i="111"/>
  <c r="X34" i="105" a="1"/>
  <c r="X34" i="105" s="1"/>
  <c r="X38" i="105" a="1"/>
  <c r="X38" i="105" s="1"/>
  <c r="J29" i="111"/>
  <c r="J30" i="111" s="1"/>
  <c r="M30" i="111"/>
  <c r="O39" i="111"/>
  <c r="O40" i="111" s="1"/>
  <c r="O35" i="111"/>
  <c r="O50" i="111" s="1"/>
  <c r="N39" i="111"/>
  <c r="N40" i="111" s="1"/>
  <c r="N35" i="111"/>
  <c r="N50" i="111" s="1"/>
  <c r="K39" i="111"/>
  <c r="K40" i="111" s="1"/>
  <c r="K35" i="111"/>
  <c r="K50" i="111" s="1"/>
  <c r="I39" i="111"/>
  <c r="I40" i="111" s="1"/>
  <c r="I35" i="111"/>
  <c r="I50" i="111" s="1"/>
  <c r="H39" i="111"/>
  <c r="H40" i="111" s="1"/>
  <c r="H35" i="111"/>
  <c r="H50" i="111" s="1"/>
  <c r="G39" i="111"/>
  <c r="G40" i="111" s="1"/>
  <c r="G35" i="111"/>
  <c r="G50" i="111" s="1"/>
  <c r="L39" i="111"/>
  <c r="L40" i="111" s="1"/>
  <c r="L35" i="111"/>
  <c r="L50" i="111" s="1"/>
  <c r="G32" i="111"/>
  <c r="G36" i="111"/>
  <c r="J34" i="111"/>
  <c r="M39" i="111"/>
  <c r="J33" i="111"/>
  <c r="M38" i="111"/>
  <c r="L32" i="111"/>
  <c r="L36" i="111"/>
  <c r="O32" i="111"/>
  <c r="O36" i="111"/>
  <c r="K32" i="111"/>
  <c r="K36" i="111"/>
  <c r="I32" i="111"/>
  <c r="I36" i="111"/>
  <c r="N32" i="111"/>
  <c r="N36" i="111"/>
  <c r="H32" i="111"/>
  <c r="H36" i="111"/>
  <c r="M90" i="111"/>
  <c r="M100" i="111" s="1"/>
  <c r="I90" i="111"/>
  <c r="I100" i="111" s="1"/>
  <c r="Y12" i="105" a="1"/>
  <c r="Y12" i="105" s="1"/>
  <c r="Y8" i="105" a="1"/>
  <c r="Y8" i="105" s="1"/>
  <c r="Y22" i="105" a="1"/>
  <c r="Y22" i="105" s="1"/>
  <c r="Y16" i="105" a="1"/>
  <c r="Y16" i="105" s="1"/>
  <c r="H90" i="111"/>
  <c r="H100" i="111" s="1"/>
  <c r="X12" i="105" a="1"/>
  <c r="X12" i="105" s="1"/>
  <c r="X8" i="105" a="1"/>
  <c r="X8" i="105" s="1"/>
  <c r="X22" i="105" a="1"/>
  <c r="X22" i="105" s="1"/>
  <c r="W12" i="105" a="1"/>
  <c r="W12" i="105" s="1"/>
  <c r="G100" i="111"/>
  <c r="W45" i="106" s="1" a="1"/>
  <c r="W45" i="106" s="1"/>
  <c r="W22" i="105" a="1"/>
  <c r="W22" i="105" s="1"/>
  <c r="W8" i="105" a="1"/>
  <c r="W8" i="105" s="1"/>
  <c r="J104" i="111"/>
  <c r="O86" i="111"/>
  <c r="O90" i="111"/>
  <c r="O100" i="111" s="1"/>
  <c r="N86" i="111"/>
  <c r="N90" i="111"/>
  <c r="N100" i="111" s="1"/>
  <c r="L86" i="111"/>
  <c r="L90" i="111"/>
  <c r="L100" i="111" s="1"/>
  <c r="K86" i="111"/>
  <c r="K90" i="111"/>
  <c r="K100" i="111" s="1"/>
  <c r="J58" i="111"/>
  <c r="J57" i="111"/>
  <c r="J95" i="111"/>
  <c r="M86" i="111"/>
  <c r="Y117" i="106" a="1"/>
  <c r="Y117" i="106" s="1"/>
  <c r="I86" i="111"/>
  <c r="Y123" i="106" a="1"/>
  <c r="Y123" i="106" s="1"/>
  <c r="X117" i="106" a="1"/>
  <c r="X117" i="106" s="1"/>
  <c r="H86" i="111"/>
  <c r="X123" i="106" a="1"/>
  <c r="X123" i="106" s="1"/>
  <c r="W117" i="106" a="1"/>
  <c r="W117" i="106" s="1"/>
  <c r="G86" i="111"/>
  <c r="G101" i="111" s="1"/>
  <c r="W123" i="106" a="1"/>
  <c r="W123" i="106" s="1"/>
  <c r="J56" i="111"/>
  <c r="J54" i="111"/>
  <c r="Y63" i="106" a="1"/>
  <c r="Y63" i="106" s="1"/>
  <c r="Y57" i="106" a="1"/>
  <c r="Y57" i="106" s="1"/>
  <c r="Y72" i="106" a="1"/>
  <c r="Y72" i="106" s="1"/>
  <c r="Y21" i="106" a="1"/>
  <c r="Y21" i="106" s="1"/>
  <c r="Y81" i="106" a="1"/>
  <c r="Y81" i="106" s="1"/>
  <c r="Y12" i="106" a="1"/>
  <c r="Y12" i="106" s="1"/>
  <c r="X63" i="106" a="1"/>
  <c r="X63" i="106" s="1"/>
  <c r="X12" i="106" a="1"/>
  <c r="X12" i="106" s="1"/>
  <c r="X57" i="106" a="1"/>
  <c r="X57" i="106" s="1"/>
  <c r="X72" i="106" a="1"/>
  <c r="X72" i="106" s="1"/>
  <c r="X21" i="106" a="1"/>
  <c r="X21" i="106" s="1"/>
  <c r="X81" i="106" a="1"/>
  <c r="X81" i="106" s="1"/>
  <c r="W63" i="106" a="1"/>
  <c r="W63" i="106" s="1"/>
  <c r="W57" i="106" a="1"/>
  <c r="W57" i="106" s="1"/>
  <c r="W72" i="106" a="1"/>
  <c r="W72" i="106" s="1"/>
  <c r="W21" i="106" a="1"/>
  <c r="W21" i="106" s="1"/>
  <c r="W81" i="106" a="1"/>
  <c r="W81" i="106" s="1"/>
  <c r="J6" i="111"/>
  <c r="J7" i="111" s="1"/>
  <c r="W5" i="9" s="1" a="1"/>
  <c r="W5" i="9" s="1"/>
  <c r="M7" i="111"/>
  <c r="J10" i="111"/>
  <c r="M11" i="111"/>
  <c r="M19" i="111" s="1"/>
  <c r="J26" i="111"/>
  <c r="J27" i="111" s="1"/>
  <c r="M27" i="111"/>
  <c r="J31" i="111"/>
  <c r="M32" i="111"/>
  <c r="J66" i="111"/>
  <c r="M67" i="111"/>
  <c r="O110" i="111"/>
  <c r="O109" i="111"/>
  <c r="N110" i="111"/>
  <c r="N109" i="111"/>
  <c r="J110" i="111"/>
  <c r="J109" i="111"/>
  <c r="AE50" i="100" s="1" a="1"/>
  <c r="AE50" i="100" s="1"/>
  <c r="K110" i="111"/>
  <c r="K109" i="111"/>
  <c r="I110" i="111"/>
  <c r="I109" i="111"/>
  <c r="AD50" i="100" s="1" a="1"/>
  <c r="AD50" i="100" s="1"/>
  <c r="H110" i="111"/>
  <c r="H109" i="111"/>
  <c r="AC50" i="100" s="1" a="1"/>
  <c r="AC50" i="100" s="1"/>
  <c r="G110" i="111"/>
  <c r="G109" i="111"/>
  <c r="AB50" i="100" s="1" a="1"/>
  <c r="AB50" i="100" s="1"/>
  <c r="J130" i="111"/>
  <c r="I130" i="111"/>
  <c r="H130" i="111"/>
  <c r="G130" i="111"/>
  <c r="AC30" i="100" a="1"/>
  <c r="AC30" i="100" s="1"/>
  <c r="AC18" i="100" a="1"/>
  <c r="AC18" i="100" s="1"/>
  <c r="AC26" i="100" a="1"/>
  <c r="AC26" i="100" s="1"/>
  <c r="AC34" i="100" a="1"/>
  <c r="AC34" i="100" s="1"/>
  <c r="AC22" i="100" a="1"/>
  <c r="AC22" i="100" s="1"/>
  <c r="AC35" i="100" a="1"/>
  <c r="AC35" i="100" s="1"/>
  <c r="AB30" i="100" a="1"/>
  <c r="AB30" i="100" s="1"/>
  <c r="AB18" i="100" a="1"/>
  <c r="AB18" i="100" s="1"/>
  <c r="AB26" i="100" a="1"/>
  <c r="AB26" i="100" s="1"/>
  <c r="AB34" i="100" a="1"/>
  <c r="AB34" i="100" s="1"/>
  <c r="AB22" i="100" a="1"/>
  <c r="AB22" i="100" s="1"/>
  <c r="AB35" i="100" a="1"/>
  <c r="AB35" i="100" s="1"/>
  <c r="AD30" i="100" a="1"/>
  <c r="AD30" i="100" s="1"/>
  <c r="AD18" i="100" a="1"/>
  <c r="AD18" i="100" s="1"/>
  <c r="AD26" i="100" a="1"/>
  <c r="AD26" i="100" s="1"/>
  <c r="AD34" i="100" a="1"/>
  <c r="AD34" i="100" s="1"/>
  <c r="AD22" i="100" a="1"/>
  <c r="AD22" i="100" s="1"/>
  <c r="AD35" i="100" a="1"/>
  <c r="AD35" i="100" s="1"/>
  <c r="AE6" i="100" a="1"/>
  <c r="AE6" i="100" s="1"/>
  <c r="AE12" i="100" a="1"/>
  <c r="AE12" i="100" s="1"/>
  <c r="AE8" i="100" a="1"/>
  <c r="AE8" i="100" s="1"/>
  <c r="AE10" i="100" a="1"/>
  <c r="AE10" i="100" s="1"/>
  <c r="AD6" i="100" a="1"/>
  <c r="AD6" i="100" s="1"/>
  <c r="AD12" i="100" a="1"/>
  <c r="AD12" i="100" s="1"/>
  <c r="AD8" i="100" a="1"/>
  <c r="AD8" i="100" s="1"/>
  <c r="AD10" i="100" a="1"/>
  <c r="AD10" i="100" s="1"/>
  <c r="AC6" i="100" a="1"/>
  <c r="AC6" i="100" s="1"/>
  <c r="AC12" i="100" a="1"/>
  <c r="AC12" i="100" s="1"/>
  <c r="AC8" i="100" a="1"/>
  <c r="AC8" i="100" s="1"/>
  <c r="AC10" i="100" a="1"/>
  <c r="AC10" i="100" s="1"/>
  <c r="AB12" i="100" a="1"/>
  <c r="AB12" i="100" s="1"/>
  <c r="AB6" i="100" a="1"/>
  <c r="AB6" i="100" s="1"/>
  <c r="AB8" i="100" a="1"/>
  <c r="AB8" i="100" s="1"/>
  <c r="AB10" i="100" a="1"/>
  <c r="AB10" i="100" s="1"/>
  <c r="AE11" i="100" a="1"/>
  <c r="AE11" i="100" s="1"/>
  <c r="AE48" i="100" a="1"/>
  <c r="AE48" i="100" s="1"/>
  <c r="AE36" i="100" a="1"/>
  <c r="AE36" i="100" s="1"/>
  <c r="AE42" i="100" a="1"/>
  <c r="AE42" i="100" s="1"/>
  <c r="AE24" i="100" a="1"/>
  <c r="AE24" i="100" s="1"/>
  <c r="AE37" i="100" a="1"/>
  <c r="AE37" i="100" s="1"/>
  <c r="AE43" i="100" a="1"/>
  <c r="AE43" i="100" s="1"/>
  <c r="AE44" i="100" a="1"/>
  <c r="AE44" i="100" s="1"/>
  <c r="AE7" i="100" a="1"/>
  <c r="AE7" i="100" s="1"/>
  <c r="AE13" i="100" a="1"/>
  <c r="AE13" i="100" s="1"/>
  <c r="AE49" i="100" a="1"/>
  <c r="AE49" i="100" s="1"/>
  <c r="AE32" i="100" a="1"/>
  <c r="AE32" i="100" s="1"/>
  <c r="AE38" i="100" a="1"/>
  <c r="AE38" i="100" s="1"/>
  <c r="AE20" i="100" a="1"/>
  <c r="AE20" i="100" s="1"/>
  <c r="AE39" i="100" a="1"/>
  <c r="AE39" i="100" s="1"/>
  <c r="AE45" i="100" a="1"/>
  <c r="AE45" i="100" s="1"/>
  <c r="AE9" i="100" a="1"/>
  <c r="AE9" i="100" s="1"/>
  <c r="AE40" i="100" a="1"/>
  <c r="AE40" i="100" s="1"/>
  <c r="AE46" i="100" a="1"/>
  <c r="AE46" i="100" s="1"/>
  <c r="AE47" i="100" a="1"/>
  <c r="AE47" i="100" s="1"/>
  <c r="AE28" i="100" a="1"/>
  <c r="AE28" i="100" s="1"/>
  <c r="AE41" i="100" a="1"/>
  <c r="AE41" i="100" s="1"/>
  <c r="AD11" i="100" a="1"/>
  <c r="AD11" i="100" s="1"/>
  <c r="AD48" i="100" a="1"/>
  <c r="AD48" i="100" s="1"/>
  <c r="AD36" i="100" a="1"/>
  <c r="AD36" i="100" s="1"/>
  <c r="AD42" i="100" a="1"/>
  <c r="AD42" i="100" s="1"/>
  <c r="AD24" i="100" a="1"/>
  <c r="AD24" i="100" s="1"/>
  <c r="AD37" i="100" a="1"/>
  <c r="AD37" i="100" s="1"/>
  <c r="AD43" i="100" a="1"/>
  <c r="AD43" i="100" s="1"/>
  <c r="AD49" i="100" a="1"/>
  <c r="AD49" i="100" s="1"/>
  <c r="AD32" i="100" a="1"/>
  <c r="AD32" i="100" s="1"/>
  <c r="AD7" i="100" a="1"/>
  <c r="AD7" i="100" s="1"/>
  <c r="AD13" i="100" a="1"/>
  <c r="AD13" i="100" s="1"/>
  <c r="AD44" i="100" a="1"/>
  <c r="AD44" i="100" s="1"/>
  <c r="AD38" i="100" a="1"/>
  <c r="AD38" i="100" s="1"/>
  <c r="AD20" i="100" a="1"/>
  <c r="AD20" i="100" s="1"/>
  <c r="AD39" i="100" a="1"/>
  <c r="AD39" i="100" s="1"/>
  <c r="AD45" i="100" a="1"/>
  <c r="AD45" i="100" s="1"/>
  <c r="AD9" i="100" a="1"/>
  <c r="AD9" i="100" s="1"/>
  <c r="AD40" i="100" a="1"/>
  <c r="AD40" i="100" s="1"/>
  <c r="AD46" i="100" a="1"/>
  <c r="AD46" i="100" s="1"/>
  <c r="AD28" i="100" a="1"/>
  <c r="AD28" i="100" s="1"/>
  <c r="AD41" i="100" a="1"/>
  <c r="AD41" i="100" s="1"/>
  <c r="AD47" i="100" a="1"/>
  <c r="AD47" i="100" s="1"/>
  <c r="AC36" i="100" a="1"/>
  <c r="AC36" i="100" s="1"/>
  <c r="AC42" i="100" a="1"/>
  <c r="AC42" i="100" s="1"/>
  <c r="AC24" i="100" a="1"/>
  <c r="AC24" i="100" s="1"/>
  <c r="AC37" i="100" a="1"/>
  <c r="AC37" i="100" s="1"/>
  <c r="AC43" i="100" a="1"/>
  <c r="AC43" i="100" s="1"/>
  <c r="AC49" i="100" a="1"/>
  <c r="AC49" i="100" s="1"/>
  <c r="AC7" i="100" a="1"/>
  <c r="AC7" i="100" s="1"/>
  <c r="AC13" i="100" a="1"/>
  <c r="AC13" i="100" s="1"/>
  <c r="AC45" i="100" a="1"/>
  <c r="AC45" i="100" s="1"/>
  <c r="AC44" i="100" a="1"/>
  <c r="AC44" i="100" s="1"/>
  <c r="AC38" i="100" a="1"/>
  <c r="AC38" i="100" s="1"/>
  <c r="AC46" i="100" a="1"/>
  <c r="AC46" i="100" s="1"/>
  <c r="AC32" i="100" a="1"/>
  <c r="AC32" i="100" s="1"/>
  <c r="AC20" i="100" a="1"/>
  <c r="AC20" i="100" s="1"/>
  <c r="AC39" i="100" a="1"/>
  <c r="AC39" i="100" s="1"/>
  <c r="AC9" i="100" a="1"/>
  <c r="AC9" i="100" s="1"/>
  <c r="AC40" i="100" a="1"/>
  <c r="AC40" i="100" s="1"/>
  <c r="AC28" i="100" a="1"/>
  <c r="AC28" i="100" s="1"/>
  <c r="AC41" i="100" a="1"/>
  <c r="AC41" i="100" s="1"/>
  <c r="AC47" i="100" a="1"/>
  <c r="AC47" i="100" s="1"/>
  <c r="AC48" i="100" a="1"/>
  <c r="AC48" i="100" s="1"/>
  <c r="AC11" i="100" a="1"/>
  <c r="AC11" i="100" s="1"/>
  <c r="AB36" i="100" a="1"/>
  <c r="AB36" i="100" s="1"/>
  <c r="AB42" i="100" a="1"/>
  <c r="AB42" i="100" s="1"/>
  <c r="AB24" i="100" a="1"/>
  <c r="AB24" i="100" s="1"/>
  <c r="AB37" i="100" a="1"/>
  <c r="AB37" i="100" s="1"/>
  <c r="AB43" i="100" a="1"/>
  <c r="AB43" i="100" s="1"/>
  <c r="AB49" i="100" a="1"/>
  <c r="AB49" i="100" s="1"/>
  <c r="AB7" i="100" a="1"/>
  <c r="AB7" i="100" s="1"/>
  <c r="AB13" i="100" a="1"/>
  <c r="AB13" i="100" s="1"/>
  <c r="AB38" i="100" a="1"/>
  <c r="AB38" i="100" s="1"/>
  <c r="AB44" i="100" a="1"/>
  <c r="AB44" i="100" s="1"/>
  <c r="AB45" i="100" a="1"/>
  <c r="AB45" i="100" s="1"/>
  <c r="AB32" i="100" a="1"/>
  <c r="AB32" i="100" s="1"/>
  <c r="AB20" i="100" a="1"/>
  <c r="AB20" i="100" s="1"/>
  <c r="AB39" i="100" a="1"/>
  <c r="AB39" i="100" s="1"/>
  <c r="AB9" i="100" a="1"/>
  <c r="AB9" i="100" s="1"/>
  <c r="AB40" i="100" a="1"/>
  <c r="AB40" i="100" s="1"/>
  <c r="AB46" i="100" a="1"/>
  <c r="AB46" i="100" s="1"/>
  <c r="AB28" i="100" a="1"/>
  <c r="AB28" i="100" s="1"/>
  <c r="AB41" i="100" a="1"/>
  <c r="AB41" i="100" s="1"/>
  <c r="AB47" i="100" a="1"/>
  <c r="AB47" i="100" s="1"/>
  <c r="AB48" i="100" a="1"/>
  <c r="AB48" i="100" s="1"/>
  <c r="AB11" i="100" a="1"/>
  <c r="AB11" i="100" s="1"/>
  <c r="AE30" i="100" a="1"/>
  <c r="AE30" i="100" s="1"/>
  <c r="AE18" i="100" a="1"/>
  <c r="AE18" i="100" s="1"/>
  <c r="AE26" i="100" a="1"/>
  <c r="AE26" i="100" s="1"/>
  <c r="AE34" i="100" a="1"/>
  <c r="AE34" i="100" s="1"/>
  <c r="AE22" i="100" a="1"/>
  <c r="AE22" i="100" s="1"/>
  <c r="AE35" i="100" a="1"/>
  <c r="AE35" i="100" s="1"/>
  <c r="Y138" i="101" a="1"/>
  <c r="Y138" i="101" s="1"/>
  <c r="AB27" i="103" a="1"/>
  <c r="AB27" i="103" s="1"/>
  <c r="Y32" i="101" a="1"/>
  <c r="Y32" i="101" s="1"/>
  <c r="Y38" i="101" a="1"/>
  <c r="Y38" i="101" s="1"/>
  <c r="Y61" i="101" a="1"/>
  <c r="Y61" i="101" s="1"/>
  <c r="Y74" i="101" a="1"/>
  <c r="Y74" i="101" s="1"/>
  <c r="Y102" i="101" a="1"/>
  <c r="Y102" i="101" s="1"/>
  <c r="AB38" i="103" a="1"/>
  <c r="AB38" i="103" s="1"/>
  <c r="Y118" i="101" a="1"/>
  <c r="Y118" i="101" s="1"/>
  <c r="Y152" i="101" a="1"/>
  <c r="Y152" i="101" s="1"/>
  <c r="Y11" i="101" a="1"/>
  <c r="Y11" i="101" s="1"/>
  <c r="AB28" i="103" a="1"/>
  <c r="AB28" i="103" s="1"/>
  <c r="Y132" i="101" a="1"/>
  <c r="Y132" i="101" s="1"/>
  <c r="AB18" i="103" a="1"/>
  <c r="AB18" i="103" s="1"/>
  <c r="Y33" i="101" a="1"/>
  <c r="Y33" i="101" s="1"/>
  <c r="Y39" i="101" a="1"/>
  <c r="Y39" i="101" s="1"/>
  <c r="Y62" i="101" a="1"/>
  <c r="Y62" i="101" s="1"/>
  <c r="Y90" i="101" a="1"/>
  <c r="Y90" i="101" s="1"/>
  <c r="Y19" i="101" a="1"/>
  <c r="Y19" i="101" s="1"/>
  <c r="Y112" i="101" a="1"/>
  <c r="Y112" i="101" s="1"/>
  <c r="Y146" i="101" a="1"/>
  <c r="Y146" i="101" s="1"/>
  <c r="Y27" i="101" a="1"/>
  <c r="Y27" i="101" s="1"/>
  <c r="AB21" i="103" a="1"/>
  <c r="AB21" i="103" s="1"/>
  <c r="Y51" i="101" a="1"/>
  <c r="Y51" i="101" s="1"/>
  <c r="AB29" i="103" a="1"/>
  <c r="AB29" i="103" s="1"/>
  <c r="Y78" i="101" a="1"/>
  <c r="Y78" i="101" s="1"/>
  <c r="Y106" i="101" a="1"/>
  <c r="Y106" i="101" s="1"/>
  <c r="Y140" i="101" a="1"/>
  <c r="Y140" i="101" s="1"/>
  <c r="AB42" i="103" a="1"/>
  <c r="AB42" i="103" s="1"/>
  <c r="Y30" i="101" a="1"/>
  <c r="Y30" i="101" s="1"/>
  <c r="Y13" i="101" a="1"/>
  <c r="Y13" i="101" s="1"/>
  <c r="AB30" i="103" a="1"/>
  <c r="AB30" i="103" s="1"/>
  <c r="Y52" i="101" a="1"/>
  <c r="Y52" i="101" s="1"/>
  <c r="Y120" i="101" a="1"/>
  <c r="Y120" i="101" s="1"/>
  <c r="AB19" i="103" a="1"/>
  <c r="AB19" i="103" s="1"/>
  <c r="Y34" i="101" a="1"/>
  <c r="Y34" i="101" s="1"/>
  <c r="Y134" i="101" a="1"/>
  <c r="Y134" i="101" s="1"/>
  <c r="Y53" i="101" a="1"/>
  <c r="Y53" i="101" s="1"/>
  <c r="Y66" i="101" a="1"/>
  <c r="Y66" i="101" s="1"/>
  <c r="Y94" i="101" a="1"/>
  <c r="Y94" i="101" s="1"/>
  <c r="Y54" i="101" a="1"/>
  <c r="Y54" i="101" s="1"/>
  <c r="Y114" i="101" a="1"/>
  <c r="Y114" i="101" s="1"/>
  <c r="Y148" i="101" a="1"/>
  <c r="Y148" i="101" s="1"/>
  <c r="Y29" i="101" a="1"/>
  <c r="Y29" i="101" s="1"/>
  <c r="Y35" i="101" a="1"/>
  <c r="Y35" i="101" s="1"/>
  <c r="Y21" i="101" a="1"/>
  <c r="Y21" i="101" s="1"/>
  <c r="AB20" i="103" a="1"/>
  <c r="AB20" i="103" s="1"/>
  <c r="Y7" i="101" a="1"/>
  <c r="Y7" i="101" s="1"/>
  <c r="Y55" i="101" a="1"/>
  <c r="Y55" i="101" s="1"/>
  <c r="Y82" i="101" a="1"/>
  <c r="Y82" i="101" s="1"/>
  <c r="Y108" i="101" a="1"/>
  <c r="Y108" i="101" s="1"/>
  <c r="Y142" i="101" a="1"/>
  <c r="Y142" i="101" s="1"/>
  <c r="Y23" i="101" a="1"/>
  <c r="Y23" i="101" s="1"/>
  <c r="Y36" i="101" a="1"/>
  <c r="Y36" i="101" s="1"/>
  <c r="Y56" i="101" a="1"/>
  <c r="Y56" i="101" s="1"/>
  <c r="Y15" i="101" a="1"/>
  <c r="Y15" i="101" s="1"/>
  <c r="Y70" i="101" a="1"/>
  <c r="Y70" i="101" s="1"/>
  <c r="Y136" i="101" a="1"/>
  <c r="Y136" i="101" s="1"/>
  <c r="Y57" i="101" a="1"/>
  <c r="Y57" i="101" s="1"/>
  <c r="Y98" i="101" a="1"/>
  <c r="Y98" i="101" s="1"/>
  <c r="AB34" i="103" a="1"/>
  <c r="AB34" i="103" s="1"/>
  <c r="Y17" i="101" a="1"/>
  <c r="Y17" i="101" s="1"/>
  <c r="Y116" i="101" a="1"/>
  <c r="Y116" i="101" s="1"/>
  <c r="Y150" i="101" a="1"/>
  <c r="Y150" i="101" s="1"/>
  <c r="Y9" i="101" a="1"/>
  <c r="Y9" i="101" s="1"/>
  <c r="Y130" i="101" a="1"/>
  <c r="Y130" i="101" s="1"/>
  <c r="Y37" i="101" a="1"/>
  <c r="Y37" i="101" s="1"/>
  <c r="Y58" i="101" a="1"/>
  <c r="Y58" i="101" s="1"/>
  <c r="AB26" i="103" a="1"/>
  <c r="AB26" i="103" s="1"/>
  <c r="Y60" i="101" a="1"/>
  <c r="Y60" i="101" s="1"/>
  <c r="Y31" i="101" a="1"/>
  <c r="Y31" i="101" s="1"/>
  <c r="Y59" i="101" a="1"/>
  <c r="Y59" i="101" s="1"/>
  <c r="Y86" i="101" a="1"/>
  <c r="Y86" i="101" s="1"/>
  <c r="Y110" i="101" a="1"/>
  <c r="Y110" i="101" s="1"/>
  <c r="Y144" i="101" a="1"/>
  <c r="Y144" i="101" s="1"/>
  <c r="Y25" i="101" a="1"/>
  <c r="Y25" i="101" s="1"/>
  <c r="AB17" i="103" a="1"/>
  <c r="AB17" i="103" s="1"/>
  <c r="AB15" i="103" a="1"/>
  <c r="AB15" i="103" s="1"/>
  <c r="AB16" i="103" a="1"/>
  <c r="AB16" i="103" s="1"/>
  <c r="X32" i="101" a="1"/>
  <c r="X32" i="101" s="1"/>
  <c r="X38" i="101" a="1"/>
  <c r="X38" i="101" s="1"/>
  <c r="X61" i="101" a="1"/>
  <c r="X61" i="101" s="1"/>
  <c r="X74" i="101" a="1"/>
  <c r="X74" i="101" s="1"/>
  <c r="X102" i="101" a="1"/>
  <c r="X102" i="101" s="1"/>
  <c r="AA38" i="103" a="1"/>
  <c r="AA38" i="103" s="1"/>
  <c r="X118" i="101" a="1"/>
  <c r="X118" i="101" s="1"/>
  <c r="X152" i="101" a="1"/>
  <c r="X152" i="101" s="1"/>
  <c r="X132" i="101" a="1"/>
  <c r="X132" i="101" s="1"/>
  <c r="X11" i="101" a="1"/>
  <c r="X11" i="101" s="1"/>
  <c r="X62" i="101" a="1"/>
  <c r="X62" i="101" s="1"/>
  <c r="AA28" i="103" a="1"/>
  <c r="AA28" i="103" s="1"/>
  <c r="AA18" i="103" a="1"/>
  <c r="AA18" i="103" s="1"/>
  <c r="X33" i="101" a="1"/>
  <c r="X33" i="101" s="1"/>
  <c r="X39" i="101" a="1"/>
  <c r="X39" i="101" s="1"/>
  <c r="X90" i="101" a="1"/>
  <c r="X90" i="101" s="1"/>
  <c r="X146" i="101" a="1"/>
  <c r="X146" i="101" s="1"/>
  <c r="X112" i="101" a="1"/>
  <c r="X112" i="101" s="1"/>
  <c r="X27" i="101" a="1"/>
  <c r="X27" i="101" s="1"/>
  <c r="X19" i="101" a="1"/>
  <c r="X19" i="101" s="1"/>
  <c r="AA29" i="103" a="1"/>
  <c r="AA29" i="103" s="1"/>
  <c r="X51" i="101" a="1"/>
  <c r="X51" i="101" s="1"/>
  <c r="X78" i="101" a="1"/>
  <c r="X78" i="101" s="1"/>
  <c r="X106" i="101" a="1"/>
  <c r="X106" i="101" s="1"/>
  <c r="X140" i="101" a="1"/>
  <c r="X140" i="101" s="1"/>
  <c r="AA42" i="103" a="1"/>
  <c r="AA42" i="103" s="1"/>
  <c r="X34" i="101" a="1"/>
  <c r="X34" i="101" s="1"/>
  <c r="X52" i="101" a="1"/>
  <c r="X52" i="101" s="1"/>
  <c r="X120" i="101" a="1"/>
  <c r="X120" i="101" s="1"/>
  <c r="X30" i="101" a="1"/>
  <c r="X30" i="101" s="1"/>
  <c r="AA19" i="103" a="1"/>
  <c r="AA19" i="103" s="1"/>
  <c r="X134" i="101" a="1"/>
  <c r="X134" i="101" s="1"/>
  <c r="X13" i="101" a="1"/>
  <c r="X13" i="101" s="1"/>
  <c r="AA30" i="103" a="1"/>
  <c r="AA30" i="103" s="1"/>
  <c r="AA20" i="103" a="1"/>
  <c r="AA20" i="103" s="1"/>
  <c r="X53" i="101" a="1"/>
  <c r="X53" i="101" s="1"/>
  <c r="X66" i="101" a="1"/>
  <c r="X66" i="101" s="1"/>
  <c r="X21" i="101" a="1"/>
  <c r="X21" i="101" s="1"/>
  <c r="X94" i="101" a="1"/>
  <c r="X94" i="101" s="1"/>
  <c r="X54" i="101" a="1"/>
  <c r="X54" i="101" s="1"/>
  <c r="X114" i="101" a="1"/>
  <c r="X114" i="101" s="1"/>
  <c r="X148" i="101" a="1"/>
  <c r="X148" i="101" s="1"/>
  <c r="X29" i="101" a="1"/>
  <c r="X29" i="101" s="1"/>
  <c r="X7" i="101" a="1"/>
  <c r="X7" i="101" s="1"/>
  <c r="X35" i="101" a="1"/>
  <c r="X35" i="101" s="1"/>
  <c r="X55" i="101" a="1"/>
  <c r="X55" i="101" s="1"/>
  <c r="X82" i="101" a="1"/>
  <c r="X82" i="101" s="1"/>
  <c r="X108" i="101" a="1"/>
  <c r="X108" i="101" s="1"/>
  <c r="X142" i="101" a="1"/>
  <c r="X142" i="101" s="1"/>
  <c r="X23" i="101" a="1"/>
  <c r="X23" i="101" s="1"/>
  <c r="X15" i="101" a="1"/>
  <c r="X15" i="101" s="1"/>
  <c r="AA21" i="103" a="1"/>
  <c r="AA21" i="103" s="1"/>
  <c r="AA34" i="103" a="1"/>
  <c r="AA34" i="103" s="1"/>
  <c r="X36" i="101" a="1"/>
  <c r="X36" i="101" s="1"/>
  <c r="X56" i="101" a="1"/>
  <c r="X56" i="101" s="1"/>
  <c r="X70" i="101" a="1"/>
  <c r="X70" i="101" s="1"/>
  <c r="X136" i="101" a="1"/>
  <c r="X136" i="101" s="1"/>
  <c r="X57" i="101" a="1"/>
  <c r="X57" i="101" s="1"/>
  <c r="X98" i="101" a="1"/>
  <c r="X98" i="101" s="1"/>
  <c r="X116" i="101" a="1"/>
  <c r="X116" i="101" s="1"/>
  <c r="X150" i="101" a="1"/>
  <c r="X150" i="101" s="1"/>
  <c r="X9" i="101" a="1"/>
  <c r="X9" i="101" s="1"/>
  <c r="AA26" i="103" a="1"/>
  <c r="AA26" i="103" s="1"/>
  <c r="X25" i="101" a="1"/>
  <c r="X25" i="101" s="1"/>
  <c r="X37" i="101" a="1"/>
  <c r="X37" i="101" s="1"/>
  <c r="X58" i="101" a="1"/>
  <c r="X58" i="101" s="1"/>
  <c r="X130" i="101" a="1"/>
  <c r="X130" i="101" s="1"/>
  <c r="X138" i="101" a="1"/>
  <c r="X138" i="101" s="1"/>
  <c r="X60" i="101" a="1"/>
  <c r="X60" i="101" s="1"/>
  <c r="X17" i="101" a="1"/>
  <c r="X17" i="101" s="1"/>
  <c r="X31" i="101" a="1"/>
  <c r="X31" i="101" s="1"/>
  <c r="X59" i="101" a="1"/>
  <c r="X59" i="101" s="1"/>
  <c r="X86" i="101" a="1"/>
  <c r="X86" i="101" s="1"/>
  <c r="X110" i="101" a="1"/>
  <c r="X110" i="101" s="1"/>
  <c r="X144" i="101" a="1"/>
  <c r="X144" i="101" s="1"/>
  <c r="AA27" i="103" a="1"/>
  <c r="AA27" i="103" s="1"/>
  <c r="AA17" i="103" a="1"/>
  <c r="AA17" i="103" s="1"/>
  <c r="AA15" i="103" a="1"/>
  <c r="AA15" i="103" s="1"/>
  <c r="AA16" i="103" a="1"/>
  <c r="AA16" i="103" s="1"/>
  <c r="W51" i="101" a="1"/>
  <c r="W51" i="101" s="1"/>
  <c r="W118" i="101" a="1"/>
  <c r="W118" i="101" s="1"/>
  <c r="W152" i="101" a="1"/>
  <c r="W152" i="101" s="1"/>
  <c r="W11" i="101" a="1"/>
  <c r="W11" i="101" s="1"/>
  <c r="W52" i="101" a="1"/>
  <c r="W52" i="101" s="1"/>
  <c r="W132" i="101" a="1"/>
  <c r="W132" i="101" s="1"/>
  <c r="W53" i="101" a="1"/>
  <c r="W53" i="101" s="1"/>
  <c r="W62" i="101" a="1"/>
  <c r="W62" i="101" s="1"/>
  <c r="Z28" i="103" a="1"/>
  <c r="Z28" i="103" s="1"/>
  <c r="W146" i="101" a="1"/>
  <c r="W146" i="101" s="1"/>
  <c r="Z18" i="103" a="1"/>
  <c r="Z18" i="103" s="1"/>
  <c r="Z29" i="103" a="1"/>
  <c r="Z29" i="103" s="1"/>
  <c r="Z42" i="103" a="1"/>
  <c r="Z42" i="103" s="1"/>
  <c r="W54" i="101" a="1"/>
  <c r="W54" i="101" s="1"/>
  <c r="W33" i="101" a="1"/>
  <c r="W33" i="101" s="1"/>
  <c r="W39" i="101" a="1"/>
  <c r="W39" i="101" s="1"/>
  <c r="W90" i="101" a="1"/>
  <c r="W90" i="101" s="1"/>
  <c r="W55" i="101" a="1"/>
  <c r="W55" i="101" s="1"/>
  <c r="W112" i="101" a="1"/>
  <c r="W112" i="101" s="1"/>
  <c r="W27" i="101" a="1"/>
  <c r="W27" i="101" s="1"/>
  <c r="W56" i="101" a="1"/>
  <c r="W56" i="101" s="1"/>
  <c r="W19" i="101" a="1"/>
  <c r="W19" i="101" s="1"/>
  <c r="W57" i="101" a="1"/>
  <c r="W57" i="101" s="1"/>
  <c r="W58" i="101" a="1"/>
  <c r="W58" i="101" s="1"/>
  <c r="W34" i="101" a="1"/>
  <c r="W34" i="101" s="1"/>
  <c r="W78" i="101" a="1"/>
  <c r="W78" i="101" s="1"/>
  <c r="W106" i="101" a="1"/>
  <c r="W106" i="101" s="1"/>
  <c r="W140" i="101" a="1"/>
  <c r="W140" i="101" s="1"/>
  <c r="Z19" i="103" a="1"/>
  <c r="Z19" i="103" s="1"/>
  <c r="W59" i="101" a="1"/>
  <c r="W59" i="101" s="1"/>
  <c r="W120" i="101" a="1"/>
  <c r="W120" i="101" s="1"/>
  <c r="W30" i="101" a="1"/>
  <c r="W30" i="101" s="1"/>
  <c r="W60" i="101" a="1"/>
  <c r="W60" i="101" s="1"/>
  <c r="W134" i="101" a="1"/>
  <c r="W134" i="101" s="1"/>
  <c r="W13" i="101" a="1"/>
  <c r="W13" i="101" s="1"/>
  <c r="Z30" i="103" a="1"/>
  <c r="Z30" i="103" s="1"/>
  <c r="W21" i="101" a="1"/>
  <c r="W21" i="101" s="1"/>
  <c r="W61" i="101" a="1"/>
  <c r="W61" i="101" s="1"/>
  <c r="W66" i="101" a="1"/>
  <c r="W66" i="101" s="1"/>
  <c r="W29" i="101" a="1"/>
  <c r="W29" i="101" s="1"/>
  <c r="Z20" i="103" a="1"/>
  <c r="Z20" i="103" s="1"/>
  <c r="W94" i="101" a="1"/>
  <c r="W94" i="101" s="1"/>
  <c r="W114" i="101" a="1"/>
  <c r="W114" i="101" s="1"/>
  <c r="W148" i="101" a="1"/>
  <c r="W148" i="101" s="1"/>
  <c r="W35" i="101" a="1"/>
  <c r="W35" i="101" s="1"/>
  <c r="W82" i="101" a="1"/>
  <c r="W82" i="101" s="1"/>
  <c r="W108" i="101" a="1"/>
  <c r="W108" i="101" s="1"/>
  <c r="W142" i="101" a="1"/>
  <c r="W142" i="101" s="1"/>
  <c r="W23" i="101" a="1"/>
  <c r="W23" i="101" s="1"/>
  <c r="Z21" i="103" a="1"/>
  <c r="Z21" i="103" s="1"/>
  <c r="W36" i="101" a="1"/>
  <c r="W36" i="101" s="1"/>
  <c r="W15" i="101" a="1"/>
  <c r="W15" i="101" s="1"/>
  <c r="W70" i="101" a="1"/>
  <c r="W70" i="101" s="1"/>
  <c r="W136" i="101" a="1"/>
  <c r="W136" i="101" s="1"/>
  <c r="Z34" i="103" a="1"/>
  <c r="Z34" i="103" s="1"/>
  <c r="W98" i="101" a="1"/>
  <c r="W98" i="101" s="1"/>
  <c r="W116" i="101" a="1"/>
  <c r="W116" i="101" s="1"/>
  <c r="W150" i="101" a="1"/>
  <c r="W150" i="101" s="1"/>
  <c r="W9" i="101" a="1"/>
  <c r="W9" i="101" s="1"/>
  <c r="W7" i="101" a="1"/>
  <c r="W7" i="101" s="1"/>
  <c r="W37" i="101" a="1"/>
  <c r="W37" i="101" s="1"/>
  <c r="W130" i="101" a="1"/>
  <c r="W130" i="101" s="1"/>
  <c r="Z26" i="103" a="1"/>
  <c r="Z26" i="103" s="1"/>
  <c r="W144" i="101" a="1"/>
  <c r="W144" i="101" s="1"/>
  <c r="W17" i="101" a="1"/>
  <c r="W17" i="101" s="1"/>
  <c r="W138" i="101" a="1"/>
  <c r="W138" i="101" s="1"/>
  <c r="W38" i="101" a="1"/>
  <c r="W38" i="101" s="1"/>
  <c r="W102" i="101" a="1"/>
  <c r="W102" i="101" s="1"/>
  <c r="Z38" i="103" a="1"/>
  <c r="Z38" i="103" s="1"/>
  <c r="W25" i="101" a="1"/>
  <c r="W25" i="101" s="1"/>
  <c r="Z27" i="103" a="1"/>
  <c r="Z27" i="103" s="1"/>
  <c r="W74" i="101" a="1"/>
  <c r="W74" i="101" s="1"/>
  <c r="W31" i="101" a="1"/>
  <c r="W31" i="101" s="1"/>
  <c r="W86" i="101" a="1"/>
  <c r="W86" i="101" s="1"/>
  <c r="W110" i="101" a="1"/>
  <c r="W110" i="101" s="1"/>
  <c r="W32" i="101" a="1"/>
  <c r="W32" i="101" s="1"/>
  <c r="Z15" i="103" a="1"/>
  <c r="Z15" i="103" s="1"/>
  <c r="Z16" i="103" a="1"/>
  <c r="Z16" i="103" s="1"/>
  <c r="Z17" i="103" a="1"/>
  <c r="Z17" i="103" s="1"/>
  <c r="AC11" i="103" a="1"/>
  <c r="AC11" i="103" s="1"/>
  <c r="AC13" i="103" a="1"/>
  <c r="AC13" i="103" s="1"/>
  <c r="AC9" i="103" a="1"/>
  <c r="AC9" i="103" s="1"/>
  <c r="AC7" i="103" a="1"/>
  <c r="AC7" i="103" s="1"/>
  <c r="AB11" i="103" a="1"/>
  <c r="AB11" i="103" s="1"/>
  <c r="AB13" i="103" a="1"/>
  <c r="AB13" i="103" s="1"/>
  <c r="AB7" i="103" a="1"/>
  <c r="AB7" i="103" s="1"/>
  <c r="AB9" i="103" a="1"/>
  <c r="AB9" i="103" s="1"/>
  <c r="AA11" i="103" a="1"/>
  <c r="AA11" i="103" s="1"/>
  <c r="AA13" i="103" a="1"/>
  <c r="AA13" i="103" s="1"/>
  <c r="AA9" i="103" a="1"/>
  <c r="AA9" i="103" s="1"/>
  <c r="AA7" i="103" a="1"/>
  <c r="AA7" i="103" s="1"/>
  <c r="Z11" i="103" a="1"/>
  <c r="Z11" i="103" s="1"/>
  <c r="Z13" i="103" a="1"/>
  <c r="Z13" i="103" s="1"/>
  <c r="Z9" i="103" a="1"/>
  <c r="Z9" i="103" s="1"/>
  <c r="Z7" i="103" a="1"/>
  <c r="Z7" i="103" s="1"/>
  <c r="Z131" i="101" a="1"/>
  <c r="Z131" i="101" s="1"/>
  <c r="AC10" i="103" a="1"/>
  <c r="AC10" i="103" s="1"/>
  <c r="Z88" i="101" a="1"/>
  <c r="Z88" i="101" s="1"/>
  <c r="Z145" i="101" a="1"/>
  <c r="Z145" i="101" s="1"/>
  <c r="AC52" i="103" a="1"/>
  <c r="AC52" i="103" s="1"/>
  <c r="AC54" i="103" a="1"/>
  <c r="AC54" i="103" s="1"/>
  <c r="AC57" i="103" a="1"/>
  <c r="AC57" i="103" s="1"/>
  <c r="Z111" i="101" a="1"/>
  <c r="Z111" i="101" s="1"/>
  <c r="Z125" i="101" a="1"/>
  <c r="Z125" i="101" s="1"/>
  <c r="Z26" i="101" a="1"/>
  <c r="Z26" i="101" s="1"/>
  <c r="AC46" i="103" a="1"/>
  <c r="AC46" i="103" s="1"/>
  <c r="Z18" i="101" a="1"/>
  <c r="Z18" i="101" s="1"/>
  <c r="AC40" i="103" a="1"/>
  <c r="AC40" i="103" s="1"/>
  <c r="Z76" i="101" a="1"/>
  <c r="Z76" i="101" s="1"/>
  <c r="Z104" i="101" a="1"/>
  <c r="Z104" i="101" s="1"/>
  <c r="Z139" i="101" a="1"/>
  <c r="Z139" i="101" s="1"/>
  <c r="Z119" i="101" a="1"/>
  <c r="Z119" i="101" s="1"/>
  <c r="Z126" i="101" a="1"/>
  <c r="Z126" i="101" s="1"/>
  <c r="Z153" i="101" a="1"/>
  <c r="Z153" i="101" s="1"/>
  <c r="Z133" i="101" a="1"/>
  <c r="Z133" i="101" s="1"/>
  <c r="Z12" i="101" a="1"/>
  <c r="Z12" i="101" s="1"/>
  <c r="Z64" i="101" a="1"/>
  <c r="Z64" i="101" s="1"/>
  <c r="AC12" i="103" a="1"/>
  <c r="AC12" i="103" s="1"/>
  <c r="AC55" i="103" a="1"/>
  <c r="AC55" i="103" s="1"/>
  <c r="Z147" i="101" a="1"/>
  <c r="Z147" i="101" s="1"/>
  <c r="Z20" i="101" a="1"/>
  <c r="Z20" i="101" s="1"/>
  <c r="AC44" i="103" a="1"/>
  <c r="AC44" i="103" s="1"/>
  <c r="Z92" i="101" a="1"/>
  <c r="Z92" i="101" s="1"/>
  <c r="Z28" i="101" a="1"/>
  <c r="Z28" i="101" s="1"/>
  <c r="Z113" i="101" a="1"/>
  <c r="Z113" i="101" s="1"/>
  <c r="Z127" i="101" a="1"/>
  <c r="Z127" i="101" s="1"/>
  <c r="AC56" i="103" a="1"/>
  <c r="AC56" i="103" s="1"/>
  <c r="Z80" i="101" a="1"/>
  <c r="Z80" i="101" s="1"/>
  <c r="Z107" i="101" a="1"/>
  <c r="Z107" i="101" s="1"/>
  <c r="Z141" i="101" a="1"/>
  <c r="Z141" i="101" s="1"/>
  <c r="Z121" i="101" a="1"/>
  <c r="Z121" i="101" s="1"/>
  <c r="Z128" i="101" a="1"/>
  <c r="Z128" i="101" s="1"/>
  <c r="Z22" i="101" a="1"/>
  <c r="Z22" i="101" s="1"/>
  <c r="Z135" i="101" a="1"/>
  <c r="Z135" i="101" s="1"/>
  <c r="Z14" i="101" a="1"/>
  <c r="Z14" i="101" s="1"/>
  <c r="AC32" i="103" a="1"/>
  <c r="AC32" i="103" s="1"/>
  <c r="Z68" i="101" a="1"/>
  <c r="Z68" i="101" s="1"/>
  <c r="Z96" i="101" a="1"/>
  <c r="Z96" i="101" s="1"/>
  <c r="AC14" i="103" a="1"/>
  <c r="AC14" i="103" s="1"/>
  <c r="Z115" i="101" a="1"/>
  <c r="Z115" i="101" s="1"/>
  <c r="Z122" i="101" a="1"/>
  <c r="Z122" i="101" s="1"/>
  <c r="Z149" i="101" a="1"/>
  <c r="Z149" i="101" s="1"/>
  <c r="Z8" i="101" a="1"/>
  <c r="Z8" i="101" s="1"/>
  <c r="Z129" i="101" a="1"/>
  <c r="Z129" i="101" s="1"/>
  <c r="AC8" i="103" a="1"/>
  <c r="AC8" i="103" s="1"/>
  <c r="Z24" i="101" a="1"/>
  <c r="Z24" i="101" s="1"/>
  <c r="AC36" i="103" a="1"/>
  <c r="AC36" i="103" s="1"/>
  <c r="Z84" i="101" a="1"/>
  <c r="Z84" i="101" s="1"/>
  <c r="Z109" i="101" a="1"/>
  <c r="Z109" i="101" s="1"/>
  <c r="Z143" i="101" a="1"/>
  <c r="Z143" i="101" s="1"/>
  <c r="AC48" i="103" a="1"/>
  <c r="AC48" i="103" s="1"/>
  <c r="Z16" i="101" a="1"/>
  <c r="Z16" i="101" s="1"/>
  <c r="Z100" i="101" a="1"/>
  <c r="Z100" i="101" s="1"/>
  <c r="Z123" i="101" a="1"/>
  <c r="Z123" i="101" s="1"/>
  <c r="Z117" i="101" a="1"/>
  <c r="Z117" i="101" s="1"/>
  <c r="Z151" i="101" a="1"/>
  <c r="Z151" i="101" s="1"/>
  <c r="Z72" i="101" a="1"/>
  <c r="Z72" i="101" s="1"/>
  <c r="Z137" i="101" a="1"/>
  <c r="Z137" i="101" s="1"/>
  <c r="AC50" i="103" a="1"/>
  <c r="AC50" i="103" s="1"/>
  <c r="Z124" i="101" a="1"/>
  <c r="Z124" i="101" s="1"/>
  <c r="Z10" i="101" a="1"/>
  <c r="Z10" i="101" s="1"/>
  <c r="Y88" i="101" a="1"/>
  <c r="Y88" i="101" s="1"/>
  <c r="Y145" i="101" a="1"/>
  <c r="Y145" i="101" s="1"/>
  <c r="AB52" i="103" a="1"/>
  <c r="AB52" i="103" s="1"/>
  <c r="Y111" i="101" a="1"/>
  <c r="Y111" i="101" s="1"/>
  <c r="Y125" i="101" a="1"/>
  <c r="Y125" i="101" s="1"/>
  <c r="Y26" i="101" a="1"/>
  <c r="Y26" i="101" s="1"/>
  <c r="Y18" i="101" a="1"/>
  <c r="Y18" i="101" s="1"/>
  <c r="AB54" i="103" a="1"/>
  <c r="AB54" i="103" s="1"/>
  <c r="AB40" i="103" a="1"/>
  <c r="AB40" i="103" s="1"/>
  <c r="Y76" i="101" a="1"/>
  <c r="Y76" i="101" s="1"/>
  <c r="Y104" i="101" a="1"/>
  <c r="Y104" i="101" s="1"/>
  <c r="Y139" i="101" a="1"/>
  <c r="Y139" i="101" s="1"/>
  <c r="Y119" i="101" a="1"/>
  <c r="Y119" i="101" s="1"/>
  <c r="Y126" i="101" a="1"/>
  <c r="Y126" i="101" s="1"/>
  <c r="Y153" i="101" a="1"/>
  <c r="Y153" i="101" s="1"/>
  <c r="Y133" i="101" a="1"/>
  <c r="Y133" i="101" s="1"/>
  <c r="Y12" i="101" a="1"/>
  <c r="Y12" i="101" s="1"/>
  <c r="Y64" i="101" a="1"/>
  <c r="Y64" i="101" s="1"/>
  <c r="Y92" i="101" a="1"/>
  <c r="Y92" i="101" s="1"/>
  <c r="AB12" i="103" a="1"/>
  <c r="AB12" i="103" s="1"/>
  <c r="AB55" i="103" a="1"/>
  <c r="AB55" i="103" s="1"/>
  <c r="Y28" i="101" a="1"/>
  <c r="Y28" i="101" s="1"/>
  <c r="Y113" i="101" a="1"/>
  <c r="Y113" i="101" s="1"/>
  <c r="Y127" i="101" a="1"/>
  <c r="Y127" i="101" s="1"/>
  <c r="Y147" i="101" a="1"/>
  <c r="Y147" i="101" s="1"/>
  <c r="Y20" i="101" a="1"/>
  <c r="Y20" i="101" s="1"/>
  <c r="AB56" i="103" a="1"/>
  <c r="AB56" i="103" s="1"/>
  <c r="Y80" i="101" a="1"/>
  <c r="Y80" i="101" s="1"/>
  <c r="Y107" i="101" a="1"/>
  <c r="Y107" i="101" s="1"/>
  <c r="Y141" i="101" a="1"/>
  <c r="Y141" i="101" s="1"/>
  <c r="AB44" i="103" a="1"/>
  <c r="AB44" i="103" s="1"/>
  <c r="Y121" i="101" a="1"/>
  <c r="Y121" i="101" s="1"/>
  <c r="Y128" i="101" a="1"/>
  <c r="Y128" i="101" s="1"/>
  <c r="Y22" i="101" a="1"/>
  <c r="Y22" i="101" s="1"/>
  <c r="Y135" i="101" a="1"/>
  <c r="Y135" i="101" s="1"/>
  <c r="Y14" i="101" a="1"/>
  <c r="Y14" i="101" s="1"/>
  <c r="Y68" i="101" a="1"/>
  <c r="Y68" i="101" s="1"/>
  <c r="AB46" i="103" a="1"/>
  <c r="AB46" i="103" s="1"/>
  <c r="AB57" i="103" a="1"/>
  <c r="AB57" i="103" s="1"/>
  <c r="Y96" i="101" a="1"/>
  <c r="Y96" i="101" s="1"/>
  <c r="AB14" i="103" a="1"/>
  <c r="AB14" i="103" s="1"/>
  <c r="AB32" i="103" a="1"/>
  <c r="AB32" i="103" s="1"/>
  <c r="Y115" i="101" a="1"/>
  <c r="Y115" i="101" s="1"/>
  <c r="Y122" i="101" a="1"/>
  <c r="Y122" i="101" s="1"/>
  <c r="Y149" i="101" a="1"/>
  <c r="Y149" i="101" s="1"/>
  <c r="Y8" i="101" a="1"/>
  <c r="Y8" i="101" s="1"/>
  <c r="Y129" i="101" a="1"/>
  <c r="Y129" i="101" s="1"/>
  <c r="Y84" i="101" a="1"/>
  <c r="Y84" i="101" s="1"/>
  <c r="Y109" i="101" a="1"/>
  <c r="Y109" i="101" s="1"/>
  <c r="Y143" i="101" a="1"/>
  <c r="Y143" i="101" s="1"/>
  <c r="AB48" i="103" a="1"/>
  <c r="AB48" i="103" s="1"/>
  <c r="AB8" i="103" a="1"/>
  <c r="AB8" i="103" s="1"/>
  <c r="Y16" i="101" a="1"/>
  <c r="Y16" i="101" s="1"/>
  <c r="AB36" i="103" a="1"/>
  <c r="AB36" i="103" s="1"/>
  <c r="Y10" i="101" a="1"/>
  <c r="Y10" i="101" s="1"/>
  <c r="Y131" i="101" a="1"/>
  <c r="Y131" i="101" s="1"/>
  <c r="Y123" i="101" a="1"/>
  <c r="Y123" i="101" s="1"/>
  <c r="Y24" i="101" a="1"/>
  <c r="Y24" i="101" s="1"/>
  <c r="Y124" i="101" a="1"/>
  <c r="Y124" i="101" s="1"/>
  <c r="Y151" i="101" a="1"/>
  <c r="Y151" i="101" s="1"/>
  <c r="AB10" i="103" a="1"/>
  <c r="AB10" i="103" s="1"/>
  <c r="Y72" i="101" a="1"/>
  <c r="Y72" i="101" s="1"/>
  <c r="Y137" i="101" a="1"/>
  <c r="Y137" i="101" s="1"/>
  <c r="Y100" i="101" a="1"/>
  <c r="Y100" i="101" s="1"/>
  <c r="AB50" i="103" a="1"/>
  <c r="AB50" i="103" s="1"/>
  <c r="Y117" i="101" a="1"/>
  <c r="Y117" i="101" s="1"/>
  <c r="X88" i="101" a="1"/>
  <c r="X88" i="101" s="1"/>
  <c r="X111" i="101" a="1"/>
  <c r="X111" i="101" s="1"/>
  <c r="X145" i="101" a="1"/>
  <c r="X145" i="101" s="1"/>
  <c r="X125" i="101" a="1"/>
  <c r="X125" i="101" s="1"/>
  <c r="X26" i="101" a="1"/>
  <c r="X26" i="101" s="1"/>
  <c r="X18" i="101" a="1"/>
  <c r="X18" i="101" s="1"/>
  <c r="AA40" i="103" a="1"/>
  <c r="AA40" i="103" s="1"/>
  <c r="X139" i="101" a="1"/>
  <c r="X139" i="101" s="1"/>
  <c r="AA12" i="103" a="1"/>
  <c r="AA12" i="103" s="1"/>
  <c r="X76" i="101" a="1"/>
  <c r="X76" i="101" s="1"/>
  <c r="X104" i="101" a="1"/>
  <c r="X104" i="101" s="1"/>
  <c r="AA54" i="103" a="1"/>
  <c r="AA54" i="103" s="1"/>
  <c r="AA55" i="103" a="1"/>
  <c r="AA55" i="103" s="1"/>
  <c r="X119" i="101" a="1"/>
  <c r="X119" i="101" s="1"/>
  <c r="X126" i="101" a="1"/>
  <c r="X126" i="101" s="1"/>
  <c r="X153" i="101" a="1"/>
  <c r="X153" i="101" s="1"/>
  <c r="X12" i="101" a="1"/>
  <c r="X12" i="101" s="1"/>
  <c r="X133" i="101" a="1"/>
  <c r="X133" i="101" s="1"/>
  <c r="X64" i="101" a="1"/>
  <c r="X64" i="101" s="1"/>
  <c r="X92" i="101" a="1"/>
  <c r="X92" i="101" s="1"/>
  <c r="X113" i="101" a="1"/>
  <c r="X113" i="101" s="1"/>
  <c r="X127" i="101" a="1"/>
  <c r="X127" i="101" s="1"/>
  <c r="X147" i="101" a="1"/>
  <c r="X147" i="101" s="1"/>
  <c r="X28" i="101" a="1"/>
  <c r="X28" i="101" s="1"/>
  <c r="AA56" i="103" a="1"/>
  <c r="AA56" i="103" s="1"/>
  <c r="X14" i="101" a="1"/>
  <c r="X14" i="101" s="1"/>
  <c r="X20" i="101" a="1"/>
  <c r="X20" i="101" s="1"/>
  <c r="X80" i="101" a="1"/>
  <c r="X80" i="101" s="1"/>
  <c r="X107" i="101" a="1"/>
  <c r="X107" i="101" s="1"/>
  <c r="X141" i="101" a="1"/>
  <c r="X141" i="101" s="1"/>
  <c r="AA44" i="103" a="1"/>
  <c r="AA44" i="103" s="1"/>
  <c r="AA8" i="103" a="1"/>
  <c r="AA8" i="103" s="1"/>
  <c r="X121" i="101" a="1"/>
  <c r="X121" i="101" s="1"/>
  <c r="X128" i="101" a="1"/>
  <c r="X128" i="101" s="1"/>
  <c r="X22" i="101" a="1"/>
  <c r="X22" i="101" s="1"/>
  <c r="X135" i="101" a="1"/>
  <c r="X135" i="101" s="1"/>
  <c r="AA48" i="103" a="1"/>
  <c r="AA48" i="103" s="1"/>
  <c r="X68" i="101" a="1"/>
  <c r="X68" i="101" s="1"/>
  <c r="X96" i="101" a="1"/>
  <c r="X96" i="101" s="1"/>
  <c r="AA14" i="103" a="1"/>
  <c r="AA14" i="103" s="1"/>
  <c r="AA32" i="103" a="1"/>
  <c r="AA32" i="103" s="1"/>
  <c r="AA46" i="103" a="1"/>
  <c r="AA46" i="103" s="1"/>
  <c r="AA57" i="103" a="1"/>
  <c r="AA57" i="103" s="1"/>
  <c r="X8" i="101" a="1"/>
  <c r="X8" i="101" s="1"/>
  <c r="X115" i="101" a="1"/>
  <c r="X115" i="101" s="1"/>
  <c r="X122" i="101" a="1"/>
  <c r="X122" i="101" s="1"/>
  <c r="X149" i="101" a="1"/>
  <c r="X149" i="101" s="1"/>
  <c r="X129" i="101" a="1"/>
  <c r="X129" i="101" s="1"/>
  <c r="X84" i="101" a="1"/>
  <c r="X84" i="101" s="1"/>
  <c r="X109" i="101" a="1"/>
  <c r="X109" i="101" s="1"/>
  <c r="X143" i="101" a="1"/>
  <c r="X143" i="101" s="1"/>
  <c r="X123" i="101" a="1"/>
  <c r="X123" i="101" s="1"/>
  <c r="X24" i="101" a="1"/>
  <c r="X24" i="101" s="1"/>
  <c r="AA50" i="103" a="1"/>
  <c r="AA50" i="103" s="1"/>
  <c r="X16" i="101" a="1"/>
  <c r="X16" i="101" s="1"/>
  <c r="AA36" i="103" a="1"/>
  <c r="AA36" i="103" s="1"/>
  <c r="X10" i="101" a="1"/>
  <c r="X10" i="101" s="1"/>
  <c r="X72" i="101" a="1"/>
  <c r="X72" i="101" s="1"/>
  <c r="X137" i="101" a="1"/>
  <c r="X137" i="101" s="1"/>
  <c r="X100" i="101" a="1"/>
  <c r="X100" i="101" s="1"/>
  <c r="X117" i="101" a="1"/>
  <c r="X117" i="101" s="1"/>
  <c r="X124" i="101" a="1"/>
  <c r="X124" i="101" s="1"/>
  <c r="X151" i="101" a="1"/>
  <c r="X151" i="101" s="1"/>
  <c r="X131" i="101" a="1"/>
  <c r="X131" i="101" s="1"/>
  <c r="AA10" i="103" a="1"/>
  <c r="AA10" i="103" s="1"/>
  <c r="AA52" i="103" a="1"/>
  <c r="AA52" i="103" s="1"/>
  <c r="W125" i="101" a="1"/>
  <c r="W125" i="101" s="1"/>
  <c r="W26" i="101" a="1"/>
  <c r="W26" i="101" s="1"/>
  <c r="W18" i="101" a="1"/>
  <c r="W18" i="101" s="1"/>
  <c r="Z55" i="103" a="1"/>
  <c r="Z55" i="103" s="1"/>
  <c r="W139" i="101" a="1"/>
  <c r="W139" i="101" s="1"/>
  <c r="Z40" i="103" a="1"/>
  <c r="Z40" i="103" s="1"/>
  <c r="Z54" i="103" a="1"/>
  <c r="Z54" i="103" s="1"/>
  <c r="W76" i="101" a="1"/>
  <c r="W76" i="101" s="1"/>
  <c r="W104" i="101" a="1"/>
  <c r="W104" i="101" s="1"/>
  <c r="W119" i="101" a="1"/>
  <c r="W119" i="101" s="1"/>
  <c r="W126" i="101" a="1"/>
  <c r="W126" i="101" s="1"/>
  <c r="W153" i="101" a="1"/>
  <c r="W153" i="101" s="1"/>
  <c r="W133" i="101" a="1"/>
  <c r="W133" i="101" s="1"/>
  <c r="W12" i="101" a="1"/>
  <c r="W12" i="101" s="1"/>
  <c r="Z12" i="103" a="1"/>
  <c r="Z12" i="103" s="1"/>
  <c r="Z57" i="103" a="1"/>
  <c r="Z57" i="103" s="1"/>
  <c r="W64" i="101" a="1"/>
  <c r="W64" i="101" s="1"/>
  <c r="Z48" i="103" a="1"/>
  <c r="Z48" i="103" s="1"/>
  <c r="W92" i="101" a="1"/>
  <c r="W92" i="101" s="1"/>
  <c r="W113" i="101" a="1"/>
  <c r="W113" i="101" s="1"/>
  <c r="W127" i="101" a="1"/>
  <c r="W127" i="101" s="1"/>
  <c r="W147" i="101" a="1"/>
  <c r="W147" i="101" s="1"/>
  <c r="W28" i="101" a="1"/>
  <c r="W28" i="101" s="1"/>
  <c r="W20" i="101" a="1"/>
  <c r="W20" i="101" s="1"/>
  <c r="Z56" i="103" a="1"/>
  <c r="Z56" i="103" s="1"/>
  <c r="W22" i="101" a="1"/>
  <c r="W22" i="101" s="1"/>
  <c r="Z14" i="103" a="1"/>
  <c r="Z14" i="103" s="1"/>
  <c r="Z46" i="103" a="1"/>
  <c r="Z46" i="103" s="1"/>
  <c r="W80" i="101" a="1"/>
  <c r="W80" i="101" s="1"/>
  <c r="W107" i="101" a="1"/>
  <c r="W107" i="101" s="1"/>
  <c r="W141" i="101" a="1"/>
  <c r="W141" i="101" s="1"/>
  <c r="Z44" i="103" a="1"/>
  <c r="Z44" i="103" s="1"/>
  <c r="Z32" i="103" a="1"/>
  <c r="Z32" i="103" s="1"/>
  <c r="W121" i="101" a="1"/>
  <c r="W121" i="101" s="1"/>
  <c r="W128" i="101" a="1"/>
  <c r="W128" i="101" s="1"/>
  <c r="W135" i="101" a="1"/>
  <c r="W135" i="101" s="1"/>
  <c r="W14" i="101" a="1"/>
  <c r="W14" i="101" s="1"/>
  <c r="W68" i="101" a="1"/>
  <c r="W68" i="101" s="1"/>
  <c r="W96" i="101" a="1"/>
  <c r="W96" i="101" s="1"/>
  <c r="W115" i="101" a="1"/>
  <c r="W115" i="101" s="1"/>
  <c r="W122" i="101" a="1"/>
  <c r="W122" i="101" s="1"/>
  <c r="W149" i="101" a="1"/>
  <c r="W149" i="101" s="1"/>
  <c r="W8" i="101" a="1"/>
  <c r="W8" i="101" s="1"/>
  <c r="Z8" i="103" a="1"/>
  <c r="Z8" i="103" s="1"/>
  <c r="W129" i="101" a="1"/>
  <c r="W129" i="101" s="1"/>
  <c r="W84" i="101" a="1"/>
  <c r="W84" i="101" s="1"/>
  <c r="W109" i="101" a="1"/>
  <c r="W109" i="101" s="1"/>
  <c r="W143" i="101" a="1"/>
  <c r="W143" i="101" s="1"/>
  <c r="W123" i="101" a="1"/>
  <c r="W123" i="101" s="1"/>
  <c r="W24" i="101" a="1"/>
  <c r="W24" i="101" s="1"/>
  <c r="W16" i="101" a="1"/>
  <c r="W16" i="101" s="1"/>
  <c r="Z50" i="103" a="1"/>
  <c r="Z50" i="103" s="1"/>
  <c r="W10" i="101" a="1"/>
  <c r="W10" i="101" s="1"/>
  <c r="W72" i="101" a="1"/>
  <c r="W72" i="101" s="1"/>
  <c r="W137" i="101" a="1"/>
  <c r="W137" i="101" s="1"/>
  <c r="Z36" i="103" a="1"/>
  <c r="Z36" i="103" s="1"/>
  <c r="Z52" i="103" a="1"/>
  <c r="Z52" i="103" s="1"/>
  <c r="W100" i="101" a="1"/>
  <c r="W100" i="101" s="1"/>
  <c r="W117" i="101" a="1"/>
  <c r="W117" i="101" s="1"/>
  <c r="W124" i="101" a="1"/>
  <c r="W124" i="101" s="1"/>
  <c r="W151" i="101" a="1"/>
  <c r="W151" i="101" s="1"/>
  <c r="Z10" i="103" a="1"/>
  <c r="Z10" i="103" s="1"/>
  <c r="W131" i="101" a="1"/>
  <c r="W131" i="101" s="1"/>
  <c r="W111" i="101" a="1"/>
  <c r="W111" i="101" s="1"/>
  <c r="W88" i="101" a="1"/>
  <c r="W88" i="101" s="1"/>
  <c r="W145" i="101" a="1"/>
  <c r="W145" i="101" s="1"/>
  <c r="Z17" i="101" a="1"/>
  <c r="Z17" i="101" s="1"/>
  <c r="Z138" i="101" a="1"/>
  <c r="Z138" i="101" s="1"/>
  <c r="AC27" i="103" a="1"/>
  <c r="AC27" i="103" s="1"/>
  <c r="Z32" i="101" a="1"/>
  <c r="Z32" i="101" s="1"/>
  <c r="Z38" i="101" a="1"/>
  <c r="Z38" i="101" s="1"/>
  <c r="Z74" i="101" a="1"/>
  <c r="Z74" i="101" s="1"/>
  <c r="Z102" i="101" a="1"/>
  <c r="Z102" i="101" s="1"/>
  <c r="AC38" i="103" a="1"/>
  <c r="AC38" i="103" s="1"/>
  <c r="Z152" i="101" a="1"/>
  <c r="Z152" i="101" s="1"/>
  <c r="AC28" i="103" a="1"/>
  <c r="AC28" i="103" s="1"/>
  <c r="Z118" i="101" a="1"/>
  <c r="Z118" i="101" s="1"/>
  <c r="AC18" i="103" a="1"/>
  <c r="AC18" i="103" s="1"/>
  <c r="Z132" i="101" a="1"/>
  <c r="Z132" i="101" s="1"/>
  <c r="Z11" i="101" a="1"/>
  <c r="Z11" i="101" s="1"/>
  <c r="Z33" i="101" a="1"/>
  <c r="Z33" i="101" s="1"/>
  <c r="Z39" i="101" a="1"/>
  <c r="Z39" i="101" s="1"/>
  <c r="Z90" i="101" a="1"/>
  <c r="Z90" i="101" s="1"/>
  <c r="Z112" i="101" a="1"/>
  <c r="Z112" i="101" s="1"/>
  <c r="Z146" i="101" a="1"/>
  <c r="Z146" i="101" s="1"/>
  <c r="Z27" i="101" a="1"/>
  <c r="Z27" i="101" s="1"/>
  <c r="Z19" i="101" a="1"/>
  <c r="Z19" i="101" s="1"/>
  <c r="AC21" i="103" a="1"/>
  <c r="AC21" i="103" s="1"/>
  <c r="Z140" i="101" a="1"/>
  <c r="Z140" i="101" s="1"/>
  <c r="AC29" i="103" a="1"/>
  <c r="AC29" i="103" s="1"/>
  <c r="Z30" i="101" a="1"/>
  <c r="Z30" i="101" s="1"/>
  <c r="AC19" i="103" a="1"/>
  <c r="AC19" i="103" s="1"/>
  <c r="Z78" i="101" a="1"/>
  <c r="Z78" i="101" s="1"/>
  <c r="Z106" i="101" a="1"/>
  <c r="Z106" i="101" s="1"/>
  <c r="AC42" i="103" a="1"/>
  <c r="AC42" i="103" s="1"/>
  <c r="Z51" i="101" a="1"/>
  <c r="Z51" i="101" s="1"/>
  <c r="Z120" i="101" a="1"/>
  <c r="Z120" i="101" s="1"/>
  <c r="Z52" i="101" a="1"/>
  <c r="Z52" i="101" s="1"/>
  <c r="Z34" i="101" a="1"/>
  <c r="Z34" i="101" s="1"/>
  <c r="Z134" i="101" a="1"/>
  <c r="Z134" i="101" s="1"/>
  <c r="Z13" i="101" a="1"/>
  <c r="Z13" i="101" s="1"/>
  <c r="Z53" i="101" a="1"/>
  <c r="Z53" i="101" s="1"/>
  <c r="Z66" i="101" a="1"/>
  <c r="Z66" i="101" s="1"/>
  <c r="AC30" i="103" a="1"/>
  <c r="AC30" i="103" s="1"/>
  <c r="Z54" i="101" a="1"/>
  <c r="Z54" i="101" s="1"/>
  <c r="Z94" i="101" a="1"/>
  <c r="Z94" i="101" s="1"/>
  <c r="Z55" i="101" a="1"/>
  <c r="Z55" i="101" s="1"/>
  <c r="Z114" i="101" a="1"/>
  <c r="Z114" i="101" s="1"/>
  <c r="Z148" i="101" a="1"/>
  <c r="Z148" i="101" s="1"/>
  <c r="Z29" i="101" a="1"/>
  <c r="Z29" i="101" s="1"/>
  <c r="Z56" i="101" a="1"/>
  <c r="Z56" i="101" s="1"/>
  <c r="Z35" i="101" a="1"/>
  <c r="Z35" i="101" s="1"/>
  <c r="Z21" i="101" a="1"/>
  <c r="Z21" i="101" s="1"/>
  <c r="AC20" i="103" a="1"/>
  <c r="AC20" i="103" s="1"/>
  <c r="Z7" i="101" a="1"/>
  <c r="Z7" i="101" s="1"/>
  <c r="Z57" i="101" a="1"/>
  <c r="Z57" i="101" s="1"/>
  <c r="Z58" i="101" a="1"/>
  <c r="Z58" i="101" s="1"/>
  <c r="Z82" i="101" a="1"/>
  <c r="Z82" i="101" s="1"/>
  <c r="Z108" i="101" a="1"/>
  <c r="Z108" i="101" s="1"/>
  <c r="Z142" i="101" a="1"/>
  <c r="Z142" i="101" s="1"/>
  <c r="Z59" i="101" a="1"/>
  <c r="Z59" i="101" s="1"/>
  <c r="Z23" i="101" a="1"/>
  <c r="Z23" i="101" s="1"/>
  <c r="Z60" i="101" a="1"/>
  <c r="Z60" i="101" s="1"/>
  <c r="Z36" i="101" a="1"/>
  <c r="Z36" i="101" s="1"/>
  <c r="Z15" i="101" a="1"/>
  <c r="Z15" i="101" s="1"/>
  <c r="Z61" i="101" a="1"/>
  <c r="Z61" i="101" s="1"/>
  <c r="Z70" i="101" a="1"/>
  <c r="Z70" i="101" s="1"/>
  <c r="Z136" i="101" a="1"/>
  <c r="Z136" i="101" s="1"/>
  <c r="Z31" i="101" a="1"/>
  <c r="Z31" i="101" s="1"/>
  <c r="Z110" i="101" a="1"/>
  <c r="Z110" i="101" s="1"/>
  <c r="Z62" i="101" a="1"/>
  <c r="Z62" i="101" s="1"/>
  <c r="Z98" i="101" a="1"/>
  <c r="Z98" i="101" s="1"/>
  <c r="AC34" i="103" a="1"/>
  <c r="AC34" i="103" s="1"/>
  <c r="Z150" i="101" a="1"/>
  <c r="Z150" i="101" s="1"/>
  <c r="Z9" i="101" a="1"/>
  <c r="Z9" i="101" s="1"/>
  <c r="AC26" i="103" a="1"/>
  <c r="AC26" i="103" s="1"/>
  <c r="Z25" i="101" a="1"/>
  <c r="Z25" i="101" s="1"/>
  <c r="Z116" i="101" a="1"/>
  <c r="Z116" i="101" s="1"/>
  <c r="Z130" i="101" a="1"/>
  <c r="Z130" i="101" s="1"/>
  <c r="Z86" i="101" a="1"/>
  <c r="Z86" i="101" s="1"/>
  <c r="Z144" i="101" a="1"/>
  <c r="Z144" i="101" s="1"/>
  <c r="Z37" i="101" a="1"/>
  <c r="Z37" i="101" s="1"/>
  <c r="AC17" i="103" a="1"/>
  <c r="AC17" i="103" s="1"/>
  <c r="AC15" i="103" a="1"/>
  <c r="AC15" i="103" s="1"/>
  <c r="AC16" i="103" a="1"/>
  <c r="AC16" i="103" s="1"/>
  <c r="L84" i="111"/>
  <c r="H82" i="111"/>
  <c r="M84" i="111"/>
  <c r="G84" i="111"/>
  <c r="J74" i="111"/>
  <c r="J44" i="111"/>
  <c r="J45" i="111" s="1"/>
  <c r="J82" i="111"/>
  <c r="J53" i="111"/>
  <c r="J85" i="111" s="1"/>
  <c r="J52" i="111"/>
  <c r="J84" i="111" s="1"/>
  <c r="J43" i="111"/>
  <c r="J41" i="111"/>
  <c r="J42" i="111" s="1"/>
  <c r="J76" i="111"/>
  <c r="J72" i="111" s="1"/>
  <c r="N84" i="111"/>
  <c r="K84" i="111"/>
  <c r="N82" i="111"/>
  <c r="I82" i="111"/>
  <c r="O84" i="111"/>
  <c r="K82" i="111"/>
  <c r="H84" i="111"/>
  <c r="I84" i="111"/>
  <c r="O82" i="111"/>
  <c r="L82" i="111"/>
  <c r="M82" i="111"/>
  <c r="H172" i="108"/>
  <c r="M172" i="108"/>
  <c r="N172" i="108"/>
  <c r="H127" i="108"/>
  <c r="P119" i="108"/>
  <c r="P153" i="108" s="1"/>
  <c r="I51" i="108"/>
  <c r="G41" i="108"/>
  <c r="G165" i="108"/>
  <c r="G52" i="108"/>
  <c r="G176" i="108"/>
  <c r="P145" i="108"/>
  <c r="M167" i="108" s="1"/>
  <c r="N53" i="108"/>
  <c r="H53" i="108"/>
  <c r="K172" i="108"/>
  <c r="P114" i="108"/>
  <c r="N123" i="108" s="1"/>
  <c r="G37" i="108"/>
  <c r="G161" i="108"/>
  <c r="H51" i="108"/>
  <c r="K51" i="108"/>
  <c r="P146" i="108"/>
  <c r="M168" i="108" s="1"/>
  <c r="I53" i="108"/>
  <c r="P147" i="108"/>
  <c r="J169" i="108" s="1"/>
  <c r="G45" i="108"/>
  <c r="G169" i="108"/>
  <c r="P148" i="108"/>
  <c r="M170" i="108" s="1"/>
  <c r="P149" i="108"/>
  <c r="M171" i="108" s="1"/>
  <c r="P140" i="108"/>
  <c r="M162" i="108" s="1"/>
  <c r="O64" i="108"/>
  <c r="P117" i="108"/>
  <c r="N126" i="108" s="1"/>
  <c r="H147" i="108"/>
  <c r="I150" i="108"/>
  <c r="I172" i="108" s="1"/>
  <c r="K156" i="108"/>
  <c r="G22" i="108"/>
  <c r="G57" i="111" s="1"/>
  <c r="G82" i="111" s="1"/>
  <c r="G97" i="108"/>
  <c r="H144" i="108"/>
  <c r="H156" i="108" s="1"/>
  <c r="I147" i="108"/>
  <c r="J150" i="108"/>
  <c r="J172" i="108" s="1"/>
  <c r="M156" i="108"/>
  <c r="G171" i="108"/>
  <c r="O61" i="108"/>
  <c r="O29" i="108"/>
  <c r="J32" i="108"/>
  <c r="O77" i="108"/>
  <c r="G93" i="108"/>
  <c r="J106" i="108"/>
  <c r="J115" i="108"/>
  <c r="K118" i="108"/>
  <c r="K141" i="108"/>
  <c r="N147" i="108"/>
  <c r="G168" i="108"/>
  <c r="G25" i="108"/>
  <c r="G60" i="111" s="1"/>
  <c r="L32" i="108"/>
  <c r="M106" i="108"/>
  <c r="M115" i="108"/>
  <c r="N118" i="108"/>
  <c r="N141" i="108"/>
  <c r="O144" i="108"/>
  <c r="F151" i="108"/>
  <c r="M32" i="108"/>
  <c r="G85" i="108"/>
  <c r="N106" i="108"/>
  <c r="N115" i="108"/>
  <c r="O118" i="108"/>
  <c r="P118" i="108" s="1"/>
  <c r="J127" i="108" s="1"/>
  <c r="O141" i="108"/>
  <c r="P141" i="108" s="1"/>
  <c r="M163" i="108" s="1"/>
  <c r="G98" i="108"/>
  <c r="O115" i="108"/>
  <c r="P115" i="108" s="1"/>
  <c r="K124" i="108" s="1"/>
  <c r="H148" i="108"/>
  <c r="G172" i="108"/>
  <c r="H145" i="108"/>
  <c r="H167" i="108" s="1"/>
  <c r="I148" i="108"/>
  <c r="H119" i="108"/>
  <c r="H142" i="108"/>
  <c r="H164" i="108" s="1"/>
  <c r="I145" i="108"/>
  <c r="I167" i="108" s="1"/>
  <c r="J148" i="108"/>
  <c r="M154" i="108"/>
  <c r="H106" i="108"/>
  <c r="H116" i="108"/>
  <c r="I142" i="108"/>
  <c r="L30" i="108"/>
  <c r="O78" i="108"/>
  <c r="G94" i="108"/>
  <c r="H103" i="108"/>
  <c r="I116" i="108"/>
  <c r="J119" i="108"/>
  <c r="I139" i="108"/>
  <c r="J142" i="108"/>
  <c r="K145" i="108"/>
  <c r="H94" i="108"/>
  <c r="I103" i="108"/>
  <c r="J116" i="108"/>
  <c r="K119" i="108"/>
  <c r="J139" i="108"/>
  <c r="K142" i="108"/>
  <c r="N148" i="108"/>
  <c r="N30" i="108"/>
  <c r="G126" i="108"/>
  <c r="O143" i="108"/>
  <c r="P143" i="108" s="1"/>
  <c r="M165" i="108" s="1"/>
  <c r="N156" i="108"/>
  <c r="M119" i="108"/>
  <c r="I28" i="108"/>
  <c r="J33" i="108"/>
  <c r="N69" i="111" s="1"/>
  <c r="N81" i="111" s="1"/>
  <c r="O59" i="108"/>
  <c r="J94" i="108"/>
  <c r="M116" i="108"/>
  <c r="N119" i="108"/>
  <c r="N142" i="108"/>
  <c r="P32" i="108"/>
  <c r="M68" i="111" s="1"/>
  <c r="M72" i="111" s="1"/>
  <c r="K148" i="108"/>
  <c r="M30" i="108"/>
  <c r="K65" i="111" s="1"/>
  <c r="H33" i="108"/>
  <c r="H69" i="111" s="1"/>
  <c r="H73" i="111" s="1"/>
  <c r="O76" i="85" s="1" a="1"/>
  <c r="O76" i="85" s="1"/>
  <c r="H28" i="108"/>
  <c r="I33" i="108"/>
  <c r="I69" i="111" s="1"/>
  <c r="I73" i="111" s="1"/>
  <c r="P76" i="85" s="1" a="1"/>
  <c r="P76" i="85" s="1"/>
  <c r="K116" i="108"/>
  <c r="K139" i="108"/>
  <c r="N145" i="108"/>
  <c r="N167" i="108" s="1"/>
  <c r="F155" i="108"/>
  <c r="M155" i="108" s="1"/>
  <c r="J28" i="108"/>
  <c r="P30" i="108"/>
  <c r="K33" i="108"/>
  <c r="O69" i="111" s="1"/>
  <c r="O81" i="111" s="1"/>
  <c r="O75" i="108"/>
  <c r="N116" i="108"/>
  <c r="N139" i="108"/>
  <c r="O142" i="108"/>
  <c r="P142" i="108" s="1"/>
  <c r="M164" i="108" s="1"/>
  <c r="O116" i="108"/>
  <c r="P116" i="108" s="1"/>
  <c r="O139" i="108"/>
  <c r="P139" i="108" s="1"/>
  <c r="M161" i="108" s="1"/>
  <c r="H149" i="108"/>
  <c r="H146" i="108"/>
  <c r="I149" i="108"/>
  <c r="H31" i="108"/>
  <c r="O63" i="108"/>
  <c r="H143" i="108"/>
  <c r="I146" i="108"/>
  <c r="J149" i="108"/>
  <c r="N28" i="108"/>
  <c r="G96" i="108"/>
  <c r="H117" i="108"/>
  <c r="H140" i="108"/>
  <c r="I143" i="108"/>
  <c r="J146" i="108"/>
  <c r="K149" i="108"/>
  <c r="M152" i="108"/>
  <c r="I106" i="108"/>
  <c r="O62" i="108"/>
  <c r="H139" i="108"/>
  <c r="N33" i="108"/>
  <c r="I31" i="108"/>
  <c r="J31" i="108"/>
  <c r="P33" i="108"/>
  <c r="H114" i="108"/>
  <c r="I117" i="108"/>
  <c r="I140" i="108"/>
  <c r="J143" i="108"/>
  <c r="K146" i="108"/>
  <c r="P28" i="108"/>
  <c r="M49" i="108" s="1"/>
  <c r="K31" i="108"/>
  <c r="I114" i="108"/>
  <c r="J117" i="108"/>
  <c r="J140" i="108"/>
  <c r="K143" i="108"/>
  <c r="N149" i="108"/>
  <c r="O152" i="108"/>
  <c r="I119" i="108"/>
  <c r="J145" i="108"/>
  <c r="K28" i="108"/>
  <c r="L33" i="108"/>
  <c r="M33" i="108"/>
  <c r="K69" i="111" s="1"/>
  <c r="K81" i="111" s="1"/>
  <c r="G9" i="108"/>
  <c r="G13" i="111" s="1"/>
  <c r="L31" i="108"/>
  <c r="J114" i="108"/>
  <c r="K117" i="108"/>
  <c r="K140" i="108"/>
  <c r="N146" i="108"/>
  <c r="K114" i="108"/>
  <c r="M117" i="108"/>
  <c r="C87" i="106"/>
  <c r="I17" i="105"/>
  <c r="I16" i="105"/>
  <c r="L86" i="85"/>
  <c r="L83" i="85"/>
  <c r="L80" i="85"/>
  <c r="K52" i="108" l="1"/>
  <c r="O66" i="111"/>
  <c r="H49" i="108"/>
  <c r="H63" i="111"/>
  <c r="O55" i="85" a="1"/>
  <c r="O55" i="85" s="1"/>
  <c r="K73" i="111"/>
  <c r="G47" i="108"/>
  <c r="G61" i="111"/>
  <c r="I49" i="108"/>
  <c r="I63" i="111"/>
  <c r="M53" i="108"/>
  <c r="K68" i="111"/>
  <c r="G21" i="111"/>
  <c r="T61" i="9" s="1" a="1"/>
  <c r="T61" i="9" s="1"/>
  <c r="T81" i="9" a="1"/>
  <c r="T81" i="9" s="1"/>
  <c r="T25" i="9" a="1"/>
  <c r="T25" i="9" s="1"/>
  <c r="G100" i="108"/>
  <c r="G33" i="111"/>
  <c r="N155" i="108"/>
  <c r="N169" i="108"/>
  <c r="O80" i="111"/>
  <c r="J49" i="108"/>
  <c r="N63" i="111"/>
  <c r="N49" i="108"/>
  <c r="J63" i="111"/>
  <c r="I164" i="108"/>
  <c r="X16" i="105" a="1"/>
  <c r="X16" i="105" s="1"/>
  <c r="I81" i="111"/>
  <c r="O86" i="85" a="1"/>
  <c r="O86" i="85" s="1"/>
  <c r="K49" i="108"/>
  <c r="O63" i="111"/>
  <c r="K154" i="108"/>
  <c r="K127" i="108"/>
  <c r="G127" i="108"/>
  <c r="J124" i="108"/>
  <c r="P65" i="85" a="1"/>
  <c r="P65" i="85" s="1"/>
  <c r="P55" i="85" a="1"/>
  <c r="P55" i="85" s="1"/>
  <c r="J16" i="111"/>
  <c r="W33" i="9" s="1" a="1"/>
  <c r="W33" i="9" s="1"/>
  <c r="W45" i="9" a="1"/>
  <c r="W45" i="9" s="1"/>
  <c r="W69" i="9" a="1"/>
  <c r="W69" i="9" s="1"/>
  <c r="H52" i="108"/>
  <c r="H66" i="111"/>
  <c r="G83" i="108"/>
  <c r="G90" i="108"/>
  <c r="G12" i="111"/>
  <c r="P86" i="85" a="1"/>
  <c r="P86" i="85" s="1"/>
  <c r="H19" i="111"/>
  <c r="U53" i="9" s="1" a="1"/>
  <c r="U53" i="9" s="1"/>
  <c r="U17" i="9" a="1"/>
  <c r="U17" i="9" s="1"/>
  <c r="N73" i="111"/>
  <c r="J11" i="111"/>
  <c r="J18" i="111"/>
  <c r="O73" i="111"/>
  <c r="I19" i="111"/>
  <c r="V53" i="9" s="1" a="1"/>
  <c r="V53" i="9" s="1"/>
  <c r="V17" i="9" a="1"/>
  <c r="V17" i="9" s="1"/>
  <c r="O28" i="108"/>
  <c r="M63" i="111"/>
  <c r="J53" i="108"/>
  <c r="N68" i="111"/>
  <c r="J17" i="111"/>
  <c r="W37" i="9" s="1" a="1"/>
  <c r="W37" i="9" s="1"/>
  <c r="W73" i="9" a="1"/>
  <c r="W73" i="9" s="1"/>
  <c r="W49" i="9" a="1"/>
  <c r="W49" i="9" s="1"/>
  <c r="G29" i="108"/>
  <c r="G64" i="111" s="1"/>
  <c r="L64" i="111"/>
  <c r="J14" i="111"/>
  <c r="N51" i="108"/>
  <c r="J65" i="111"/>
  <c r="O33" i="108"/>
  <c r="M69" i="111"/>
  <c r="J52" i="108"/>
  <c r="N66" i="111"/>
  <c r="I52" i="108"/>
  <c r="I66" i="111"/>
  <c r="O30" i="108"/>
  <c r="M65" i="111"/>
  <c r="J51" i="108"/>
  <c r="J23" i="111"/>
  <c r="G48" i="108"/>
  <c r="G62" i="111"/>
  <c r="G82" i="108"/>
  <c r="G89" i="108"/>
  <c r="G10" i="111"/>
  <c r="H80" i="111"/>
  <c r="H50" i="108"/>
  <c r="H64" i="111"/>
  <c r="J20" i="111"/>
  <c r="W57" i="9" s="1" a="1"/>
  <c r="W57" i="9" s="1"/>
  <c r="W77" i="9" a="1"/>
  <c r="W77" i="9" s="1"/>
  <c r="W21" i="9" a="1"/>
  <c r="W21" i="9" s="1"/>
  <c r="G123" i="108"/>
  <c r="G6" i="111"/>
  <c r="G7" i="111" s="1"/>
  <c r="T5" i="9" s="1" a="1"/>
  <c r="T5" i="9" s="1"/>
  <c r="I80" i="111"/>
  <c r="J21" i="111"/>
  <c r="W61" i="9" s="1" a="1"/>
  <c r="W61" i="9" s="1"/>
  <c r="W81" i="9" a="1"/>
  <c r="W81" i="9" s="1"/>
  <c r="W25" i="9" a="1"/>
  <c r="W25" i="9" s="1"/>
  <c r="O65" i="85" a="1"/>
  <c r="O65" i="85" s="1"/>
  <c r="H81" i="111"/>
  <c r="M79" i="111"/>
  <c r="M71" i="111"/>
  <c r="J75" i="111"/>
  <c r="J71" i="111" s="1"/>
  <c r="J70" i="111"/>
  <c r="K79" i="111"/>
  <c r="K71" i="111"/>
  <c r="Q83" i="85" a="1"/>
  <c r="Q83" i="85" s="1"/>
  <c r="Q72" i="85" a="1"/>
  <c r="Q72" i="85" s="1"/>
  <c r="L71" i="111"/>
  <c r="K78" i="111"/>
  <c r="Q51" i="85" a="1"/>
  <c r="Q51" i="85" s="1"/>
  <c r="Q62" i="85" a="1"/>
  <c r="Q62" i="85" s="1"/>
  <c r="J67" i="111"/>
  <c r="J78" i="111" s="1"/>
  <c r="N59" i="85" a="1"/>
  <c r="N59" i="85" s="1"/>
  <c r="N47" i="85" a="1"/>
  <c r="N47" i="85" s="1"/>
  <c r="M78" i="111"/>
  <c r="H37" i="111"/>
  <c r="H47" i="111"/>
  <c r="N37" i="111"/>
  <c r="N47" i="111"/>
  <c r="I37" i="111"/>
  <c r="I47" i="111"/>
  <c r="K37" i="111"/>
  <c r="K47" i="111"/>
  <c r="O37" i="111"/>
  <c r="O47" i="111"/>
  <c r="L37" i="111"/>
  <c r="L47" i="111"/>
  <c r="J38" i="111"/>
  <c r="Z14" i="105" s="1" a="1"/>
  <c r="Z14" i="105" s="1"/>
  <c r="J48" i="111"/>
  <c r="J49" i="111"/>
  <c r="Z40" i="105" s="1" a="1"/>
  <c r="Z40" i="105" s="1"/>
  <c r="G37" i="111"/>
  <c r="G47" i="111"/>
  <c r="M37" i="111"/>
  <c r="M47" i="111"/>
  <c r="J46" i="111"/>
  <c r="Z32" i="105" a="1"/>
  <c r="Z32" i="105" s="1"/>
  <c r="Z24" i="105" a="1"/>
  <c r="Z24" i="105" s="1"/>
  <c r="W16" i="105" a="1"/>
  <c r="W16" i="105" s="1"/>
  <c r="M40" i="111"/>
  <c r="W105" i="106" a="1"/>
  <c r="W105" i="106" s="1"/>
  <c r="W111" i="106" a="1"/>
  <c r="W111" i="106" s="1"/>
  <c r="W51" i="106" a="1"/>
  <c r="W51" i="106" s="1"/>
  <c r="J39" i="111"/>
  <c r="J40" i="111" s="1"/>
  <c r="J35" i="111"/>
  <c r="J50" i="111" s="1"/>
  <c r="Y45" i="106" a="1"/>
  <c r="Y45" i="106" s="1"/>
  <c r="Y51" i="106" a="1"/>
  <c r="Y51" i="106" s="1"/>
  <c r="Y111" i="106" a="1"/>
  <c r="Y111" i="106" s="1"/>
  <c r="Y105" i="106" a="1"/>
  <c r="Y105" i="106" s="1"/>
  <c r="X111" i="106" a="1"/>
  <c r="X111" i="106" s="1"/>
  <c r="X105" i="106" a="1"/>
  <c r="X105" i="106" s="1"/>
  <c r="X45" i="106" a="1"/>
  <c r="X45" i="106" s="1"/>
  <c r="X51" i="106" a="1"/>
  <c r="X51" i="106" s="1"/>
  <c r="J32" i="111"/>
  <c r="J36" i="111"/>
  <c r="N91" i="111"/>
  <c r="N101" i="111" s="1"/>
  <c r="J83" i="111"/>
  <c r="Z66" i="106" s="1" a="1"/>
  <c r="Z66" i="106" s="1"/>
  <c r="O91" i="111"/>
  <c r="O101" i="111" s="1"/>
  <c r="Z20" i="105" a="1"/>
  <c r="Z20" i="105" s="1"/>
  <c r="Z8" i="105" a="1"/>
  <c r="Z8" i="105" s="1"/>
  <c r="Z12" i="105" a="1"/>
  <c r="Z12" i="105" s="1"/>
  <c r="Z22" i="105" a="1"/>
  <c r="Z22" i="105" s="1"/>
  <c r="H91" i="111"/>
  <c r="H101" i="111" s="1"/>
  <c r="I91" i="111"/>
  <c r="I101" i="111" s="1"/>
  <c r="G99" i="111"/>
  <c r="W108" i="106" s="1" a="1"/>
  <c r="W108" i="106" s="1"/>
  <c r="W20" i="105" a="1"/>
  <c r="W20" i="105" s="1"/>
  <c r="I89" i="111"/>
  <c r="Y28" i="105" s="1" a="1"/>
  <c r="Y28" i="105" s="1"/>
  <c r="Y20" i="105" a="1"/>
  <c r="Y20" i="105" s="1"/>
  <c r="Y14" i="105" a="1"/>
  <c r="Y14" i="105" s="1"/>
  <c r="M91" i="111"/>
  <c r="M101" i="111" s="1"/>
  <c r="Z36" i="105" a="1"/>
  <c r="Z36" i="105" s="1"/>
  <c r="Z30" i="105" a="1"/>
  <c r="Z30" i="105" s="1"/>
  <c r="L89" i="111"/>
  <c r="L99" i="111" s="1"/>
  <c r="G83" i="111"/>
  <c r="W6" i="106" s="1" a="1"/>
  <c r="W6" i="106" s="1"/>
  <c r="G97" i="111"/>
  <c r="O89" i="111"/>
  <c r="O99" i="111" s="1"/>
  <c r="H89" i="111"/>
  <c r="X28" i="105" s="1" a="1"/>
  <c r="X28" i="105" s="1"/>
  <c r="X20" i="105" a="1"/>
  <c r="X20" i="105" s="1"/>
  <c r="X14" i="105" a="1"/>
  <c r="X14" i="105" s="1"/>
  <c r="K89" i="111"/>
  <c r="K99" i="111" s="1"/>
  <c r="K91" i="111"/>
  <c r="K101" i="111" s="1"/>
  <c r="N89" i="111"/>
  <c r="N99" i="111" s="1"/>
  <c r="L91" i="111"/>
  <c r="L101" i="111" s="1"/>
  <c r="J90" i="111"/>
  <c r="J100" i="111" s="1"/>
  <c r="J96" i="111"/>
  <c r="J91" i="111" s="1"/>
  <c r="N83" i="111"/>
  <c r="N87" i="111"/>
  <c r="N97" i="111" s="1"/>
  <c r="H83" i="111"/>
  <c r="X15" i="106" s="1" a="1"/>
  <c r="X15" i="106" s="1"/>
  <c r="H87" i="111"/>
  <c r="H97" i="111" s="1"/>
  <c r="J92" i="111"/>
  <c r="M87" i="111"/>
  <c r="M97" i="111" s="1"/>
  <c r="J94" i="111"/>
  <c r="Z96" i="106" s="1" a="1"/>
  <c r="Z96" i="106" s="1"/>
  <c r="M89" i="111"/>
  <c r="M99" i="111" s="1"/>
  <c r="O83" i="111"/>
  <c r="O87" i="111"/>
  <c r="O97" i="111" s="1"/>
  <c r="K83" i="111"/>
  <c r="K87" i="111"/>
  <c r="K97" i="111" s="1"/>
  <c r="L83" i="111"/>
  <c r="L87" i="111"/>
  <c r="L97" i="111" s="1"/>
  <c r="I83" i="111"/>
  <c r="I87" i="111"/>
  <c r="I97" i="111" s="1"/>
  <c r="W93" i="106" a="1"/>
  <c r="W93" i="106" s="1"/>
  <c r="W99" i="106" a="1"/>
  <c r="W99" i="106" s="1"/>
  <c r="W33" i="106" a="1"/>
  <c r="W33" i="106" s="1"/>
  <c r="W39" i="106" a="1"/>
  <c r="W39" i="106" s="1"/>
  <c r="W114" i="106" a="1"/>
  <c r="W114" i="106" s="1"/>
  <c r="W90" i="106" a="1"/>
  <c r="W90" i="106" s="1"/>
  <c r="W96" i="106" a="1"/>
  <c r="W96" i="106" s="1"/>
  <c r="W120" i="106" a="1"/>
  <c r="W120" i="106" s="1"/>
  <c r="X93" i="106" a="1"/>
  <c r="X93" i="106" s="1"/>
  <c r="X99" i="106" a="1"/>
  <c r="X99" i="106" s="1"/>
  <c r="X33" i="106" a="1"/>
  <c r="X33" i="106" s="1"/>
  <c r="X39" i="106" a="1"/>
  <c r="X39" i="106" s="1"/>
  <c r="X96" i="106" a="1"/>
  <c r="X96" i="106" s="1"/>
  <c r="X114" i="106" a="1"/>
  <c r="X114" i="106" s="1"/>
  <c r="X90" i="106" a="1"/>
  <c r="X90" i="106" s="1"/>
  <c r="X120" i="106" a="1"/>
  <c r="X120" i="106" s="1"/>
  <c r="Y93" i="106" a="1"/>
  <c r="Y93" i="106" s="1"/>
  <c r="Y99" i="106" a="1"/>
  <c r="Y99" i="106" s="1"/>
  <c r="Y33" i="106" a="1"/>
  <c r="Y33" i="106" s="1"/>
  <c r="Y39" i="106" a="1"/>
  <c r="Y39" i="106" s="1"/>
  <c r="Y114" i="106" a="1"/>
  <c r="Y114" i="106" s="1"/>
  <c r="Y90" i="106" a="1"/>
  <c r="Y90" i="106" s="1"/>
  <c r="Y96" i="106" a="1"/>
  <c r="Y96" i="106" s="1"/>
  <c r="Y120" i="106" a="1"/>
  <c r="Y120" i="106" s="1"/>
  <c r="Z117" i="106" a="1"/>
  <c r="Z117" i="106" s="1"/>
  <c r="J86" i="111"/>
  <c r="Z123" i="106" a="1"/>
  <c r="Z123" i="106" s="1"/>
  <c r="W15" i="106" a="1"/>
  <c r="W15" i="106" s="1"/>
  <c r="W66" i="106" a="1"/>
  <c r="W66" i="106" s="1"/>
  <c r="W75" i="106" a="1"/>
  <c r="W75" i="106" s="1"/>
  <c r="Y66" i="106" a="1"/>
  <c r="Y66" i="106" s="1"/>
  <c r="Y69" i="106" a="1"/>
  <c r="Y69" i="106" s="1"/>
  <c r="Y78" i="106" a="1"/>
  <c r="Y78" i="106" s="1"/>
  <c r="Y9" i="106" a="1"/>
  <c r="Y9" i="106" s="1"/>
  <c r="Y18" i="106" a="1"/>
  <c r="Y18" i="106" s="1"/>
  <c r="Y60" i="106" a="1"/>
  <c r="Y60" i="106" s="1"/>
  <c r="Y54" i="106" a="1"/>
  <c r="Y54" i="106" s="1"/>
  <c r="Y30" i="106" a="1"/>
  <c r="Y30" i="106" s="1"/>
  <c r="Y36" i="106" a="1"/>
  <c r="Y36" i="106" s="1"/>
  <c r="Z69" i="106" a="1"/>
  <c r="Z69" i="106" s="1"/>
  <c r="Z78" i="106" a="1"/>
  <c r="Z78" i="106" s="1"/>
  <c r="Z9" i="106" a="1"/>
  <c r="Z9" i="106" s="1"/>
  <c r="Z60" i="106" a="1"/>
  <c r="Z60" i="106" s="1"/>
  <c r="Z18" i="106" a="1"/>
  <c r="Z18" i="106" s="1"/>
  <c r="Z15" i="106" a="1"/>
  <c r="Z15" i="106" s="1"/>
  <c r="Z6" i="106" a="1"/>
  <c r="Z6" i="106" s="1"/>
  <c r="W84" i="106" a="1"/>
  <c r="W84" i="106" s="1"/>
  <c r="W78" i="106" a="1"/>
  <c r="W78" i="106" s="1"/>
  <c r="W87" i="106" a="1"/>
  <c r="W87" i="106" s="1"/>
  <c r="W24" i="106" a="1"/>
  <c r="W24" i="106" s="1"/>
  <c r="W60" i="106" a="1"/>
  <c r="W60" i="106" s="1"/>
  <c r="W27" i="106" a="1"/>
  <c r="W27" i="106" s="1"/>
  <c r="W36" i="106" a="1"/>
  <c r="W36" i="106" s="1"/>
  <c r="W54" i="106" a="1"/>
  <c r="W54" i="106" s="1"/>
  <c r="W18" i="106" a="1"/>
  <c r="W18" i="106" s="1"/>
  <c r="W9" i="106" a="1"/>
  <c r="W9" i="106" s="1"/>
  <c r="W30" i="106" a="1"/>
  <c r="W30" i="106" s="1"/>
  <c r="W69" i="106" a="1"/>
  <c r="W69" i="106" s="1"/>
  <c r="Z63" i="106" a="1"/>
  <c r="Z63" i="106" s="1"/>
  <c r="Z12" i="106" a="1"/>
  <c r="Z12" i="106" s="1"/>
  <c r="Z57" i="106" a="1"/>
  <c r="Z57" i="106" s="1"/>
  <c r="Z72" i="106" a="1"/>
  <c r="Z72" i="106" s="1"/>
  <c r="Z21" i="106" a="1"/>
  <c r="Z21" i="106" s="1"/>
  <c r="Z81" i="106" a="1"/>
  <c r="Z81" i="106" s="1"/>
  <c r="X9" i="106" a="1"/>
  <c r="X9" i="106" s="1"/>
  <c r="X84" i="106" a="1"/>
  <c r="X84" i="106" s="1"/>
  <c r="X78" i="106" a="1"/>
  <c r="X78" i="106" s="1"/>
  <c r="X24" i="106" a="1"/>
  <c r="X24" i="106" s="1"/>
  <c r="X60" i="106" a="1"/>
  <c r="X60" i="106" s="1"/>
  <c r="X27" i="106" a="1"/>
  <c r="X27" i="106" s="1"/>
  <c r="X69" i="106" a="1"/>
  <c r="X69" i="106" s="1"/>
  <c r="X18" i="106" a="1"/>
  <c r="X18" i="106" s="1"/>
  <c r="X54" i="106" a="1"/>
  <c r="X54" i="106" s="1"/>
  <c r="X36" i="106" a="1"/>
  <c r="X36" i="106" s="1"/>
  <c r="X30" i="106" a="1"/>
  <c r="X30" i="106" s="1"/>
  <c r="M83" i="111"/>
  <c r="AB14" i="100" a="1"/>
  <c r="AB14" i="100" s="1"/>
  <c r="AB16" i="100" a="1"/>
  <c r="AB16" i="100" s="1"/>
  <c r="AB15" i="100" a="1"/>
  <c r="AB15" i="100" s="1"/>
  <c r="AB17" i="100" a="1"/>
  <c r="AB17" i="100" s="1"/>
  <c r="AC14" i="100" a="1"/>
  <c r="AC14" i="100" s="1"/>
  <c r="AC16" i="100" a="1"/>
  <c r="AC16" i="100" s="1"/>
  <c r="AC15" i="100" a="1"/>
  <c r="AC15" i="100" s="1"/>
  <c r="AC17" i="100" a="1"/>
  <c r="AC17" i="100" s="1"/>
  <c r="AD15" i="100" a="1"/>
  <c r="AD15" i="100" s="1"/>
  <c r="AD16" i="100" a="1"/>
  <c r="AD16" i="100" s="1"/>
  <c r="AD17" i="100" a="1"/>
  <c r="AD17" i="100" s="1"/>
  <c r="AD14" i="100" a="1"/>
  <c r="AD14" i="100" s="1"/>
  <c r="AE15" i="100" a="1"/>
  <c r="AE15" i="100" s="1"/>
  <c r="AE17" i="100" a="1"/>
  <c r="AE17" i="100" s="1"/>
  <c r="AE14" i="100" a="1"/>
  <c r="AE14" i="100" s="1"/>
  <c r="AE16" i="100" a="1"/>
  <c r="AE16" i="100" s="1"/>
  <c r="I155" i="108"/>
  <c r="H168" i="108"/>
  <c r="I162" i="108"/>
  <c r="H123" i="108"/>
  <c r="K123" i="108"/>
  <c r="N168" i="108"/>
  <c r="M127" i="108"/>
  <c r="J123" i="108"/>
  <c r="K167" i="108"/>
  <c r="I127" i="108"/>
  <c r="I124" i="108"/>
  <c r="J167" i="108"/>
  <c r="M124" i="108"/>
  <c r="I156" i="108"/>
  <c r="M123" i="108"/>
  <c r="O153" i="108"/>
  <c r="H125" i="108"/>
  <c r="M125" i="108"/>
  <c r="K163" i="108"/>
  <c r="J170" i="108"/>
  <c r="G170" i="108"/>
  <c r="G46" i="108"/>
  <c r="I152" i="108"/>
  <c r="K162" i="108"/>
  <c r="I126" i="108"/>
  <c r="I151" i="108"/>
  <c r="H171" i="108"/>
  <c r="L32" i="109"/>
  <c r="L35" i="109"/>
  <c r="L39" i="109"/>
  <c r="L38" i="109"/>
  <c r="L41" i="109"/>
  <c r="L44" i="109"/>
  <c r="L47" i="109"/>
  <c r="L50" i="109"/>
  <c r="L31" i="109"/>
  <c r="L34" i="109"/>
  <c r="L43" i="109"/>
  <c r="L42" i="109"/>
  <c r="L37" i="109"/>
  <c r="L40" i="109"/>
  <c r="L46" i="109"/>
  <c r="L49" i="109"/>
  <c r="L45" i="109"/>
  <c r="L33" i="109"/>
  <c r="L36" i="109"/>
  <c r="L48" i="109"/>
  <c r="L51" i="109"/>
  <c r="H152" i="108"/>
  <c r="N161" i="108"/>
  <c r="N125" i="108"/>
  <c r="O151" i="108"/>
  <c r="P152" i="108"/>
  <c r="M174" i="108" s="1"/>
  <c r="H161" i="108"/>
  <c r="K164" i="108"/>
  <c r="J161" i="108"/>
  <c r="N165" i="108"/>
  <c r="I171" i="108"/>
  <c r="K126" i="108"/>
  <c r="K151" i="108"/>
  <c r="K171" i="108"/>
  <c r="J154" i="108"/>
  <c r="K128" i="108"/>
  <c r="K153" i="108"/>
  <c r="K175" i="108" s="1"/>
  <c r="J162" i="108"/>
  <c r="K125" i="108"/>
  <c r="N151" i="108"/>
  <c r="I169" i="108"/>
  <c r="M169" i="108"/>
  <c r="P155" i="108"/>
  <c r="I177" i="108" s="1"/>
  <c r="J54" i="108"/>
  <c r="M153" i="108"/>
  <c r="M175" i="108" s="1"/>
  <c r="M128" i="108"/>
  <c r="N54" i="108"/>
  <c r="H128" i="108"/>
  <c r="H153" i="108"/>
  <c r="H175" i="108" s="1"/>
  <c r="K54" i="108"/>
  <c r="I165" i="108"/>
  <c r="N171" i="108"/>
  <c r="K165" i="108"/>
  <c r="I54" i="108"/>
  <c r="N124" i="108"/>
  <c r="I163" i="108"/>
  <c r="K152" i="108"/>
  <c r="K169" i="108"/>
  <c r="P154" i="108"/>
  <c r="M176" i="108" s="1"/>
  <c r="N162" i="108"/>
  <c r="G174" i="108"/>
  <c r="G50" i="108"/>
  <c r="H126" i="108"/>
  <c r="H151" i="108"/>
  <c r="I128" i="108"/>
  <c r="I153" i="108"/>
  <c r="I175" i="108" s="1"/>
  <c r="K161" i="108"/>
  <c r="I161" i="108"/>
  <c r="J125" i="108"/>
  <c r="J171" i="108"/>
  <c r="J128" i="108"/>
  <c r="J153" i="108"/>
  <c r="J175" i="108" s="1"/>
  <c r="I125" i="108"/>
  <c r="H154" i="108"/>
  <c r="H124" i="108"/>
  <c r="M54" i="108"/>
  <c r="H162" i="108"/>
  <c r="J126" i="108"/>
  <c r="J151" i="108"/>
  <c r="J164" i="108"/>
  <c r="H54" i="108"/>
  <c r="I168" i="108"/>
  <c r="M51" i="108"/>
  <c r="H165" i="108"/>
  <c r="K170" i="108"/>
  <c r="O155" i="108"/>
  <c r="O32" i="108"/>
  <c r="K53" i="108"/>
  <c r="H169" i="108"/>
  <c r="N170" i="108"/>
  <c r="J168" i="108"/>
  <c r="N152" i="108"/>
  <c r="H155" i="108"/>
  <c r="O156" i="108"/>
  <c r="P144" i="108"/>
  <c r="H166" i="108" s="1"/>
  <c r="P151" i="108"/>
  <c r="J163" i="108"/>
  <c r="M151" i="108"/>
  <c r="M126" i="108"/>
  <c r="I170" i="108"/>
  <c r="O154" i="108"/>
  <c r="G167" i="108"/>
  <c r="G43" i="108"/>
  <c r="K168" i="108"/>
  <c r="K155" i="108"/>
  <c r="N154" i="108"/>
  <c r="N164" i="108"/>
  <c r="N163" i="108"/>
  <c r="G91" i="108"/>
  <c r="G84" i="108"/>
  <c r="H170" i="108"/>
  <c r="I154" i="108"/>
  <c r="I123" i="108"/>
  <c r="J155" i="108"/>
  <c r="J165" i="108"/>
  <c r="J152" i="108"/>
  <c r="N153" i="108"/>
  <c r="N175" i="108" s="1"/>
  <c r="N128" i="108"/>
  <c r="N127" i="108"/>
  <c r="J156" i="108"/>
  <c r="H163" i="108"/>
  <c r="G32" i="108" l="1"/>
  <c r="G68" i="111" s="1"/>
  <c r="L68" i="111"/>
  <c r="X6" i="106" a="1"/>
  <c r="X6" i="106" s="1"/>
  <c r="G11" i="111"/>
  <c r="G18" i="111"/>
  <c r="I173" i="108"/>
  <c r="G28" i="108"/>
  <c r="L63" i="111"/>
  <c r="J19" i="111"/>
  <c r="W53" i="9" s="1" a="1"/>
  <c r="W53" i="9" s="1"/>
  <c r="W17" i="9" a="1"/>
  <c r="W17" i="9" s="1"/>
  <c r="M73" i="111"/>
  <c r="J77" i="111"/>
  <c r="M81" i="111"/>
  <c r="J173" i="108"/>
  <c r="J15" i="111"/>
  <c r="W29" i="9" s="1" a="1"/>
  <c r="W29" i="9" s="1"/>
  <c r="W65" i="9" a="1"/>
  <c r="W65" i="9" s="1"/>
  <c r="G48" i="111"/>
  <c r="G38" i="111"/>
  <c r="W14" i="105" s="1" a="1"/>
  <c r="W14" i="105" s="1"/>
  <c r="G30" i="108"/>
  <c r="L65" i="111"/>
  <c r="G20" i="111"/>
  <c r="T57" i="9" s="1" a="1"/>
  <c r="T57" i="9" s="1"/>
  <c r="T21" i="9" a="1"/>
  <c r="T21" i="9" s="1"/>
  <c r="T77" i="9" a="1"/>
  <c r="T77" i="9" s="1"/>
  <c r="I70" i="111"/>
  <c r="I67" i="111"/>
  <c r="I78" i="111"/>
  <c r="N70" i="111"/>
  <c r="N67" i="111"/>
  <c r="H70" i="111"/>
  <c r="H67" i="111"/>
  <c r="H78" i="111"/>
  <c r="M173" i="108"/>
  <c r="K72" i="111"/>
  <c r="K80" i="111"/>
  <c r="G33" i="108"/>
  <c r="L69" i="111"/>
  <c r="M80" i="111"/>
  <c r="N72" i="111"/>
  <c r="N80" i="111"/>
  <c r="O70" i="111"/>
  <c r="O67" i="111"/>
  <c r="J69" i="111"/>
  <c r="Z75" i="106" a="1"/>
  <c r="Z75" i="106" s="1"/>
  <c r="X87" i="106" a="1"/>
  <c r="X87" i="106" s="1"/>
  <c r="Z54" i="106" a="1"/>
  <c r="Z54" i="106" s="1"/>
  <c r="Q80" i="85" a="1"/>
  <c r="Q80" i="85" s="1"/>
  <c r="Q68" i="85" a="1"/>
  <c r="Q68" i="85" s="1"/>
  <c r="Z120" i="106" a="1"/>
  <c r="Z120" i="106" s="1"/>
  <c r="Z90" i="106" a="1"/>
  <c r="Z90" i="106" s="1"/>
  <c r="Z114" i="106" a="1"/>
  <c r="Z114" i="106" s="1"/>
  <c r="Q47" i="85" a="1"/>
  <c r="Q47" i="85" s="1"/>
  <c r="J79" i="111"/>
  <c r="Q59" i="85" a="1"/>
  <c r="Q59" i="85" s="1"/>
  <c r="Z30" i="106" a="1"/>
  <c r="Z30" i="106" s="1"/>
  <c r="Z16" i="105" a="1"/>
  <c r="Z16" i="105" s="1"/>
  <c r="J37" i="111"/>
  <c r="J47" i="111"/>
  <c r="Z36" i="106" a="1"/>
  <c r="Z36" i="106" s="1"/>
  <c r="X75" i="106" a="1"/>
  <c r="X75" i="106" s="1"/>
  <c r="X66" i="106" a="1"/>
  <c r="X66" i="106" s="1"/>
  <c r="I99" i="111"/>
  <c r="Y108" i="106" s="1" a="1"/>
  <c r="Y108" i="106" s="1"/>
  <c r="W42" i="106" a="1"/>
  <c r="W42" i="106" s="1"/>
  <c r="W102" i="106" a="1"/>
  <c r="W102" i="106" s="1"/>
  <c r="W48" i="106" a="1"/>
  <c r="W48" i="106" s="1"/>
  <c r="J101" i="111"/>
  <c r="Z105" i="106" a="1"/>
  <c r="Z105" i="106" s="1"/>
  <c r="Z45" i="106" a="1"/>
  <c r="Z45" i="106" s="1"/>
  <c r="Z51" i="106" a="1"/>
  <c r="Z51" i="106" s="1"/>
  <c r="Z111" i="106" a="1"/>
  <c r="Z111" i="106" s="1"/>
  <c r="M88" i="111"/>
  <c r="M98" i="111" s="1"/>
  <c r="Y42" i="106" a="1"/>
  <c r="Y42" i="106" s="1"/>
  <c r="Y27" i="106" a="1"/>
  <c r="Y27" i="106" s="1"/>
  <c r="Y24" i="106" a="1"/>
  <c r="Y24" i="106" s="1"/>
  <c r="I88" i="111"/>
  <c r="Y26" i="105" s="1" a="1"/>
  <c r="Y26" i="105" s="1"/>
  <c r="Y6" i="105" a="1"/>
  <c r="Y6" i="105" s="1"/>
  <c r="Y18" i="105" a="1"/>
  <c r="Y18" i="105" s="1"/>
  <c r="Y10" i="105" a="1"/>
  <c r="Y10" i="105" s="1"/>
  <c r="Y87" i="106" a="1"/>
  <c r="Y87" i="106" s="1"/>
  <c r="H99" i="111"/>
  <c r="L88" i="111"/>
  <c r="L98" i="111" s="1"/>
  <c r="K88" i="111"/>
  <c r="K98" i="111" s="1"/>
  <c r="Y84" i="106" a="1"/>
  <c r="Y84" i="106" s="1"/>
  <c r="O88" i="111"/>
  <c r="O98" i="111" s="1"/>
  <c r="Y15" i="106" a="1"/>
  <c r="Y15" i="106" s="1"/>
  <c r="W10" i="105" a="1"/>
  <c r="W10" i="105" s="1"/>
  <c r="G98" i="111"/>
  <c r="W18" i="105" a="1"/>
  <c r="W18" i="105" s="1"/>
  <c r="W6" i="105" a="1"/>
  <c r="W6" i="105" s="1"/>
  <c r="Y75" i="106" a="1"/>
  <c r="Y75" i="106" s="1"/>
  <c r="J89" i="111"/>
  <c r="Z38" i="105" a="1"/>
  <c r="Z38" i="105" s="1"/>
  <c r="Z34" i="105" a="1"/>
  <c r="Z34" i="105" s="1"/>
  <c r="Y6" i="106" a="1"/>
  <c r="Y6" i="106" s="1"/>
  <c r="H88" i="111"/>
  <c r="X26" i="105" s="1" a="1"/>
  <c r="X26" i="105" s="1"/>
  <c r="H98" i="111"/>
  <c r="X18" i="105" a="1"/>
  <c r="X18" i="105" s="1"/>
  <c r="X6" i="105" a="1"/>
  <c r="X6" i="105" s="1"/>
  <c r="X10" i="105" a="1"/>
  <c r="X10" i="105" s="1"/>
  <c r="N88" i="111"/>
  <c r="N98" i="111" s="1"/>
  <c r="Z10" i="105" a="1"/>
  <c r="Z10" i="105" s="1"/>
  <c r="Z6" i="105" a="1"/>
  <c r="Z6" i="105" s="1"/>
  <c r="Z18" i="105" a="1"/>
  <c r="Z18" i="105" s="1"/>
  <c r="J87" i="111"/>
  <c r="J97" i="111" s="1"/>
  <c r="J93" i="111"/>
  <c r="J88" i="111" s="1"/>
  <c r="Z26" i="105" s="1" a="1"/>
  <c r="Z26" i="105" s="1"/>
  <c r="Z93" i="106" a="1"/>
  <c r="Z93" i="106" s="1"/>
  <c r="Z99" i="106" a="1"/>
  <c r="Z99" i="106" s="1"/>
  <c r="Z33" i="106" a="1"/>
  <c r="Z33" i="106" s="1"/>
  <c r="Z39" i="106" a="1"/>
  <c r="Z39" i="106" s="1"/>
  <c r="N173" i="108"/>
  <c r="K174" i="108"/>
  <c r="I176" i="108"/>
  <c r="J176" i="108"/>
  <c r="H173" i="108"/>
  <c r="J177" i="108"/>
  <c r="K173" i="108"/>
  <c r="I51" i="109"/>
  <c r="H48" i="109"/>
  <c r="H51" i="109"/>
  <c r="I32" i="109"/>
  <c r="I36" i="109"/>
  <c r="I35" i="109"/>
  <c r="H32" i="109"/>
  <c r="H31" i="109"/>
  <c r="I38" i="109"/>
  <c r="H35" i="109"/>
  <c r="I34" i="109"/>
  <c r="I41" i="109"/>
  <c r="H38" i="109"/>
  <c r="I44" i="109"/>
  <c r="H41" i="109"/>
  <c r="I47" i="109"/>
  <c r="H44" i="109"/>
  <c r="I50" i="109"/>
  <c r="H47" i="109"/>
  <c r="H33" i="109"/>
  <c r="H50" i="109"/>
  <c r="H45" i="109"/>
  <c r="I31" i="109"/>
  <c r="I37" i="109"/>
  <c r="H34" i="109"/>
  <c r="I33" i="109"/>
  <c r="I40" i="109"/>
  <c r="H37" i="109"/>
  <c r="I48" i="109"/>
  <c r="I43" i="109"/>
  <c r="H40" i="109"/>
  <c r="I46" i="109"/>
  <c r="H43" i="109"/>
  <c r="I49" i="109"/>
  <c r="H46" i="109"/>
  <c r="H49" i="109"/>
  <c r="I39" i="109"/>
  <c r="H36" i="109"/>
  <c r="I42" i="109"/>
  <c r="H39" i="109"/>
  <c r="I45" i="109"/>
  <c r="H42" i="109"/>
  <c r="N177" i="108"/>
  <c r="G45" i="109"/>
  <c r="G48" i="109"/>
  <c r="G51" i="109"/>
  <c r="G32" i="109"/>
  <c r="G35" i="109"/>
  <c r="G38" i="109"/>
  <c r="G41" i="109"/>
  <c r="G44" i="109"/>
  <c r="G47" i="109"/>
  <c r="G50" i="109"/>
  <c r="G31" i="109"/>
  <c r="G42" i="109"/>
  <c r="G34" i="109"/>
  <c r="G37" i="109"/>
  <c r="G40" i="109"/>
  <c r="G43" i="109"/>
  <c r="G46" i="109"/>
  <c r="G49" i="109"/>
  <c r="G33" i="109"/>
  <c r="G36" i="109"/>
  <c r="G39" i="109"/>
  <c r="J37" i="109"/>
  <c r="J32" i="109"/>
  <c r="J36" i="109"/>
  <c r="J35" i="109"/>
  <c r="J33" i="109"/>
  <c r="J38" i="109"/>
  <c r="J41" i="109"/>
  <c r="J44" i="109"/>
  <c r="J47" i="109"/>
  <c r="J50" i="109"/>
  <c r="J39" i="109"/>
  <c r="J51" i="109"/>
  <c r="J31" i="109"/>
  <c r="J34" i="109"/>
  <c r="J40" i="109"/>
  <c r="J43" i="109"/>
  <c r="J46" i="109"/>
  <c r="J49" i="109"/>
  <c r="J42" i="109"/>
  <c r="J48" i="109"/>
  <c r="J45" i="109"/>
  <c r="K176" i="108"/>
  <c r="I174" i="108"/>
  <c r="G53" i="108"/>
  <c r="G177" i="108"/>
  <c r="N176" i="108"/>
  <c r="M35" i="109"/>
  <c r="M38" i="109"/>
  <c r="M45" i="109"/>
  <c r="M41" i="109"/>
  <c r="M44" i="109"/>
  <c r="M47" i="109"/>
  <c r="M50" i="109"/>
  <c r="M32" i="109"/>
  <c r="M31" i="109"/>
  <c r="M46" i="109"/>
  <c r="M42" i="109"/>
  <c r="M34" i="109"/>
  <c r="M37" i="109"/>
  <c r="M48" i="109"/>
  <c r="M40" i="109"/>
  <c r="M43" i="109"/>
  <c r="M49" i="109"/>
  <c r="M33" i="109"/>
  <c r="M36" i="109"/>
  <c r="M39" i="109"/>
  <c r="M51" i="109"/>
  <c r="K177" i="108"/>
  <c r="P156" i="108"/>
  <c r="J178" i="108" s="1"/>
  <c r="M166" i="108"/>
  <c r="J166" i="108"/>
  <c r="N166" i="108"/>
  <c r="K166" i="108"/>
  <c r="I166" i="108"/>
  <c r="H174" i="108"/>
  <c r="H176" i="108"/>
  <c r="H177" i="108"/>
  <c r="M177" i="108"/>
  <c r="J174" i="108"/>
  <c r="N174" i="108"/>
  <c r="AG27" i="106"/>
  <c r="AE28" i="106"/>
  <c r="AG28" i="106"/>
  <c r="AG29" i="106"/>
  <c r="AG30" i="106"/>
  <c r="Y102" i="106" l="1" a="1"/>
  <c r="Y102" i="106" s="1"/>
  <c r="N78" i="111"/>
  <c r="N79" i="111"/>
  <c r="N71" i="111"/>
  <c r="I71" i="111"/>
  <c r="P59" i="85" a="1"/>
  <c r="P59" i="85" s="1"/>
  <c r="P47" i="85" a="1"/>
  <c r="P47" i="85" s="1"/>
  <c r="I79" i="111"/>
  <c r="P26" i="85" s="1" a="1"/>
  <c r="P26" i="85" s="1"/>
  <c r="Y48" i="106" a="1"/>
  <c r="Y48" i="106" s="1"/>
  <c r="G65" i="111"/>
  <c r="G51" i="108"/>
  <c r="G175" i="108"/>
  <c r="W34" i="105" a="1"/>
  <c r="W34" i="105" s="1"/>
  <c r="W38" i="105" a="1"/>
  <c r="W38" i="105" s="1"/>
  <c r="J80" i="111"/>
  <c r="Q55" i="85" a="1"/>
  <c r="Q55" i="85" s="1"/>
  <c r="Q65" i="85" a="1"/>
  <c r="Q65" i="85" s="1"/>
  <c r="J81" i="111"/>
  <c r="O78" i="111"/>
  <c r="O79" i="111"/>
  <c r="O71" i="111"/>
  <c r="J73" i="111"/>
  <c r="Q13" i="85" a="1"/>
  <c r="Q13" i="85" s="1"/>
  <c r="L81" i="111"/>
  <c r="L73" i="111"/>
  <c r="G69" i="111"/>
  <c r="G54" i="108"/>
  <c r="G178" i="108"/>
  <c r="G63" i="111"/>
  <c r="G49" i="108"/>
  <c r="G173" i="108"/>
  <c r="G19" i="111"/>
  <c r="T53" i="9" s="1" a="1"/>
  <c r="T53" i="9" s="1"/>
  <c r="T17" i="9" a="1"/>
  <c r="T17" i="9" s="1"/>
  <c r="H71" i="111"/>
  <c r="O59" i="85" a="1"/>
  <c r="O59" i="85" s="1"/>
  <c r="O47" i="85" a="1"/>
  <c r="O47" i="85" s="1"/>
  <c r="H79" i="111"/>
  <c r="O26" i="85" s="1" a="1"/>
  <c r="O26" i="85" s="1"/>
  <c r="L72" i="111"/>
  <c r="L80" i="111"/>
  <c r="L79" i="111"/>
  <c r="N51" i="85" a="1"/>
  <c r="N51" i="85" s="1"/>
  <c r="N62" i="85" a="1"/>
  <c r="N62" i="85" s="1"/>
  <c r="G79" i="111"/>
  <c r="N26" i="85" s="1" a="1"/>
  <c r="N26" i="85" s="1"/>
  <c r="Q26" i="85" a="1"/>
  <c r="Q26" i="85" s="1"/>
  <c r="I98" i="111"/>
  <c r="X108" i="106" a="1"/>
  <c r="X108" i="106" s="1"/>
  <c r="X102" i="106" a="1"/>
  <c r="X102" i="106" s="1"/>
  <c r="X48" i="106" a="1"/>
  <c r="X48" i="106" s="1"/>
  <c r="X42" i="106" a="1"/>
  <c r="X42" i="106" s="1"/>
  <c r="J98" i="111"/>
  <c r="Z28" i="105" a="1"/>
  <c r="Z28" i="105" s="1"/>
  <c r="Z87" i="106" a="1"/>
  <c r="Z87" i="106" s="1"/>
  <c r="Z24" i="106" a="1"/>
  <c r="Z24" i="106" s="1"/>
  <c r="Z27" i="106" a="1"/>
  <c r="Z27" i="106" s="1"/>
  <c r="J99" i="111"/>
  <c r="Z84" i="106" a="1"/>
  <c r="Z84" i="106" s="1"/>
  <c r="K178" i="108"/>
  <c r="N178" i="108"/>
  <c r="M178" i="108"/>
  <c r="H178" i="108"/>
  <c r="I178" i="108"/>
  <c r="N55" i="85" l="1" a="1"/>
  <c r="N55" i="85" s="1"/>
  <c r="G81" i="111"/>
  <c r="N65" i="85" a="1"/>
  <c r="N65" i="85" s="1"/>
  <c r="Q76" i="85" a="1"/>
  <c r="Q76" i="85" s="1"/>
  <c r="Q86" i="85" a="1"/>
  <c r="Q86" i="85" s="1"/>
  <c r="G80" i="111"/>
  <c r="P80" i="85" a="1"/>
  <c r="P80" i="85" s="1"/>
  <c r="P68" i="85" a="1"/>
  <c r="P68" i="85" s="1"/>
  <c r="O80" i="85" a="1"/>
  <c r="O80" i="85" s="1"/>
  <c r="O68" i="85" a="1"/>
  <c r="O68" i="85" s="1"/>
  <c r="Z42" i="106" a="1"/>
  <c r="Z42" i="106" s="1"/>
  <c r="Z48" i="106" a="1"/>
  <c r="Z48" i="106" s="1"/>
  <c r="Z108" i="106" a="1"/>
  <c r="Z108" i="106" s="1"/>
  <c r="Z102" i="106" a="1"/>
  <c r="Z102" i="106" s="1"/>
  <c r="J28" i="105"/>
  <c r="J30" i="105" s="1"/>
  <c r="J32" i="105" s="1"/>
  <c r="H28" i="105"/>
  <c r="H30" i="105" s="1"/>
  <c r="H32" i="105" s="1"/>
  <c r="G28" i="105"/>
  <c r="G30" i="105" s="1"/>
  <c r="G32" i="105" s="1"/>
  <c r="J20" i="105"/>
  <c r="J22" i="105" s="1"/>
  <c r="J24" i="105" s="1"/>
  <c r="H20" i="105"/>
  <c r="H22" i="105" s="1"/>
  <c r="H24" i="105" s="1"/>
  <c r="G20" i="105"/>
  <c r="G22" i="105" s="1"/>
  <c r="G24" i="105" s="1"/>
  <c r="P40" i="105"/>
  <c r="P38" i="105"/>
  <c r="P36" i="105"/>
  <c r="P34" i="105"/>
  <c r="P16" i="105"/>
  <c r="P12" i="105"/>
  <c r="P10" i="105"/>
  <c r="P8" i="105"/>
  <c r="P6" i="105"/>
  <c r="E149" i="101" l="1"/>
  <c r="E151" i="101" s="1"/>
  <c r="E153" i="101" s="1"/>
  <c r="E148" i="101"/>
  <c r="E150" i="101" s="1"/>
  <c r="E152" i="101" s="1"/>
  <c r="E117" i="101"/>
  <c r="E119" i="101" s="1"/>
  <c r="E121" i="101" s="1"/>
  <c r="E116" i="101"/>
  <c r="E118" i="101" s="1"/>
  <c r="E120" i="101" s="1"/>
  <c r="C123" i="106" l="1"/>
  <c r="C120" i="106"/>
  <c r="C117" i="106"/>
  <c r="C114" i="106"/>
  <c r="C112" i="106"/>
  <c r="C111" i="106"/>
  <c r="C109" i="106"/>
  <c r="C108" i="106"/>
  <c r="C106" i="106"/>
  <c r="C105" i="106"/>
  <c r="C103" i="106"/>
  <c r="C102" i="106"/>
  <c r="C99" i="106"/>
  <c r="C96" i="106"/>
  <c r="C93" i="106"/>
  <c r="C90" i="106"/>
  <c r="C84" i="106"/>
  <c r="C81" i="106"/>
  <c r="B81" i="106" s="1"/>
  <c r="C78" i="106"/>
  <c r="B78" i="106" s="1"/>
  <c r="C75" i="106"/>
  <c r="B75" i="106" s="1"/>
  <c r="C72" i="106"/>
  <c r="B72" i="106" s="1"/>
  <c r="C69" i="106"/>
  <c r="B69" i="106" s="1"/>
  <c r="C66" i="106"/>
  <c r="B66" i="106" s="1"/>
  <c r="E67" i="101" l="1"/>
  <c r="E71" i="101" s="1"/>
  <c r="E75" i="101" s="1"/>
  <c r="E79" i="101" s="1"/>
  <c r="E83" i="101" s="1"/>
  <c r="E87" i="101" s="1"/>
  <c r="E91" i="101" s="1"/>
  <c r="E95" i="101" s="1"/>
  <c r="E99" i="101" s="1"/>
  <c r="E103" i="101" s="1"/>
  <c r="E68" i="101"/>
  <c r="E72" i="101" s="1"/>
  <c r="E76" i="101" s="1"/>
  <c r="E80" i="101" s="1"/>
  <c r="E84" i="101" s="1"/>
  <c r="E88" i="101" s="1"/>
  <c r="E92" i="101" s="1"/>
  <c r="E96" i="101" s="1"/>
  <c r="E100" i="101" s="1"/>
  <c r="E104" i="101" s="1"/>
  <c r="E69" i="101"/>
  <c r="E73" i="101" s="1"/>
  <c r="E77" i="101" s="1"/>
  <c r="E81" i="101" s="1"/>
  <c r="E85" i="101" s="1"/>
  <c r="E89" i="101" s="1"/>
  <c r="E93" i="101" s="1"/>
  <c r="E97" i="101" s="1"/>
  <c r="E101" i="101" s="1"/>
  <c r="E105" i="101" s="1"/>
  <c r="E66" i="101"/>
  <c r="E70" i="101" s="1"/>
  <c r="E74" i="101" s="1"/>
  <c r="E78" i="101" s="1"/>
  <c r="E82" i="101" s="1"/>
  <c r="E86" i="101" s="1"/>
  <c r="E90" i="101" s="1"/>
  <c r="E94" i="101" s="1"/>
  <c r="E98" i="101" s="1"/>
  <c r="E102" i="101" s="1"/>
  <c r="D66" i="100"/>
  <c r="D67" i="100"/>
  <c r="D68" i="100"/>
  <c r="D69" i="100"/>
  <c r="D70" i="100"/>
  <c r="D71" i="100"/>
  <c r="D72" i="100"/>
  <c r="D73" i="100"/>
  <c r="D74" i="100"/>
  <c r="D75" i="100"/>
  <c r="D76" i="100"/>
  <c r="D77" i="100"/>
  <c r="D78" i="100"/>
  <c r="D79" i="100"/>
  <c r="D80" i="100"/>
  <c r="D81" i="100"/>
  <c r="D82" i="100"/>
  <c r="D83" i="100"/>
  <c r="D84" i="100"/>
  <c r="D85" i="100"/>
  <c r="D86" i="100"/>
  <c r="D87" i="100"/>
  <c r="D88" i="100"/>
  <c r="D89" i="100"/>
  <c r="D90" i="100"/>
  <c r="D91" i="100"/>
  <c r="D92" i="100"/>
  <c r="D93" i="100"/>
  <c r="D94" i="100"/>
  <c r="D95" i="100"/>
  <c r="D96" i="100"/>
  <c r="D97" i="100"/>
  <c r="D98" i="100"/>
  <c r="D99" i="100"/>
  <c r="D65" i="100"/>
  <c r="B13" i="100"/>
  <c r="C72" i="100" s="1"/>
  <c r="B11" i="100"/>
  <c r="C70" i="100" s="1"/>
  <c r="B9" i="100"/>
  <c r="C68" i="100" s="1"/>
  <c r="B7" i="100"/>
  <c r="C66" i="100" s="1"/>
  <c r="D270" i="101" l="1"/>
  <c r="D271" i="101"/>
  <c r="D272" i="101"/>
  <c r="D273" i="101"/>
  <c r="D274" i="101"/>
  <c r="D275" i="101"/>
  <c r="D276" i="101"/>
  <c r="D277" i="101"/>
  <c r="D278" i="101"/>
  <c r="D262" i="101"/>
  <c r="D263" i="101"/>
  <c r="D264" i="101"/>
  <c r="D265" i="101"/>
  <c r="D266" i="101"/>
  <c r="D267" i="101"/>
  <c r="D268" i="101"/>
  <c r="D269" i="101"/>
  <c r="D166" i="101"/>
  <c r="D167" i="101"/>
  <c r="D168" i="101"/>
  <c r="D169" i="101"/>
  <c r="D170" i="101"/>
  <c r="D171" i="101"/>
  <c r="D172" i="101"/>
  <c r="D173" i="101"/>
  <c r="D174" i="101"/>
  <c r="D175" i="101"/>
  <c r="D176" i="101"/>
  <c r="D177" i="101"/>
  <c r="D178" i="101"/>
  <c r="D179" i="101"/>
  <c r="D180" i="101"/>
  <c r="D181" i="101"/>
  <c r="D182" i="101"/>
  <c r="D183" i="101"/>
  <c r="D184" i="101"/>
  <c r="D185" i="101"/>
  <c r="D186" i="101"/>
  <c r="D187" i="101"/>
  <c r="D188" i="101"/>
  <c r="D189" i="101"/>
  <c r="D190" i="101"/>
  <c r="D191" i="101"/>
  <c r="D192" i="101"/>
  <c r="D193" i="101"/>
  <c r="D194" i="101"/>
  <c r="D195" i="101"/>
  <c r="D196" i="101"/>
  <c r="D197" i="101"/>
  <c r="D198" i="101"/>
  <c r="D199" i="101"/>
  <c r="D200" i="101"/>
  <c r="D201" i="101"/>
  <c r="D202" i="101"/>
  <c r="D203" i="101"/>
  <c r="D204" i="101"/>
  <c r="D205" i="101"/>
  <c r="D206" i="101"/>
  <c r="D207" i="101"/>
  <c r="D208" i="101"/>
  <c r="D209" i="101"/>
  <c r="D210" i="101"/>
  <c r="D211" i="101"/>
  <c r="D212" i="101"/>
  <c r="D213" i="101"/>
  <c r="D214" i="101"/>
  <c r="D215" i="101"/>
  <c r="D216" i="101"/>
  <c r="D217" i="101"/>
  <c r="D218" i="101"/>
  <c r="D219" i="101"/>
  <c r="D220" i="101"/>
  <c r="D221" i="101"/>
  <c r="D222" i="101"/>
  <c r="D223" i="101"/>
  <c r="D224" i="101"/>
  <c r="D225" i="101"/>
  <c r="D226" i="101"/>
  <c r="D227" i="101"/>
  <c r="D228" i="101"/>
  <c r="D229" i="101"/>
  <c r="D230" i="101"/>
  <c r="D231" i="101"/>
  <c r="D232" i="101"/>
  <c r="D233" i="101"/>
  <c r="D234" i="101"/>
  <c r="D235" i="101"/>
  <c r="D236" i="101"/>
  <c r="D237" i="101"/>
  <c r="D238" i="101"/>
  <c r="D239" i="101"/>
  <c r="D240" i="101"/>
  <c r="D241" i="101"/>
  <c r="D242" i="101"/>
  <c r="D243" i="101"/>
  <c r="D244" i="101"/>
  <c r="D245" i="101"/>
  <c r="D246" i="101"/>
  <c r="D247" i="101"/>
  <c r="D248" i="101"/>
  <c r="D249" i="101"/>
  <c r="D250" i="101"/>
  <c r="D251" i="101"/>
  <c r="D252" i="101"/>
  <c r="D253" i="101"/>
  <c r="D254" i="101"/>
  <c r="D255" i="101"/>
  <c r="D256" i="101"/>
  <c r="D257" i="101"/>
  <c r="D258" i="101"/>
  <c r="D259" i="101"/>
  <c r="D260" i="101"/>
  <c r="D261" i="101"/>
  <c r="D165" i="101"/>
  <c r="C12" i="101"/>
  <c r="C170" i="101" s="1"/>
  <c r="C10" i="101"/>
  <c r="C168" i="101" s="1"/>
  <c r="C8" i="101"/>
  <c r="C166" i="101" s="1"/>
  <c r="B6" i="105" l="1"/>
  <c r="D157" i="106"/>
  <c r="D158" i="106" s="1"/>
  <c r="D154" i="106"/>
  <c r="D155" i="106" s="1"/>
  <c r="D143" i="106"/>
  <c r="D144" i="106" s="1"/>
  <c r="D140" i="106"/>
  <c r="D141" i="106" s="1"/>
  <c r="B21" i="106"/>
  <c r="C144" i="106" s="1"/>
  <c r="B18" i="106"/>
  <c r="C143" i="106" s="1"/>
  <c r="B15" i="106"/>
  <c r="C158" i="106"/>
  <c r="C157" i="106"/>
  <c r="C155" i="106"/>
  <c r="C154" i="106"/>
  <c r="B42" i="106"/>
  <c r="B12" i="106"/>
  <c r="C141" i="106" s="1"/>
  <c r="B9" i="106"/>
  <c r="C140" i="106" s="1"/>
  <c r="B6" i="106"/>
  <c r="B18" i="105" l="1"/>
  <c r="B16" i="105"/>
  <c r="C58" i="105" s="1"/>
  <c r="B14" i="105"/>
  <c r="B38" i="105"/>
  <c r="B40" i="105"/>
  <c r="C64" i="105" s="1"/>
  <c r="B36" i="105"/>
  <c r="C62" i="105" s="1"/>
  <c r="B34" i="105"/>
  <c r="B26" i="105"/>
  <c r="B8" i="105"/>
  <c r="C54" i="105" s="1"/>
  <c r="B10" i="105"/>
  <c r="B12" i="105"/>
  <c r="C56" i="105" s="1"/>
  <c r="C139" i="106" l="1"/>
  <c r="C156" i="106"/>
  <c r="B120" i="106"/>
  <c r="B108" i="106"/>
  <c r="B96" i="106"/>
  <c r="B87" i="106"/>
  <c r="B60" i="106"/>
  <c r="B48" i="106"/>
  <c r="B36" i="106"/>
  <c r="B27" i="106"/>
  <c r="B114" i="106"/>
  <c r="B102" i="106"/>
  <c r="B90" i="106"/>
  <c r="B84" i="106"/>
  <c r="B54" i="106"/>
  <c r="B30" i="106"/>
  <c r="B24" i="106"/>
  <c r="C119" i="101" l="1"/>
  <c r="C244" i="101" s="1"/>
  <c r="C117" i="101"/>
  <c r="C242" i="101" s="1"/>
  <c r="C153" i="106" l="1"/>
  <c r="C142" i="106"/>
  <c r="AE17" i="106" l="1"/>
  <c r="K17" i="106" s="1"/>
  <c r="AE16" i="106"/>
  <c r="K16" i="106" s="1"/>
  <c r="AE15" i="106"/>
  <c r="K15" i="106" s="1"/>
  <c r="AE8" i="106"/>
  <c r="K8" i="106" s="1"/>
  <c r="AE7" i="106"/>
  <c r="K7" i="106" s="1"/>
  <c r="AE6" i="106"/>
  <c r="K6" i="106" s="1"/>
  <c r="AE95" i="106"/>
  <c r="K77" i="106" s="1"/>
  <c r="AE94" i="106"/>
  <c r="K76" i="106" s="1"/>
  <c r="AE93" i="106"/>
  <c r="K75" i="106" s="1"/>
  <c r="AE86" i="106"/>
  <c r="K68" i="106" s="1"/>
  <c r="AE85" i="106"/>
  <c r="K67" i="106" s="1"/>
  <c r="AE84" i="106"/>
  <c r="K66" i="106" s="1"/>
  <c r="O75" i="106" l="1"/>
  <c r="N75" i="106" s="1"/>
  <c r="N66" i="106"/>
  <c r="AF15" i="106"/>
  <c r="O15" i="106"/>
  <c r="N15" i="106" s="1"/>
  <c r="N6" i="106"/>
  <c r="AF6" i="106" l="1"/>
  <c r="Q5" i="104"/>
  <c r="O13" i="104" l="1"/>
  <c r="P42" i="104"/>
  <c r="Q42" i="104"/>
  <c r="R42" i="104"/>
  <c r="P43" i="104"/>
  <c r="Q43" i="104"/>
  <c r="R43" i="104"/>
  <c r="P44" i="104"/>
  <c r="Q44" i="104"/>
  <c r="R44" i="104"/>
  <c r="P45" i="104"/>
  <c r="Q45" i="104"/>
  <c r="R45" i="104"/>
  <c r="P46" i="104"/>
  <c r="Q46" i="104"/>
  <c r="R46" i="104"/>
  <c r="P47" i="104"/>
  <c r="Q47" i="104"/>
  <c r="R47" i="104"/>
  <c r="P48" i="104"/>
  <c r="Q48" i="104"/>
  <c r="R48" i="104"/>
  <c r="Q41" i="104"/>
  <c r="R41" i="104"/>
  <c r="P41" i="104"/>
  <c r="P31" i="104"/>
  <c r="Q31" i="104"/>
  <c r="R31" i="104"/>
  <c r="P32" i="104"/>
  <c r="Q32" i="104"/>
  <c r="R32" i="104"/>
  <c r="P33" i="104"/>
  <c r="Q33" i="104"/>
  <c r="R33" i="104"/>
  <c r="P34" i="104"/>
  <c r="Q34" i="104"/>
  <c r="R34" i="104"/>
  <c r="P35" i="104"/>
  <c r="Q35" i="104"/>
  <c r="R35" i="104"/>
  <c r="P36" i="104"/>
  <c r="Q36" i="104"/>
  <c r="R36" i="104"/>
  <c r="P37" i="104"/>
  <c r="Q37" i="104"/>
  <c r="R37" i="104"/>
  <c r="Q30" i="104"/>
  <c r="R30" i="104"/>
  <c r="P30" i="104"/>
  <c r="S11" i="104" l="1"/>
  <c r="O11" i="104"/>
  <c r="AH18" i="104"/>
  <c r="O12" i="104"/>
  <c r="I70" i="97" l="1"/>
  <c r="D31" i="97"/>
  <c r="O54" i="103"/>
  <c r="T54" i="103"/>
  <c r="O55" i="103"/>
  <c r="T55" i="103"/>
  <c r="O56" i="103"/>
  <c r="T56" i="103"/>
  <c r="O57" i="103"/>
  <c r="T57" i="103"/>
  <c r="F56" i="103"/>
  <c r="AJ55" i="103" l="1"/>
  <c r="AJ54" i="103"/>
  <c r="H55" i="103"/>
  <c r="H54" i="103"/>
  <c r="Q48" i="103"/>
  <c r="Q46" i="103"/>
  <c r="O46" i="103"/>
  <c r="S46" i="103"/>
  <c r="T46" i="103"/>
  <c r="O48" i="103"/>
  <c r="S48" i="103"/>
  <c r="T48" i="103"/>
  <c r="O50" i="103"/>
  <c r="Q50" i="103"/>
  <c r="S50" i="103"/>
  <c r="T50" i="103"/>
  <c r="O52" i="103"/>
  <c r="Q52" i="103"/>
  <c r="S52" i="103"/>
  <c r="T52" i="103"/>
  <c r="AJ49" i="103" l="1"/>
  <c r="AJ47" i="103"/>
  <c r="E53" i="103"/>
  <c r="E51" i="103"/>
  <c r="E49" i="103"/>
  <c r="E47" i="103"/>
  <c r="AJ48" i="103"/>
  <c r="AJ46" i="103"/>
  <c r="C11" i="103"/>
  <c r="C20" i="103"/>
  <c r="H52" i="103"/>
  <c r="H57" i="103" s="1"/>
  <c r="F52" i="103"/>
  <c r="H50" i="103"/>
  <c r="F50" i="103"/>
  <c r="C50" i="103" s="1"/>
  <c r="C90" i="103" s="1"/>
  <c r="H48" i="103"/>
  <c r="H56" i="103" s="1"/>
  <c r="F48" i="103"/>
  <c r="C48" i="103" s="1"/>
  <c r="C89" i="103" s="1"/>
  <c r="H46" i="103"/>
  <c r="F46" i="103"/>
  <c r="F54" i="103" s="1"/>
  <c r="C52" i="103" l="1"/>
  <c r="C91" i="103" s="1"/>
  <c r="F57" i="103"/>
  <c r="C57" i="103" s="1"/>
  <c r="C95" i="103" s="1"/>
  <c r="C46" i="103"/>
  <c r="C88" i="103" s="1"/>
  <c r="C54" i="103"/>
  <c r="C92" i="103" s="1"/>
  <c r="F55" i="103"/>
  <c r="C55" i="103" s="1"/>
  <c r="C93" i="103" s="1"/>
  <c r="C56" i="103"/>
  <c r="C94" i="103" s="1"/>
  <c r="AF132" i="106"/>
  <c r="AF9" i="106"/>
  <c r="AF12" i="106"/>
  <c r="AF18" i="106"/>
  <c r="K93" i="106"/>
  <c r="I39" i="106"/>
  <c r="AF45" i="106"/>
  <c r="AF49" i="106"/>
  <c r="I96" i="106" s="1"/>
  <c r="I36" i="106" l="1"/>
  <c r="K117" i="106"/>
  <c r="K94" i="106"/>
  <c r="K99" i="106"/>
  <c r="K123" i="106" s="1"/>
  <c r="K33" i="106"/>
  <c r="K57" i="106" s="1"/>
  <c r="K39" i="106"/>
  <c r="K63" i="106" s="1"/>
  <c r="K95" i="106" l="1"/>
  <c r="K119" i="106" s="1"/>
  <c r="K118" i="106"/>
  <c r="K100" i="106"/>
  <c r="K40" i="106"/>
  <c r="K51" i="106"/>
  <c r="K34" i="106"/>
  <c r="K58" i="106" s="1"/>
  <c r="K45" i="106"/>
  <c r="K41" i="106" l="1"/>
  <c r="K65" i="106" s="1"/>
  <c r="K64" i="106"/>
  <c r="K101" i="106"/>
  <c r="K125" i="106" s="1"/>
  <c r="K124" i="106"/>
  <c r="K35" i="106"/>
  <c r="K59" i="106" l="1"/>
  <c r="AF43" i="106"/>
  <c r="AG43" i="106"/>
  <c r="AH43" i="106"/>
  <c r="AI43" i="106"/>
  <c r="AG44" i="106"/>
  <c r="AF44" i="106" l="1"/>
  <c r="K30" i="106"/>
  <c r="K90" i="106"/>
  <c r="K36" i="106"/>
  <c r="K96" i="106"/>
  <c r="K60" i="106" l="1"/>
  <c r="K37" i="106"/>
  <c r="K48" i="106"/>
  <c r="K114" i="106"/>
  <c r="K91" i="106"/>
  <c r="K54" i="106"/>
  <c r="K31" i="106"/>
  <c r="K42" i="106"/>
  <c r="K120" i="106"/>
  <c r="K97" i="106"/>
  <c r="N69" i="106"/>
  <c r="N72" i="106"/>
  <c r="O78" i="106"/>
  <c r="N78" i="106" s="1"/>
  <c r="N81" i="106"/>
  <c r="N84" i="106"/>
  <c r="O90" i="106"/>
  <c r="N90" i="106" s="1"/>
  <c r="N93" i="106"/>
  <c r="N99" i="106"/>
  <c r="N102" i="106"/>
  <c r="N105" i="106"/>
  <c r="N108" i="106"/>
  <c r="N111" i="106"/>
  <c r="N114" i="106"/>
  <c r="N117" i="106"/>
  <c r="N120" i="106"/>
  <c r="N123" i="106"/>
  <c r="N9" i="106"/>
  <c r="O18" i="106"/>
  <c r="N18" i="106" s="1"/>
  <c r="N24" i="106"/>
  <c r="O30" i="106"/>
  <c r="N30" i="106" s="1"/>
  <c r="N33" i="106"/>
  <c r="N39" i="106"/>
  <c r="N42" i="106"/>
  <c r="N48" i="106"/>
  <c r="N54" i="106"/>
  <c r="N57" i="106"/>
  <c r="N60" i="106"/>
  <c r="N63" i="106"/>
  <c r="O96" i="106" l="1"/>
  <c r="N96" i="106" s="1"/>
  <c r="K55" i="106"/>
  <c r="K32" i="106"/>
  <c r="K115" i="106"/>
  <c r="K92" i="106"/>
  <c r="K38" i="106"/>
  <c r="K62" i="106" s="1"/>
  <c r="K61" i="106"/>
  <c r="K121" i="106"/>
  <c r="K98" i="106"/>
  <c r="O36" i="106"/>
  <c r="N36" i="106" s="1"/>
  <c r="O87" i="106"/>
  <c r="N87" i="106" s="1"/>
  <c r="O27" i="106"/>
  <c r="N27" i="106" s="1"/>
  <c r="C145" i="106"/>
  <c r="C146" i="106"/>
  <c r="K122" i="106" l="1"/>
  <c r="K56" i="106"/>
  <c r="K116" i="106"/>
  <c r="C166" i="106"/>
  <c r="C165" i="106"/>
  <c r="C164" i="106"/>
  <c r="C163" i="106"/>
  <c r="C162" i="106"/>
  <c r="C161" i="106"/>
  <c r="C160" i="106"/>
  <c r="C159" i="106"/>
  <c r="C152" i="106"/>
  <c r="C151" i="106"/>
  <c r="C150" i="106"/>
  <c r="C149" i="106"/>
  <c r="C148" i="106"/>
  <c r="C147" i="106"/>
  <c r="C63" i="105"/>
  <c r="C61" i="105"/>
  <c r="C57" i="105"/>
  <c r="C55" i="105"/>
  <c r="C53" i="105"/>
  <c r="C60" i="105"/>
  <c r="C59" i="105"/>
  <c r="I11" i="105"/>
  <c r="I10" i="105"/>
  <c r="I39" i="105" s="1"/>
  <c r="I7" i="105"/>
  <c r="I15" i="105" s="1"/>
  <c r="I6" i="105"/>
  <c r="I14" i="105" s="1"/>
  <c r="I18" i="105" l="1"/>
  <c r="I35" i="105"/>
  <c r="C42" i="103"/>
  <c r="C38" i="103"/>
  <c r="C34" i="103"/>
  <c r="C18" i="103"/>
  <c r="C19" i="103"/>
  <c r="C21" i="103"/>
  <c r="C22" i="103"/>
  <c r="C23" i="103"/>
  <c r="C24" i="103"/>
  <c r="C25" i="103"/>
  <c r="C26" i="103"/>
  <c r="C27" i="103"/>
  <c r="C28" i="103"/>
  <c r="C29" i="103"/>
  <c r="C30" i="103"/>
  <c r="C13" i="103"/>
  <c r="C9" i="103"/>
  <c r="C7" i="103"/>
  <c r="C7" i="101"/>
  <c r="C165" i="101" s="1"/>
  <c r="I19" i="105" l="1"/>
  <c r="I20" i="105"/>
  <c r="I34" i="105"/>
  <c r="I38" i="105"/>
  <c r="I22" i="105" l="1"/>
  <c r="I21" i="105"/>
  <c r="I33" i="90"/>
  <c r="H34" i="90"/>
  <c r="I34" i="90"/>
  <c r="I23" i="105" l="1"/>
  <c r="I24" i="105"/>
  <c r="B35" i="100"/>
  <c r="C82" i="100" s="1"/>
  <c r="B50" i="100"/>
  <c r="C97" i="100" s="1"/>
  <c r="B34" i="100"/>
  <c r="C81" i="100" s="1"/>
  <c r="B30" i="100"/>
  <c r="C80" i="100" s="1"/>
  <c r="B26" i="100"/>
  <c r="C79" i="100" s="1"/>
  <c r="B22" i="100"/>
  <c r="C78" i="100" s="1"/>
  <c r="B14" i="100"/>
  <c r="C73" i="100" s="1"/>
  <c r="B15" i="100"/>
  <c r="C74" i="100" s="1"/>
  <c r="B16" i="100"/>
  <c r="C75" i="100" s="1"/>
  <c r="B17" i="100"/>
  <c r="C76" i="100" s="1"/>
  <c r="B18" i="100"/>
  <c r="C77" i="100" s="1"/>
  <c r="B12" i="100"/>
  <c r="C71" i="100" s="1"/>
  <c r="B10" i="100"/>
  <c r="C69" i="100" s="1"/>
  <c r="B8" i="100"/>
  <c r="C67" i="100" s="1"/>
  <c r="B6" i="100"/>
  <c r="B37" i="100"/>
  <c r="C84" i="100" s="1"/>
  <c r="B38" i="100"/>
  <c r="C85" i="100" s="1"/>
  <c r="B39" i="100"/>
  <c r="C86" i="100" s="1"/>
  <c r="B40" i="100"/>
  <c r="C87" i="100" s="1"/>
  <c r="B41" i="100"/>
  <c r="C88" i="100" s="1"/>
  <c r="B42" i="100"/>
  <c r="C89" i="100" s="1"/>
  <c r="B43" i="100"/>
  <c r="C90" i="100" s="1"/>
  <c r="B44" i="100"/>
  <c r="C91" i="100" s="1"/>
  <c r="B45" i="100"/>
  <c r="C92" i="100" s="1"/>
  <c r="B46" i="100"/>
  <c r="C93" i="100" s="1"/>
  <c r="B47" i="100"/>
  <c r="C94" i="100" s="1"/>
  <c r="B48" i="100"/>
  <c r="C95" i="100" s="1"/>
  <c r="B49" i="100"/>
  <c r="C96" i="100" s="1"/>
  <c r="B36" i="100"/>
  <c r="C83" i="100" s="1"/>
  <c r="R49" i="100"/>
  <c r="Q49" i="100" s="1"/>
  <c r="R48" i="100"/>
  <c r="Q48" i="100" s="1"/>
  <c r="R47" i="100"/>
  <c r="Q47" i="100" s="1"/>
  <c r="R46" i="100"/>
  <c r="Q46" i="100" s="1"/>
  <c r="R45" i="100"/>
  <c r="Q45" i="100" s="1"/>
  <c r="R44" i="100"/>
  <c r="Q44" i="100" s="1"/>
  <c r="R43" i="100"/>
  <c r="Q43" i="100" s="1"/>
  <c r="R42" i="100"/>
  <c r="Q42" i="100" s="1"/>
  <c r="R41" i="100"/>
  <c r="Q41" i="100" s="1"/>
  <c r="R40" i="100"/>
  <c r="Q40" i="100" s="1"/>
  <c r="R39" i="100"/>
  <c r="Q39" i="100" s="1"/>
  <c r="R38" i="100"/>
  <c r="Q38" i="100" s="1"/>
  <c r="R37" i="100"/>
  <c r="Q37" i="100" s="1"/>
  <c r="R36" i="100"/>
  <c r="Q36" i="100" s="1"/>
  <c r="Q34" i="100"/>
  <c r="Q35" i="100"/>
  <c r="C122" i="101"/>
  <c r="C247" i="101" s="1"/>
  <c r="C123" i="101"/>
  <c r="C248" i="101" s="1"/>
  <c r="C124" i="101"/>
  <c r="C249" i="101" s="1"/>
  <c r="C125" i="101"/>
  <c r="C250" i="101" s="1"/>
  <c r="C126" i="101"/>
  <c r="C251" i="101" s="1"/>
  <c r="C127" i="101"/>
  <c r="C252" i="101" s="1"/>
  <c r="C128" i="101"/>
  <c r="C253" i="101" s="1"/>
  <c r="C129" i="101"/>
  <c r="C254" i="101" s="1"/>
  <c r="C102" i="101"/>
  <c r="C230" i="101" s="1"/>
  <c r="C98" i="101"/>
  <c r="C229" i="101" s="1"/>
  <c r="C94" i="101"/>
  <c r="C228" i="101" s="1"/>
  <c r="C90" i="101"/>
  <c r="C227" i="101" s="1"/>
  <c r="C86" i="101"/>
  <c r="C226" i="101" s="1"/>
  <c r="C82" i="101"/>
  <c r="C225" i="101" s="1"/>
  <c r="C78" i="101"/>
  <c r="C224" i="101" s="1"/>
  <c r="C74" i="101"/>
  <c r="C223" i="101" s="1"/>
  <c r="C70" i="101"/>
  <c r="C222" i="101" s="1"/>
  <c r="C66" i="101"/>
  <c r="C221" i="101" s="1"/>
  <c r="C30" i="101"/>
  <c r="C188" i="101" s="1"/>
  <c r="C31" i="101"/>
  <c r="C189" i="101" s="1"/>
  <c r="C40" i="101"/>
  <c r="C198" i="101" s="1"/>
  <c r="C41" i="101"/>
  <c r="C199" i="101" s="1"/>
  <c r="C42" i="101"/>
  <c r="C200" i="101" s="1"/>
  <c r="C32" i="101"/>
  <c r="C190" i="101" s="1"/>
  <c r="C33" i="101"/>
  <c r="C191" i="101" s="1"/>
  <c r="C34" i="101"/>
  <c r="C192" i="101" s="1"/>
  <c r="C43" i="101"/>
  <c r="C201" i="101" s="1"/>
  <c r="C44" i="101"/>
  <c r="C202" i="101" s="1"/>
  <c r="C45" i="101"/>
  <c r="C203" i="101" s="1"/>
  <c r="C35" i="101"/>
  <c r="C193" i="101" s="1"/>
  <c r="C36" i="101"/>
  <c r="C194" i="101" s="1"/>
  <c r="C37" i="101"/>
  <c r="C195" i="101" s="1"/>
  <c r="C46" i="101"/>
  <c r="C204" i="101" s="1"/>
  <c r="C47" i="101"/>
  <c r="C205" i="101" s="1"/>
  <c r="C48" i="101"/>
  <c r="C206" i="101" s="1"/>
  <c r="C38" i="101"/>
  <c r="C196" i="101" s="1"/>
  <c r="C39" i="101"/>
  <c r="C197" i="101" s="1"/>
  <c r="C49" i="101"/>
  <c r="C207" i="101" s="1"/>
  <c r="C50" i="101"/>
  <c r="C208" i="101" s="1"/>
  <c r="C51" i="101"/>
  <c r="C209" i="101" s="1"/>
  <c r="C52" i="101"/>
  <c r="C210" i="101" s="1"/>
  <c r="C53" i="101"/>
  <c r="C211" i="101" s="1"/>
  <c r="C54" i="101"/>
  <c r="C212" i="101" s="1"/>
  <c r="C55" i="101"/>
  <c r="C213" i="101" s="1"/>
  <c r="C56" i="101"/>
  <c r="C214" i="101" s="1"/>
  <c r="C57" i="101"/>
  <c r="C215" i="101" s="1"/>
  <c r="C58" i="101"/>
  <c r="C216" i="101" s="1"/>
  <c r="C59" i="101"/>
  <c r="C217" i="101" s="1"/>
  <c r="C60" i="101"/>
  <c r="C218" i="101" s="1"/>
  <c r="C61" i="101"/>
  <c r="C219" i="101" s="1"/>
  <c r="C62" i="101"/>
  <c r="C220" i="101" s="1"/>
  <c r="C27" i="101"/>
  <c r="C185" i="101" s="1"/>
  <c r="C25" i="101"/>
  <c r="C183" i="101" s="1"/>
  <c r="C23" i="101"/>
  <c r="C181" i="101" s="1"/>
  <c r="C21" i="101"/>
  <c r="C179" i="101" s="1"/>
  <c r="C19" i="101"/>
  <c r="C177" i="101" s="1"/>
  <c r="C17" i="101"/>
  <c r="C175" i="101" s="1"/>
  <c r="C15" i="101"/>
  <c r="C173" i="101" s="1"/>
  <c r="C13" i="101"/>
  <c r="C171" i="101" s="1"/>
  <c r="C11" i="101"/>
  <c r="C169" i="101" s="1"/>
  <c r="C9" i="101"/>
  <c r="C167" i="101" s="1"/>
  <c r="I25" i="105" l="1"/>
  <c r="AE8" i="101" a="1"/>
  <c r="AE8" i="101" s="1"/>
  <c r="AE9" i="101" a="1"/>
  <c r="AE9" i="101" s="1"/>
  <c r="AE10" i="101" a="1"/>
  <c r="AE10" i="101" s="1"/>
  <c r="AE11" i="101" a="1"/>
  <c r="AE11" i="101" s="1"/>
  <c r="AE12" i="101" a="1"/>
  <c r="AE12" i="101" s="1"/>
  <c r="AE13" i="101" a="1"/>
  <c r="AE13" i="101" s="1"/>
  <c r="AE15" i="101" a="1"/>
  <c r="AE15" i="101" s="1"/>
  <c r="AE17" i="101" a="1"/>
  <c r="AE17" i="101" s="1"/>
  <c r="AE19" i="101" a="1"/>
  <c r="AE19" i="101" s="1"/>
  <c r="AE21" i="101" a="1"/>
  <c r="AE21" i="101" s="1"/>
  <c r="AE23" i="101" a="1"/>
  <c r="AE23" i="101" s="1"/>
  <c r="AF23" i="101" s="1" a="1"/>
  <c r="AF23" i="101" s="1"/>
  <c r="AE25" i="101" a="1"/>
  <c r="AE25" i="101" s="1"/>
  <c r="AF25" i="101" s="1" a="1"/>
  <c r="AF25" i="101" s="1"/>
  <c r="AE27" i="101" a="1"/>
  <c r="AE27" i="101" s="1"/>
  <c r="AE29" i="101" a="1"/>
  <c r="AE29" i="101" s="1"/>
  <c r="AE30" i="101" a="1"/>
  <c r="AE30" i="101" s="1"/>
  <c r="AE31" i="101" a="1"/>
  <c r="AE31" i="101" s="1"/>
  <c r="AF31" i="101" s="1" a="1"/>
  <c r="AF31" i="101" s="1"/>
  <c r="AE40" i="101" a="1"/>
  <c r="AE40" i="101" s="1"/>
  <c r="AE41" i="101" a="1"/>
  <c r="AE41" i="101" s="1"/>
  <c r="AF41" i="101" s="1" a="1"/>
  <c r="AF41" i="101" s="1"/>
  <c r="AE42" i="101" a="1"/>
  <c r="AE42" i="101" s="1"/>
  <c r="AE32" i="101" a="1"/>
  <c r="AE32" i="101" s="1"/>
  <c r="AE33" i="101" a="1"/>
  <c r="AE33" i="101" s="1"/>
  <c r="AF33" i="101" s="1" a="1"/>
  <c r="AF33" i="101" s="1"/>
  <c r="AE34" i="101" a="1"/>
  <c r="AE34" i="101" s="1"/>
  <c r="AE43" i="101" a="1"/>
  <c r="AE43" i="101" s="1"/>
  <c r="AF43" i="101" s="1" a="1"/>
  <c r="AF43" i="101" s="1"/>
  <c r="AE44" i="101" a="1"/>
  <c r="AE44" i="101" s="1"/>
  <c r="AE45" i="101" a="1"/>
  <c r="AE45" i="101" s="1"/>
  <c r="AF45" i="101" s="1" a="1"/>
  <c r="AF45" i="101" s="1"/>
  <c r="AE35" i="101" a="1"/>
  <c r="AE35" i="101" s="1"/>
  <c r="AF35" i="101" s="1" a="1"/>
  <c r="AF35" i="101" s="1"/>
  <c r="AE36" i="101" a="1"/>
  <c r="AE36" i="101" s="1"/>
  <c r="AE37" i="101" a="1"/>
  <c r="AE37" i="101" s="1"/>
  <c r="AF37" i="101" s="1" a="1"/>
  <c r="AF37" i="101" s="1"/>
  <c r="AE46" i="101" a="1"/>
  <c r="AE46" i="101" s="1"/>
  <c r="AE47" i="101" a="1"/>
  <c r="AE47" i="101" s="1"/>
  <c r="AF47" i="101" s="1" a="1"/>
  <c r="AF47" i="101" s="1"/>
  <c r="AE48" i="101" a="1"/>
  <c r="AE48" i="101" s="1"/>
  <c r="AE38" i="101" a="1"/>
  <c r="AE38" i="101" s="1"/>
  <c r="AE39" i="101" a="1"/>
  <c r="AE39" i="101" s="1"/>
  <c r="AF39" i="101" s="1" a="1"/>
  <c r="AF39" i="101" s="1"/>
  <c r="AE50" i="101" a="1"/>
  <c r="AE50" i="101" s="1"/>
  <c r="AE51" i="101" a="1"/>
  <c r="AE51" i="101" s="1"/>
  <c r="AF51" i="101" s="1" a="1"/>
  <c r="AF51" i="101" s="1"/>
  <c r="AE52" i="101" a="1"/>
  <c r="AE52" i="101" s="1"/>
  <c r="AE53" i="101" a="1"/>
  <c r="AE53" i="101" s="1"/>
  <c r="AF53" i="101" s="1" a="1"/>
  <c r="AF53" i="101" s="1"/>
  <c r="AE54" i="101" a="1"/>
  <c r="AE54" i="101" s="1"/>
  <c r="AE55" i="101" a="1"/>
  <c r="AE55" i="101" s="1"/>
  <c r="AE56" i="101" a="1"/>
  <c r="AE56" i="101" s="1"/>
  <c r="AE57" i="101" a="1"/>
  <c r="AE57" i="101" s="1"/>
  <c r="AE58" i="101" a="1"/>
  <c r="AE58" i="101" s="1"/>
  <c r="AF58" i="101" s="1" a="1"/>
  <c r="AF58" i="101" s="1"/>
  <c r="AE59" i="101" a="1"/>
  <c r="AE59" i="101" s="1"/>
  <c r="AF59" i="101" s="1" a="1"/>
  <c r="AF59" i="101" s="1"/>
  <c r="AE60" i="101" a="1"/>
  <c r="AE60" i="101" s="1"/>
  <c r="AF60" i="101" s="1" a="1"/>
  <c r="AF60" i="101" s="1"/>
  <c r="AE62" i="101" a="1"/>
  <c r="AE62" i="101" s="1"/>
  <c r="AF62" i="101" s="1" a="1"/>
  <c r="AF62" i="101" s="1"/>
  <c r="AE63" i="101" a="1"/>
  <c r="AE63" i="101" s="1"/>
  <c r="AF63" i="101" s="1" a="1"/>
  <c r="AF63" i="101" s="1"/>
  <c r="AE65" i="101" a="1"/>
  <c r="AE65" i="101" s="1"/>
  <c r="AF65" i="101" s="1" a="1"/>
  <c r="AF65" i="101" s="1"/>
  <c r="AE66" i="101" a="1"/>
  <c r="AE66" i="101" s="1"/>
  <c r="AF66" i="101" s="1" a="1"/>
  <c r="AF66" i="101" s="1"/>
  <c r="AE67" i="101" a="1"/>
  <c r="AE67" i="101" s="1"/>
  <c r="AF67" i="101" s="1" a="1"/>
  <c r="AF67" i="101" s="1"/>
  <c r="AE69" i="101" a="1"/>
  <c r="AE69" i="101" s="1"/>
  <c r="AF69" i="101" s="1" a="1"/>
  <c r="AF69" i="101" s="1"/>
  <c r="AE70" i="101" a="1"/>
  <c r="AE70" i="101" s="1"/>
  <c r="AF70" i="101" s="1" a="1"/>
  <c r="AF70" i="101" s="1"/>
  <c r="AE71" i="101" a="1"/>
  <c r="AE71" i="101" s="1"/>
  <c r="AF71" i="101" s="1" a="1"/>
  <c r="AF71" i="101" s="1"/>
  <c r="AE73" i="101" a="1"/>
  <c r="AE73" i="101" s="1"/>
  <c r="AF73" i="101" s="1" a="1"/>
  <c r="AF73" i="101" s="1"/>
  <c r="AE74" i="101" a="1"/>
  <c r="AE74" i="101" s="1"/>
  <c r="AF74" i="101" s="1" a="1"/>
  <c r="AF74" i="101" s="1"/>
  <c r="AE75" i="101" a="1"/>
  <c r="AE75" i="101" s="1"/>
  <c r="AF75" i="101" s="1" a="1"/>
  <c r="AF75" i="101" s="1"/>
  <c r="AE77" i="101" a="1"/>
  <c r="AE77" i="101" s="1"/>
  <c r="AF77" i="101" s="1" a="1"/>
  <c r="AF77" i="101" s="1"/>
  <c r="AE78" i="101" a="1"/>
  <c r="AE78" i="101" s="1"/>
  <c r="AF78" i="101" s="1" a="1"/>
  <c r="AF78" i="101" s="1"/>
  <c r="AE79" i="101" a="1"/>
  <c r="AE79" i="101" s="1"/>
  <c r="AF79" i="101" s="1" a="1"/>
  <c r="AF79" i="101" s="1"/>
  <c r="AE81" i="101" a="1"/>
  <c r="AE81" i="101" s="1"/>
  <c r="AF81" i="101" s="1" a="1"/>
  <c r="AF81" i="101" s="1"/>
  <c r="AE82" i="101" a="1"/>
  <c r="AE82" i="101" s="1"/>
  <c r="AF82" i="101" s="1" a="1"/>
  <c r="AF82" i="101" s="1"/>
  <c r="AE83" i="101" a="1"/>
  <c r="AE83" i="101" s="1"/>
  <c r="AF83" i="101" s="1" a="1"/>
  <c r="AF83" i="101" s="1"/>
  <c r="AE85" i="101" a="1"/>
  <c r="AE85" i="101" s="1"/>
  <c r="AF85" i="101" s="1" a="1"/>
  <c r="AF85" i="101" s="1"/>
  <c r="AE86" i="101" a="1"/>
  <c r="AE86" i="101" s="1"/>
  <c r="AF86" i="101" s="1" a="1"/>
  <c r="AF86" i="101" s="1"/>
  <c r="AE87" i="101" a="1"/>
  <c r="AE87" i="101" s="1"/>
  <c r="AF87" i="101" s="1" a="1"/>
  <c r="AF87" i="101" s="1"/>
  <c r="AE89" i="101" a="1"/>
  <c r="AE89" i="101" s="1"/>
  <c r="AF89" i="101" s="1" a="1"/>
  <c r="AF89" i="101" s="1"/>
  <c r="AE90" i="101" a="1"/>
  <c r="AE90" i="101" s="1"/>
  <c r="AF90" i="101" s="1" a="1"/>
  <c r="AF90" i="101" s="1"/>
  <c r="AE91" i="101" a="1"/>
  <c r="AE91" i="101" s="1"/>
  <c r="AF91" i="101" s="1" a="1"/>
  <c r="AF91" i="101" s="1"/>
  <c r="AE93" i="101" a="1"/>
  <c r="AE93" i="101" s="1"/>
  <c r="AF93" i="101" s="1" a="1"/>
  <c r="AF93" i="101" s="1"/>
  <c r="AE94" i="101" a="1"/>
  <c r="AE94" i="101" s="1"/>
  <c r="AF94" i="101" s="1" a="1"/>
  <c r="AF94" i="101" s="1"/>
  <c r="AE95" i="101" a="1"/>
  <c r="AE95" i="101" s="1"/>
  <c r="AF95" i="101" s="1" a="1"/>
  <c r="AF95" i="101" s="1"/>
  <c r="AE97" i="101" a="1"/>
  <c r="AE97" i="101" s="1"/>
  <c r="AF97" i="101" s="1" a="1"/>
  <c r="AF97" i="101" s="1"/>
  <c r="AE98" i="101" a="1"/>
  <c r="AE98" i="101" s="1"/>
  <c r="AF98" i="101" s="1" a="1"/>
  <c r="AF98" i="101" s="1"/>
  <c r="AE99" i="101" a="1"/>
  <c r="AE99" i="101" s="1"/>
  <c r="AF99" i="101" s="1" a="1"/>
  <c r="AF99" i="101" s="1"/>
  <c r="AE101" i="101" a="1"/>
  <c r="AE101" i="101" s="1"/>
  <c r="AF101" i="101" s="1" a="1"/>
  <c r="AF101" i="101" s="1"/>
  <c r="AE102" i="101" a="1"/>
  <c r="AE102" i="101" s="1"/>
  <c r="AF102" i="101" s="1" a="1"/>
  <c r="AF102" i="101" s="1"/>
  <c r="AE103" i="101" a="1"/>
  <c r="AE103" i="101" s="1"/>
  <c r="AF103" i="101" s="1" a="1"/>
  <c r="AF103" i="101" s="1"/>
  <c r="AE105" i="101" a="1"/>
  <c r="AE105" i="101" s="1"/>
  <c r="AF105" i="101" s="1" a="1"/>
  <c r="AF105" i="101" s="1"/>
  <c r="AE106" i="101" a="1"/>
  <c r="AE106" i="101" s="1"/>
  <c r="AF106" i="101" s="1" a="1"/>
  <c r="AF106" i="101" s="1"/>
  <c r="AE107" i="101" a="1"/>
  <c r="AE107" i="101" s="1"/>
  <c r="AF107" i="101" s="1" a="1"/>
  <c r="AF107" i="101" s="1"/>
  <c r="AE108" i="101" a="1"/>
  <c r="AE108" i="101" s="1"/>
  <c r="AF108" i="101" s="1" a="1"/>
  <c r="AF108" i="101" s="1"/>
  <c r="AE109" i="101" a="1"/>
  <c r="AE109" i="101" s="1"/>
  <c r="AF109" i="101" s="1" a="1"/>
  <c r="AF109" i="101" s="1"/>
  <c r="AE110" i="101" a="1"/>
  <c r="AE110" i="101" s="1"/>
  <c r="AF110" i="101" s="1" a="1"/>
  <c r="AF110" i="101" s="1"/>
  <c r="AE111" i="101" a="1"/>
  <c r="AE111" i="101" s="1"/>
  <c r="AF111" i="101" s="1" a="1"/>
  <c r="AF111" i="101" s="1"/>
  <c r="AE112" i="101" a="1"/>
  <c r="AE112" i="101" s="1"/>
  <c r="AF112" i="101" s="1" a="1"/>
  <c r="AF112" i="101" s="1"/>
  <c r="AE113" i="101" a="1"/>
  <c r="AE113" i="101" s="1"/>
  <c r="AF113" i="101" s="1" a="1"/>
  <c r="AF113" i="101" s="1"/>
  <c r="AE114" i="101" a="1"/>
  <c r="AE114" i="101" s="1"/>
  <c r="AF114" i="101" s="1" a="1"/>
  <c r="AF114" i="101" s="1"/>
  <c r="AE115" i="101" a="1"/>
  <c r="AE115" i="101" s="1"/>
  <c r="AF115" i="101" s="1" a="1"/>
  <c r="AF115" i="101" s="1"/>
  <c r="AE130" i="101" a="1"/>
  <c r="AE130" i="101" s="1"/>
  <c r="AF130" i="101" s="1" a="1"/>
  <c r="AF130" i="101" s="1"/>
  <c r="AE131" i="101" a="1"/>
  <c r="AE131" i="101" s="1"/>
  <c r="AF131" i="101" s="1" a="1"/>
  <c r="AF131" i="101" s="1"/>
  <c r="AE138" i="101" a="1"/>
  <c r="AE138" i="101" s="1"/>
  <c r="AF138" i="101" s="1" a="1"/>
  <c r="AF138" i="101" s="1"/>
  <c r="AE139" i="101" a="1"/>
  <c r="AE139" i="101" s="1"/>
  <c r="AF139" i="101" s="1" a="1"/>
  <c r="AF139" i="101" s="1"/>
  <c r="AE146" i="101" a="1"/>
  <c r="AE146" i="101" s="1"/>
  <c r="AF146" i="101" s="1" a="1"/>
  <c r="AF146" i="101" s="1"/>
  <c r="AE147" i="101" a="1"/>
  <c r="AE147" i="101" s="1"/>
  <c r="AF147" i="101" s="1" a="1"/>
  <c r="AF147" i="101" s="1"/>
  <c r="AE116" i="101" a="1"/>
  <c r="AE116" i="101" s="1"/>
  <c r="AF116" i="101" s="1" a="1"/>
  <c r="AF116" i="101" s="1"/>
  <c r="AE117" i="101" a="1"/>
  <c r="AE117" i="101" s="1"/>
  <c r="AF117" i="101" s="1" a="1"/>
  <c r="AF117" i="101" s="1"/>
  <c r="AE132" i="101" a="1"/>
  <c r="AE132" i="101" s="1"/>
  <c r="AF132" i="101" s="1" a="1"/>
  <c r="AF132" i="101" s="1"/>
  <c r="AE133" i="101" a="1"/>
  <c r="AE133" i="101" s="1"/>
  <c r="AF133" i="101" s="1" a="1"/>
  <c r="AF133" i="101" s="1"/>
  <c r="AE140" i="101" a="1"/>
  <c r="AE140" i="101" s="1"/>
  <c r="AF140" i="101" s="1" a="1"/>
  <c r="AF140" i="101" s="1"/>
  <c r="AE141" i="101" a="1"/>
  <c r="AE141" i="101" s="1"/>
  <c r="AF141" i="101" s="1" a="1"/>
  <c r="AF141" i="101" s="1"/>
  <c r="AE148" i="101" a="1"/>
  <c r="AE148" i="101" s="1"/>
  <c r="AF148" i="101" s="1" a="1"/>
  <c r="AF148" i="101" s="1"/>
  <c r="AE149" i="101" a="1"/>
  <c r="AE149" i="101" s="1"/>
  <c r="AF149" i="101" s="1" a="1"/>
  <c r="AF149" i="101" s="1"/>
  <c r="AE118" i="101" a="1"/>
  <c r="AE118" i="101" s="1"/>
  <c r="AF118" i="101" s="1" a="1"/>
  <c r="AF118" i="101" s="1"/>
  <c r="AE119" i="101" a="1"/>
  <c r="AE119" i="101" s="1"/>
  <c r="AF119" i="101" s="1" a="1"/>
  <c r="AF119" i="101" s="1"/>
  <c r="AE134" i="101" a="1"/>
  <c r="AE134" i="101" s="1"/>
  <c r="AF134" i="101" s="1" a="1"/>
  <c r="AF134" i="101" s="1"/>
  <c r="AE135" i="101" a="1"/>
  <c r="AE135" i="101" s="1"/>
  <c r="AF135" i="101" s="1" a="1"/>
  <c r="AF135" i="101" s="1"/>
  <c r="AE142" i="101" a="1"/>
  <c r="AE142" i="101" s="1"/>
  <c r="AF142" i="101" s="1" a="1"/>
  <c r="AF142" i="101" s="1"/>
  <c r="AE143" i="101" a="1"/>
  <c r="AE143" i="101" s="1"/>
  <c r="AF143" i="101" s="1" a="1"/>
  <c r="AF143" i="101" s="1"/>
  <c r="AE150" i="101" a="1"/>
  <c r="AE150" i="101" s="1"/>
  <c r="AF150" i="101" s="1" a="1"/>
  <c r="AF150" i="101" s="1"/>
  <c r="AE151" i="101" a="1"/>
  <c r="AE151" i="101" s="1"/>
  <c r="AF151" i="101" s="1" a="1"/>
  <c r="AF151" i="101" s="1"/>
  <c r="AE120" i="101" a="1"/>
  <c r="AE120" i="101" s="1"/>
  <c r="AF120" i="101" s="1" a="1"/>
  <c r="AF120" i="101" s="1"/>
  <c r="AE121" i="101" a="1"/>
  <c r="AE121" i="101" s="1"/>
  <c r="AF121" i="101" s="1" a="1"/>
  <c r="AF121" i="101" s="1"/>
  <c r="AE136" i="101" a="1"/>
  <c r="AE136" i="101" s="1"/>
  <c r="AF136" i="101" s="1" a="1"/>
  <c r="AF136" i="101" s="1"/>
  <c r="AE137" i="101" a="1"/>
  <c r="AE137" i="101" s="1"/>
  <c r="AF137" i="101" s="1" a="1"/>
  <c r="AF137" i="101" s="1"/>
  <c r="AE144" i="101" a="1"/>
  <c r="AE144" i="101" s="1"/>
  <c r="AF144" i="101" s="1" a="1"/>
  <c r="AF144" i="101" s="1"/>
  <c r="AE145" i="101" a="1"/>
  <c r="AE145" i="101" s="1"/>
  <c r="AF145" i="101" s="1" a="1"/>
  <c r="AF145" i="101" s="1"/>
  <c r="AE152" i="101" a="1"/>
  <c r="AE152" i="101" s="1"/>
  <c r="AF152" i="101" s="1" a="1"/>
  <c r="AF152" i="101" s="1"/>
  <c r="AE153" i="101" a="1"/>
  <c r="AE153" i="101" s="1"/>
  <c r="AF153" i="101" s="1" a="1"/>
  <c r="AF153" i="101" s="1"/>
  <c r="AE122" i="101" a="1"/>
  <c r="AE122" i="101" s="1"/>
  <c r="AF122" i="101" s="1" a="1"/>
  <c r="AF122" i="101" s="1"/>
  <c r="AE123" i="101" a="1"/>
  <c r="AE123" i="101" s="1"/>
  <c r="AF123" i="101" s="1" a="1"/>
  <c r="AF123" i="101" s="1"/>
  <c r="AE124" i="101" a="1"/>
  <c r="AE124" i="101" s="1"/>
  <c r="AF124" i="101" s="1" a="1"/>
  <c r="AF124" i="101" s="1"/>
  <c r="AE125" i="101" a="1"/>
  <c r="AE125" i="101" s="1"/>
  <c r="AF125" i="101" s="1" a="1"/>
  <c r="AF125" i="101" s="1"/>
  <c r="AE126" i="101" a="1"/>
  <c r="AE126" i="101" s="1"/>
  <c r="AF126" i="101" s="1" a="1"/>
  <c r="AF126" i="101" s="1"/>
  <c r="AE127" i="101" a="1"/>
  <c r="AE127" i="101" s="1"/>
  <c r="AF127" i="101" s="1" a="1"/>
  <c r="AF127" i="101" s="1"/>
  <c r="AE128" i="101" a="1"/>
  <c r="AE128" i="101" s="1"/>
  <c r="AF128" i="101" s="1" a="1"/>
  <c r="AF128" i="101" s="1"/>
  <c r="AE129" i="101" a="1"/>
  <c r="AE129" i="101" s="1"/>
  <c r="AF129" i="101" s="1" a="1"/>
  <c r="AF129" i="101" s="1"/>
  <c r="AE7" i="101" a="1"/>
  <c r="AE7" i="101" s="1"/>
  <c r="C114" i="101"/>
  <c r="C239" i="101" s="1"/>
  <c r="C115" i="101"/>
  <c r="C240" i="101" s="1"/>
  <c r="C130" i="101"/>
  <c r="C255" i="101" s="1"/>
  <c r="C131" i="101"/>
  <c r="C256" i="101" s="1"/>
  <c r="C138" i="101"/>
  <c r="C263" i="101" s="1"/>
  <c r="C139" i="101"/>
  <c r="C264" i="101" s="1"/>
  <c r="C146" i="101"/>
  <c r="C271" i="101" s="1"/>
  <c r="C147" i="101"/>
  <c r="C272" i="101" s="1"/>
  <c r="C116" i="101"/>
  <c r="C241" i="101" s="1"/>
  <c r="C132" i="101"/>
  <c r="C257" i="101" s="1"/>
  <c r="C133" i="101"/>
  <c r="C258" i="101" s="1"/>
  <c r="C140" i="101"/>
  <c r="C265" i="101" s="1"/>
  <c r="C141" i="101"/>
  <c r="C266" i="101" s="1"/>
  <c r="C148" i="101"/>
  <c r="C273" i="101" s="1"/>
  <c r="C149" i="101"/>
  <c r="C274" i="101" s="1"/>
  <c r="C118" i="101"/>
  <c r="C243" i="101" s="1"/>
  <c r="C134" i="101"/>
  <c r="C259" i="101" s="1"/>
  <c r="C135" i="101"/>
  <c r="C260" i="101" s="1"/>
  <c r="C142" i="101"/>
  <c r="C267" i="101" s="1"/>
  <c r="C143" i="101"/>
  <c r="C268" i="101" s="1"/>
  <c r="C150" i="101"/>
  <c r="C275" i="101" s="1"/>
  <c r="C151" i="101"/>
  <c r="C276" i="101" s="1"/>
  <c r="C120" i="101"/>
  <c r="C245" i="101" s="1"/>
  <c r="C121" i="101"/>
  <c r="C246" i="101" s="1"/>
  <c r="C136" i="101"/>
  <c r="C261" i="101" s="1"/>
  <c r="C137" i="101"/>
  <c r="C262" i="101" s="1"/>
  <c r="C144" i="101"/>
  <c r="C269" i="101" s="1"/>
  <c r="C145" i="101"/>
  <c r="C270" i="101" s="1"/>
  <c r="C152" i="101"/>
  <c r="C277" i="101" s="1"/>
  <c r="C153" i="101"/>
  <c r="C278" i="101" s="1"/>
  <c r="C113" i="101"/>
  <c r="C238" i="101" s="1"/>
  <c r="C107" i="101"/>
  <c r="C232" i="101" s="1"/>
  <c r="C108" i="101"/>
  <c r="C233" i="101" s="1"/>
  <c r="C109" i="101"/>
  <c r="C234" i="101" s="1"/>
  <c r="C110" i="101"/>
  <c r="C235" i="101" s="1"/>
  <c r="C111" i="101"/>
  <c r="C236" i="101" s="1"/>
  <c r="C112" i="101"/>
  <c r="C237" i="101" s="1"/>
  <c r="C106" i="101"/>
  <c r="C231" i="101" s="1"/>
  <c r="AG104" i="101"/>
  <c r="AE104" i="101" s="1" a="1"/>
  <c r="AE104" i="101" s="1"/>
  <c r="AF104" i="101" s="1" a="1"/>
  <c r="AF104" i="101" s="1"/>
  <c r="AG100" i="101"/>
  <c r="AE100" i="101" s="1" a="1"/>
  <c r="AE100" i="101" s="1"/>
  <c r="AF100" i="101" s="1" a="1"/>
  <c r="AF100" i="101" s="1"/>
  <c r="AG96" i="101"/>
  <c r="AE96" i="101" s="1" a="1"/>
  <c r="AE96" i="101" s="1"/>
  <c r="AF96" i="101" s="1" a="1"/>
  <c r="AF96" i="101" s="1"/>
  <c r="AG92" i="101"/>
  <c r="AE92" i="101" s="1" a="1"/>
  <c r="AE92" i="101" s="1"/>
  <c r="AF92" i="101" s="1" a="1"/>
  <c r="AF92" i="101" s="1"/>
  <c r="AG88" i="101"/>
  <c r="AE88" i="101" s="1" a="1"/>
  <c r="AE88" i="101" s="1"/>
  <c r="AF88" i="101" s="1" a="1"/>
  <c r="AF88" i="101" s="1"/>
  <c r="AG84" i="101"/>
  <c r="AE84" i="101" s="1" a="1"/>
  <c r="AE84" i="101" s="1"/>
  <c r="AF84" i="101" s="1" a="1"/>
  <c r="AF84" i="101" s="1"/>
  <c r="AG80" i="101"/>
  <c r="AE80" i="101" s="1" a="1"/>
  <c r="AE80" i="101" s="1"/>
  <c r="AF80" i="101" s="1" a="1"/>
  <c r="AF80" i="101" s="1"/>
  <c r="AG76" i="101"/>
  <c r="AE76" i="101" s="1" a="1"/>
  <c r="AE76" i="101" s="1"/>
  <c r="AF76" i="101" s="1" a="1"/>
  <c r="AF76" i="101" s="1"/>
  <c r="AG72" i="101"/>
  <c r="AE72" i="101" s="1" a="1"/>
  <c r="AE72" i="101" s="1"/>
  <c r="AF72" i="101" s="1" a="1"/>
  <c r="AF72" i="101" s="1"/>
  <c r="AG68" i="101"/>
  <c r="AE68" i="101" s="1" a="1"/>
  <c r="AE68" i="101" s="1"/>
  <c r="AF68" i="101" s="1" a="1"/>
  <c r="AF68" i="101" s="1"/>
  <c r="AG64" i="101"/>
  <c r="AE64" i="101" s="1" a="1"/>
  <c r="AE64" i="101" s="1"/>
  <c r="AF64" i="101" s="1" a="1"/>
  <c r="AF64" i="101" s="1"/>
  <c r="I33" i="104"/>
  <c r="H33" i="104"/>
  <c r="AT12" i="101"/>
  <c r="AQ12" i="101" s="1"/>
  <c r="AT13" i="101" a="1"/>
  <c r="AT13" i="101" s="1"/>
  <c r="AP15" i="101"/>
  <c r="AE61" i="101" s="1" a="1"/>
  <c r="AE61" i="101" s="1"/>
  <c r="AF61" i="101" s="1" a="1"/>
  <c r="AF61" i="101" s="1"/>
  <c r="F28" i="101"/>
  <c r="F26" i="101"/>
  <c r="F24" i="101"/>
  <c r="F22" i="101"/>
  <c r="F20" i="101"/>
  <c r="F18" i="101"/>
  <c r="F16" i="101"/>
  <c r="F14" i="101"/>
  <c r="AG28" i="101"/>
  <c r="AG26" i="101"/>
  <c r="AG24" i="101"/>
  <c r="AG22" i="101"/>
  <c r="AG20" i="101"/>
  <c r="AG18" i="101"/>
  <c r="AG16" i="101"/>
  <c r="AG14" i="101"/>
  <c r="AU15" i="101"/>
  <c r="AT15" i="101"/>
  <c r="AR15" i="101" s="1"/>
  <c r="I102" i="101" s="1" a="1"/>
  <c r="I102" i="101" s="1"/>
  <c r="J102" i="101" s="1"/>
  <c r="BM14" i="101" a="1"/>
  <c r="BM14" i="101" s="1"/>
  <c r="BL14" i="101" a="1"/>
  <c r="BL14" i="101" s="1"/>
  <c r="BK14" i="101" a="1"/>
  <c r="BK14" i="101" s="1"/>
  <c r="BJ14" i="101" a="1"/>
  <c r="BJ14" i="101" s="1"/>
  <c r="BI14" i="101" a="1"/>
  <c r="BI14" i="101" s="1"/>
  <c r="BH14" i="101" a="1"/>
  <c r="BH14" i="101" s="1"/>
  <c r="BG14" i="101" a="1"/>
  <c r="BG14" i="101" s="1"/>
  <c r="BF14" i="101" a="1"/>
  <c r="BF14" i="101" s="1"/>
  <c r="BE14" i="101" a="1"/>
  <c r="BE14" i="101" s="1"/>
  <c r="BD14" i="101" a="1"/>
  <c r="BD14" i="101" s="1"/>
  <c r="BC14" i="101" a="1"/>
  <c r="BC14" i="101" s="1"/>
  <c r="BB14" i="101" a="1"/>
  <c r="BB14" i="101" s="1"/>
  <c r="BA14" i="101" a="1"/>
  <c r="BA14" i="101" s="1"/>
  <c r="M23" i="101" s="1" a="1"/>
  <c r="M23" i="101" s="1"/>
  <c r="AZ14" i="101" a="1"/>
  <c r="AZ14" i="101" s="1"/>
  <c r="M90" i="101" s="1" a="1"/>
  <c r="M90" i="101" s="1"/>
  <c r="AY14" i="101" a="1"/>
  <c r="AY14" i="101" s="1"/>
  <c r="AX14" i="101" a="1"/>
  <c r="AX14" i="101" s="1"/>
  <c r="AW14" i="101" a="1"/>
  <c r="AW14" i="101" s="1"/>
  <c r="AV14" i="101" a="1"/>
  <c r="AV14" i="101" s="1"/>
  <c r="AU14" i="101"/>
  <c r="AT14" i="101"/>
  <c r="AQ14" i="101" s="1"/>
  <c r="I19" i="101" s="1" a="1"/>
  <c r="I19" i="101" s="1"/>
  <c r="BM13" i="101" a="1"/>
  <c r="BM13" i="101" s="1"/>
  <c r="BL13" i="101" a="1"/>
  <c r="BL13" i="101" s="1"/>
  <c r="BK13" i="101" a="1"/>
  <c r="BK13" i="101" s="1"/>
  <c r="BJ13" i="101" a="1"/>
  <c r="BJ13" i="101" s="1"/>
  <c r="BI13" i="101" a="1"/>
  <c r="BI13" i="101" s="1"/>
  <c r="BH13" i="101" a="1"/>
  <c r="BH13" i="101" s="1"/>
  <c r="BG13" i="101" a="1"/>
  <c r="BG13" i="101" s="1"/>
  <c r="BF13" i="101" a="1"/>
  <c r="BF13" i="101" s="1"/>
  <c r="BE13" i="101" a="1"/>
  <c r="BE13" i="101" s="1"/>
  <c r="BD13" i="101" a="1"/>
  <c r="BD13" i="101" s="1"/>
  <c r="M12" i="101" s="1" a="1"/>
  <c r="M12" i="101" s="1"/>
  <c r="BC13" i="101" a="1"/>
  <c r="BC13" i="101" s="1"/>
  <c r="M115" i="101" s="1" a="1"/>
  <c r="M115" i="101" s="1"/>
  <c r="BB13" i="101" a="1"/>
  <c r="BB13" i="101" s="1"/>
  <c r="BA13" i="101" a="1"/>
  <c r="BA13" i="101" s="1"/>
  <c r="M52" i="101" s="1" a="1"/>
  <c r="M52" i="101" s="1"/>
  <c r="AZ13" i="101" a="1"/>
  <c r="AZ13" i="101" s="1"/>
  <c r="AY13" i="101" a="1"/>
  <c r="AY13" i="101" s="1"/>
  <c r="AX13" i="101" a="1"/>
  <c r="AX13" i="101" s="1"/>
  <c r="AW13" i="101" a="1"/>
  <c r="AW13" i="101" s="1"/>
  <c r="AV13" i="101" a="1"/>
  <c r="AV13" i="101" s="1"/>
  <c r="AU13" i="101"/>
  <c r="BM12" i="101" a="1"/>
  <c r="BM12" i="101" s="1"/>
  <c r="BL12" i="101" a="1"/>
  <c r="BL12" i="101" s="1"/>
  <c r="BK12" i="101" a="1"/>
  <c r="BK12" i="101" s="1"/>
  <c r="BJ12" i="101" a="1"/>
  <c r="BJ12" i="101" s="1"/>
  <c r="BI12" i="101" a="1"/>
  <c r="BI12" i="101" s="1"/>
  <c r="BH12" i="101" a="1"/>
  <c r="BH12" i="101" s="1"/>
  <c r="BG12" i="101" a="1"/>
  <c r="BG12" i="101" s="1"/>
  <c r="BF12" i="101" a="1"/>
  <c r="BF12" i="101" s="1"/>
  <c r="BE12" i="101" a="1"/>
  <c r="BE12" i="101" s="1"/>
  <c r="BD12" i="101" a="1"/>
  <c r="BD12" i="101" s="1"/>
  <c r="BC12" i="101" a="1"/>
  <c r="BC12" i="101" s="1"/>
  <c r="M117" i="101" s="1" a="1"/>
  <c r="M117" i="101" s="1"/>
  <c r="BB12" i="101" a="1"/>
  <c r="BB12" i="101" s="1"/>
  <c r="BA12" i="101" a="1"/>
  <c r="BA12" i="101" s="1"/>
  <c r="M82" i="101" s="1" a="1"/>
  <c r="M82" i="101" s="1"/>
  <c r="AZ12" i="101" a="1"/>
  <c r="AZ12" i="101" s="1"/>
  <c r="M33" i="101" s="1" a="1"/>
  <c r="M33" i="101" s="1"/>
  <c r="AY12" i="101" a="1"/>
  <c r="AY12" i="101" s="1"/>
  <c r="M74" i="101" s="1" a="1"/>
  <c r="M74" i="101" s="1"/>
  <c r="AX12" i="101" a="1"/>
  <c r="AX12" i="101" s="1"/>
  <c r="AW12" i="101" a="1"/>
  <c r="AW12" i="101" s="1"/>
  <c r="AV12" i="101" a="1"/>
  <c r="AV12" i="101" s="1"/>
  <c r="AU12" i="101"/>
  <c r="X84" i="104"/>
  <c r="BM15" i="101" s="1" a="1"/>
  <c r="BM15" i="101" s="1"/>
  <c r="W84" i="104"/>
  <c r="BJ15" i="101" s="1" a="1"/>
  <c r="BJ15" i="101" s="1"/>
  <c r="V84" i="104"/>
  <c r="BG15" i="101" s="1" a="1"/>
  <c r="BG15" i="101" s="1"/>
  <c r="U84" i="104"/>
  <c r="BL15" i="101" s="1" a="1"/>
  <c r="BL15" i="101" s="1"/>
  <c r="T84" i="104"/>
  <c r="BI15" i="101" s="1" a="1"/>
  <c r="BI15" i="101" s="1"/>
  <c r="S84" i="104"/>
  <c r="BF15" i="101" s="1" a="1"/>
  <c r="BF15" i="101" s="1"/>
  <c r="X75" i="104"/>
  <c r="BD15" i="101" s="1" a="1"/>
  <c r="BD15" i="101" s="1"/>
  <c r="W75" i="104"/>
  <c r="BA15" i="101" s="1" a="1"/>
  <c r="BA15" i="101" s="1"/>
  <c r="M49" i="101" s="1" a="1"/>
  <c r="M49" i="101" s="1"/>
  <c r="V75" i="104"/>
  <c r="AX15" i="101" s="1" a="1"/>
  <c r="AX15" i="101" s="1"/>
  <c r="U75" i="104"/>
  <c r="BC15" i="101" s="1" a="1"/>
  <c r="BC15" i="101" s="1"/>
  <c r="M121" i="101" s="1" a="1"/>
  <c r="M121" i="101" s="1"/>
  <c r="T75" i="104"/>
  <c r="AZ15" i="101" s="1" a="1"/>
  <c r="AZ15" i="101" s="1"/>
  <c r="M27" i="101" s="1" a="1"/>
  <c r="M27" i="101" s="1"/>
  <c r="S75" i="104"/>
  <c r="AW15" i="101" s="1" a="1"/>
  <c r="AW15" i="101" s="1"/>
  <c r="H34" i="104"/>
  <c r="I34" i="104"/>
  <c r="J34" i="104"/>
  <c r="K34" i="104"/>
  <c r="H35" i="104"/>
  <c r="I35" i="104"/>
  <c r="J35" i="104"/>
  <c r="K33" i="104"/>
  <c r="J33" i="104"/>
  <c r="R84" i="104"/>
  <c r="BK15" i="101" s="1" a="1"/>
  <c r="BK15" i="101" s="1"/>
  <c r="Q84" i="104"/>
  <c r="BH15" i="101" s="1" a="1"/>
  <c r="BH15" i="101" s="1"/>
  <c r="P84" i="104"/>
  <c r="BE15" i="101" s="1" a="1"/>
  <c r="BE15" i="101" s="1"/>
  <c r="R75" i="104"/>
  <c r="BB15" i="101" s="1" a="1"/>
  <c r="BB15" i="101" s="1"/>
  <c r="Q75" i="104"/>
  <c r="AY15" i="101" s="1" a="1"/>
  <c r="AY15" i="101" s="1"/>
  <c r="M98" i="101" s="1" a="1"/>
  <c r="M98" i="101" s="1"/>
  <c r="P75" i="104"/>
  <c r="AV15" i="101" s="1" a="1"/>
  <c r="AV15" i="101" s="1"/>
  <c r="AF36" i="101" l="1" a="1"/>
  <c r="AF36" i="101" s="1"/>
  <c r="AF44" i="101" a="1"/>
  <c r="AF44" i="101" s="1"/>
  <c r="AF34" i="101" a="1"/>
  <c r="AF34" i="101" s="1"/>
  <c r="AF32" i="101" a="1"/>
  <c r="AF32" i="101" s="1"/>
  <c r="AF42" i="101" a="1"/>
  <c r="AF42" i="101" s="1"/>
  <c r="AF40" i="101" a="1"/>
  <c r="AF40" i="101" s="1"/>
  <c r="AF30" i="101" a="1"/>
  <c r="AF30" i="101" s="1"/>
  <c r="AF29" i="101" a="1"/>
  <c r="AF29" i="101" s="1"/>
  <c r="AF57" i="101" a="1"/>
  <c r="AF57" i="101" s="1"/>
  <c r="AF27" i="101" a="1"/>
  <c r="AF27" i="101" s="1"/>
  <c r="AF56" i="101" a="1"/>
  <c r="AF56" i="101" s="1"/>
  <c r="AF7" i="101" a="1"/>
  <c r="AF7" i="101" s="1"/>
  <c r="AF55" i="101" a="1"/>
  <c r="AF55" i="101" s="1"/>
  <c r="AF54" i="101" a="1"/>
  <c r="AF54" i="101" s="1"/>
  <c r="AF21" i="101" a="1"/>
  <c r="AF21" i="101" s="1"/>
  <c r="AF19" i="101" a="1"/>
  <c r="AF19" i="101" s="1"/>
  <c r="AF52" i="101" a="1"/>
  <c r="AF52" i="101" s="1"/>
  <c r="AF17" i="101" a="1"/>
  <c r="AF17" i="101" s="1"/>
  <c r="AF15" i="101" a="1"/>
  <c r="AF15" i="101" s="1"/>
  <c r="AF50" i="101" a="1"/>
  <c r="AF50" i="101" s="1"/>
  <c r="AF13" i="101" a="1"/>
  <c r="AF13" i="101" s="1"/>
  <c r="AF12" i="101" a="1"/>
  <c r="AF12" i="101" s="1"/>
  <c r="AF38" i="101" a="1"/>
  <c r="AF38" i="101" s="1"/>
  <c r="AF11" i="101" a="1"/>
  <c r="AF11" i="101" s="1"/>
  <c r="AF48" i="101" a="1"/>
  <c r="AF48" i="101" s="1"/>
  <c r="AF10" i="101" a="1"/>
  <c r="AF10" i="101" s="1"/>
  <c r="AF9" i="101" a="1"/>
  <c r="AF9" i="101" s="1"/>
  <c r="AF46" i="101" a="1"/>
  <c r="AF46" i="101" s="1"/>
  <c r="AF8" i="101" a="1"/>
  <c r="AF8" i="101" s="1"/>
  <c r="C14" i="101"/>
  <c r="C172" i="101" s="1"/>
  <c r="C22" i="101"/>
  <c r="C180" i="101" s="1"/>
  <c r="M107" i="101" a="1"/>
  <c r="M107" i="101" s="1"/>
  <c r="N107" i="101" s="1"/>
  <c r="C16" i="101"/>
  <c r="C174" i="101" s="1"/>
  <c r="C18" i="101"/>
  <c r="C176" i="101" s="1"/>
  <c r="C20" i="101"/>
  <c r="C178" i="101" s="1"/>
  <c r="C24" i="101"/>
  <c r="C182" i="101" s="1"/>
  <c r="C26" i="101"/>
  <c r="C184" i="101" s="1"/>
  <c r="C28" i="101"/>
  <c r="C186" i="101" s="1"/>
  <c r="M96" i="101" a="1"/>
  <c r="M96" i="101" s="1"/>
  <c r="M18" i="101" a="1"/>
  <c r="M18" i="101" s="1"/>
  <c r="AE14" i="101" a="1"/>
  <c r="AE14" i="101" s="1"/>
  <c r="AE22" i="101" a="1"/>
  <c r="AE22" i="101" s="1"/>
  <c r="AF22" i="101" s="1" a="1"/>
  <c r="AF22" i="101" s="1"/>
  <c r="M22" i="101" a="1"/>
  <c r="M22" i="101" s="1"/>
  <c r="N22" i="101" s="1"/>
  <c r="AE18" i="101" a="1"/>
  <c r="AE18" i="101" s="1"/>
  <c r="AE20" i="101" a="1"/>
  <c r="AE20" i="101" s="1"/>
  <c r="AE28" i="101" a="1"/>
  <c r="AE28" i="101" s="1"/>
  <c r="AE16" i="101" a="1"/>
  <c r="AE16" i="101" s="1"/>
  <c r="AE24" i="101" a="1"/>
  <c r="AE24" i="101" s="1"/>
  <c r="AF24" i="101" s="1" a="1"/>
  <c r="AF24" i="101" s="1"/>
  <c r="AE26" i="101" a="1"/>
  <c r="AE26" i="101" s="1"/>
  <c r="M114" i="101" a="1"/>
  <c r="M114" i="101" s="1"/>
  <c r="N114" i="101" s="1"/>
  <c r="M118" i="101" a="1"/>
  <c r="M118" i="101" s="1"/>
  <c r="N118" i="101" s="1"/>
  <c r="M120" i="101" a="1"/>
  <c r="M120" i="101" s="1"/>
  <c r="N120" i="101" s="1"/>
  <c r="M116" i="101" a="1"/>
  <c r="M116" i="101" s="1"/>
  <c r="N116" i="101" s="1"/>
  <c r="M106" i="101" a="1"/>
  <c r="M106" i="101" s="1"/>
  <c r="N106" i="101" s="1"/>
  <c r="M110" i="101" a="1"/>
  <c r="M110" i="101" s="1"/>
  <c r="N110" i="101" s="1"/>
  <c r="C29" i="101"/>
  <c r="C187" i="101" s="1"/>
  <c r="M29" i="101" a="1"/>
  <c r="M29" i="101" s="1"/>
  <c r="M62" i="101" a="1"/>
  <c r="M62" i="101" s="1"/>
  <c r="M59" i="101" a="1"/>
  <c r="M59" i="101" s="1"/>
  <c r="N59" i="101" s="1"/>
  <c r="M54" i="101" a="1"/>
  <c r="M54" i="101" s="1"/>
  <c r="M51" i="101" a="1"/>
  <c r="M51" i="101" s="1"/>
  <c r="N51" i="101" s="1"/>
  <c r="M48" i="101" a="1"/>
  <c r="M48" i="101" s="1"/>
  <c r="N48" i="101" s="1"/>
  <c r="M37" i="101" a="1"/>
  <c r="M37" i="101" s="1"/>
  <c r="N37" i="101" s="1"/>
  <c r="M43" i="101" a="1"/>
  <c r="M43" i="101" s="1"/>
  <c r="N43" i="101" s="1"/>
  <c r="M32" i="101" a="1"/>
  <c r="M32" i="101" s="1"/>
  <c r="N32" i="101" s="1"/>
  <c r="M30" i="101" a="1"/>
  <c r="M30" i="101" s="1"/>
  <c r="N30" i="101" s="1"/>
  <c r="M24" i="101" a="1"/>
  <c r="M24" i="101" s="1"/>
  <c r="N24" i="101" s="1"/>
  <c r="M19" i="101" a="1"/>
  <c r="M19" i="101" s="1"/>
  <c r="M14" i="101" a="1"/>
  <c r="M14" i="101" s="1"/>
  <c r="N14" i="101" s="1"/>
  <c r="M9" i="101" a="1"/>
  <c r="M9" i="101" s="1"/>
  <c r="N9" i="101" s="1"/>
  <c r="M68" i="101" a="1"/>
  <c r="M68" i="101" s="1"/>
  <c r="N68" i="101" s="1"/>
  <c r="M76" i="101" a="1"/>
  <c r="M76" i="101" s="1"/>
  <c r="M84" i="101" a="1"/>
  <c r="M84" i="101" s="1"/>
  <c r="N84" i="101" s="1"/>
  <c r="M92" i="101" a="1"/>
  <c r="M92" i="101" s="1"/>
  <c r="N92" i="101" s="1"/>
  <c r="M100" i="101" a="1"/>
  <c r="M100" i="101" s="1"/>
  <c r="N100" i="101" s="1"/>
  <c r="M129" i="101" a="1"/>
  <c r="M129" i="101" s="1"/>
  <c r="M125" i="101" a="1"/>
  <c r="M125" i="101" s="1"/>
  <c r="N125" i="101" s="1"/>
  <c r="M153" i="101" a="1"/>
  <c r="M153" i="101" s="1"/>
  <c r="N153" i="101" s="1"/>
  <c r="M137" i="101" a="1"/>
  <c r="M137" i="101" s="1"/>
  <c r="N137" i="101" s="1"/>
  <c r="M151" i="101" a="1"/>
  <c r="M151" i="101" s="1"/>
  <c r="M135" i="101" a="1"/>
  <c r="M135" i="101" s="1"/>
  <c r="N135" i="101" s="1"/>
  <c r="M149" i="101" a="1"/>
  <c r="M149" i="101" s="1"/>
  <c r="N149" i="101" s="1"/>
  <c r="M133" i="101" a="1"/>
  <c r="M133" i="101" s="1"/>
  <c r="N133" i="101" s="1"/>
  <c r="M147" i="101" a="1"/>
  <c r="M147" i="101" s="1"/>
  <c r="M131" i="101" a="1"/>
  <c r="M131" i="101" s="1"/>
  <c r="N131" i="101" s="1"/>
  <c r="M113" i="101" a="1"/>
  <c r="M113" i="101" s="1"/>
  <c r="N113" i="101" s="1"/>
  <c r="M109" i="101" a="1"/>
  <c r="M109" i="101" s="1"/>
  <c r="N109" i="101" s="1"/>
  <c r="M61" i="101" a="1"/>
  <c r="M61" i="101" s="1"/>
  <c r="M56" i="101" a="1"/>
  <c r="M56" i="101" s="1"/>
  <c r="N56" i="101" s="1"/>
  <c r="M53" i="101" a="1"/>
  <c r="M53" i="101" s="1"/>
  <c r="M39" i="101" a="1"/>
  <c r="M39" i="101" s="1"/>
  <c r="M47" i="101" a="1"/>
  <c r="M47" i="101" s="1"/>
  <c r="M45" i="101" a="1"/>
  <c r="M45" i="101" s="1"/>
  <c r="M34" i="101" a="1"/>
  <c r="M34" i="101" s="1"/>
  <c r="M40" i="101" a="1"/>
  <c r="M40" i="101" s="1"/>
  <c r="M26" i="101" a="1"/>
  <c r="M26" i="101" s="1"/>
  <c r="M21" i="101" a="1"/>
  <c r="M21" i="101" s="1"/>
  <c r="M16" i="101" a="1"/>
  <c r="M16" i="101" s="1"/>
  <c r="N16" i="101" s="1"/>
  <c r="M13" i="101" a="1"/>
  <c r="M13" i="101" s="1"/>
  <c r="M11" i="101" a="1"/>
  <c r="M11" i="101" s="1"/>
  <c r="M8" i="101" a="1"/>
  <c r="M8" i="101" s="1"/>
  <c r="N8" i="101" s="1"/>
  <c r="M70" i="101" a="1"/>
  <c r="M70" i="101" s="1"/>
  <c r="N70" i="101" s="1"/>
  <c r="M78" i="101" a="1"/>
  <c r="M78" i="101" s="1"/>
  <c r="M86" i="101" a="1"/>
  <c r="M86" i="101" s="1"/>
  <c r="M94" i="101" a="1"/>
  <c r="M94" i="101" s="1"/>
  <c r="N94" i="101" s="1"/>
  <c r="M102" i="101" a="1"/>
  <c r="M102" i="101" s="1"/>
  <c r="N102" i="101" s="1"/>
  <c r="M128" i="101" a="1"/>
  <c r="M128" i="101" s="1"/>
  <c r="N128" i="101" s="1"/>
  <c r="M124" i="101" a="1"/>
  <c r="M124" i="101" s="1"/>
  <c r="M152" i="101" a="1"/>
  <c r="M152" i="101" s="1"/>
  <c r="N152" i="101" s="1"/>
  <c r="M136" i="101" a="1"/>
  <c r="M136" i="101" s="1"/>
  <c r="N136" i="101" s="1"/>
  <c r="M150" i="101" a="1"/>
  <c r="M150" i="101" s="1"/>
  <c r="N150" i="101" s="1"/>
  <c r="M134" i="101" a="1"/>
  <c r="M134" i="101" s="1"/>
  <c r="M148" i="101" a="1"/>
  <c r="M148" i="101" s="1"/>
  <c r="N148" i="101" s="1"/>
  <c r="M132" i="101" a="1"/>
  <c r="M132" i="101" s="1"/>
  <c r="N132" i="101" s="1"/>
  <c r="M146" i="101" a="1"/>
  <c r="M146" i="101" s="1"/>
  <c r="N146" i="101" s="1"/>
  <c r="M130" i="101" a="1"/>
  <c r="M130" i="101" s="1"/>
  <c r="M112" i="101" a="1"/>
  <c r="M112" i="101" s="1"/>
  <c r="N112" i="101" s="1"/>
  <c r="M7" i="101" a="1"/>
  <c r="M7" i="101" s="1"/>
  <c r="N7" i="101" s="1"/>
  <c r="M58" i="101" a="1"/>
  <c r="M58" i="101" s="1"/>
  <c r="N58" i="101" s="1"/>
  <c r="M55" i="101" a="1"/>
  <c r="M55" i="101" s="1"/>
  <c r="N55" i="101" s="1"/>
  <c r="M50" i="101" a="1"/>
  <c r="M50" i="101" s="1"/>
  <c r="N50" i="101" s="1"/>
  <c r="M38" i="101" a="1"/>
  <c r="M38" i="101" s="1"/>
  <c r="N38" i="101" s="1"/>
  <c r="M36" i="101" a="1"/>
  <c r="M36" i="101" s="1"/>
  <c r="N36" i="101" s="1"/>
  <c r="M44" i="101" a="1"/>
  <c r="M44" i="101" s="1"/>
  <c r="N44" i="101" s="1"/>
  <c r="M42" i="101" a="1"/>
  <c r="M42" i="101" s="1"/>
  <c r="N42" i="101" s="1"/>
  <c r="M31" i="101" a="1"/>
  <c r="M31" i="101" s="1"/>
  <c r="N31" i="101" s="1"/>
  <c r="M28" i="101" a="1"/>
  <c r="M28" i="101" s="1"/>
  <c r="N28" i="101" s="1"/>
  <c r="M25" i="101" a="1"/>
  <c r="M25" i="101" s="1"/>
  <c r="N25" i="101" s="1"/>
  <c r="M20" i="101" a="1"/>
  <c r="M20" i="101" s="1"/>
  <c r="N20" i="101" s="1"/>
  <c r="M15" i="101" a="1"/>
  <c r="M15" i="101" s="1"/>
  <c r="N15" i="101" s="1"/>
  <c r="M10" i="101" a="1"/>
  <c r="M10" i="101" s="1"/>
  <c r="N10" i="101" s="1"/>
  <c r="M64" i="101" a="1"/>
  <c r="M64" i="101" s="1"/>
  <c r="M72" i="101" a="1"/>
  <c r="M72" i="101" s="1"/>
  <c r="N72" i="101" s="1"/>
  <c r="M80" i="101" a="1"/>
  <c r="M80" i="101" s="1"/>
  <c r="N80" i="101" s="1"/>
  <c r="M88" i="101" a="1"/>
  <c r="M88" i="101" s="1"/>
  <c r="N88" i="101" s="1"/>
  <c r="M104" i="101" a="1"/>
  <c r="M104" i="101" s="1"/>
  <c r="M127" i="101" a="1"/>
  <c r="M127" i="101" s="1"/>
  <c r="M123" i="101" a="1"/>
  <c r="M123" i="101" s="1"/>
  <c r="M145" i="101" a="1"/>
  <c r="M145" i="101" s="1"/>
  <c r="N145" i="101" s="1"/>
  <c r="M143" i="101" a="1"/>
  <c r="M143" i="101" s="1"/>
  <c r="M119" i="101" a="1"/>
  <c r="M119" i="101" s="1"/>
  <c r="N119" i="101" s="1"/>
  <c r="M141" i="101" a="1"/>
  <c r="M141" i="101" s="1"/>
  <c r="M139" i="101" a="1"/>
  <c r="M139" i="101" s="1"/>
  <c r="N139" i="101" s="1"/>
  <c r="M111" i="101" a="1"/>
  <c r="M111" i="101" s="1"/>
  <c r="N111" i="101" s="1"/>
  <c r="M108" i="101" a="1"/>
  <c r="M108" i="101" s="1"/>
  <c r="N108" i="101" s="1"/>
  <c r="M60" i="101" a="1"/>
  <c r="M60" i="101" s="1"/>
  <c r="N60" i="101" s="1"/>
  <c r="M57" i="101" a="1"/>
  <c r="M57" i="101" s="1"/>
  <c r="N57" i="101" s="1"/>
  <c r="M46" i="101" a="1"/>
  <c r="M46" i="101" s="1"/>
  <c r="N46" i="101" s="1"/>
  <c r="M35" i="101" a="1"/>
  <c r="M35" i="101" s="1"/>
  <c r="N35" i="101" s="1"/>
  <c r="M41" i="101" a="1"/>
  <c r="M41" i="101" s="1"/>
  <c r="N41" i="101" s="1"/>
  <c r="M17" i="101" a="1"/>
  <c r="M17" i="101" s="1"/>
  <c r="N17" i="101" s="1"/>
  <c r="M66" i="101" a="1"/>
  <c r="M66" i="101" s="1"/>
  <c r="N66" i="101" s="1"/>
  <c r="M126" i="101" a="1"/>
  <c r="M126" i="101" s="1"/>
  <c r="M122" i="101" a="1"/>
  <c r="M122" i="101" s="1"/>
  <c r="M144" i="101" a="1"/>
  <c r="M144" i="101" s="1"/>
  <c r="M142" i="101" a="1"/>
  <c r="M142" i="101" s="1"/>
  <c r="M140" i="101" a="1"/>
  <c r="M140" i="101" s="1"/>
  <c r="M138" i="101" a="1"/>
  <c r="M138" i="101" s="1"/>
  <c r="N117" i="101"/>
  <c r="N78" i="101"/>
  <c r="I60" i="101" a="1"/>
  <c r="I60" i="101" s="1"/>
  <c r="I46" i="101" a="1"/>
  <c r="I46" i="101" s="1"/>
  <c r="I118" i="101" a="1"/>
  <c r="I118" i="101" s="1"/>
  <c r="J118" i="101" s="1"/>
  <c r="AE49" i="101" a="1"/>
  <c r="AE49" i="101" s="1"/>
  <c r="AF49" i="101" s="1" a="1"/>
  <c r="AF49" i="101" s="1"/>
  <c r="I35" i="101" a="1"/>
  <c r="I35" i="101" s="1"/>
  <c r="AQ15" i="101"/>
  <c r="I144" i="101" s="1" a="1"/>
  <c r="I144" i="101" s="1"/>
  <c r="J144" i="101" s="1"/>
  <c r="I27" i="101" a="1"/>
  <c r="I27" i="101" s="1"/>
  <c r="N115" i="101"/>
  <c r="I140" i="101" a="1"/>
  <c r="I140" i="101" s="1"/>
  <c r="J140" i="101" s="1"/>
  <c r="I148" i="101" a="1"/>
  <c r="I148" i="101" s="1"/>
  <c r="J148" i="101" s="1"/>
  <c r="I108" i="101" a="1"/>
  <c r="I108" i="101" s="1"/>
  <c r="J108" i="101" s="1"/>
  <c r="I116" i="101" a="1"/>
  <c r="I116" i="101" s="1"/>
  <c r="J116" i="101" s="1"/>
  <c r="I132" i="101" a="1"/>
  <c r="I132" i="101" s="1"/>
  <c r="J132" i="101" s="1"/>
  <c r="I76" i="101" a="1"/>
  <c r="I76" i="101" s="1"/>
  <c r="J76" i="101" s="1"/>
  <c r="I124" i="101" a="1"/>
  <c r="I124" i="101" s="1"/>
  <c r="J124" i="101" s="1"/>
  <c r="I74" i="101" a="1"/>
  <c r="I74" i="101" s="1"/>
  <c r="J74" i="101" s="1"/>
  <c r="I13" i="101" a="1"/>
  <c r="I13" i="101" s="1"/>
  <c r="I56" i="101" a="1"/>
  <c r="I56" i="101" s="1"/>
  <c r="I14" i="101" a="1"/>
  <c r="I14" i="101" s="1"/>
  <c r="J14" i="101" s="1"/>
  <c r="I32" i="101" a="1"/>
  <c r="I32" i="101" s="1"/>
  <c r="I43" i="101" a="1"/>
  <c r="I43" i="101" s="1"/>
  <c r="N27" i="101"/>
  <c r="N98" i="101"/>
  <c r="I59" i="101" a="1"/>
  <c r="I59" i="101" s="1"/>
  <c r="N49" i="101"/>
  <c r="N18" i="101"/>
  <c r="N12" i="101"/>
  <c r="I110" i="101" a="1"/>
  <c r="I110" i="101" s="1"/>
  <c r="J110" i="101" s="1"/>
  <c r="I142" i="101" a="1"/>
  <c r="I142" i="101" s="1"/>
  <c r="J142" i="101" s="1"/>
  <c r="I150" i="101" a="1"/>
  <c r="I150" i="101" s="1"/>
  <c r="J150" i="101" s="1"/>
  <c r="I126" i="101" a="1"/>
  <c r="I126" i="101" s="1"/>
  <c r="J126" i="101" s="1"/>
  <c r="I88" i="101" a="1"/>
  <c r="I88" i="101" s="1"/>
  <c r="J88" i="101" s="1"/>
  <c r="N96" i="101"/>
  <c r="I121" i="101" a="1"/>
  <c r="I121" i="101" s="1"/>
  <c r="J121" i="101" s="1"/>
  <c r="I113" i="101" a="1"/>
  <c r="I113" i="101" s="1"/>
  <c r="J113" i="101" s="1"/>
  <c r="I153" i="101" a="1"/>
  <c r="I153" i="101" s="1"/>
  <c r="J153" i="101" s="1"/>
  <c r="I137" i="101" a="1"/>
  <c r="I137" i="101" s="1"/>
  <c r="J137" i="101" s="1"/>
  <c r="I104" i="101" a="1"/>
  <c r="I104" i="101" s="1"/>
  <c r="J104" i="101" s="1"/>
  <c r="I39" i="101" a="1"/>
  <c r="I39" i="101" s="1"/>
  <c r="I129" i="101" a="1"/>
  <c r="I129" i="101" s="1"/>
  <c r="J129" i="101" s="1"/>
  <c r="I145" i="101" a="1"/>
  <c r="I145" i="101" s="1"/>
  <c r="J145" i="101" s="1"/>
  <c r="N82" i="101"/>
  <c r="N74" i="101"/>
  <c r="N33" i="101"/>
  <c r="N52" i="101"/>
  <c r="N90" i="101"/>
  <c r="N23" i="101"/>
  <c r="I28" i="101" a="1"/>
  <c r="I28" i="101" s="1"/>
  <c r="I20" i="101" a="1"/>
  <c r="I20" i="101" s="1"/>
  <c r="I86" i="101" a="1"/>
  <c r="I86" i="101" s="1"/>
  <c r="J86" i="101" s="1"/>
  <c r="I134" i="101" a="1"/>
  <c r="I134" i="101" s="1"/>
  <c r="J134" i="101" s="1"/>
  <c r="N121" i="101"/>
  <c r="AS12" i="101"/>
  <c r="AR13" i="101"/>
  <c r="I68" i="101" s="1" a="1"/>
  <c r="I68" i="101" s="1"/>
  <c r="J68" i="101" s="1"/>
  <c r="AQ13" i="101"/>
  <c r="AS13" i="101"/>
  <c r="AS14" i="101"/>
  <c r="AR14" i="101"/>
  <c r="AS15" i="101"/>
  <c r="AR12" i="101"/>
  <c r="AQ12" i="103"/>
  <c r="AR13" i="103"/>
  <c r="AQ13" i="103"/>
  <c r="AX12" i="103"/>
  <c r="AW12" i="103"/>
  <c r="AV12" i="103"/>
  <c r="AU12" i="103"/>
  <c r="AT12" i="103"/>
  <c r="AS12" i="103"/>
  <c r="AR12" i="103"/>
  <c r="AO12" i="103"/>
  <c r="AX11" i="103"/>
  <c r="AW11" i="103"/>
  <c r="AV11" i="103"/>
  <c r="AU11" i="103"/>
  <c r="AT11" i="103"/>
  <c r="AS11" i="103"/>
  <c r="M7" i="103" s="1" a="1"/>
  <c r="M7" i="103" s="1"/>
  <c r="AR11" i="103"/>
  <c r="AQ11" i="103"/>
  <c r="AX10" i="103"/>
  <c r="AW10" i="103"/>
  <c r="AV10" i="103"/>
  <c r="AU10" i="103"/>
  <c r="AT10" i="103"/>
  <c r="AS10" i="103"/>
  <c r="M9" i="103" s="1" a="1"/>
  <c r="M9" i="103" s="1"/>
  <c r="AR10" i="103"/>
  <c r="AQ10" i="103"/>
  <c r="R65" i="104"/>
  <c r="Q65" i="104"/>
  <c r="P65" i="104"/>
  <c r="R57" i="104"/>
  <c r="AU13" i="103" s="1"/>
  <c r="Q57" i="104"/>
  <c r="AT13" i="103" s="1"/>
  <c r="P57" i="104"/>
  <c r="AS13" i="103" s="1"/>
  <c r="F46" i="104"/>
  <c r="F45" i="104"/>
  <c r="F44" i="104"/>
  <c r="F42" i="104"/>
  <c r="AO11" i="103" s="1"/>
  <c r="F41" i="104"/>
  <c r="AO10" i="103" s="1"/>
  <c r="AF15" i="103" s="1"/>
  <c r="AG15" i="103" s="1"/>
  <c r="X24" i="104"/>
  <c r="X23" i="104"/>
  <c r="X22" i="104"/>
  <c r="X21" i="104"/>
  <c r="X20" i="104"/>
  <c r="X19" i="104"/>
  <c r="X18" i="104"/>
  <c r="X17" i="104"/>
  <c r="AF16" i="103" l="1"/>
  <c r="AG16" i="103" s="1" a="1"/>
  <c r="AG16" i="103" s="1"/>
  <c r="AF26" i="101" a="1"/>
  <c r="AF26" i="101" s="1"/>
  <c r="AF16" i="101" a="1"/>
  <c r="AF16" i="101" s="1"/>
  <c r="AF28" i="101" a="1"/>
  <c r="AF28" i="101" s="1"/>
  <c r="AF18" i="101" a="1"/>
  <c r="AF18" i="101" s="1"/>
  <c r="AF20" i="101" a="1"/>
  <c r="AF20" i="101" s="1"/>
  <c r="AF14" i="101" a="1"/>
  <c r="AF14" i="101" s="1"/>
  <c r="K7" i="103" a="1"/>
  <c r="K7" i="103" s="1"/>
  <c r="K15" i="103" a="1"/>
  <c r="K15" i="103" s="1"/>
  <c r="L15" i="103" a="1"/>
  <c r="L15" i="103" s="1"/>
  <c r="K16" i="103"/>
  <c r="L16" i="103" a="1"/>
  <c r="L16" i="103" s="1"/>
  <c r="N16" i="103" a="1"/>
  <c r="N16" i="103" s="1"/>
  <c r="M16" i="103" a="1"/>
  <c r="M16" i="103" s="1"/>
  <c r="N15" i="103" a="1"/>
  <c r="N15" i="103" s="1"/>
  <c r="M15" i="103" a="1"/>
  <c r="M15" i="103" s="1"/>
  <c r="M17" i="103" a="1"/>
  <c r="M17" i="103" s="1"/>
  <c r="N17" i="103" a="1"/>
  <c r="N17" i="103" s="1"/>
  <c r="L17" i="103" a="1"/>
  <c r="L17" i="103" s="1"/>
  <c r="K17" i="103" a="1"/>
  <c r="K17" i="103" s="1"/>
  <c r="AF11" i="103"/>
  <c r="AG11" i="103" s="1"/>
  <c r="AF17" i="103"/>
  <c r="AG17" i="103" s="1"/>
  <c r="I38" i="101" a="1"/>
  <c r="I38" i="101" s="1"/>
  <c r="I100" i="101" a="1"/>
  <c r="I100" i="101" s="1"/>
  <c r="J100" i="101" s="1"/>
  <c r="N141" i="101"/>
  <c r="I50" i="101" a="1"/>
  <c r="I50" i="101" s="1"/>
  <c r="I128" i="101" a="1"/>
  <c r="I128" i="101" s="1"/>
  <c r="J128" i="101" s="1"/>
  <c r="N130" i="101"/>
  <c r="N126" i="101"/>
  <c r="I120" i="101" a="1"/>
  <c r="I120" i="101" s="1"/>
  <c r="J120" i="101" s="1"/>
  <c r="I112" i="101" a="1"/>
  <c r="I112" i="101" s="1"/>
  <c r="J112" i="101" s="1"/>
  <c r="I25" i="101" a="1"/>
  <c r="I25" i="101" s="1"/>
  <c r="I26" i="101" a="1"/>
  <c r="I26" i="101" s="1"/>
  <c r="I98" i="101" a="1"/>
  <c r="I98" i="101" s="1"/>
  <c r="J98" i="101" s="1"/>
  <c r="I152" i="101" a="1"/>
  <c r="I152" i="101" s="1"/>
  <c r="J152" i="101" s="1"/>
  <c r="N140" i="101"/>
  <c r="N123" i="101"/>
  <c r="N127" i="101"/>
  <c r="I136" i="101" a="1"/>
  <c r="I136" i="101" s="1"/>
  <c r="J136" i="101" s="1"/>
  <c r="N142" i="101"/>
  <c r="AF7" i="103" a="1"/>
  <c r="AF7" i="103" s="1"/>
  <c r="AG7" i="103" s="1"/>
  <c r="AF22" i="103"/>
  <c r="N86" i="101"/>
  <c r="N11" i="101"/>
  <c r="N64" i="101"/>
  <c r="N76" i="101"/>
  <c r="N138" i="101"/>
  <c r="N143" i="101"/>
  <c r="N151" i="101"/>
  <c r="N104" i="101"/>
  <c r="N129" i="101"/>
  <c r="N134" i="101"/>
  <c r="N122" i="101"/>
  <c r="N147" i="101"/>
  <c r="N124" i="101"/>
  <c r="N144" i="101"/>
  <c r="N62" i="101"/>
  <c r="N47" i="101"/>
  <c r="N21" i="101"/>
  <c r="N26" i="101"/>
  <c r="N61" i="101"/>
  <c r="N39" i="101"/>
  <c r="N34" i="101"/>
  <c r="N19" i="101"/>
  <c r="N54" i="101"/>
  <c r="N29" i="101"/>
  <c r="N40" i="101"/>
  <c r="N45" i="101"/>
  <c r="N13" i="101"/>
  <c r="N53" i="101"/>
  <c r="I117" i="101" a="1"/>
  <c r="I117" i="101" s="1"/>
  <c r="J117" i="101" s="1"/>
  <c r="I125" i="101" a="1"/>
  <c r="I125" i="101" s="1"/>
  <c r="J125" i="101" s="1"/>
  <c r="I149" i="101" a="1"/>
  <c r="I149" i="101" s="1"/>
  <c r="J149" i="101" s="1"/>
  <c r="I109" i="101" a="1"/>
  <c r="I109" i="101" s="1"/>
  <c r="J109" i="101" s="1"/>
  <c r="I133" i="101" a="1"/>
  <c r="I133" i="101" s="1"/>
  <c r="J133" i="101" s="1"/>
  <c r="I15" i="101" a="1"/>
  <c r="I15" i="101" s="1"/>
  <c r="J15" i="101" s="1"/>
  <c r="I44" i="101" a="1"/>
  <c r="I44" i="101" s="1"/>
  <c r="I16" i="101" a="1"/>
  <c r="I16" i="101" s="1"/>
  <c r="J16" i="101" s="1"/>
  <c r="I78" i="101" a="1"/>
  <c r="I78" i="101" s="1"/>
  <c r="J78" i="101" s="1"/>
  <c r="I141" i="101" a="1"/>
  <c r="I141" i="101" s="1"/>
  <c r="J141" i="101" s="1"/>
  <c r="I80" i="101" a="1"/>
  <c r="I80" i="101" s="1"/>
  <c r="J80" i="101" s="1"/>
  <c r="I54" i="101" a="1"/>
  <c r="I54" i="101" s="1"/>
  <c r="I33" i="101" a="1"/>
  <c r="I33" i="101" s="1"/>
  <c r="I31" i="101" a="1"/>
  <c r="I31" i="101" s="1"/>
  <c r="I42" i="101" a="1"/>
  <c r="I42" i="101" s="1"/>
  <c r="I70" i="101" a="1"/>
  <c r="I70" i="101" s="1"/>
  <c r="J70" i="101" s="1"/>
  <c r="I11" i="101" a="1"/>
  <c r="I11" i="101" s="1"/>
  <c r="J11" i="101" s="1"/>
  <c r="I52" i="101" a="1"/>
  <c r="I52" i="101" s="1"/>
  <c r="I72" i="101" a="1"/>
  <c r="I72" i="101" s="1"/>
  <c r="J72" i="101" s="1"/>
  <c r="I12" i="101" a="1"/>
  <c r="I12" i="101" s="1"/>
  <c r="J12" i="101" s="1"/>
  <c r="I61" i="101" a="1"/>
  <c r="I61" i="101" s="1"/>
  <c r="I49" i="101" a="1"/>
  <c r="I49" i="101" s="1"/>
  <c r="I135" i="101" a="1"/>
  <c r="I135" i="101" s="1"/>
  <c r="J135" i="101" s="1"/>
  <c r="I92" i="101" a="1"/>
  <c r="I92" i="101" s="1"/>
  <c r="J92" i="101" s="1"/>
  <c r="I143" i="101" a="1"/>
  <c r="I143" i="101" s="1"/>
  <c r="J143" i="101" s="1"/>
  <c r="I127" i="101" a="1"/>
  <c r="I127" i="101" s="1"/>
  <c r="J127" i="101" s="1"/>
  <c r="I90" i="101" a="1"/>
  <c r="I90" i="101" s="1"/>
  <c r="J90" i="101" s="1"/>
  <c r="I119" i="101" a="1"/>
  <c r="I119" i="101" s="1"/>
  <c r="J119" i="101" s="1"/>
  <c r="I36" i="101" a="1"/>
  <c r="I36" i="101" s="1"/>
  <c r="I57" i="101" a="1"/>
  <c r="I57" i="101" s="1"/>
  <c r="I21" i="101" a="1"/>
  <c r="I21" i="101" s="1"/>
  <c r="I47" i="101" a="1"/>
  <c r="I47" i="101" s="1"/>
  <c r="I22" i="101" a="1"/>
  <c r="I22" i="101" s="1"/>
  <c r="I151" i="101" a="1"/>
  <c r="I151" i="101" s="1"/>
  <c r="J151" i="101" s="1"/>
  <c r="I111" i="101" a="1"/>
  <c r="I111" i="101" s="1"/>
  <c r="J111" i="101" s="1"/>
  <c r="I107" i="101" a="1"/>
  <c r="I107" i="101" s="1"/>
  <c r="J107" i="101" s="1"/>
  <c r="I131" i="101" a="1"/>
  <c r="I131" i="101" s="1"/>
  <c r="J131" i="101" s="1"/>
  <c r="I139" i="101" a="1"/>
  <c r="I139" i="101" s="1"/>
  <c r="J139" i="101" s="1"/>
  <c r="I115" i="101" a="1"/>
  <c r="I115" i="101" s="1"/>
  <c r="J115" i="101" s="1"/>
  <c r="I123" i="101" a="1"/>
  <c r="I123" i="101" s="1"/>
  <c r="J123" i="101" s="1"/>
  <c r="I66" i="101" a="1"/>
  <c r="I66" i="101" s="1"/>
  <c r="J66" i="101" s="1"/>
  <c r="I10" i="101" a="1"/>
  <c r="I10" i="101" s="1"/>
  <c r="J10" i="101" s="1"/>
  <c r="I147" i="101" a="1"/>
  <c r="I147" i="101" s="1"/>
  <c r="J147" i="101" s="1"/>
  <c r="I41" i="101" a="1"/>
  <c r="I41" i="101" s="1"/>
  <c r="I9" i="101" a="1"/>
  <c r="I9" i="101" s="1"/>
  <c r="J9" i="101" s="1"/>
  <c r="I30" i="101" a="1"/>
  <c r="I30" i="101" s="1"/>
  <c r="I51" i="101" a="1"/>
  <c r="I51" i="101" s="1"/>
  <c r="I64" i="101" a="1"/>
  <c r="I64" i="101" s="1"/>
  <c r="J64" i="101" s="1"/>
  <c r="I106" i="101" a="1"/>
  <c r="I106" i="101" s="1"/>
  <c r="J106" i="101" s="1"/>
  <c r="I138" i="101" a="1"/>
  <c r="I138" i="101" s="1"/>
  <c r="J138" i="101" s="1"/>
  <c r="I146" i="101" a="1"/>
  <c r="I146" i="101" s="1"/>
  <c r="J146" i="101" s="1"/>
  <c r="I114" i="101" a="1"/>
  <c r="I114" i="101" s="1"/>
  <c r="J114" i="101" s="1"/>
  <c r="I130" i="101" a="1"/>
  <c r="I130" i="101" s="1"/>
  <c r="J130" i="101" s="1"/>
  <c r="I8" i="101" a="1"/>
  <c r="I8" i="101" s="1"/>
  <c r="J8" i="101" s="1"/>
  <c r="I29" i="101" a="1"/>
  <c r="I29" i="101" s="1"/>
  <c r="I40" i="101" a="1"/>
  <c r="I40" i="101" s="1"/>
  <c r="I53" i="101" a="1"/>
  <c r="I53" i="101" s="1"/>
  <c r="I7" i="101" a="1"/>
  <c r="I7" i="101" s="1"/>
  <c r="J7" i="101" s="1"/>
  <c r="I122" i="101" a="1"/>
  <c r="I122" i="101" s="1"/>
  <c r="J122" i="101" s="1"/>
  <c r="I62" i="101" a="1"/>
  <c r="I62" i="101" s="1"/>
  <c r="I96" i="101" a="1"/>
  <c r="I96" i="101" s="1"/>
  <c r="J96" i="101" s="1"/>
  <c r="I23" i="101" a="1"/>
  <c r="I23" i="101" s="1"/>
  <c r="I58" i="101" a="1"/>
  <c r="I58" i="101" s="1"/>
  <c r="I24" i="101" a="1"/>
  <c r="I24" i="101" s="1"/>
  <c r="I37" i="101" a="1"/>
  <c r="I37" i="101" s="1"/>
  <c r="I48" i="101" a="1"/>
  <c r="I48" i="101" s="1"/>
  <c r="I94" i="101" a="1"/>
  <c r="I94" i="101" s="1"/>
  <c r="J94" i="101" s="1"/>
  <c r="I82" i="101" a="1"/>
  <c r="I82" i="101" s="1"/>
  <c r="J82" i="101" s="1"/>
  <c r="I18" i="101" a="1"/>
  <c r="I18" i="101" s="1"/>
  <c r="I55" i="101" a="1"/>
  <c r="I55" i="101" s="1"/>
  <c r="I17" i="101" a="1"/>
  <c r="I17" i="101" s="1"/>
  <c r="I84" i="101" a="1"/>
  <c r="I84" i="101" s="1"/>
  <c r="J84" i="101" s="1"/>
  <c r="I34" i="101" a="1"/>
  <c r="I34" i="101" s="1"/>
  <c r="I45" i="101" a="1"/>
  <c r="I45" i="101" s="1"/>
  <c r="J13" i="101"/>
  <c r="AV13" i="103"/>
  <c r="AO13" i="103"/>
  <c r="AP13" i="103" s="1"/>
  <c r="I13" i="103" s="1" a="1"/>
  <c r="I13" i="103" s="1"/>
  <c r="AW13" i="103"/>
  <c r="AX13" i="103"/>
  <c r="AP11" i="103"/>
  <c r="AP12" i="103"/>
  <c r="AP10" i="103"/>
  <c r="I15" i="103" l="1" a="1"/>
  <c r="I15" i="103" s="1"/>
  <c r="J15" i="103" a="1"/>
  <c r="J15" i="103" s="1"/>
  <c r="I17" i="103" a="1"/>
  <c r="I17" i="103" s="1"/>
  <c r="J17" i="103" a="1"/>
  <c r="J17" i="103" s="1"/>
  <c r="I16" i="103" a="1"/>
  <c r="I16" i="103" s="1"/>
  <c r="J16" i="103" a="1"/>
  <c r="J16" i="103" s="1"/>
  <c r="J17" i="101"/>
  <c r="J18" i="101"/>
  <c r="J23" i="101"/>
  <c r="J19" i="101"/>
  <c r="L22" i="103" a="1"/>
  <c r="L22" i="103" s="1"/>
  <c r="K22" i="103" a="1"/>
  <c r="K22" i="103" s="1"/>
  <c r="F14" i="103"/>
  <c r="F12" i="103"/>
  <c r="AF12" i="103" s="1"/>
  <c r="AG12" i="103" s="1"/>
  <c r="F10" i="103"/>
  <c r="F8" i="103"/>
  <c r="L28" i="103" a="1"/>
  <c r="L28" i="103" s="1"/>
  <c r="L56" i="103" s="1"/>
  <c r="L32" i="103" a="1"/>
  <c r="L32" i="103" s="1"/>
  <c r="L46" i="103" s="1"/>
  <c r="K19" i="103" a="1"/>
  <c r="K19" i="103" s="1"/>
  <c r="L36" i="103" a="1"/>
  <c r="L36" i="103" s="1"/>
  <c r="L48" i="103" s="1"/>
  <c r="K27" i="103" a="1"/>
  <c r="K27" i="103" s="1"/>
  <c r="K55" i="103" s="1"/>
  <c r="L40" i="103" a="1"/>
  <c r="L40" i="103" s="1"/>
  <c r="L9" i="103" a="1"/>
  <c r="L9" i="103" s="1"/>
  <c r="L11" i="103" a="1"/>
  <c r="L11" i="103" s="1"/>
  <c r="M22" i="103" a="1"/>
  <c r="M22" i="103" s="1"/>
  <c r="M32" i="103" a="1"/>
  <c r="M32" i="103" s="1"/>
  <c r="M46" i="103" s="1"/>
  <c r="M34" i="103" a="1"/>
  <c r="M34" i="103" s="1"/>
  <c r="N36" i="103" a="1"/>
  <c r="N36" i="103" s="1"/>
  <c r="N48" i="103" s="1"/>
  <c r="N24" i="103" a="1"/>
  <c r="N24" i="103" s="1"/>
  <c r="N40" i="103" a="1"/>
  <c r="N40" i="103" s="1"/>
  <c r="N9" i="103" a="1"/>
  <c r="N9" i="103" s="1"/>
  <c r="AF40" i="103"/>
  <c r="N50" i="103" l="1"/>
  <c r="L50" i="103"/>
  <c r="J20" i="101"/>
  <c r="J21" i="101"/>
  <c r="J24" i="101"/>
  <c r="J26" i="101"/>
  <c r="J22" i="101"/>
  <c r="K18" i="103" a="1"/>
  <c r="K18" i="103" s="1"/>
  <c r="L26" i="103" a="1"/>
  <c r="L26" i="103" s="1"/>
  <c r="L54" i="103" s="1"/>
  <c r="K8" i="103" a="1"/>
  <c r="K8" i="103" s="1"/>
  <c r="K30" i="103" a="1"/>
  <c r="K30" i="103" s="1"/>
  <c r="K38" i="103" a="1"/>
  <c r="K38" i="103" s="1"/>
  <c r="L30" i="103" a="1"/>
  <c r="L30" i="103" s="1"/>
  <c r="K26" i="103" a="1"/>
  <c r="K26" i="103" s="1"/>
  <c r="K54" i="103" s="1"/>
  <c r="L18" i="103" a="1"/>
  <c r="L18" i="103" s="1"/>
  <c r="L38" i="103" a="1"/>
  <c r="L38" i="103" s="1"/>
  <c r="K32" i="103" a="1"/>
  <c r="K32" i="103" s="1"/>
  <c r="K46" i="103" s="1"/>
  <c r="K40" i="103" a="1"/>
  <c r="K40" i="103" s="1"/>
  <c r="L19" i="103" a="1"/>
  <c r="L19" i="103" s="1"/>
  <c r="L23" i="103" a="1"/>
  <c r="L23" i="103" s="1"/>
  <c r="L27" i="103" a="1"/>
  <c r="L27" i="103" s="1"/>
  <c r="L55" i="103" s="1"/>
  <c r="L12" i="103" a="1"/>
  <c r="L12" i="103" s="1"/>
  <c r="K28" i="103" a="1"/>
  <c r="K28" i="103" s="1"/>
  <c r="K56" i="103" s="1"/>
  <c r="K24" i="103" a="1"/>
  <c r="K24" i="103" s="1"/>
  <c r="K20" i="103" a="1"/>
  <c r="K20" i="103" s="1"/>
  <c r="K34" i="103" a="1"/>
  <c r="K34" i="103" s="1"/>
  <c r="L20" i="103" a="1"/>
  <c r="L20" i="103" s="1"/>
  <c r="L24" i="103" a="1"/>
  <c r="L24" i="103" s="1"/>
  <c r="L34" i="103" a="1"/>
  <c r="L34" i="103" s="1"/>
  <c r="K23" i="103" a="1"/>
  <c r="K23" i="103" s="1"/>
  <c r="K36" i="103" a="1"/>
  <c r="K36" i="103" s="1"/>
  <c r="K48" i="103" s="1"/>
  <c r="M27" i="103" a="1"/>
  <c r="M27" i="103" s="1"/>
  <c r="M55" i="103" s="1"/>
  <c r="M12" i="103" a="1"/>
  <c r="M12" i="103" s="1"/>
  <c r="N22" i="103" a="1"/>
  <c r="N22" i="103" s="1"/>
  <c r="N10" i="103" a="1"/>
  <c r="N10" i="103" s="1"/>
  <c r="M24" i="103" a="1"/>
  <c r="M24" i="103" s="1"/>
  <c r="M36" i="103" a="1"/>
  <c r="M36" i="103" s="1"/>
  <c r="M48" i="103" s="1"/>
  <c r="N11" i="103" a="1"/>
  <c r="N11" i="103" s="1"/>
  <c r="N27" i="103" a="1"/>
  <c r="N27" i="103" s="1"/>
  <c r="N55" i="103" s="1"/>
  <c r="M10" i="103" a="1"/>
  <c r="M10" i="103" s="1"/>
  <c r="M18" i="103" a="1"/>
  <c r="M18" i="103" s="1"/>
  <c r="M38" i="103" a="1"/>
  <c r="M38" i="103" s="1"/>
  <c r="N30" i="103" a="1"/>
  <c r="N30" i="103" s="1"/>
  <c r="N7" i="103" a="1"/>
  <c r="N7" i="103" s="1"/>
  <c r="N18" i="103" a="1"/>
  <c r="N18" i="103" s="1"/>
  <c r="N38" i="103" a="1"/>
  <c r="N38" i="103" s="1"/>
  <c r="K12" i="103" a="1"/>
  <c r="K12" i="103" s="1"/>
  <c r="K10" i="103" a="1"/>
  <c r="K10" i="103" s="1"/>
  <c r="AF20" i="103"/>
  <c r="M26" i="103" a="1"/>
  <c r="M26" i="103" s="1"/>
  <c r="N19" i="103" a="1"/>
  <c r="N19" i="103" s="1"/>
  <c r="N32" i="103" a="1"/>
  <c r="N32" i="103" s="1"/>
  <c r="N46" i="103" s="1"/>
  <c r="I12" i="103" a="1"/>
  <c r="I12" i="103" s="1"/>
  <c r="AF27" i="103"/>
  <c r="K9" i="103" a="1"/>
  <c r="K9" i="103" s="1"/>
  <c r="L10" i="103" a="1"/>
  <c r="L10" i="103" s="1"/>
  <c r="L14" i="103" a="1"/>
  <c r="L14" i="103" s="1"/>
  <c r="M28" i="103" a="1"/>
  <c r="M28" i="103" s="1"/>
  <c r="M56" i="103" s="1"/>
  <c r="M23" i="103" a="1"/>
  <c r="M23" i="103" s="1"/>
  <c r="M20" i="103" a="1"/>
  <c r="M20" i="103" s="1"/>
  <c r="M11" i="103" a="1"/>
  <c r="M11" i="103" s="1"/>
  <c r="M40" i="103" a="1"/>
  <c r="M40" i="103" s="1"/>
  <c r="N8" i="103" a="1"/>
  <c r="N8" i="103" s="1"/>
  <c r="N12" i="103" a="1"/>
  <c r="N12" i="103" s="1"/>
  <c r="N20" i="103" a="1"/>
  <c r="N20" i="103" s="1"/>
  <c r="N28" i="103" a="1"/>
  <c r="N28" i="103" s="1"/>
  <c r="N56" i="103" s="1"/>
  <c r="N34" i="103" a="1"/>
  <c r="N34" i="103" s="1"/>
  <c r="L8" i="103" a="1"/>
  <c r="L8" i="103" s="1"/>
  <c r="M19" i="103" a="1"/>
  <c r="M19" i="103" s="1"/>
  <c r="N26" i="103" a="1"/>
  <c r="N26" i="103" s="1"/>
  <c r="N54" i="103" s="1"/>
  <c r="J11" i="103" a="1"/>
  <c r="J11" i="103" s="1"/>
  <c r="AF24" i="103"/>
  <c r="AF38" i="103"/>
  <c r="M8" i="103" a="1"/>
  <c r="M8" i="103" s="1"/>
  <c r="N23" i="103" a="1"/>
  <c r="N23" i="103" s="1"/>
  <c r="K11" i="103" a="1"/>
  <c r="K11" i="103" s="1"/>
  <c r="L7" i="103" a="1"/>
  <c r="L7" i="103" s="1"/>
  <c r="M30" i="103" a="1"/>
  <c r="M30" i="103" s="1"/>
  <c r="J20" i="103" a="1"/>
  <c r="J20" i="103" s="1"/>
  <c r="I20" i="103" a="1"/>
  <c r="I20" i="103" s="1"/>
  <c r="J12" i="103" a="1"/>
  <c r="J12" i="103" s="1"/>
  <c r="I11" i="103" a="1"/>
  <c r="I11" i="103" s="1"/>
  <c r="I24" i="103" s="1"/>
  <c r="I27" i="103" s="1"/>
  <c r="I55" i="103" s="1"/>
  <c r="M54" i="103" l="1"/>
  <c r="M50" i="103"/>
  <c r="I38" i="103"/>
  <c r="I40" i="103" s="1"/>
  <c r="I50" i="103" s="1"/>
  <c r="K50" i="103"/>
  <c r="J24" i="103"/>
  <c r="J27" i="101"/>
  <c r="J30" i="101"/>
  <c r="J28" i="101"/>
  <c r="J25" i="101"/>
  <c r="L44" i="103" a="1"/>
  <c r="L44" i="103" s="1"/>
  <c r="K44" i="103" a="1"/>
  <c r="K44" i="103" s="1"/>
  <c r="K14" i="103" a="1"/>
  <c r="K14" i="103" s="1"/>
  <c r="L29" i="103" a="1"/>
  <c r="L29" i="103" s="1"/>
  <c r="L57" i="103" s="1"/>
  <c r="L25" i="103" a="1"/>
  <c r="L25" i="103" s="1"/>
  <c r="L21" i="103" a="1"/>
  <c r="L21" i="103" s="1"/>
  <c r="L42" i="103" a="1"/>
  <c r="L42" i="103" s="1"/>
  <c r="K42" i="103" a="1"/>
  <c r="K42" i="103" s="1"/>
  <c r="K21" i="103" a="1"/>
  <c r="K21" i="103" s="1"/>
  <c r="K25" i="103" a="1"/>
  <c r="K25" i="103" s="1"/>
  <c r="K29" i="103" a="1"/>
  <c r="K29" i="103" s="1"/>
  <c r="K57" i="103" s="1"/>
  <c r="N29" i="103" a="1"/>
  <c r="N29" i="103" s="1"/>
  <c r="N57" i="103" s="1"/>
  <c r="N25" i="103" a="1"/>
  <c r="N25" i="103" s="1"/>
  <c r="N21" i="103" a="1"/>
  <c r="N21" i="103" s="1"/>
  <c r="M42" i="103" a="1"/>
  <c r="M42" i="103" s="1"/>
  <c r="M25" i="103" a="1"/>
  <c r="M25" i="103" s="1"/>
  <c r="M21" i="103" a="1"/>
  <c r="M21" i="103" s="1"/>
  <c r="M29" i="103" a="1"/>
  <c r="M29" i="103" s="1"/>
  <c r="M57" i="103" s="1"/>
  <c r="N42" i="103" a="1"/>
  <c r="N42" i="103" s="1"/>
  <c r="L13" i="103" a="1"/>
  <c r="L13" i="103" s="1"/>
  <c r="K13" i="103" a="1"/>
  <c r="K13" i="103" s="1"/>
  <c r="N13" i="103" a="1"/>
  <c r="N13" i="103" s="1"/>
  <c r="M13" i="103" a="1"/>
  <c r="M13" i="103" s="1"/>
  <c r="N44" i="103" a="1"/>
  <c r="N44" i="103" s="1"/>
  <c r="N14" i="103" a="1"/>
  <c r="N14" i="103" s="1"/>
  <c r="M44" i="103" a="1"/>
  <c r="M44" i="103" s="1"/>
  <c r="M14" i="103" a="1"/>
  <c r="M14" i="103" s="1"/>
  <c r="M52" i="103" l="1"/>
  <c r="K52" i="103"/>
  <c r="L52" i="103"/>
  <c r="N52" i="103"/>
  <c r="J33" i="101"/>
  <c r="J40" i="101"/>
  <c r="J29" i="101"/>
  <c r="J31" i="101"/>
  <c r="AF18" i="103"/>
  <c r="AF30" i="103"/>
  <c r="AF32" i="103"/>
  <c r="AF28" i="103"/>
  <c r="AF8" i="103"/>
  <c r="AG8" i="103" s="1" a="1"/>
  <c r="AG8" i="103" s="1"/>
  <c r="AF34" i="103"/>
  <c r="AF26" i="103"/>
  <c r="AG26" i="103" s="1"/>
  <c r="AF36" i="103"/>
  <c r="AF19" i="103"/>
  <c r="AF23" i="103"/>
  <c r="AF9" i="103"/>
  <c r="AG9" i="103" s="1" a="1"/>
  <c r="AG9" i="103" s="1"/>
  <c r="AF10" i="103"/>
  <c r="AG10" i="103" s="1" a="1"/>
  <c r="AG10" i="103" s="1"/>
  <c r="J34" i="101" l="1"/>
  <c r="J36" i="101"/>
  <c r="J43" i="101"/>
  <c r="J32" i="101"/>
  <c r="J41" i="101"/>
  <c r="J42" i="101"/>
  <c r="I18" i="103" a="1"/>
  <c r="I18" i="103" s="1"/>
  <c r="J18" i="103" a="1"/>
  <c r="J18" i="103" s="1"/>
  <c r="I19" i="103" a="1"/>
  <c r="I19" i="103" s="1"/>
  <c r="J19" i="103" a="1"/>
  <c r="J19" i="103" s="1"/>
  <c r="I10" i="103" a="1"/>
  <c r="I10" i="103" s="1"/>
  <c r="J10" i="103" a="1"/>
  <c r="J10" i="103" s="1"/>
  <c r="I8" i="103" a="1"/>
  <c r="I8" i="103" s="1"/>
  <c r="J7" i="103" a="1"/>
  <c r="J7" i="103" s="1"/>
  <c r="AF42" i="103"/>
  <c r="I21" i="103" a="1"/>
  <c r="I21" i="103" s="1"/>
  <c r="AF44" i="103"/>
  <c r="AF13" i="103"/>
  <c r="AG13" i="103" s="1" a="1"/>
  <c r="AG13" i="103" s="1"/>
  <c r="AF21" i="103"/>
  <c r="AF29" i="103"/>
  <c r="AF25" i="103"/>
  <c r="AF14" i="103"/>
  <c r="I9" i="103" a="1"/>
  <c r="I9" i="103" s="1"/>
  <c r="I23" i="103" s="1"/>
  <c r="I26" i="103" s="1"/>
  <c r="I54" i="103" s="1"/>
  <c r="I7" i="103"/>
  <c r="J9" i="103" a="1"/>
  <c r="J9" i="103" s="1"/>
  <c r="J8" i="103" a="1"/>
  <c r="J8" i="103" s="1"/>
  <c r="I25" i="103"/>
  <c r="I29" i="103" s="1"/>
  <c r="I57" i="103" s="1"/>
  <c r="I22" i="103" l="1"/>
  <c r="I30" i="103" s="1"/>
  <c r="I42" i="103"/>
  <c r="I44" i="103" s="1"/>
  <c r="I52" i="103" s="1"/>
  <c r="I34" i="103"/>
  <c r="I36" i="103" s="1"/>
  <c r="I48" i="103" s="1"/>
  <c r="I28" i="103"/>
  <c r="I56" i="103" s="1"/>
  <c r="J23" i="103"/>
  <c r="J45" i="101"/>
  <c r="J39" i="101"/>
  <c r="J46" i="101"/>
  <c r="J35" i="101"/>
  <c r="J44" i="101"/>
  <c r="J37" i="101"/>
  <c r="J14" i="103" a="1"/>
  <c r="J14" i="103" s="1"/>
  <c r="J21" i="103" a="1"/>
  <c r="J21" i="103" s="1"/>
  <c r="I14" i="103" a="1"/>
  <c r="I14" i="103" s="1"/>
  <c r="J13" i="103" a="1"/>
  <c r="J13" i="103" s="1"/>
  <c r="J26" i="103"/>
  <c r="J54" i="103" s="1"/>
  <c r="J22" i="103"/>
  <c r="J25" i="103"/>
  <c r="J29" i="103"/>
  <c r="J57" i="103" s="1"/>
  <c r="J38" i="103"/>
  <c r="AG21" i="103"/>
  <c r="I32" i="103" l="1"/>
  <c r="I46" i="103" s="1"/>
  <c r="J28" i="103"/>
  <c r="J56" i="103" s="1"/>
  <c r="J40" i="103"/>
  <c r="J27" i="103"/>
  <c r="J55" i="103" s="1"/>
  <c r="J30" i="103"/>
  <c r="J49" i="101"/>
  <c r="J54" i="101"/>
  <c r="J60" i="101"/>
  <c r="J50" i="101"/>
  <c r="J38" i="101"/>
  <c r="J47" i="101"/>
  <c r="J48" i="101"/>
  <c r="AG14" i="103"/>
  <c r="AG18" i="103"/>
  <c r="AG19" i="103"/>
  <c r="AG20" i="103"/>
  <c r="AG30" i="103"/>
  <c r="AG25" i="103"/>
  <c r="AG24" i="103"/>
  <c r="AG23" i="103"/>
  <c r="J32" i="103" l="1"/>
  <c r="J46" i="103" s="1"/>
  <c r="J50" i="103"/>
  <c r="J44" i="103"/>
  <c r="J52" i="101"/>
  <c r="J58" i="101"/>
  <c r="J62" i="101"/>
  <c r="J56" i="101"/>
  <c r="J53" i="101"/>
  <c r="J59" i="101"/>
  <c r="J51" i="101"/>
  <c r="J57" i="101"/>
  <c r="J55" i="101"/>
  <c r="J61" i="101"/>
  <c r="J42" i="103"/>
  <c r="J36" i="103"/>
  <c r="J48" i="103" s="1"/>
  <c r="J34" i="103"/>
  <c r="AG22" i="103"/>
  <c r="AG32" i="103"/>
  <c r="C87" i="103"/>
  <c r="C86" i="103"/>
  <c r="C85" i="103"/>
  <c r="C84" i="103"/>
  <c r="C83" i="103"/>
  <c r="J52" i="103" l="1"/>
  <c r="AG28" i="103"/>
  <c r="AG27" i="103"/>
  <c r="AG38" i="103"/>
  <c r="AG29" i="103"/>
  <c r="AG42" i="103" l="1"/>
  <c r="AG40" i="103"/>
  <c r="AG34" i="103"/>
  <c r="AG44" i="103" l="1"/>
  <c r="AG36" i="103"/>
  <c r="C82" i="103"/>
  <c r="C81" i="103"/>
  <c r="C80" i="103"/>
  <c r="C79" i="103"/>
  <c r="C78" i="103"/>
  <c r="C77" i="103"/>
  <c r="C76" i="103"/>
  <c r="C75" i="103"/>
  <c r="C74" i="103"/>
  <c r="C73" i="103"/>
  <c r="C72" i="103"/>
  <c r="C71" i="103"/>
  <c r="C70" i="103"/>
  <c r="C69" i="103"/>
  <c r="C68" i="103"/>
  <c r="C67" i="103"/>
  <c r="C66" i="103"/>
  <c r="C65" i="103"/>
  <c r="Q113" i="101" l="1"/>
  <c r="Q112" i="101"/>
  <c r="Q111" i="101"/>
  <c r="Q110" i="101"/>
  <c r="Q109" i="101"/>
  <c r="Q108" i="101"/>
  <c r="Q107" i="101"/>
  <c r="Q106" i="101"/>
  <c r="Q54" i="100"/>
  <c r="Q52" i="100"/>
  <c r="Q50" i="100"/>
  <c r="H54" i="100"/>
  <c r="G54" i="100"/>
  <c r="H52" i="100"/>
  <c r="G52" i="100"/>
  <c r="H50" i="100"/>
  <c r="R30" i="100"/>
  <c r="Q30" i="100" s="1"/>
  <c r="R26" i="100"/>
  <c r="Q26" i="100" s="1"/>
  <c r="R22" i="100"/>
  <c r="Q22" i="100" s="1"/>
  <c r="R18" i="100"/>
  <c r="Q18" i="100" s="1"/>
  <c r="R12" i="100"/>
  <c r="R10" i="100"/>
  <c r="R8" i="100"/>
  <c r="R6" i="100"/>
  <c r="C65" i="100"/>
  <c r="AB54" i="100" l="1" a="1"/>
  <c r="AB54" i="100" s="1"/>
  <c r="AE54" i="100" a="1"/>
  <c r="AE54" i="100" s="1"/>
  <c r="AD54" i="100" a="1"/>
  <c r="AD54" i="100" s="1"/>
  <c r="AC54" i="100" a="1"/>
  <c r="AC54" i="100" s="1"/>
  <c r="AD52" i="100" a="1"/>
  <c r="AD52" i="100" s="1"/>
  <c r="AE52" i="100" a="1"/>
  <c r="AE52" i="100" s="1"/>
  <c r="AC52" i="100" a="1"/>
  <c r="AC52" i="100" s="1"/>
  <c r="AB52" i="100" a="1"/>
  <c r="AB52" i="100" s="1"/>
  <c r="B54" i="100"/>
  <c r="C99" i="100" s="1"/>
  <c r="B52" i="100"/>
  <c r="C98" i="100" s="1"/>
  <c r="Q8" i="100"/>
  <c r="Q10" i="100"/>
  <c r="Q6" i="100"/>
  <c r="Q12" i="100"/>
  <c r="R14" i="100"/>
  <c r="Q14" i="100" s="1"/>
  <c r="R17" i="100"/>
  <c r="Q17" i="100" s="1"/>
  <c r="R15" i="100"/>
  <c r="Q15" i="100" s="1"/>
  <c r="R16" i="100"/>
  <c r="Q16" i="100" s="1"/>
  <c r="C77" i="19"/>
  <c r="C78" i="19"/>
  <c r="C79" i="19"/>
  <c r="G38" i="60" l="1"/>
  <c r="G38" i="59"/>
  <c r="F38" i="59"/>
  <c r="E38" i="59"/>
  <c r="E67" i="88" l="1"/>
  <c r="E68" i="88" s="1"/>
  <c r="D67" i="88"/>
  <c r="D68" i="88" s="1"/>
  <c r="E70" i="88"/>
  <c r="E71" i="88" s="1"/>
  <c r="D70" i="88"/>
  <c r="D71" i="88" s="1"/>
  <c r="E73" i="88"/>
  <c r="E74" i="88" s="1"/>
  <c r="D73" i="88"/>
  <c r="D74" i="88" s="1"/>
  <c r="E76" i="88"/>
  <c r="E77" i="88" s="1"/>
  <c r="D76" i="88"/>
  <c r="D77" i="88" s="1"/>
  <c r="E79" i="88"/>
  <c r="E80" i="88" s="1"/>
  <c r="D79" i="88"/>
  <c r="D80" i="88" s="1"/>
  <c r="E82" i="88"/>
  <c r="E83" i="88" s="1"/>
  <c r="D82" i="88"/>
  <c r="D83" i="88" s="1"/>
  <c r="E88" i="88"/>
  <c r="D38" i="59" s="1"/>
  <c r="D88" i="88"/>
  <c r="D89" i="88" s="1"/>
  <c r="E85" i="88"/>
  <c r="E86" i="88" s="1"/>
  <c r="D85" i="88"/>
  <c r="D86" i="88" s="1"/>
  <c r="E36" i="88"/>
  <c r="F36" i="88"/>
  <c r="G36" i="88"/>
  <c r="H36" i="88"/>
  <c r="I36" i="88"/>
  <c r="J36" i="88"/>
  <c r="K36" i="88"/>
  <c r="L36" i="88"/>
  <c r="M36" i="88"/>
  <c r="N36" i="88"/>
  <c r="O36" i="88"/>
  <c r="P36" i="88"/>
  <c r="Q36" i="88"/>
  <c r="E37" i="88"/>
  <c r="F37" i="88"/>
  <c r="G37" i="88"/>
  <c r="H37" i="88"/>
  <c r="I37" i="88"/>
  <c r="J37" i="88"/>
  <c r="K37" i="88"/>
  <c r="L37" i="88"/>
  <c r="M37" i="88"/>
  <c r="N37" i="88"/>
  <c r="O37" i="88"/>
  <c r="P37" i="88"/>
  <c r="Q37" i="88"/>
  <c r="E38" i="88"/>
  <c r="F38" i="88"/>
  <c r="G38" i="88"/>
  <c r="H38" i="88"/>
  <c r="I38" i="88"/>
  <c r="J38" i="88"/>
  <c r="K38" i="88"/>
  <c r="L38" i="88"/>
  <c r="M38" i="88"/>
  <c r="N38" i="88"/>
  <c r="O38" i="88"/>
  <c r="P38" i="88"/>
  <c r="Q38" i="88"/>
  <c r="D37" i="88"/>
  <c r="D38" i="88"/>
  <c r="D36" i="88"/>
  <c r="E20" i="91"/>
  <c r="F20" i="91"/>
  <c r="G20" i="91"/>
  <c r="H20" i="91"/>
  <c r="I20" i="91"/>
  <c r="J20" i="91"/>
  <c r="K20" i="91"/>
  <c r="L20" i="91"/>
  <c r="M20" i="91"/>
  <c r="N20" i="91"/>
  <c r="O20" i="91"/>
  <c r="P20" i="91"/>
  <c r="Q20" i="91"/>
  <c r="E21" i="91"/>
  <c r="F21" i="91"/>
  <c r="G21" i="91"/>
  <c r="H21" i="91"/>
  <c r="I21" i="91"/>
  <c r="J21" i="91"/>
  <c r="K21" i="91"/>
  <c r="L21" i="91"/>
  <c r="M21" i="91"/>
  <c r="N21" i="91"/>
  <c r="O21" i="91"/>
  <c r="P21" i="91"/>
  <c r="Q21" i="91"/>
  <c r="E22" i="91"/>
  <c r="F22" i="91"/>
  <c r="G22" i="91"/>
  <c r="H22" i="91"/>
  <c r="I22" i="91"/>
  <c r="J22" i="91"/>
  <c r="K22" i="91"/>
  <c r="L22" i="91"/>
  <c r="M22" i="91"/>
  <c r="N22" i="91"/>
  <c r="O22" i="91"/>
  <c r="P22" i="91"/>
  <c r="Q22" i="91"/>
  <c r="D21" i="91"/>
  <c r="D22" i="91"/>
  <c r="D20" i="91"/>
  <c r="B23" i="90"/>
  <c r="B22" i="90"/>
  <c r="B21" i="90"/>
  <c r="E33" i="88"/>
  <c r="F33" i="88"/>
  <c r="G33" i="88"/>
  <c r="H33" i="88"/>
  <c r="I33" i="88"/>
  <c r="J33" i="88"/>
  <c r="K33" i="88"/>
  <c r="L33" i="88"/>
  <c r="M33" i="88"/>
  <c r="N33" i="88"/>
  <c r="O33" i="88"/>
  <c r="P33" i="88"/>
  <c r="Q33" i="88"/>
  <c r="E34" i="88"/>
  <c r="F34" i="88"/>
  <c r="G34" i="88"/>
  <c r="H34" i="88"/>
  <c r="I34" i="88"/>
  <c r="J34" i="88"/>
  <c r="K34" i="88"/>
  <c r="L34" i="88"/>
  <c r="M34" i="88"/>
  <c r="N34" i="88"/>
  <c r="O34" i="88"/>
  <c r="P34" i="88"/>
  <c r="Q34" i="88"/>
  <c r="E35" i="88"/>
  <c r="F35" i="88"/>
  <c r="G35" i="88"/>
  <c r="H35" i="88"/>
  <c r="I35" i="88"/>
  <c r="J35" i="88"/>
  <c r="K35" i="88"/>
  <c r="L35" i="88"/>
  <c r="M35" i="88"/>
  <c r="N35" i="88"/>
  <c r="O35" i="88"/>
  <c r="P35" i="88"/>
  <c r="Q35" i="88"/>
  <c r="D34" i="88"/>
  <c r="D35" i="88"/>
  <c r="D33" i="88"/>
  <c r="E89" i="88" l="1"/>
  <c r="O67" i="97"/>
  <c r="O75" i="97"/>
  <c r="I96" i="99"/>
  <c r="I95" i="99"/>
  <c r="G95" i="99"/>
  <c r="F95" i="99"/>
  <c r="F85" i="99" s="1"/>
  <c r="F51" i="99" s="1"/>
  <c r="F59" i="99" s="1"/>
  <c r="E95" i="99"/>
  <c r="D95" i="99"/>
  <c r="I94" i="99"/>
  <c r="I92" i="99"/>
  <c r="D92" i="99"/>
  <c r="D82" i="99" s="1"/>
  <c r="D48" i="99" s="1"/>
  <c r="D56" i="99" s="1"/>
  <c r="I89" i="99"/>
  <c r="G86" i="99"/>
  <c r="F86" i="99"/>
  <c r="E86" i="99"/>
  <c r="E52" i="99" s="1"/>
  <c r="E60" i="99" s="1"/>
  <c r="D86" i="99"/>
  <c r="G85" i="99"/>
  <c r="G51" i="99" s="1"/>
  <c r="G59" i="99" s="1"/>
  <c r="E85" i="99"/>
  <c r="D85" i="99"/>
  <c r="D51" i="99" s="1"/>
  <c r="D59" i="99" s="1"/>
  <c r="G84" i="99"/>
  <c r="G50" i="99" s="1"/>
  <c r="G58" i="99" s="1"/>
  <c r="F84" i="99"/>
  <c r="F50" i="99" s="1"/>
  <c r="F58" i="99" s="1"/>
  <c r="E84" i="99"/>
  <c r="E50" i="99" s="1"/>
  <c r="E58" i="99" s="1"/>
  <c r="D84" i="99"/>
  <c r="D50" i="99" s="1"/>
  <c r="D58" i="99" s="1"/>
  <c r="G83" i="99"/>
  <c r="G49" i="99" s="1"/>
  <c r="G57" i="99" s="1"/>
  <c r="F83" i="99"/>
  <c r="F49" i="99" s="1"/>
  <c r="F57" i="99" s="1"/>
  <c r="E83" i="99"/>
  <c r="D83" i="99"/>
  <c r="D49" i="99" s="1"/>
  <c r="D57" i="99" s="1"/>
  <c r="G81" i="99"/>
  <c r="F81" i="99"/>
  <c r="E81" i="99"/>
  <c r="D81" i="99"/>
  <c r="G79" i="99"/>
  <c r="G92" i="99" s="1"/>
  <c r="G82" i="99" s="1"/>
  <c r="G48" i="99" s="1"/>
  <c r="G56" i="99" s="1"/>
  <c r="F79" i="99"/>
  <c r="F92" i="99" s="1"/>
  <c r="F82" i="99" s="1"/>
  <c r="F48" i="99" s="1"/>
  <c r="F56" i="99" s="1"/>
  <c r="E79" i="99"/>
  <c r="E92" i="99" s="1"/>
  <c r="E82" i="99" s="1"/>
  <c r="E48" i="99" s="1"/>
  <c r="E56" i="99" s="1"/>
  <c r="D79" i="99"/>
  <c r="I76" i="99"/>
  <c r="I72" i="99"/>
  <c r="G72" i="99"/>
  <c r="G69" i="99" s="1"/>
  <c r="F72" i="99"/>
  <c r="E72" i="99"/>
  <c r="D72" i="99"/>
  <c r="I71" i="99"/>
  <c r="G70" i="99"/>
  <c r="G73" i="99" s="1"/>
  <c r="F70" i="99"/>
  <c r="F73" i="99" s="1"/>
  <c r="E70" i="99"/>
  <c r="D70" i="99"/>
  <c r="D73" i="99" s="1"/>
  <c r="F69" i="99"/>
  <c r="E69" i="99"/>
  <c r="D69" i="99"/>
  <c r="G52" i="99"/>
  <c r="G60" i="99" s="1"/>
  <c r="F52" i="99"/>
  <c r="F60" i="99" s="1"/>
  <c r="D52" i="99"/>
  <c r="D60" i="99" s="1"/>
  <c r="G36" i="99"/>
  <c r="F36" i="99"/>
  <c r="E36" i="99"/>
  <c r="D36" i="99"/>
  <c r="G31" i="99"/>
  <c r="F31" i="99"/>
  <c r="E31" i="99"/>
  <c r="D31" i="99"/>
  <c r="G25" i="99"/>
  <c r="G26" i="99" s="1"/>
  <c r="D25" i="99"/>
  <c r="D26" i="99" s="1"/>
  <c r="G23" i="99"/>
  <c r="F23" i="99"/>
  <c r="F67" i="99" s="1"/>
  <c r="E23" i="99"/>
  <c r="E67" i="99" s="1"/>
  <c r="D23" i="99"/>
  <c r="D67" i="99" s="1"/>
  <c r="I96" i="98"/>
  <c r="G96" i="98"/>
  <c r="G86" i="98" s="1"/>
  <c r="F96" i="98"/>
  <c r="F86" i="98" s="1"/>
  <c r="E96" i="98"/>
  <c r="E86" i="98" s="1"/>
  <c r="D96" i="98"/>
  <c r="D86" i="98" s="1"/>
  <c r="I95" i="98"/>
  <c r="I94" i="98"/>
  <c r="G94" i="98"/>
  <c r="G84" i="98" s="1"/>
  <c r="F94" i="98"/>
  <c r="F84" i="98" s="1"/>
  <c r="F50" i="98" s="1"/>
  <c r="F58" i="98" s="1"/>
  <c r="E94" i="98"/>
  <c r="E84" i="98" s="1"/>
  <c r="E50" i="98" s="1"/>
  <c r="E58" i="98" s="1"/>
  <c r="D94" i="98"/>
  <c r="D84" i="98" s="1"/>
  <c r="D50" i="98" s="1"/>
  <c r="D58" i="98" s="1"/>
  <c r="I89" i="98"/>
  <c r="G85" i="98"/>
  <c r="G51" i="98" s="1"/>
  <c r="G59" i="98" s="1"/>
  <c r="F85" i="98"/>
  <c r="F51" i="98" s="1"/>
  <c r="F59" i="98" s="1"/>
  <c r="E85" i="98"/>
  <c r="E51" i="98" s="1"/>
  <c r="E59" i="98" s="1"/>
  <c r="D85" i="98"/>
  <c r="G83" i="98"/>
  <c r="G49" i="98" s="1"/>
  <c r="G57" i="98" s="1"/>
  <c r="F83" i="98"/>
  <c r="E83" i="98"/>
  <c r="D83" i="98"/>
  <c r="G82" i="98"/>
  <c r="F82" i="98"/>
  <c r="F48" i="98" s="1"/>
  <c r="F56" i="98" s="1"/>
  <c r="E82" i="98"/>
  <c r="E48" i="98" s="1"/>
  <c r="E56" i="98" s="1"/>
  <c r="D82" i="98"/>
  <c r="G81" i="98"/>
  <c r="F81" i="98"/>
  <c r="E81" i="98"/>
  <c r="D81" i="98"/>
  <c r="G79" i="98"/>
  <c r="G25" i="98" s="1"/>
  <c r="F79" i="98"/>
  <c r="E79" i="98"/>
  <c r="E49" i="98" s="1"/>
  <c r="E57" i="98" s="1"/>
  <c r="D79" i="98"/>
  <c r="D25" i="98" s="1"/>
  <c r="I76" i="98"/>
  <c r="I72" i="98"/>
  <c r="G72" i="98"/>
  <c r="G73" i="98" s="1"/>
  <c r="F72" i="98"/>
  <c r="F69" i="98" s="1"/>
  <c r="E72" i="98"/>
  <c r="E69" i="98" s="1"/>
  <c r="D72" i="98"/>
  <c r="D73" i="98" s="1"/>
  <c r="I71" i="98"/>
  <c r="G36" i="98"/>
  <c r="F36" i="98"/>
  <c r="E36" i="98"/>
  <c r="D36" i="98"/>
  <c r="G31" i="98"/>
  <c r="F31" i="98"/>
  <c r="E31" i="98"/>
  <c r="D31" i="98"/>
  <c r="F25" i="98"/>
  <c r="E25" i="98"/>
  <c r="G23" i="98"/>
  <c r="G67" i="98" s="1"/>
  <c r="F23" i="98"/>
  <c r="E23" i="98"/>
  <c r="D23" i="98"/>
  <c r="I96" i="97"/>
  <c r="I95" i="97"/>
  <c r="I94" i="97"/>
  <c r="I89" i="97"/>
  <c r="G86" i="97"/>
  <c r="F86" i="97"/>
  <c r="E86" i="97"/>
  <c r="D86" i="97"/>
  <c r="G85" i="97"/>
  <c r="F85" i="97"/>
  <c r="E85" i="97"/>
  <c r="D85" i="97"/>
  <c r="G84" i="97"/>
  <c r="F84" i="97"/>
  <c r="E84" i="97"/>
  <c r="D84" i="97"/>
  <c r="G83" i="97"/>
  <c r="F83" i="97"/>
  <c r="E83" i="97"/>
  <c r="D83" i="97"/>
  <c r="G82" i="97"/>
  <c r="F82" i="97"/>
  <c r="E82" i="97"/>
  <c r="D82" i="97"/>
  <c r="G81" i="97"/>
  <c r="F81" i="97"/>
  <c r="E81" i="97"/>
  <c r="D81" i="97"/>
  <c r="G79" i="97"/>
  <c r="G49" i="97" s="1"/>
  <c r="G57" i="97" s="1"/>
  <c r="F79" i="97"/>
  <c r="F52" i="97" s="1"/>
  <c r="F60" i="97" s="1"/>
  <c r="E79" i="97"/>
  <c r="E25" i="97" s="1"/>
  <c r="D79" i="97"/>
  <c r="D25" i="97" s="1"/>
  <c r="I76" i="97"/>
  <c r="I72" i="97"/>
  <c r="G72" i="97"/>
  <c r="G69" i="97" s="1"/>
  <c r="F72" i="97"/>
  <c r="F69" i="97" s="1"/>
  <c r="E72" i="97"/>
  <c r="E73" i="97" s="1"/>
  <c r="D72" i="97"/>
  <c r="D73" i="97" s="1"/>
  <c r="I71" i="97"/>
  <c r="G36" i="97"/>
  <c r="F36" i="97"/>
  <c r="E36" i="97"/>
  <c r="D36" i="97"/>
  <c r="G31" i="97"/>
  <c r="F31" i="97"/>
  <c r="E31" i="97"/>
  <c r="G23" i="97"/>
  <c r="F23" i="97"/>
  <c r="E23" i="97"/>
  <c r="D23" i="97"/>
  <c r="D67" i="98" l="1"/>
  <c r="E67" i="98"/>
  <c r="F67" i="98"/>
  <c r="E73" i="98"/>
  <c r="G67" i="97"/>
  <c r="D52" i="98"/>
  <c r="D60" i="98" s="1"/>
  <c r="F25" i="97"/>
  <c r="E52" i="98"/>
  <c r="E60" i="98" s="1"/>
  <c r="D67" i="97"/>
  <c r="O68" i="97" s="1"/>
  <c r="F52" i="98"/>
  <c r="F60" i="98" s="1"/>
  <c r="G52" i="98"/>
  <c r="G60" i="98" s="1"/>
  <c r="F50" i="97"/>
  <c r="F58" i="97" s="1"/>
  <c r="G67" i="99"/>
  <c r="G25" i="97"/>
  <c r="D48" i="98"/>
  <c r="D56" i="98" s="1"/>
  <c r="G50" i="97"/>
  <c r="G58" i="97" s="1"/>
  <c r="E69" i="97"/>
  <c r="D51" i="97"/>
  <c r="D59" i="97" s="1"/>
  <c r="D49" i="98"/>
  <c r="D57" i="98" s="1"/>
  <c r="F25" i="99"/>
  <c r="F26" i="99" s="1"/>
  <c r="F48" i="97"/>
  <c r="F56" i="97" s="1"/>
  <c r="E51" i="97"/>
  <c r="E59" i="97" s="1"/>
  <c r="G48" i="98"/>
  <c r="G56" i="98" s="1"/>
  <c r="F51" i="97"/>
  <c r="F59" i="97" s="1"/>
  <c r="F49" i="98"/>
  <c r="F57" i="98" s="1"/>
  <c r="G51" i="97"/>
  <c r="G59" i="97" s="1"/>
  <c r="G52" i="97"/>
  <c r="G60" i="97" s="1"/>
  <c r="D51" i="98"/>
  <c r="D59" i="98" s="1"/>
  <c r="D52" i="97"/>
  <c r="D60" i="97" s="1"/>
  <c r="E52" i="97"/>
  <c r="E60" i="97" s="1"/>
  <c r="E67" i="97"/>
  <c r="F67" i="97"/>
  <c r="F73" i="97"/>
  <c r="E73" i="99"/>
  <c r="E51" i="99"/>
  <c r="E59" i="99" s="1"/>
  <c r="D48" i="97"/>
  <c r="D56" i="97" s="1"/>
  <c r="G69" i="98"/>
  <c r="E48" i="97"/>
  <c r="E56" i="97" s="1"/>
  <c r="F49" i="97"/>
  <c r="F57" i="97" s="1"/>
  <c r="D49" i="97"/>
  <c r="D57" i="97" s="1"/>
  <c r="G48" i="97"/>
  <c r="G56" i="97" s="1"/>
  <c r="E49" i="97"/>
  <c r="E57" i="97" s="1"/>
  <c r="D50" i="97"/>
  <c r="D58" i="97" s="1"/>
  <c r="G50" i="98"/>
  <c r="G58" i="98" s="1"/>
  <c r="D69" i="97"/>
  <c r="E50" i="97"/>
  <c r="E58" i="97" s="1"/>
  <c r="E49" i="99"/>
  <c r="E57" i="99" s="1"/>
  <c r="F41" i="99"/>
  <c r="F34" i="99" s="1"/>
  <c r="F40" i="99"/>
  <c r="G41" i="99"/>
  <c r="G34" i="99" s="1"/>
  <c r="G40" i="99"/>
  <c r="D40" i="99"/>
  <c r="D41" i="99"/>
  <c r="D34" i="99" s="1"/>
  <c r="E41" i="99"/>
  <c r="E34" i="99" s="1"/>
  <c r="E40" i="99"/>
  <c r="E24" i="99"/>
  <c r="E25" i="99"/>
  <c r="E26" i="99" s="1"/>
  <c r="F24" i="99"/>
  <c r="D24" i="99"/>
  <c r="G24" i="99"/>
  <c r="G40" i="98"/>
  <c r="G41" i="98"/>
  <c r="G34" i="98" s="1"/>
  <c r="D41" i="98"/>
  <c r="D34" i="98" s="1"/>
  <c r="D40" i="98"/>
  <c r="E41" i="98"/>
  <c r="E34" i="98" s="1"/>
  <c r="E40" i="98"/>
  <c r="F41" i="98"/>
  <c r="F34" i="98" s="1"/>
  <c r="F40" i="98"/>
  <c r="D24" i="98"/>
  <c r="D69" i="98"/>
  <c r="F73" i="98"/>
  <c r="E24" i="98"/>
  <c r="G24" i="98"/>
  <c r="F24" i="98"/>
  <c r="E41" i="97"/>
  <c r="E34" i="97" s="1"/>
  <c r="E40" i="97"/>
  <c r="D41" i="97"/>
  <c r="D34" i="97" s="1"/>
  <c r="D40" i="97"/>
  <c r="F41" i="97"/>
  <c r="F34" i="97" s="1"/>
  <c r="F40" i="97"/>
  <c r="G41" i="97"/>
  <c r="G34" i="97" s="1"/>
  <c r="G40" i="97"/>
  <c r="F24" i="97"/>
  <c r="G24" i="97"/>
  <c r="D24" i="97"/>
  <c r="G73" i="97"/>
  <c r="E24" i="97"/>
  <c r="E39" i="99" l="1"/>
  <c r="E32" i="99" s="1"/>
  <c r="E33" i="99"/>
  <c r="G39" i="99"/>
  <c r="G32" i="99" s="1"/>
  <c r="G33" i="99"/>
  <c r="F39" i="99"/>
  <c r="F32" i="99" s="1"/>
  <c r="F33" i="99"/>
  <c r="D39" i="99"/>
  <c r="D32" i="99" s="1"/>
  <c r="D33" i="99"/>
  <c r="E39" i="98"/>
  <c r="E32" i="98" s="1"/>
  <c r="E33" i="98"/>
  <c r="F39" i="98"/>
  <c r="F32" i="98" s="1"/>
  <c r="F33" i="98"/>
  <c r="D39" i="98"/>
  <c r="D32" i="98" s="1"/>
  <c r="D33" i="98"/>
  <c r="G39" i="98"/>
  <c r="G32" i="98" s="1"/>
  <c r="G33" i="98"/>
  <c r="F39" i="97"/>
  <c r="F32" i="97" s="1"/>
  <c r="F33" i="97"/>
  <c r="E39" i="97"/>
  <c r="E32" i="97" s="1"/>
  <c r="E33" i="97"/>
  <c r="G39" i="97"/>
  <c r="G32" i="97" s="1"/>
  <c r="G33" i="97"/>
  <c r="D39" i="97"/>
  <c r="D32" i="97" s="1"/>
  <c r="D33" i="97"/>
  <c r="R1" i="99" l="1"/>
  <c r="R1" i="97" l="1"/>
  <c r="R1" i="98"/>
  <c r="Q1" i="99" l="1"/>
  <c r="Q1" i="97" l="1"/>
  <c r="Q1" i="98"/>
  <c r="P35" i="19" l="1"/>
  <c r="O41" i="19"/>
  <c r="O38" i="19"/>
  <c r="O35" i="19"/>
  <c r="N41" i="19"/>
  <c r="N38" i="19"/>
  <c r="L38" i="19"/>
  <c r="N35" i="19"/>
  <c r="L41" i="19"/>
  <c r="L35" i="19"/>
  <c r="N62" i="19"/>
  <c r="N59" i="19"/>
  <c r="E25" i="93"/>
  <c r="D25" i="93" s="1"/>
  <c r="D86" i="93" s="1"/>
  <c r="R60" i="19"/>
  <c r="R56" i="19"/>
  <c r="D23" i="93"/>
  <c r="D24" i="93" s="1"/>
  <c r="E23" i="93"/>
  <c r="E24" i="93" s="1"/>
  <c r="F23" i="93"/>
  <c r="F24" i="93" s="1"/>
  <c r="G23" i="93"/>
  <c r="G24" i="93" s="1"/>
  <c r="D87" i="93"/>
  <c r="D27" i="93" s="1"/>
  <c r="E27" i="93"/>
  <c r="L59" i="19" s="1"/>
  <c r="F27" i="93"/>
  <c r="G27" i="93"/>
  <c r="D75" i="93"/>
  <c r="D28" i="93"/>
  <c r="D49" i="93" s="1"/>
  <c r="D47" i="93" s="1"/>
  <c r="E75" i="93"/>
  <c r="E28" i="93" s="1"/>
  <c r="E49" i="93" s="1"/>
  <c r="E47" i="93" s="1"/>
  <c r="F75" i="93"/>
  <c r="F28" i="93" s="1"/>
  <c r="F49" i="93" s="1"/>
  <c r="F47" i="93" s="1"/>
  <c r="G75" i="93"/>
  <c r="G28" i="93"/>
  <c r="E85" i="93"/>
  <c r="E31" i="93"/>
  <c r="D77" i="93"/>
  <c r="E77" i="93"/>
  <c r="F77" i="93"/>
  <c r="G77" i="93"/>
  <c r="D125" i="93"/>
  <c r="D106" i="93"/>
  <c r="D96" i="93" s="1"/>
  <c r="D56" i="93" s="1"/>
  <c r="D64" i="93" s="1"/>
  <c r="E125" i="93"/>
  <c r="E106" i="93" s="1"/>
  <c r="E96" i="93" s="1"/>
  <c r="E56" i="93" s="1"/>
  <c r="E64" i="93" s="1"/>
  <c r="F125" i="93"/>
  <c r="F106" i="93" s="1"/>
  <c r="F96" i="93" s="1"/>
  <c r="F56" i="93" s="1"/>
  <c r="F64" i="93" s="1"/>
  <c r="D126" i="93"/>
  <c r="D107" i="93" s="1"/>
  <c r="D97" i="93" s="1"/>
  <c r="D57" i="93" s="1"/>
  <c r="D65" i="93" s="1"/>
  <c r="E126" i="93"/>
  <c r="E107" i="93" s="1"/>
  <c r="E97" i="93" s="1"/>
  <c r="E57" i="93" s="1"/>
  <c r="E65" i="93" s="1"/>
  <c r="F126" i="93"/>
  <c r="F107" i="93"/>
  <c r="F97" i="93" s="1"/>
  <c r="F57" i="93" s="1"/>
  <c r="F65" i="93" s="1"/>
  <c r="D127" i="93"/>
  <c r="D108" i="93" s="1"/>
  <c r="D98" i="93" s="1"/>
  <c r="D58" i="93" s="1"/>
  <c r="D66" i="93" s="1"/>
  <c r="E127" i="93"/>
  <c r="E108" i="93" s="1"/>
  <c r="E98" i="93" s="1"/>
  <c r="E58" i="93" s="1"/>
  <c r="E66" i="93" s="1"/>
  <c r="F127" i="93"/>
  <c r="F108" i="93" s="1"/>
  <c r="D128" i="93"/>
  <c r="D109" i="93"/>
  <c r="D99" i="93" s="1"/>
  <c r="D59" i="93" s="1"/>
  <c r="D67" i="93" s="1"/>
  <c r="E128" i="93"/>
  <c r="E109" i="93" s="1"/>
  <c r="E99" i="93" s="1"/>
  <c r="E59" i="93" s="1"/>
  <c r="E67" i="93" s="1"/>
  <c r="F128" i="93"/>
  <c r="F109" i="93"/>
  <c r="G109" i="93" s="1"/>
  <c r="G99" i="93" s="1"/>
  <c r="G59" i="93" s="1"/>
  <c r="G67" i="93" s="1"/>
  <c r="D129" i="93"/>
  <c r="D110" i="93" s="1"/>
  <c r="D100" i="93" s="1"/>
  <c r="D60" i="93" s="1"/>
  <c r="D68" i="93" s="1"/>
  <c r="E129" i="93"/>
  <c r="E110" i="93"/>
  <c r="E100" i="93" s="1"/>
  <c r="E60" i="93" s="1"/>
  <c r="E68" i="93" s="1"/>
  <c r="F129" i="93"/>
  <c r="F110" i="93" s="1"/>
  <c r="G110" i="93" s="1"/>
  <c r="G100" i="93" s="1"/>
  <c r="G60" i="93" s="1"/>
  <c r="G68" i="93" s="1"/>
  <c r="D88" i="93"/>
  <c r="E88" i="93"/>
  <c r="F88" i="93"/>
  <c r="G88" i="93"/>
  <c r="D124" i="93"/>
  <c r="E124" i="93"/>
  <c r="F124" i="93"/>
  <c r="N56" i="19"/>
  <c r="N53" i="19"/>
  <c r="N50" i="19"/>
  <c r="S6" i="19"/>
  <c r="D91" i="19"/>
  <c r="C91" i="19"/>
  <c r="D6" i="87"/>
  <c r="L62" i="19"/>
  <c r="V26" i="19"/>
  <c r="G56" i="19"/>
  <c r="G53" i="19"/>
  <c r="G59" i="19" s="1"/>
  <c r="V27" i="19"/>
  <c r="K30" i="19" s="1"/>
  <c r="D27" i="52"/>
  <c r="L44" i="19" s="1"/>
  <c r="G81" i="52"/>
  <c r="F81" i="52"/>
  <c r="E81" i="52" s="1"/>
  <c r="D81" i="52"/>
  <c r="G15" i="89"/>
  <c r="V28" i="19"/>
  <c r="K27" i="19" s="1"/>
  <c r="D25" i="53"/>
  <c r="Z41" i="86"/>
  <c r="AB33" i="86"/>
  <c r="AB32" i="86"/>
  <c r="AB34" i="86"/>
  <c r="AB31" i="86"/>
  <c r="D67" i="68"/>
  <c r="D79" i="68"/>
  <c r="D25" i="68" s="1"/>
  <c r="D26" i="68" s="1"/>
  <c r="Y31" i="85"/>
  <c r="Y32" i="85"/>
  <c r="Y33" i="85"/>
  <c r="Y34" i="85"/>
  <c r="Y38" i="85"/>
  <c r="Y39" i="85"/>
  <c r="Y40" i="85"/>
  <c r="L14" i="82"/>
  <c r="H50" i="19"/>
  <c r="O33" i="19"/>
  <c r="O31" i="19"/>
  <c r="O29" i="19"/>
  <c r="O27" i="19"/>
  <c r="O25" i="19"/>
  <c r="O23" i="19"/>
  <c r="C88" i="19"/>
  <c r="C87" i="19"/>
  <c r="D86" i="19"/>
  <c r="D87" i="19"/>
  <c r="D88" i="19"/>
  <c r="C86" i="19"/>
  <c r="AH13" i="9"/>
  <c r="G59" i="90"/>
  <c r="G63" i="90"/>
  <c r="C98" i="9"/>
  <c r="D25" i="52"/>
  <c r="D82" i="52" s="1"/>
  <c r="D24" i="52"/>
  <c r="AG14" i="9"/>
  <c r="AH14" i="9" s="1"/>
  <c r="AY9" i="9"/>
  <c r="AY10" i="9"/>
  <c r="AY11" i="9"/>
  <c r="C22" i="90"/>
  <c r="C23" i="90" s="1"/>
  <c r="D22" i="90"/>
  <c r="D23" i="90" s="1"/>
  <c r="G18" i="90"/>
  <c r="H18" i="90"/>
  <c r="I18" i="90"/>
  <c r="J18" i="90"/>
  <c r="K18" i="90"/>
  <c r="L18" i="90"/>
  <c r="M18" i="90"/>
  <c r="N18" i="90"/>
  <c r="O18" i="90"/>
  <c r="P18" i="90"/>
  <c r="Q18" i="90"/>
  <c r="R18" i="90"/>
  <c r="S18" i="90"/>
  <c r="G19" i="90"/>
  <c r="H19" i="90"/>
  <c r="I19" i="90"/>
  <c r="J19" i="90"/>
  <c r="K19" i="90"/>
  <c r="L19" i="90"/>
  <c r="M19" i="90"/>
  <c r="N19" i="90"/>
  <c r="O19" i="90"/>
  <c r="P19" i="90"/>
  <c r="Q19" i="90"/>
  <c r="R19" i="90"/>
  <c r="S19" i="90"/>
  <c r="G20" i="90"/>
  <c r="H20" i="90"/>
  <c r="I20" i="90"/>
  <c r="J20" i="90"/>
  <c r="K20" i="90"/>
  <c r="L20" i="90"/>
  <c r="M20" i="90"/>
  <c r="N20" i="90"/>
  <c r="O20" i="90"/>
  <c r="P20" i="90"/>
  <c r="Q20" i="90"/>
  <c r="R20" i="90"/>
  <c r="S20" i="90"/>
  <c r="F19" i="90"/>
  <c r="F20" i="90"/>
  <c r="F18" i="90"/>
  <c r="D19" i="90"/>
  <c r="D20" i="90" s="1"/>
  <c r="C19" i="90"/>
  <c r="C20" i="90" s="1"/>
  <c r="B18" i="90"/>
  <c r="B19" i="90" s="1"/>
  <c r="B20" i="90" s="1"/>
  <c r="CF116" i="92"/>
  <c r="CE116" i="92"/>
  <c r="CD116" i="92"/>
  <c r="CC116" i="92"/>
  <c r="CB116" i="92"/>
  <c r="CA116" i="92"/>
  <c r="BZ116" i="92"/>
  <c r="BY116" i="92"/>
  <c r="BX116" i="92"/>
  <c r="BW116" i="92"/>
  <c r="BV116" i="92"/>
  <c r="BU116" i="92"/>
  <c r="BT116" i="92"/>
  <c r="BS116" i="92"/>
  <c r="BR116" i="92"/>
  <c r="BQ116" i="92"/>
  <c r="BP116" i="92"/>
  <c r="BO116" i="92"/>
  <c r="BN116" i="92"/>
  <c r="BM116" i="92"/>
  <c r="BL116" i="92"/>
  <c r="BK116" i="92"/>
  <c r="BJ116" i="92"/>
  <c r="BI116" i="92"/>
  <c r="BH116" i="92"/>
  <c r="BG116" i="92"/>
  <c r="BF116" i="92"/>
  <c r="BE116" i="92"/>
  <c r="BD116" i="92"/>
  <c r="BC116" i="92"/>
  <c r="BB116" i="92"/>
  <c r="BA116" i="92"/>
  <c r="AZ116" i="92"/>
  <c r="AY116" i="92"/>
  <c r="AX116" i="92"/>
  <c r="AW116" i="92"/>
  <c r="AV116" i="92"/>
  <c r="AU116" i="92"/>
  <c r="AT116" i="92"/>
  <c r="AS116" i="92"/>
  <c r="AR116" i="92"/>
  <c r="AQ116" i="92"/>
  <c r="AP116" i="92"/>
  <c r="AO116" i="92"/>
  <c r="AN116" i="92"/>
  <c r="AM116" i="92"/>
  <c r="AL116" i="92"/>
  <c r="AK116" i="92"/>
  <c r="AJ116" i="92"/>
  <c r="AI116" i="92"/>
  <c r="AH116" i="92"/>
  <c r="AG116" i="92"/>
  <c r="AF116" i="92"/>
  <c r="AE116" i="92"/>
  <c r="AD116" i="92"/>
  <c r="AC116" i="92"/>
  <c r="AB116" i="92"/>
  <c r="AA116" i="92"/>
  <c r="Z116" i="92"/>
  <c r="Y116" i="92"/>
  <c r="X116" i="92"/>
  <c r="W116" i="92"/>
  <c r="V116" i="92"/>
  <c r="U116" i="92"/>
  <c r="T116" i="92"/>
  <c r="S116" i="92"/>
  <c r="R116" i="92"/>
  <c r="Q116" i="92"/>
  <c r="P116" i="92"/>
  <c r="O116" i="92"/>
  <c r="N116" i="92"/>
  <c r="M116" i="92"/>
  <c r="L116" i="92"/>
  <c r="K116" i="92"/>
  <c r="J116" i="92"/>
  <c r="I116" i="92"/>
  <c r="H116" i="92"/>
  <c r="G116" i="92"/>
  <c r="F116" i="92"/>
  <c r="E116" i="92"/>
  <c r="D116" i="92"/>
  <c r="B116" i="92"/>
  <c r="CF111" i="92"/>
  <c r="CE111" i="92"/>
  <c r="CD111" i="92"/>
  <c r="CC111" i="92"/>
  <c r="CB111" i="92"/>
  <c r="CA111" i="92"/>
  <c r="BZ111" i="92"/>
  <c r="BY111" i="92"/>
  <c r="BX111" i="92"/>
  <c r="BW111" i="92"/>
  <c r="BV111" i="92"/>
  <c r="BU111" i="92"/>
  <c r="BT111" i="92"/>
  <c r="BS111" i="92"/>
  <c r="BR111" i="92"/>
  <c r="BQ111" i="92"/>
  <c r="BP111" i="92"/>
  <c r="BO111" i="92"/>
  <c r="BN111" i="92"/>
  <c r="BM111" i="92"/>
  <c r="BL111" i="92"/>
  <c r="BK111" i="92"/>
  <c r="BJ111" i="92"/>
  <c r="BI111" i="92"/>
  <c r="BH111" i="92"/>
  <c r="BG111" i="92"/>
  <c r="BF111" i="92"/>
  <c r="BE111" i="92"/>
  <c r="BD111" i="92"/>
  <c r="BC111" i="92"/>
  <c r="BB111" i="92"/>
  <c r="BA111" i="92"/>
  <c r="AZ111" i="92"/>
  <c r="AY111" i="92"/>
  <c r="AX111" i="92"/>
  <c r="AW111" i="92"/>
  <c r="AV111" i="92"/>
  <c r="AU111" i="92"/>
  <c r="AT111" i="92"/>
  <c r="AS111" i="92"/>
  <c r="AR111" i="92"/>
  <c r="AQ111" i="92"/>
  <c r="AP111" i="92"/>
  <c r="AO111" i="92"/>
  <c r="AN111" i="92"/>
  <c r="AM111" i="92"/>
  <c r="AL111" i="92"/>
  <c r="AK111" i="92"/>
  <c r="AJ111" i="92"/>
  <c r="AI111" i="92"/>
  <c r="AH111" i="92"/>
  <c r="AG111" i="92"/>
  <c r="AF111" i="92"/>
  <c r="AE111" i="92"/>
  <c r="AD111" i="92"/>
  <c r="AC111" i="92"/>
  <c r="AB111" i="92"/>
  <c r="AA111" i="92"/>
  <c r="Z111" i="92"/>
  <c r="Y111" i="92"/>
  <c r="X111" i="92"/>
  <c r="W111" i="92"/>
  <c r="V111" i="92"/>
  <c r="U111" i="92"/>
  <c r="T111" i="92"/>
  <c r="S111" i="92"/>
  <c r="R111" i="92"/>
  <c r="Q111" i="92"/>
  <c r="P111" i="92"/>
  <c r="O111" i="92"/>
  <c r="N111" i="92"/>
  <c r="M111" i="92"/>
  <c r="L111" i="92"/>
  <c r="K111" i="92"/>
  <c r="J111" i="92"/>
  <c r="I111" i="92"/>
  <c r="H111" i="92"/>
  <c r="G111" i="92"/>
  <c r="F111" i="92"/>
  <c r="E111" i="92"/>
  <c r="D111" i="92"/>
  <c r="B111" i="92"/>
  <c r="I109" i="92"/>
  <c r="CF101" i="92"/>
  <c r="CE101" i="92"/>
  <c r="CD101" i="92"/>
  <c r="CC101" i="92"/>
  <c r="CB101" i="92"/>
  <c r="CA101" i="92"/>
  <c r="BZ101" i="92"/>
  <c r="BY101" i="92"/>
  <c r="BX101" i="92"/>
  <c r="BW101" i="92"/>
  <c r="BV101" i="92"/>
  <c r="BU101" i="92"/>
  <c r="BT101" i="92"/>
  <c r="BS101" i="92"/>
  <c r="BR101" i="92"/>
  <c r="BQ101" i="92"/>
  <c r="BP101" i="92"/>
  <c r="BO101" i="92"/>
  <c r="BN101" i="92"/>
  <c r="BM101" i="92"/>
  <c r="BL101" i="92"/>
  <c r="BK101" i="92"/>
  <c r="BJ101" i="92"/>
  <c r="BI101" i="92"/>
  <c r="BH101" i="92"/>
  <c r="BG101" i="92"/>
  <c r="BF101" i="92"/>
  <c r="BE101" i="92"/>
  <c r="BD101" i="92"/>
  <c r="BC101" i="92"/>
  <c r="BB101" i="92"/>
  <c r="BA101" i="92"/>
  <c r="AZ101" i="92"/>
  <c r="AY101" i="92"/>
  <c r="AX101" i="92"/>
  <c r="AW101" i="92"/>
  <c r="AV101" i="92"/>
  <c r="AU101" i="92"/>
  <c r="AT101" i="92"/>
  <c r="AS101" i="92"/>
  <c r="AR101" i="92"/>
  <c r="AQ101" i="92"/>
  <c r="AP101" i="92"/>
  <c r="AO101" i="92"/>
  <c r="AN101" i="92"/>
  <c r="AM101" i="92"/>
  <c r="AL101" i="92"/>
  <c r="AK101" i="92"/>
  <c r="AJ101" i="92"/>
  <c r="AI101" i="92"/>
  <c r="AH101" i="92"/>
  <c r="AG101" i="92"/>
  <c r="AF101" i="92"/>
  <c r="AE101" i="92"/>
  <c r="AD101" i="92"/>
  <c r="AC101" i="92"/>
  <c r="AB101" i="92"/>
  <c r="AA101" i="92"/>
  <c r="Z101" i="92"/>
  <c r="Y101" i="92"/>
  <c r="X101" i="92"/>
  <c r="W101" i="92"/>
  <c r="V101" i="92"/>
  <c r="U101" i="92"/>
  <c r="T101" i="92"/>
  <c r="S101" i="92"/>
  <c r="R101" i="92"/>
  <c r="Q101" i="92"/>
  <c r="P101" i="92"/>
  <c r="O101" i="92"/>
  <c r="N101" i="92"/>
  <c r="M101" i="92"/>
  <c r="L101" i="92"/>
  <c r="K101" i="92"/>
  <c r="J101" i="92"/>
  <c r="I101" i="92"/>
  <c r="H101" i="92"/>
  <c r="G101" i="92"/>
  <c r="F101" i="92"/>
  <c r="E101" i="92"/>
  <c r="D101" i="92"/>
  <c r="B101" i="92"/>
  <c r="CF96" i="92"/>
  <c r="CE96" i="92"/>
  <c r="CD96" i="92"/>
  <c r="CC96" i="92"/>
  <c r="CB96" i="92"/>
  <c r="CA96" i="92"/>
  <c r="BZ96" i="92"/>
  <c r="BY96" i="92"/>
  <c r="BX96" i="92"/>
  <c r="BW96" i="92"/>
  <c r="BV96" i="92"/>
  <c r="BU96" i="92"/>
  <c r="BT96" i="92"/>
  <c r="BS96" i="92"/>
  <c r="BR96" i="92"/>
  <c r="BQ96" i="92"/>
  <c r="BP96" i="92"/>
  <c r="BO96" i="92"/>
  <c r="BN96" i="92"/>
  <c r="BM96" i="92"/>
  <c r="BL96" i="92"/>
  <c r="BK96" i="92"/>
  <c r="BJ96" i="92"/>
  <c r="BI96" i="92"/>
  <c r="BH96" i="92"/>
  <c r="BG96" i="92"/>
  <c r="BF96" i="92"/>
  <c r="BE96" i="92"/>
  <c r="BD96" i="92"/>
  <c r="BC96" i="92"/>
  <c r="BB96" i="92"/>
  <c r="BA96" i="92"/>
  <c r="AZ96" i="92"/>
  <c r="AY96" i="92"/>
  <c r="AX96" i="92"/>
  <c r="AW96" i="92"/>
  <c r="AV96" i="92"/>
  <c r="AU96" i="92"/>
  <c r="AT96" i="92"/>
  <c r="AS96" i="92"/>
  <c r="AR96" i="92"/>
  <c r="AQ96" i="92"/>
  <c r="AP96" i="92"/>
  <c r="AO96" i="92"/>
  <c r="AN96" i="92"/>
  <c r="AM96" i="92"/>
  <c r="AL96" i="92"/>
  <c r="AK96" i="92"/>
  <c r="AJ96" i="92"/>
  <c r="AI96" i="92"/>
  <c r="AH96" i="92"/>
  <c r="AG96" i="92"/>
  <c r="AF96" i="92"/>
  <c r="AE96" i="92"/>
  <c r="AD96" i="92"/>
  <c r="AC96" i="92"/>
  <c r="AB96" i="92"/>
  <c r="AA96" i="92"/>
  <c r="Z96" i="92"/>
  <c r="Y96" i="92"/>
  <c r="X96" i="92"/>
  <c r="W96" i="92"/>
  <c r="V96" i="92"/>
  <c r="U96" i="92"/>
  <c r="T96" i="92"/>
  <c r="S96" i="92"/>
  <c r="R96" i="92"/>
  <c r="Q96" i="92"/>
  <c r="P96" i="92"/>
  <c r="O96" i="92"/>
  <c r="N96" i="92"/>
  <c r="M96" i="92"/>
  <c r="L96" i="92"/>
  <c r="K96" i="92"/>
  <c r="J96" i="92"/>
  <c r="I96" i="92"/>
  <c r="H96" i="92"/>
  <c r="G96" i="92"/>
  <c r="F96" i="92"/>
  <c r="E96" i="92"/>
  <c r="D96" i="92"/>
  <c r="B96" i="92"/>
  <c r="I94" i="92"/>
  <c r="CF87" i="92"/>
  <c r="CE87" i="92"/>
  <c r="CD87" i="92"/>
  <c r="CC87" i="92"/>
  <c r="CB87" i="92"/>
  <c r="CA87" i="92"/>
  <c r="BZ87" i="92"/>
  <c r="BY87" i="92"/>
  <c r="BX87" i="92"/>
  <c r="BW87" i="92"/>
  <c r="BV87" i="92"/>
  <c r="BU87" i="92"/>
  <c r="BT87" i="92"/>
  <c r="BS87" i="92"/>
  <c r="BR87" i="92"/>
  <c r="BQ87" i="92"/>
  <c r="BP87" i="92"/>
  <c r="BO87" i="92"/>
  <c r="BN87" i="92"/>
  <c r="BM87" i="92"/>
  <c r="BL87" i="92"/>
  <c r="BK87" i="92"/>
  <c r="BJ87" i="92"/>
  <c r="BI87" i="92"/>
  <c r="BH87" i="92"/>
  <c r="BG87" i="92"/>
  <c r="BF87" i="92"/>
  <c r="BE87" i="92"/>
  <c r="BD87" i="92"/>
  <c r="BC87" i="92"/>
  <c r="BB87" i="92"/>
  <c r="BA87" i="92"/>
  <c r="AZ87" i="92"/>
  <c r="AY87" i="92"/>
  <c r="AX87" i="92"/>
  <c r="AW87" i="92"/>
  <c r="AV87" i="92"/>
  <c r="AU87" i="92"/>
  <c r="AT87" i="92"/>
  <c r="AS87" i="92"/>
  <c r="AR87" i="92"/>
  <c r="AQ87" i="92"/>
  <c r="AP87" i="92"/>
  <c r="AO87" i="92"/>
  <c r="AN87" i="92"/>
  <c r="AM87" i="92"/>
  <c r="AL87" i="92"/>
  <c r="AK87" i="92"/>
  <c r="AJ87" i="92"/>
  <c r="AI87" i="92"/>
  <c r="AH87" i="92"/>
  <c r="AG87" i="92"/>
  <c r="AF87" i="92"/>
  <c r="AE87" i="92"/>
  <c r="AD87" i="92"/>
  <c r="AC87" i="92"/>
  <c r="AB87" i="92"/>
  <c r="AA87" i="92"/>
  <c r="Z87" i="92"/>
  <c r="Y87" i="92"/>
  <c r="X87" i="92"/>
  <c r="W87" i="92"/>
  <c r="V87" i="92"/>
  <c r="U87" i="92"/>
  <c r="T87" i="92"/>
  <c r="S87" i="92"/>
  <c r="R87" i="92"/>
  <c r="Q87" i="92"/>
  <c r="P87" i="92"/>
  <c r="O87" i="92"/>
  <c r="N87" i="92"/>
  <c r="M87" i="92"/>
  <c r="L87" i="92"/>
  <c r="K87" i="92"/>
  <c r="J87" i="92"/>
  <c r="I87" i="92"/>
  <c r="H87" i="92"/>
  <c r="G87" i="92"/>
  <c r="F87" i="92"/>
  <c r="E87" i="92"/>
  <c r="D87" i="92"/>
  <c r="B87" i="92"/>
  <c r="CF82" i="92"/>
  <c r="CE82" i="92"/>
  <c r="CD82" i="92"/>
  <c r="CC82" i="92"/>
  <c r="CB82" i="92"/>
  <c r="CA82" i="92"/>
  <c r="BZ82" i="92"/>
  <c r="BY82" i="92"/>
  <c r="BX82" i="92"/>
  <c r="BW82" i="92"/>
  <c r="BV82" i="92"/>
  <c r="BU82" i="92"/>
  <c r="BT82" i="92"/>
  <c r="BS82" i="92"/>
  <c r="BR82" i="92"/>
  <c r="BQ82" i="92"/>
  <c r="BP82" i="92"/>
  <c r="BO82" i="92"/>
  <c r="BN82" i="92"/>
  <c r="BM82" i="92"/>
  <c r="BL82" i="92"/>
  <c r="BK82" i="92"/>
  <c r="BJ82" i="92"/>
  <c r="BI82" i="92"/>
  <c r="BH82" i="92"/>
  <c r="BG82" i="92"/>
  <c r="BF82" i="92"/>
  <c r="BE82" i="92"/>
  <c r="BD82" i="92"/>
  <c r="BC82" i="92"/>
  <c r="BB82" i="92"/>
  <c r="BA82" i="92"/>
  <c r="AZ82" i="92"/>
  <c r="AY82" i="92"/>
  <c r="AX82" i="92"/>
  <c r="AW82" i="92"/>
  <c r="AV82" i="92"/>
  <c r="AU82" i="92"/>
  <c r="AT82" i="92"/>
  <c r="AS82" i="92"/>
  <c r="AR82" i="92"/>
  <c r="AQ82" i="92"/>
  <c r="AP82" i="92"/>
  <c r="AO82" i="92"/>
  <c r="AN82" i="92"/>
  <c r="AM82" i="92"/>
  <c r="AL82" i="92"/>
  <c r="AK82" i="92"/>
  <c r="AJ82" i="92"/>
  <c r="AI82" i="92"/>
  <c r="AH82" i="92"/>
  <c r="AG82" i="92"/>
  <c r="AF82" i="92"/>
  <c r="AE82" i="92"/>
  <c r="AD82" i="92"/>
  <c r="AC82" i="92"/>
  <c r="AB82" i="92"/>
  <c r="AA82" i="92"/>
  <c r="Z82" i="92"/>
  <c r="Y82" i="92"/>
  <c r="X82" i="92"/>
  <c r="W82" i="92"/>
  <c r="V82" i="92"/>
  <c r="U82" i="92"/>
  <c r="T82" i="92"/>
  <c r="S82" i="92"/>
  <c r="R82" i="92"/>
  <c r="Q82" i="92"/>
  <c r="P82" i="92"/>
  <c r="O82" i="92"/>
  <c r="N82" i="92"/>
  <c r="M82" i="92"/>
  <c r="L82" i="92"/>
  <c r="K82" i="92"/>
  <c r="J82" i="92"/>
  <c r="I82" i="92"/>
  <c r="H82" i="92"/>
  <c r="G82" i="92"/>
  <c r="F82" i="92"/>
  <c r="E82" i="92"/>
  <c r="D82" i="92"/>
  <c r="B82" i="92"/>
  <c r="I80" i="92"/>
  <c r="CF72" i="92"/>
  <c r="CE72" i="92"/>
  <c r="CD72" i="92"/>
  <c r="CC72" i="92"/>
  <c r="CB72" i="92"/>
  <c r="CA72" i="92"/>
  <c r="BZ72" i="92"/>
  <c r="BY72" i="92"/>
  <c r="BX72" i="92"/>
  <c r="BW72" i="92"/>
  <c r="BV72" i="92"/>
  <c r="BU72" i="92"/>
  <c r="BT72" i="92"/>
  <c r="BS72" i="92"/>
  <c r="BR72" i="92"/>
  <c r="BQ72" i="92"/>
  <c r="BP72" i="92"/>
  <c r="BO72" i="92"/>
  <c r="BN72" i="92"/>
  <c r="BM72" i="92"/>
  <c r="BL72" i="92"/>
  <c r="BK72" i="92"/>
  <c r="BJ72" i="92"/>
  <c r="BI72" i="92"/>
  <c r="BH72" i="92"/>
  <c r="BG72" i="92"/>
  <c r="BF72" i="92"/>
  <c r="BE72" i="92"/>
  <c r="BD72" i="92"/>
  <c r="BC72" i="92"/>
  <c r="BB72" i="92"/>
  <c r="BA72" i="92"/>
  <c r="AZ72" i="92"/>
  <c r="AY72" i="92"/>
  <c r="AX72" i="92"/>
  <c r="AW72" i="92"/>
  <c r="AV72" i="92"/>
  <c r="AU72" i="92"/>
  <c r="AT72" i="92"/>
  <c r="AS72" i="92"/>
  <c r="AR72" i="92"/>
  <c r="AQ72" i="92"/>
  <c r="AP72" i="92"/>
  <c r="AO72" i="92"/>
  <c r="AN72" i="92"/>
  <c r="AM72" i="92"/>
  <c r="AL72" i="92"/>
  <c r="AK72" i="92"/>
  <c r="AJ72" i="92"/>
  <c r="AI72" i="92"/>
  <c r="AH72" i="92"/>
  <c r="AG72" i="92"/>
  <c r="AF72" i="92"/>
  <c r="AE72" i="92"/>
  <c r="AD72" i="92"/>
  <c r="AC72" i="92"/>
  <c r="AB72" i="92"/>
  <c r="AA72" i="92"/>
  <c r="Z72" i="92"/>
  <c r="Y72" i="92"/>
  <c r="X72" i="92"/>
  <c r="W72" i="92"/>
  <c r="V72" i="92"/>
  <c r="U72" i="92"/>
  <c r="T72" i="92"/>
  <c r="S72" i="92"/>
  <c r="R72" i="92"/>
  <c r="Q72" i="92"/>
  <c r="P72" i="92"/>
  <c r="O72" i="92"/>
  <c r="N72" i="92"/>
  <c r="M72" i="92"/>
  <c r="L72" i="92"/>
  <c r="K72" i="92"/>
  <c r="J72" i="92"/>
  <c r="I72" i="92"/>
  <c r="H72" i="92"/>
  <c r="G72" i="92"/>
  <c r="F72" i="92"/>
  <c r="E72" i="92"/>
  <c r="D72" i="92"/>
  <c r="B72" i="92"/>
  <c r="CF67" i="92"/>
  <c r="CE67" i="92"/>
  <c r="CD67" i="92"/>
  <c r="CC67" i="92"/>
  <c r="CB67" i="92"/>
  <c r="CA67" i="92"/>
  <c r="BZ67" i="92"/>
  <c r="BY67" i="92"/>
  <c r="BX67" i="92"/>
  <c r="BW67" i="92"/>
  <c r="BV67" i="92"/>
  <c r="BU67" i="92"/>
  <c r="BT67" i="92"/>
  <c r="BS67" i="92"/>
  <c r="BR67" i="92"/>
  <c r="BQ67" i="92"/>
  <c r="BP67" i="92"/>
  <c r="BO67" i="92"/>
  <c r="BN67" i="92"/>
  <c r="BM67" i="92"/>
  <c r="BL67" i="92"/>
  <c r="BK67" i="92"/>
  <c r="BJ67" i="92"/>
  <c r="BI67" i="92"/>
  <c r="BH67" i="92"/>
  <c r="BG67" i="92"/>
  <c r="BF67" i="92"/>
  <c r="BE67" i="92"/>
  <c r="BD67" i="92"/>
  <c r="BC67" i="92"/>
  <c r="BB67" i="92"/>
  <c r="BA67" i="92"/>
  <c r="AZ67" i="92"/>
  <c r="AY67" i="92"/>
  <c r="AX67" i="92"/>
  <c r="AW67" i="92"/>
  <c r="AV67" i="92"/>
  <c r="AU67" i="92"/>
  <c r="AT67" i="92"/>
  <c r="AS67" i="92"/>
  <c r="AR67" i="92"/>
  <c r="AQ67" i="92"/>
  <c r="AP67" i="92"/>
  <c r="AO67" i="92"/>
  <c r="AN67" i="92"/>
  <c r="AM67" i="92"/>
  <c r="AL67" i="92"/>
  <c r="AK67" i="92"/>
  <c r="AJ67" i="92"/>
  <c r="AI67" i="92"/>
  <c r="AH67" i="92"/>
  <c r="AG67" i="92"/>
  <c r="AF67" i="92"/>
  <c r="AE67" i="92"/>
  <c r="AD67" i="92"/>
  <c r="AC67" i="92"/>
  <c r="AB67" i="92"/>
  <c r="AA67" i="92"/>
  <c r="Z67" i="92"/>
  <c r="Y67" i="92"/>
  <c r="X67" i="92"/>
  <c r="W67" i="92"/>
  <c r="V67" i="92"/>
  <c r="U67" i="92"/>
  <c r="T67" i="92"/>
  <c r="S67" i="92"/>
  <c r="R67" i="92"/>
  <c r="Q67" i="92"/>
  <c r="P67" i="92"/>
  <c r="O67" i="92"/>
  <c r="N67" i="92"/>
  <c r="M67" i="92"/>
  <c r="L67" i="92"/>
  <c r="K67" i="92"/>
  <c r="J67" i="92"/>
  <c r="I67" i="92"/>
  <c r="H67" i="92"/>
  <c r="G67" i="92"/>
  <c r="F67" i="92"/>
  <c r="E67" i="92"/>
  <c r="D67" i="92"/>
  <c r="B67" i="92"/>
  <c r="I65" i="92"/>
  <c r="CF60" i="92"/>
  <c r="CE60" i="92"/>
  <c r="CD60" i="92"/>
  <c r="CC60" i="92"/>
  <c r="CB60" i="92"/>
  <c r="CA60" i="92"/>
  <c r="BZ60" i="92"/>
  <c r="BY60" i="92"/>
  <c r="BX60" i="92"/>
  <c r="BW60" i="92"/>
  <c r="BV60" i="92"/>
  <c r="BU60" i="92"/>
  <c r="BT60" i="92"/>
  <c r="BS60" i="92"/>
  <c r="BR60" i="92"/>
  <c r="BQ60" i="92"/>
  <c r="BP60" i="92"/>
  <c r="BO60" i="92"/>
  <c r="BN60" i="92"/>
  <c r="BM60" i="92"/>
  <c r="BL60" i="92"/>
  <c r="BK60" i="92"/>
  <c r="BJ60" i="92"/>
  <c r="BI60" i="92"/>
  <c r="BH60" i="92"/>
  <c r="BG60" i="92"/>
  <c r="BF60" i="92"/>
  <c r="BE60" i="92"/>
  <c r="BD60" i="92"/>
  <c r="BC60" i="92"/>
  <c r="BB60" i="92"/>
  <c r="BA60" i="92"/>
  <c r="AZ60" i="92"/>
  <c r="AY60" i="92"/>
  <c r="AX60" i="92"/>
  <c r="AW60" i="92"/>
  <c r="AV60" i="92"/>
  <c r="AU60" i="92"/>
  <c r="AT60" i="92"/>
  <c r="AS60" i="92"/>
  <c r="AR60" i="92"/>
  <c r="AQ60" i="92"/>
  <c r="AP60" i="92"/>
  <c r="AO60" i="92"/>
  <c r="AN60" i="92"/>
  <c r="AM60" i="92"/>
  <c r="AL60" i="92"/>
  <c r="AK60" i="92"/>
  <c r="AJ60" i="92"/>
  <c r="AI60" i="92"/>
  <c r="AH60" i="92"/>
  <c r="AG60" i="92"/>
  <c r="AF60" i="92"/>
  <c r="AE60" i="92"/>
  <c r="AD60" i="92"/>
  <c r="AC60" i="92"/>
  <c r="AB60" i="92"/>
  <c r="AA60" i="92"/>
  <c r="Z60" i="92"/>
  <c r="Y60" i="92"/>
  <c r="X60" i="92"/>
  <c r="W60" i="92"/>
  <c r="V60" i="92"/>
  <c r="U60" i="92"/>
  <c r="T60" i="92"/>
  <c r="S60" i="92"/>
  <c r="R60" i="92"/>
  <c r="Q60" i="92"/>
  <c r="P60" i="92"/>
  <c r="O60" i="92"/>
  <c r="N60" i="92"/>
  <c r="M60" i="92"/>
  <c r="L60" i="92"/>
  <c r="K60" i="92"/>
  <c r="J60" i="92"/>
  <c r="I60" i="92"/>
  <c r="H60" i="92"/>
  <c r="G60" i="92"/>
  <c r="F60" i="92"/>
  <c r="E60" i="92"/>
  <c r="D60" i="92"/>
  <c r="B60" i="92"/>
  <c r="CF56" i="92"/>
  <c r="CE56" i="92"/>
  <c r="CD56" i="92"/>
  <c r="CC56" i="92"/>
  <c r="CB56" i="92"/>
  <c r="CA56" i="92"/>
  <c r="BZ56" i="92"/>
  <c r="BY56" i="92"/>
  <c r="BX56" i="92"/>
  <c r="BW56" i="92"/>
  <c r="BV56" i="92"/>
  <c r="BU56" i="92"/>
  <c r="BT56" i="92"/>
  <c r="BS56" i="92"/>
  <c r="BR56" i="92"/>
  <c r="BQ56" i="92"/>
  <c r="BP56" i="92"/>
  <c r="BO56" i="92"/>
  <c r="BN56" i="92"/>
  <c r="BM56" i="92"/>
  <c r="BL56" i="92"/>
  <c r="BK56" i="92"/>
  <c r="BJ56" i="92"/>
  <c r="BI56" i="92"/>
  <c r="BH56" i="92"/>
  <c r="BG56" i="92"/>
  <c r="BF56" i="92"/>
  <c r="BE56" i="92"/>
  <c r="BD56" i="92"/>
  <c r="BC56" i="92"/>
  <c r="BB56" i="92"/>
  <c r="BA56" i="92"/>
  <c r="AZ56" i="92"/>
  <c r="AY56" i="92"/>
  <c r="AX56" i="92"/>
  <c r="AW56" i="92"/>
  <c r="AV56" i="92"/>
  <c r="AU56" i="92"/>
  <c r="AT56" i="92"/>
  <c r="AS56" i="92"/>
  <c r="AR56" i="92"/>
  <c r="AQ56" i="92"/>
  <c r="AP56" i="92"/>
  <c r="AO56" i="92"/>
  <c r="AN56" i="92"/>
  <c r="AM56" i="92"/>
  <c r="AL56" i="92"/>
  <c r="AK56" i="92"/>
  <c r="AJ56" i="92"/>
  <c r="AI56" i="92"/>
  <c r="AH56" i="92"/>
  <c r="AG56" i="92"/>
  <c r="AF56" i="92"/>
  <c r="AE56" i="92"/>
  <c r="AD56" i="92"/>
  <c r="AC56" i="92"/>
  <c r="AB56" i="92"/>
  <c r="AA56" i="92"/>
  <c r="Z56" i="92"/>
  <c r="Y56" i="92"/>
  <c r="X56" i="92"/>
  <c r="W56" i="92"/>
  <c r="V56" i="92"/>
  <c r="U56" i="92"/>
  <c r="T56" i="92"/>
  <c r="S56" i="92"/>
  <c r="R56" i="92"/>
  <c r="Q56" i="92"/>
  <c r="P56" i="92"/>
  <c r="O56" i="92"/>
  <c r="N56" i="92"/>
  <c r="M56" i="92"/>
  <c r="L56" i="92"/>
  <c r="K56" i="92"/>
  <c r="J56" i="92"/>
  <c r="I56" i="92"/>
  <c r="H56" i="92"/>
  <c r="G56" i="92"/>
  <c r="F56" i="92"/>
  <c r="E56" i="92"/>
  <c r="D56" i="92"/>
  <c r="B56" i="92"/>
  <c r="I54" i="92"/>
  <c r="CF48" i="92"/>
  <c r="CE48" i="92"/>
  <c r="CD48" i="92"/>
  <c r="CC48" i="92"/>
  <c r="CB48" i="92"/>
  <c r="CA48" i="92"/>
  <c r="BZ48" i="92"/>
  <c r="BY48" i="92"/>
  <c r="BX48" i="92"/>
  <c r="BW48" i="92"/>
  <c r="BV48" i="92"/>
  <c r="BU48" i="92"/>
  <c r="BT48" i="92"/>
  <c r="BS48" i="92"/>
  <c r="BR48" i="92"/>
  <c r="BQ48" i="92"/>
  <c r="BP48" i="92"/>
  <c r="BO48" i="92"/>
  <c r="BN48" i="92"/>
  <c r="BM48" i="92"/>
  <c r="BL48" i="92"/>
  <c r="BK48" i="92"/>
  <c r="BJ48" i="92"/>
  <c r="BI48" i="92"/>
  <c r="BH48" i="92"/>
  <c r="BG48" i="92"/>
  <c r="BF48" i="92"/>
  <c r="BE48" i="92"/>
  <c r="BD48" i="92"/>
  <c r="BC48" i="92"/>
  <c r="BB48" i="92"/>
  <c r="BA48" i="92"/>
  <c r="AZ48" i="92"/>
  <c r="AY48" i="92"/>
  <c r="AX48" i="92"/>
  <c r="AW48" i="92"/>
  <c r="AV48" i="92"/>
  <c r="AU48" i="92"/>
  <c r="AT48" i="92"/>
  <c r="AS48" i="92"/>
  <c r="AR48" i="92"/>
  <c r="AQ48" i="92"/>
  <c r="AP48" i="92"/>
  <c r="AO48" i="92"/>
  <c r="AN48" i="92"/>
  <c r="AM48" i="92"/>
  <c r="AL48" i="92"/>
  <c r="AK48" i="92"/>
  <c r="AJ48" i="92"/>
  <c r="AI48" i="92"/>
  <c r="AH48" i="92"/>
  <c r="AG48" i="92"/>
  <c r="AF48" i="92"/>
  <c r="AE48" i="92"/>
  <c r="AD48" i="92"/>
  <c r="AC48" i="92"/>
  <c r="AB48" i="92"/>
  <c r="AA48" i="92"/>
  <c r="Z48" i="92"/>
  <c r="Y48" i="92"/>
  <c r="X48" i="92"/>
  <c r="W48" i="92"/>
  <c r="V48" i="92"/>
  <c r="U48" i="92"/>
  <c r="T48" i="92"/>
  <c r="S48" i="92"/>
  <c r="R48" i="92"/>
  <c r="Q48" i="92"/>
  <c r="P48" i="92"/>
  <c r="O48" i="92"/>
  <c r="N48" i="92"/>
  <c r="M48" i="92"/>
  <c r="L48" i="92"/>
  <c r="K48" i="92"/>
  <c r="J48" i="92"/>
  <c r="I48" i="92"/>
  <c r="H48" i="92"/>
  <c r="G48" i="92"/>
  <c r="F48" i="92"/>
  <c r="E48" i="92"/>
  <c r="D48" i="92"/>
  <c r="B48" i="92"/>
  <c r="CF44" i="92"/>
  <c r="CE44" i="92"/>
  <c r="CD44" i="92"/>
  <c r="CC44" i="92"/>
  <c r="CB44" i="92"/>
  <c r="CA44" i="92"/>
  <c r="BZ44" i="92"/>
  <c r="BY44" i="92"/>
  <c r="BX44" i="92"/>
  <c r="BW44" i="92"/>
  <c r="BV44" i="92"/>
  <c r="BU44" i="92"/>
  <c r="BT44" i="92"/>
  <c r="BS44" i="92"/>
  <c r="BR44" i="92"/>
  <c r="BQ44" i="92"/>
  <c r="BP44" i="92"/>
  <c r="BO44" i="92"/>
  <c r="BN44" i="92"/>
  <c r="BM44" i="92"/>
  <c r="BL44" i="92"/>
  <c r="BK44" i="92"/>
  <c r="BJ44" i="92"/>
  <c r="BI44" i="92"/>
  <c r="BH44" i="92"/>
  <c r="BG44" i="92"/>
  <c r="BF44" i="92"/>
  <c r="BE44" i="92"/>
  <c r="BD44" i="92"/>
  <c r="BC44" i="92"/>
  <c r="BB44" i="92"/>
  <c r="BA44" i="92"/>
  <c r="AZ44" i="92"/>
  <c r="AY44" i="92"/>
  <c r="AX44" i="92"/>
  <c r="AW44" i="92"/>
  <c r="AV44" i="92"/>
  <c r="AU44" i="92"/>
  <c r="AT44" i="92"/>
  <c r="AS44" i="92"/>
  <c r="AR44" i="92"/>
  <c r="AQ44" i="92"/>
  <c r="AP44" i="92"/>
  <c r="AO44" i="92"/>
  <c r="AN44" i="92"/>
  <c r="AM44" i="92"/>
  <c r="AL44" i="92"/>
  <c r="AK44" i="92"/>
  <c r="AJ44" i="92"/>
  <c r="AI44" i="92"/>
  <c r="AH44" i="92"/>
  <c r="AG44" i="92"/>
  <c r="AF44" i="92"/>
  <c r="AE44" i="92"/>
  <c r="AD44" i="92"/>
  <c r="AC44" i="92"/>
  <c r="AB44" i="92"/>
  <c r="AA44" i="92"/>
  <c r="Z44" i="92"/>
  <c r="Y44" i="92"/>
  <c r="X44" i="92"/>
  <c r="W44" i="92"/>
  <c r="V44" i="92"/>
  <c r="U44" i="92"/>
  <c r="T44" i="92"/>
  <c r="S44" i="92"/>
  <c r="R44" i="92"/>
  <c r="Q44" i="92"/>
  <c r="P44" i="92"/>
  <c r="O44" i="92"/>
  <c r="N44" i="92"/>
  <c r="M44" i="92"/>
  <c r="L44" i="92"/>
  <c r="K44" i="92"/>
  <c r="J44" i="92"/>
  <c r="I44" i="92"/>
  <c r="H44" i="92"/>
  <c r="G44" i="92"/>
  <c r="F44" i="92"/>
  <c r="E44" i="92"/>
  <c r="D44" i="92"/>
  <c r="B44" i="92"/>
  <c r="I42" i="92"/>
  <c r="CF37" i="92"/>
  <c r="CE37" i="92"/>
  <c r="CD37" i="92"/>
  <c r="CC37" i="92"/>
  <c r="CB37" i="92"/>
  <c r="CA37" i="92"/>
  <c r="BZ37" i="92"/>
  <c r="BY37" i="92"/>
  <c r="BX37" i="92"/>
  <c r="BW37" i="92"/>
  <c r="BV37" i="92"/>
  <c r="BU37" i="92"/>
  <c r="BT37" i="92"/>
  <c r="BS37" i="92"/>
  <c r="BR37" i="92"/>
  <c r="BQ37" i="92"/>
  <c r="BP37" i="92"/>
  <c r="BO37" i="92"/>
  <c r="BN37" i="92"/>
  <c r="BM37" i="92"/>
  <c r="BL37" i="92"/>
  <c r="BK37" i="92"/>
  <c r="BJ37" i="92"/>
  <c r="BI37" i="92"/>
  <c r="BH37" i="92"/>
  <c r="BG37" i="92"/>
  <c r="BF37" i="92"/>
  <c r="BE37" i="92"/>
  <c r="BD37" i="92"/>
  <c r="BC37" i="92"/>
  <c r="BB37" i="92"/>
  <c r="BA37" i="92"/>
  <c r="AZ37" i="92"/>
  <c r="AY37" i="92"/>
  <c r="AX37" i="92"/>
  <c r="AW37" i="92"/>
  <c r="AV37" i="92"/>
  <c r="AU37" i="92"/>
  <c r="AT37" i="92"/>
  <c r="AS37" i="92"/>
  <c r="AR37" i="92"/>
  <c r="AQ37" i="92"/>
  <c r="AP37" i="92"/>
  <c r="AO37" i="92"/>
  <c r="AN37" i="92"/>
  <c r="AM37" i="92"/>
  <c r="AL37" i="92"/>
  <c r="AK37" i="92"/>
  <c r="AJ37" i="92"/>
  <c r="AI37" i="92"/>
  <c r="AH37" i="92"/>
  <c r="AG37" i="92"/>
  <c r="AF37" i="92"/>
  <c r="AE37" i="92"/>
  <c r="AD37" i="92"/>
  <c r="AC37" i="92"/>
  <c r="AB37" i="92"/>
  <c r="AA37" i="92"/>
  <c r="Z37" i="92"/>
  <c r="Y37" i="92"/>
  <c r="X37" i="92"/>
  <c r="W37" i="92"/>
  <c r="V37" i="92"/>
  <c r="U37" i="92"/>
  <c r="T37" i="92"/>
  <c r="S37" i="92"/>
  <c r="R37" i="92"/>
  <c r="Q37" i="92"/>
  <c r="P37" i="92"/>
  <c r="O37" i="92"/>
  <c r="N37" i="92"/>
  <c r="M37" i="92"/>
  <c r="L37" i="92"/>
  <c r="K37" i="92"/>
  <c r="J37" i="92"/>
  <c r="I37" i="92"/>
  <c r="H37" i="92"/>
  <c r="G37" i="92"/>
  <c r="F37" i="92"/>
  <c r="E37" i="92"/>
  <c r="D37" i="92"/>
  <c r="B37" i="92"/>
  <c r="CF33" i="92"/>
  <c r="CE33" i="92"/>
  <c r="CD33" i="92"/>
  <c r="CC33" i="92"/>
  <c r="CB33" i="92"/>
  <c r="CA33" i="92"/>
  <c r="BZ33" i="92"/>
  <c r="BY33" i="92"/>
  <c r="BX33" i="92"/>
  <c r="BW33" i="92"/>
  <c r="BV33" i="92"/>
  <c r="BU33" i="92"/>
  <c r="BT33" i="92"/>
  <c r="BS33" i="92"/>
  <c r="BR33" i="92"/>
  <c r="BQ33" i="92"/>
  <c r="BP33" i="92"/>
  <c r="BO33" i="92"/>
  <c r="BN33" i="92"/>
  <c r="BM33" i="92"/>
  <c r="BL33" i="92"/>
  <c r="BK33" i="92"/>
  <c r="BJ33" i="92"/>
  <c r="BI33" i="92"/>
  <c r="BH33" i="92"/>
  <c r="BG33" i="92"/>
  <c r="BF33" i="92"/>
  <c r="BE33" i="92"/>
  <c r="BD33" i="92"/>
  <c r="BC33" i="92"/>
  <c r="BB33" i="92"/>
  <c r="BA33" i="92"/>
  <c r="AZ33" i="92"/>
  <c r="AY33" i="92"/>
  <c r="AX33" i="92"/>
  <c r="AW33" i="92"/>
  <c r="AV33" i="92"/>
  <c r="AU33" i="92"/>
  <c r="AT33" i="92"/>
  <c r="AS33" i="92"/>
  <c r="AR33" i="92"/>
  <c r="AQ33" i="92"/>
  <c r="AP33" i="92"/>
  <c r="AO33" i="92"/>
  <c r="AN33" i="92"/>
  <c r="AM33" i="92"/>
  <c r="AL33" i="92"/>
  <c r="AK33" i="92"/>
  <c r="AJ33" i="92"/>
  <c r="AI33" i="92"/>
  <c r="AH33" i="92"/>
  <c r="AG33" i="92"/>
  <c r="AF33" i="92"/>
  <c r="AE33" i="92"/>
  <c r="AD33" i="92"/>
  <c r="AC33" i="92"/>
  <c r="AB33" i="92"/>
  <c r="AA33" i="92"/>
  <c r="Z33" i="92"/>
  <c r="Y33" i="92"/>
  <c r="X33" i="92"/>
  <c r="W33" i="92"/>
  <c r="V33" i="92"/>
  <c r="U33" i="92"/>
  <c r="T33" i="92"/>
  <c r="S33" i="92"/>
  <c r="R33" i="92"/>
  <c r="Q33" i="92"/>
  <c r="P33" i="92"/>
  <c r="O33" i="92"/>
  <c r="N33" i="92"/>
  <c r="M33" i="92"/>
  <c r="L33" i="92"/>
  <c r="K33" i="92"/>
  <c r="J33" i="92"/>
  <c r="I33" i="92"/>
  <c r="H33" i="92"/>
  <c r="G33" i="92"/>
  <c r="F33" i="92"/>
  <c r="E33" i="92"/>
  <c r="D33" i="92"/>
  <c r="B33" i="92"/>
  <c r="I31" i="92"/>
  <c r="CF25" i="92"/>
  <c r="CE25" i="92"/>
  <c r="CD25" i="92"/>
  <c r="CC25" i="92"/>
  <c r="CB25" i="92"/>
  <c r="CA25" i="92"/>
  <c r="BZ25" i="92"/>
  <c r="BY25" i="92"/>
  <c r="BX25" i="92"/>
  <c r="BW25" i="92"/>
  <c r="BV25" i="92"/>
  <c r="BU25" i="92"/>
  <c r="BT25" i="92"/>
  <c r="BS25" i="92"/>
  <c r="BR25" i="92"/>
  <c r="BQ25" i="92"/>
  <c r="BP25" i="92"/>
  <c r="BO25" i="92"/>
  <c r="BN25" i="92"/>
  <c r="BM25" i="92"/>
  <c r="BL25" i="92"/>
  <c r="BK25" i="92"/>
  <c r="BJ25" i="92"/>
  <c r="BI25" i="92"/>
  <c r="BH25" i="92"/>
  <c r="BG25" i="92"/>
  <c r="BF25" i="92"/>
  <c r="BE25" i="92"/>
  <c r="BD25" i="92"/>
  <c r="BC25" i="92"/>
  <c r="BB25" i="92"/>
  <c r="BA25" i="92"/>
  <c r="AZ25" i="92"/>
  <c r="AY25" i="92"/>
  <c r="AX25" i="92"/>
  <c r="AW25" i="92"/>
  <c r="AV25" i="92"/>
  <c r="AU25" i="92"/>
  <c r="AT25" i="92"/>
  <c r="AS25" i="92"/>
  <c r="AR25" i="92"/>
  <c r="AQ25" i="92"/>
  <c r="AP25" i="92"/>
  <c r="AO25" i="92"/>
  <c r="AN25" i="92"/>
  <c r="AM25" i="92"/>
  <c r="AL25" i="92"/>
  <c r="AK25" i="92"/>
  <c r="AJ25" i="92"/>
  <c r="AI25" i="92"/>
  <c r="AH25" i="92"/>
  <c r="AG25" i="92"/>
  <c r="AF25" i="92"/>
  <c r="AE25" i="92"/>
  <c r="AD25" i="92"/>
  <c r="AC25" i="92"/>
  <c r="AB25" i="92"/>
  <c r="AA25" i="92"/>
  <c r="Z25" i="92"/>
  <c r="Y25" i="92"/>
  <c r="X25" i="92"/>
  <c r="W25" i="92"/>
  <c r="V25" i="92"/>
  <c r="U25" i="92"/>
  <c r="T25" i="92"/>
  <c r="S25" i="92"/>
  <c r="R25" i="92"/>
  <c r="Q25" i="92"/>
  <c r="P25" i="92"/>
  <c r="O25" i="92"/>
  <c r="N25" i="92"/>
  <c r="M25" i="92"/>
  <c r="L25" i="92"/>
  <c r="K25" i="92"/>
  <c r="J25" i="92"/>
  <c r="I25" i="92"/>
  <c r="H25" i="92"/>
  <c r="G25" i="92"/>
  <c r="F25" i="92"/>
  <c r="E25" i="92"/>
  <c r="D25" i="92"/>
  <c r="B25" i="92"/>
  <c r="CF21" i="92"/>
  <c r="CE21" i="92"/>
  <c r="CD21" i="92"/>
  <c r="CC21" i="92"/>
  <c r="CB21" i="92"/>
  <c r="CA21" i="92"/>
  <c r="BZ21" i="92"/>
  <c r="BY21" i="92"/>
  <c r="BX21" i="92"/>
  <c r="BW21" i="92"/>
  <c r="BV21" i="92"/>
  <c r="BU21" i="92"/>
  <c r="BT21" i="92"/>
  <c r="BS21" i="92"/>
  <c r="BR21" i="92"/>
  <c r="BQ21" i="92"/>
  <c r="BP21" i="92"/>
  <c r="BO21" i="92"/>
  <c r="BN21" i="92"/>
  <c r="BM21" i="92"/>
  <c r="BL21" i="92"/>
  <c r="BK21" i="92"/>
  <c r="BJ21" i="92"/>
  <c r="BI21" i="92"/>
  <c r="BH21" i="92"/>
  <c r="BG21" i="92"/>
  <c r="BF21" i="92"/>
  <c r="BE21" i="92"/>
  <c r="BD21" i="92"/>
  <c r="BC21" i="92"/>
  <c r="BB21" i="92"/>
  <c r="BA21" i="92"/>
  <c r="AZ21" i="92"/>
  <c r="AY21" i="92"/>
  <c r="AX21" i="92"/>
  <c r="AW21" i="92"/>
  <c r="AV21" i="92"/>
  <c r="AU21" i="92"/>
  <c r="AT21" i="92"/>
  <c r="AS21" i="92"/>
  <c r="AR21" i="92"/>
  <c r="AQ21" i="92"/>
  <c r="AP21" i="92"/>
  <c r="AO21" i="92"/>
  <c r="AN21" i="92"/>
  <c r="AM21" i="92"/>
  <c r="AL21" i="92"/>
  <c r="AK21" i="92"/>
  <c r="AJ21" i="92"/>
  <c r="AI21" i="92"/>
  <c r="AH21" i="92"/>
  <c r="AG21" i="92"/>
  <c r="AF21" i="92"/>
  <c r="AE21" i="92"/>
  <c r="AD21" i="92"/>
  <c r="AC21" i="92"/>
  <c r="AB21" i="92"/>
  <c r="AA21" i="92"/>
  <c r="Z21" i="92"/>
  <c r="Y21" i="92"/>
  <c r="X21" i="92"/>
  <c r="W21" i="92"/>
  <c r="V21" i="92"/>
  <c r="U21" i="92"/>
  <c r="T21" i="92"/>
  <c r="S21" i="92"/>
  <c r="R21" i="92"/>
  <c r="Q21" i="92"/>
  <c r="P21" i="92"/>
  <c r="O21" i="92"/>
  <c r="N21" i="92"/>
  <c r="M21" i="92"/>
  <c r="L21" i="92"/>
  <c r="K21" i="92"/>
  <c r="J21" i="92"/>
  <c r="I21" i="92"/>
  <c r="H21" i="92"/>
  <c r="G21" i="92"/>
  <c r="F21" i="92"/>
  <c r="E21" i="92"/>
  <c r="D21" i="92"/>
  <c r="B21" i="92"/>
  <c r="S64" i="90"/>
  <c r="S22" i="90" s="1"/>
  <c r="R64" i="90"/>
  <c r="R22" i="90" s="1"/>
  <c r="Q64" i="90"/>
  <c r="Q22" i="90" s="1"/>
  <c r="P64" i="90"/>
  <c r="P22" i="90" s="1"/>
  <c r="O64" i="90"/>
  <c r="O22" i="90" s="1"/>
  <c r="N64" i="90"/>
  <c r="N22" i="90" s="1"/>
  <c r="M64" i="90"/>
  <c r="M22" i="90" s="1"/>
  <c r="L64" i="90"/>
  <c r="L22" i="90" s="1"/>
  <c r="K64" i="90"/>
  <c r="K22" i="90" s="1"/>
  <c r="J64" i="90"/>
  <c r="J22" i="90" s="1"/>
  <c r="I64" i="90"/>
  <c r="I22" i="90" s="1"/>
  <c r="H64" i="90"/>
  <c r="H22" i="90" s="1"/>
  <c r="G64" i="90"/>
  <c r="G22" i="90" s="1"/>
  <c r="F64" i="90"/>
  <c r="F22" i="90" s="1"/>
  <c r="S63" i="90"/>
  <c r="S21" i="90" s="1"/>
  <c r="R63" i="90"/>
  <c r="R21" i="90" s="1"/>
  <c r="Q63" i="90"/>
  <c r="Q21" i="90" s="1"/>
  <c r="P63" i="90"/>
  <c r="P21" i="90" s="1"/>
  <c r="O63" i="90"/>
  <c r="O21" i="90" s="1"/>
  <c r="N63" i="90"/>
  <c r="N21" i="90" s="1"/>
  <c r="M63" i="90"/>
  <c r="M21" i="90" s="1"/>
  <c r="L63" i="90"/>
  <c r="L21" i="90" s="1"/>
  <c r="K63" i="90"/>
  <c r="K21" i="90" s="1"/>
  <c r="J63" i="90"/>
  <c r="J21" i="90" s="1"/>
  <c r="I63" i="90"/>
  <c r="I21" i="90" s="1"/>
  <c r="H63" i="90"/>
  <c r="H21" i="90" s="1"/>
  <c r="F63" i="90"/>
  <c r="F21" i="90" s="1"/>
  <c r="S61" i="90"/>
  <c r="R61" i="90"/>
  <c r="Q61" i="90"/>
  <c r="P61" i="90"/>
  <c r="O61" i="90"/>
  <c r="N61" i="90"/>
  <c r="M61" i="90"/>
  <c r="L61" i="90"/>
  <c r="K61" i="90"/>
  <c r="J61" i="90"/>
  <c r="I61" i="90"/>
  <c r="H61" i="90"/>
  <c r="G61" i="90"/>
  <c r="F61" i="90"/>
  <c r="S59" i="90"/>
  <c r="R59" i="90"/>
  <c r="Q59" i="90"/>
  <c r="P59" i="90"/>
  <c r="O59" i="90"/>
  <c r="N59" i="90"/>
  <c r="M59" i="90"/>
  <c r="L59" i="90"/>
  <c r="K59" i="90"/>
  <c r="J59" i="90"/>
  <c r="I59" i="90"/>
  <c r="H59" i="90"/>
  <c r="F59" i="90"/>
  <c r="S58" i="90"/>
  <c r="R58" i="90"/>
  <c r="Q58" i="90"/>
  <c r="P58" i="90"/>
  <c r="O58" i="90"/>
  <c r="N58" i="90"/>
  <c r="M58" i="90"/>
  <c r="L58" i="90"/>
  <c r="K58" i="90"/>
  <c r="J58" i="90"/>
  <c r="I58" i="90"/>
  <c r="H58" i="90"/>
  <c r="G58" i="90"/>
  <c r="F58" i="90"/>
  <c r="S55" i="90"/>
  <c r="R55" i="90"/>
  <c r="Q55" i="90"/>
  <c r="P55" i="90"/>
  <c r="O55" i="90"/>
  <c r="N55" i="90"/>
  <c r="M55" i="90"/>
  <c r="L55" i="90"/>
  <c r="K55" i="90"/>
  <c r="J55" i="90"/>
  <c r="I55" i="90"/>
  <c r="H55" i="90"/>
  <c r="G55" i="90"/>
  <c r="F55" i="90"/>
  <c r="S53" i="90"/>
  <c r="R53" i="90"/>
  <c r="Q53" i="90"/>
  <c r="P53" i="90"/>
  <c r="O53" i="90"/>
  <c r="N53" i="90"/>
  <c r="M53" i="90"/>
  <c r="L53" i="90"/>
  <c r="K53" i="90"/>
  <c r="J53" i="90"/>
  <c r="I53" i="90"/>
  <c r="H53" i="90"/>
  <c r="G53" i="90"/>
  <c r="F53" i="90"/>
  <c r="S49" i="90"/>
  <c r="R49" i="90"/>
  <c r="Q49" i="90"/>
  <c r="P49" i="90"/>
  <c r="O49" i="90"/>
  <c r="N49" i="90"/>
  <c r="M49" i="90"/>
  <c r="L49" i="90"/>
  <c r="K49" i="90"/>
  <c r="J49" i="90"/>
  <c r="I49" i="90"/>
  <c r="H49" i="90"/>
  <c r="G49" i="90"/>
  <c r="F49" i="90"/>
  <c r="S46" i="90"/>
  <c r="R46" i="90"/>
  <c r="Q46" i="90"/>
  <c r="P46" i="90"/>
  <c r="O46" i="90"/>
  <c r="N46" i="90"/>
  <c r="N62" i="90" s="1"/>
  <c r="M46" i="90"/>
  <c r="M62" i="90" s="1"/>
  <c r="L46" i="90"/>
  <c r="K46" i="90"/>
  <c r="K62" i="90" s="1"/>
  <c r="J46" i="90"/>
  <c r="I46" i="90"/>
  <c r="H46" i="90"/>
  <c r="G46" i="90"/>
  <c r="F46" i="90"/>
  <c r="S44" i="90"/>
  <c r="R44" i="90"/>
  <c r="Q44" i="90"/>
  <c r="P44" i="90"/>
  <c r="O44" i="90"/>
  <c r="N44" i="90"/>
  <c r="M44" i="90"/>
  <c r="L44" i="90"/>
  <c r="K44" i="90"/>
  <c r="J44" i="90"/>
  <c r="J60" i="90" s="1"/>
  <c r="I44" i="90"/>
  <c r="H44" i="90"/>
  <c r="G44" i="90"/>
  <c r="F44" i="90"/>
  <c r="L25" i="89"/>
  <c r="S25" i="89"/>
  <c r="R25" i="89"/>
  <c r="Q25" i="89"/>
  <c r="P25" i="89"/>
  <c r="O25" i="89"/>
  <c r="N25" i="89"/>
  <c r="M25" i="89"/>
  <c r="K25" i="89"/>
  <c r="J25" i="89"/>
  <c r="I25" i="89"/>
  <c r="H25" i="89"/>
  <c r="G25" i="89"/>
  <c r="F25" i="89"/>
  <c r="R23" i="89"/>
  <c r="J23" i="89"/>
  <c r="S23" i="89"/>
  <c r="Q23" i="89"/>
  <c r="P23" i="89"/>
  <c r="O23" i="89"/>
  <c r="N23" i="89"/>
  <c r="M23" i="89"/>
  <c r="L23" i="89"/>
  <c r="K23" i="89"/>
  <c r="I23" i="89"/>
  <c r="H23" i="89"/>
  <c r="G23" i="89"/>
  <c r="F23" i="89"/>
  <c r="S21" i="89"/>
  <c r="R21" i="89"/>
  <c r="Q21" i="89"/>
  <c r="P21" i="89"/>
  <c r="O21" i="89"/>
  <c r="N21" i="89"/>
  <c r="M21" i="89"/>
  <c r="L21" i="89"/>
  <c r="K21" i="89"/>
  <c r="J21" i="89"/>
  <c r="I21" i="89"/>
  <c r="H21" i="89"/>
  <c r="G21" i="89"/>
  <c r="F21" i="89"/>
  <c r="I19" i="89"/>
  <c r="S19" i="89"/>
  <c r="R19" i="89"/>
  <c r="Q19" i="89"/>
  <c r="P19" i="89"/>
  <c r="O19" i="89"/>
  <c r="N19" i="89"/>
  <c r="M19" i="89"/>
  <c r="K19" i="89"/>
  <c r="J19" i="89"/>
  <c r="H19" i="89"/>
  <c r="G19" i="89"/>
  <c r="F19" i="89"/>
  <c r="R17" i="89"/>
  <c r="L17" i="89"/>
  <c r="J17" i="89"/>
  <c r="S17" i="89"/>
  <c r="Q17" i="89"/>
  <c r="P17" i="89"/>
  <c r="O17" i="89"/>
  <c r="N17" i="89"/>
  <c r="M17" i="89"/>
  <c r="K17" i="89"/>
  <c r="I17" i="89"/>
  <c r="H17" i="89"/>
  <c r="G17" i="89"/>
  <c r="F17" i="89"/>
  <c r="P15" i="89"/>
  <c r="S15" i="89"/>
  <c r="R15" i="89"/>
  <c r="Q15" i="89"/>
  <c r="O15" i="89"/>
  <c r="N15" i="89"/>
  <c r="M15" i="89"/>
  <c r="L15" i="89"/>
  <c r="K15" i="89"/>
  <c r="J15" i="89"/>
  <c r="I15" i="89"/>
  <c r="H15" i="89"/>
  <c r="F15" i="89"/>
  <c r="L19" i="89"/>
  <c r="I77" i="9"/>
  <c r="I37" i="9"/>
  <c r="J33" i="9"/>
  <c r="I25" i="9"/>
  <c r="J21" i="9"/>
  <c r="J9" i="9"/>
  <c r="I13" i="9"/>
  <c r="AY6" i="9"/>
  <c r="AY7" i="9"/>
  <c r="AY8" i="9"/>
  <c r="AX15" i="9"/>
  <c r="AW15" i="9"/>
  <c r="AX19" i="9"/>
  <c r="AW19" i="9"/>
  <c r="AX18" i="9"/>
  <c r="AW18" i="9"/>
  <c r="AX17" i="9"/>
  <c r="AW17" i="9"/>
  <c r="AX16" i="9"/>
  <c r="AW16" i="9"/>
  <c r="AX11" i="9"/>
  <c r="AX10" i="9"/>
  <c r="AX7" i="9"/>
  <c r="AX5" i="9"/>
  <c r="AX6" i="9"/>
  <c r="P17" i="9" a="1"/>
  <c r="P17" i="9" s="1"/>
  <c r="P41" i="9" a="1"/>
  <c r="P41" i="9" s="1"/>
  <c r="P53" i="9" a="1"/>
  <c r="P53" i="9" s="1"/>
  <c r="D10" i="87"/>
  <c r="D11" i="87"/>
  <c r="D12" i="87"/>
  <c r="D13" i="87"/>
  <c r="D14" i="87"/>
  <c r="D15" i="87"/>
  <c r="D16" i="87"/>
  <c r="H36" i="86"/>
  <c r="H33" i="86"/>
  <c r="H30" i="86"/>
  <c r="H27" i="86"/>
  <c r="H24" i="86"/>
  <c r="H21" i="86"/>
  <c r="H19" i="86"/>
  <c r="H17" i="86"/>
  <c r="H15" i="86"/>
  <c r="H12" i="86"/>
  <c r="H9" i="86"/>
  <c r="H6" i="86"/>
  <c r="J34" i="85"/>
  <c r="J44" i="85" s="1"/>
  <c r="G34" i="85"/>
  <c r="G44" i="85" s="1"/>
  <c r="F34" i="85"/>
  <c r="F44" i="85" s="1"/>
  <c r="E34" i="85"/>
  <c r="J30" i="85"/>
  <c r="J41" i="85" s="1"/>
  <c r="G30" i="85"/>
  <c r="F30" i="85"/>
  <c r="F41" i="85" s="1"/>
  <c r="E30" i="85"/>
  <c r="J26" i="85"/>
  <c r="J38" i="85" s="1"/>
  <c r="F26" i="85"/>
  <c r="F38" i="85" s="1"/>
  <c r="E38" i="85"/>
  <c r="J23" i="85"/>
  <c r="F23" i="85"/>
  <c r="J20" i="85"/>
  <c r="F20" i="85"/>
  <c r="J17" i="85"/>
  <c r="F17" i="85"/>
  <c r="E17" i="85"/>
  <c r="J13" i="85"/>
  <c r="J9" i="85"/>
  <c r="J5" i="85"/>
  <c r="F5" i="85"/>
  <c r="F9" i="85"/>
  <c r="F13" i="85"/>
  <c r="E23" i="85"/>
  <c r="E9" i="85"/>
  <c r="E5" i="85"/>
  <c r="E5" i="83"/>
  <c r="F5" i="83"/>
  <c r="F8" i="83"/>
  <c r="E8" i="83"/>
  <c r="C85" i="19"/>
  <c r="C84" i="19"/>
  <c r="C83" i="19"/>
  <c r="C82" i="19"/>
  <c r="C81" i="19"/>
  <c r="C80" i="19"/>
  <c r="C89" i="19"/>
  <c r="C90" i="19"/>
  <c r="C76" i="19"/>
  <c r="C75" i="19"/>
  <c r="C74" i="19"/>
  <c r="C17" i="83"/>
  <c r="C69" i="86"/>
  <c r="C68" i="86"/>
  <c r="C67" i="86"/>
  <c r="C66" i="86"/>
  <c r="C64" i="86"/>
  <c r="C65" i="86"/>
  <c r="C63" i="86"/>
  <c r="C62" i="86"/>
  <c r="C61" i="86"/>
  <c r="C60" i="86"/>
  <c r="C106" i="85"/>
  <c r="C103" i="85"/>
  <c r="C98" i="85"/>
  <c r="D19" i="84"/>
  <c r="C18" i="83"/>
  <c r="D48" i="82"/>
  <c r="D42" i="82"/>
  <c r="C105" i="9"/>
  <c r="C102" i="9"/>
  <c r="C92" i="9"/>
  <c r="AF22" i="86"/>
  <c r="AF21" i="86"/>
  <c r="AF20" i="86"/>
  <c r="M6" i="86" s="1"/>
  <c r="C117" i="85"/>
  <c r="C116" i="85"/>
  <c r="C115" i="85"/>
  <c r="C114" i="85"/>
  <c r="C113" i="85"/>
  <c r="C112" i="85"/>
  <c r="C111" i="85"/>
  <c r="C110" i="85"/>
  <c r="C109" i="85"/>
  <c r="C108" i="85"/>
  <c r="C107" i="85"/>
  <c r="C105" i="85"/>
  <c r="C104" i="85"/>
  <c r="C102" i="85"/>
  <c r="C101" i="85"/>
  <c r="C100" i="85"/>
  <c r="C99" i="85"/>
  <c r="I88" i="85"/>
  <c r="I87" i="85"/>
  <c r="I85" i="85"/>
  <c r="I84" i="85"/>
  <c r="I82" i="85"/>
  <c r="I81" i="85"/>
  <c r="I79" i="85"/>
  <c r="I78" i="85"/>
  <c r="I77" i="85"/>
  <c r="I75" i="85"/>
  <c r="I74" i="85"/>
  <c r="I73" i="85"/>
  <c r="I71" i="85"/>
  <c r="I70" i="85"/>
  <c r="I69" i="85"/>
  <c r="I58" i="85"/>
  <c r="I57" i="85"/>
  <c r="I56" i="85"/>
  <c r="I54" i="85"/>
  <c r="I52" i="85"/>
  <c r="I53" i="85" s="1"/>
  <c r="I50" i="85"/>
  <c r="I49" i="85"/>
  <c r="I48" i="85"/>
  <c r="H41" i="85"/>
  <c r="H38" i="85"/>
  <c r="G38" i="85"/>
  <c r="G17" i="85"/>
  <c r="V9" i="85"/>
  <c r="L26" i="85" s="1"/>
  <c r="L38" i="85" s="1"/>
  <c r="J7" i="83"/>
  <c r="R10" i="83"/>
  <c r="R11" i="83" s="1"/>
  <c r="M8" i="83" s="1"/>
  <c r="R14" i="83"/>
  <c r="M5" i="83" s="1"/>
  <c r="D49" i="82"/>
  <c r="D47" i="82"/>
  <c r="D46" i="82"/>
  <c r="D45" i="82"/>
  <c r="D44" i="82"/>
  <c r="D43" i="82"/>
  <c r="J33" i="82"/>
  <c r="J34" i="82" s="1"/>
  <c r="J35" i="82" s="1"/>
  <c r="L32" i="82"/>
  <c r="J31" i="82"/>
  <c r="J30" i="82"/>
  <c r="L29" i="82"/>
  <c r="J28" i="82"/>
  <c r="J27" i="82"/>
  <c r="L25" i="82"/>
  <c r="J24" i="82"/>
  <c r="J23" i="82"/>
  <c r="J22" i="82"/>
  <c r="L21" i="82"/>
  <c r="Q20" i="82"/>
  <c r="Q21" i="82"/>
  <c r="M17" i="82" s="1"/>
  <c r="M21" i="82" s="1"/>
  <c r="J20" i="82"/>
  <c r="J19" i="82"/>
  <c r="J16" i="82"/>
  <c r="Q15" i="82"/>
  <c r="Q16" i="82" s="1"/>
  <c r="M8" i="82" s="1"/>
  <c r="J15" i="82"/>
  <c r="J13" i="82"/>
  <c r="J12" i="82"/>
  <c r="L11" i="82"/>
  <c r="J10" i="82"/>
  <c r="J9" i="82"/>
  <c r="M15" i="86"/>
  <c r="M17" i="86" s="1"/>
  <c r="M19" i="86" s="1"/>
  <c r="L13" i="85"/>
  <c r="L23" i="85" s="1"/>
  <c r="D69" i="57"/>
  <c r="K59" i="85" s="1"/>
  <c r="K17" i="85" s="1"/>
  <c r="D92" i="9"/>
  <c r="D93" i="9"/>
  <c r="D94" i="9"/>
  <c r="D95" i="9"/>
  <c r="D96" i="9"/>
  <c r="D97" i="9"/>
  <c r="D98" i="9"/>
  <c r="D99" i="9"/>
  <c r="D100" i="9"/>
  <c r="C100" i="9"/>
  <c r="C99" i="9"/>
  <c r="C97" i="9"/>
  <c r="C96" i="9"/>
  <c r="C95" i="9"/>
  <c r="C94" i="9"/>
  <c r="C93" i="9"/>
  <c r="D69" i="64"/>
  <c r="D38" i="60"/>
  <c r="D38" i="69"/>
  <c r="O21" i="86" s="1"/>
  <c r="N47" i="86" s="1"/>
  <c r="N49" i="86" s="1"/>
  <c r="O24" i="86"/>
  <c r="D41" i="65"/>
  <c r="D39" i="65" s="1"/>
  <c r="D90" i="19"/>
  <c r="L56" i="19"/>
  <c r="L53" i="19"/>
  <c r="L50" i="19"/>
  <c r="H53" i="19"/>
  <c r="H56" i="19"/>
  <c r="I50" i="19"/>
  <c r="D102" i="9"/>
  <c r="D103" i="9"/>
  <c r="D104" i="9"/>
  <c r="C104" i="9"/>
  <c r="C103" i="9"/>
  <c r="D106" i="9"/>
  <c r="C106" i="9"/>
  <c r="H23" i="51"/>
  <c r="I61" i="9"/>
  <c r="J57" i="9"/>
  <c r="B5" i="17"/>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E23" i="69"/>
  <c r="E24" i="69" s="1"/>
  <c r="F23" i="69"/>
  <c r="F24" i="69" s="1"/>
  <c r="G23" i="69"/>
  <c r="G24" i="69" s="1"/>
  <c r="D25" i="69"/>
  <c r="D26" i="69" s="1"/>
  <c r="K15" i="86" s="1"/>
  <c r="E25" i="69"/>
  <c r="E26" i="69" s="1"/>
  <c r="F25" i="69"/>
  <c r="F26" i="69" s="1"/>
  <c r="G25" i="69"/>
  <c r="G26" i="69" s="1"/>
  <c r="E38" i="69"/>
  <c r="F38" i="69"/>
  <c r="G38" i="69"/>
  <c r="D51" i="69"/>
  <c r="D59" i="69" s="1"/>
  <c r="E51" i="69"/>
  <c r="E59" i="69"/>
  <c r="F51" i="69"/>
  <c r="F59" i="69" s="1"/>
  <c r="G51" i="69"/>
  <c r="G59" i="69" s="1"/>
  <c r="D52" i="69"/>
  <c r="D60" i="69" s="1"/>
  <c r="E52" i="69"/>
  <c r="E60" i="69" s="1"/>
  <c r="F52" i="69"/>
  <c r="F60" i="69" s="1"/>
  <c r="G52" i="69"/>
  <c r="G60" i="69" s="1"/>
  <c r="D56" i="69"/>
  <c r="E56" i="69"/>
  <c r="F56" i="69"/>
  <c r="G56" i="69"/>
  <c r="D57" i="69"/>
  <c r="E57" i="69"/>
  <c r="F57" i="69"/>
  <c r="G57" i="69"/>
  <c r="D58" i="69"/>
  <c r="E58" i="69"/>
  <c r="F58" i="69"/>
  <c r="G58" i="69"/>
  <c r="D67" i="69"/>
  <c r="D23" i="69"/>
  <c r="E71" i="69"/>
  <c r="E28" i="69"/>
  <c r="F71" i="69"/>
  <c r="F28" i="69" s="1"/>
  <c r="G71" i="69"/>
  <c r="G28" i="69" s="1"/>
  <c r="D73" i="69"/>
  <c r="E73" i="69"/>
  <c r="E72" i="69" s="1"/>
  <c r="E41" i="69" s="1"/>
  <c r="E39" i="69" s="1"/>
  <c r="F73" i="69"/>
  <c r="F72" i="69" s="1"/>
  <c r="F41" i="69" s="1"/>
  <c r="F39" i="69" s="1"/>
  <c r="G73" i="69"/>
  <c r="G72" i="69"/>
  <c r="G41" i="69" s="1"/>
  <c r="G39" i="69" s="1"/>
  <c r="E23" i="68"/>
  <c r="E24" i="68" s="1"/>
  <c r="F23" i="68"/>
  <c r="F24" i="68" s="1"/>
  <c r="G23" i="68"/>
  <c r="G24" i="68" s="1"/>
  <c r="E25" i="68"/>
  <c r="E26" i="68" s="1"/>
  <c r="F25" i="68"/>
  <c r="F26" i="68" s="1"/>
  <c r="K36" i="86" s="1"/>
  <c r="K46" i="86" s="1"/>
  <c r="G25" i="68"/>
  <c r="G26" i="68" s="1"/>
  <c r="D38" i="68"/>
  <c r="E38" i="68"/>
  <c r="F38" i="68"/>
  <c r="G38" i="68"/>
  <c r="D51" i="68"/>
  <c r="D59" i="68" s="1"/>
  <c r="D52" i="68"/>
  <c r="D60" i="68"/>
  <c r="D56" i="68"/>
  <c r="E56" i="68"/>
  <c r="F56" i="68"/>
  <c r="G56" i="68"/>
  <c r="D57" i="68"/>
  <c r="E57" i="68"/>
  <c r="F57" i="68"/>
  <c r="G57" i="68"/>
  <c r="D58" i="68"/>
  <c r="E58" i="68"/>
  <c r="F58" i="68"/>
  <c r="G58" i="68"/>
  <c r="E71" i="68"/>
  <c r="E28" i="68" s="1"/>
  <c r="F71" i="68"/>
  <c r="F28" i="68" s="1"/>
  <c r="G71" i="68"/>
  <c r="G28" i="68"/>
  <c r="D73" i="68"/>
  <c r="D72" i="68" s="1"/>
  <c r="D41" i="68" s="1"/>
  <c r="D39" i="68" s="1"/>
  <c r="E73" i="68"/>
  <c r="E72" i="68" s="1"/>
  <c r="F73" i="68"/>
  <c r="G73" i="68"/>
  <c r="G72" i="68" s="1"/>
  <c r="E82" i="68"/>
  <c r="F82" i="68"/>
  <c r="G82" i="68" s="1"/>
  <c r="E83" i="68"/>
  <c r="F83" i="68" s="1"/>
  <c r="G83" i="68" s="1"/>
  <c r="E84" i="68"/>
  <c r="F84" i="68" s="1"/>
  <c r="E85" i="68"/>
  <c r="E52" i="68"/>
  <c r="E60" i="68" s="1"/>
  <c r="D23" i="67"/>
  <c r="D24" i="67"/>
  <c r="E23" i="67"/>
  <c r="E24" i="67" s="1"/>
  <c r="F23" i="67"/>
  <c r="F24" i="67" s="1"/>
  <c r="G23" i="67"/>
  <c r="G24" i="67" s="1"/>
  <c r="D25" i="67"/>
  <c r="D26" i="67" s="1"/>
  <c r="E25" i="67"/>
  <c r="E26" i="67" s="1"/>
  <c r="F25" i="67"/>
  <c r="F26" i="67" s="1"/>
  <c r="G25" i="67"/>
  <c r="G26" i="67" s="1"/>
  <c r="D38" i="67"/>
  <c r="E38" i="67"/>
  <c r="F38" i="67"/>
  <c r="G38" i="67"/>
  <c r="D51" i="67"/>
  <c r="D59" i="67"/>
  <c r="D52" i="67"/>
  <c r="D60" i="67" s="1"/>
  <c r="D56" i="67"/>
  <c r="E56" i="67"/>
  <c r="F56" i="67"/>
  <c r="G56" i="67"/>
  <c r="D57" i="67"/>
  <c r="E57" i="67"/>
  <c r="F57" i="67"/>
  <c r="G57" i="67"/>
  <c r="D58" i="67"/>
  <c r="E58" i="67"/>
  <c r="F58" i="67"/>
  <c r="G58" i="67"/>
  <c r="D71" i="67"/>
  <c r="D28" i="67" s="1"/>
  <c r="E71" i="67"/>
  <c r="E28" i="67" s="1"/>
  <c r="F71" i="67"/>
  <c r="F28" i="67" s="1"/>
  <c r="G71" i="67"/>
  <c r="G28" i="67" s="1"/>
  <c r="D73" i="67"/>
  <c r="D72" i="67" s="1"/>
  <c r="D41" i="67" s="1"/>
  <c r="D39" i="67" s="1"/>
  <c r="E73" i="67"/>
  <c r="E72" i="67" s="1"/>
  <c r="E41" i="67" s="1"/>
  <c r="E39" i="67" s="1"/>
  <c r="F73" i="67"/>
  <c r="F72" i="67" s="1"/>
  <c r="F41" i="67" s="1"/>
  <c r="F39" i="67" s="1"/>
  <c r="G73" i="67"/>
  <c r="G72" i="67" s="1"/>
  <c r="G41" i="67" s="1"/>
  <c r="G39" i="67" s="1"/>
  <c r="E82" i="67"/>
  <c r="F82" i="67"/>
  <c r="G82" i="67" s="1"/>
  <c r="E83" i="67"/>
  <c r="F83" i="67" s="1"/>
  <c r="G83" i="67" s="1"/>
  <c r="E84" i="67"/>
  <c r="E51" i="67" s="1"/>
  <c r="E59" i="67" s="1"/>
  <c r="E85" i="67"/>
  <c r="F85" i="67" s="1"/>
  <c r="G85" i="67" s="1"/>
  <c r="G52" i="67" s="1"/>
  <c r="G60" i="67" s="1"/>
  <c r="D23" i="66"/>
  <c r="E23" i="66"/>
  <c r="E24" i="66" s="1"/>
  <c r="F23" i="66"/>
  <c r="F24" i="66" s="1"/>
  <c r="G23" i="66"/>
  <c r="G24" i="66" s="1"/>
  <c r="D25" i="66"/>
  <c r="D26" i="66" s="1"/>
  <c r="E25" i="66"/>
  <c r="E26" i="66" s="1"/>
  <c r="F25" i="66"/>
  <c r="F26" i="66" s="1"/>
  <c r="G25" i="66"/>
  <c r="G26" i="66" s="1"/>
  <c r="D38" i="66"/>
  <c r="E38" i="66"/>
  <c r="F38" i="66"/>
  <c r="G38" i="66"/>
  <c r="D51" i="66"/>
  <c r="D52" i="66"/>
  <c r="D60" i="66" s="1"/>
  <c r="D56" i="66"/>
  <c r="E56" i="66"/>
  <c r="F56" i="66"/>
  <c r="G56" i="66"/>
  <c r="D57" i="66"/>
  <c r="E57" i="66"/>
  <c r="F57" i="66"/>
  <c r="G57" i="66"/>
  <c r="D58" i="66"/>
  <c r="E58" i="66"/>
  <c r="F58" i="66"/>
  <c r="G58" i="66"/>
  <c r="D59" i="66"/>
  <c r="D71" i="66"/>
  <c r="D28" i="66"/>
  <c r="E71" i="66"/>
  <c r="E28" i="66" s="1"/>
  <c r="F71" i="66"/>
  <c r="F28" i="66" s="1"/>
  <c r="G71" i="66"/>
  <c r="G28" i="66" s="1"/>
  <c r="D73" i="66"/>
  <c r="D72" i="66"/>
  <c r="D41" i="66" s="1"/>
  <c r="D39" i="66" s="1"/>
  <c r="E73" i="66"/>
  <c r="E72" i="66"/>
  <c r="E41" i="66" s="1"/>
  <c r="E39" i="66" s="1"/>
  <c r="F73" i="66"/>
  <c r="F72" i="66" s="1"/>
  <c r="F41" i="66" s="1"/>
  <c r="F39" i="66" s="1"/>
  <c r="G73" i="66"/>
  <c r="G72" i="66"/>
  <c r="G41" i="66" s="1"/>
  <c r="E82" i="66"/>
  <c r="F82" i="66"/>
  <c r="G82" i="66" s="1"/>
  <c r="E83" i="66"/>
  <c r="F83" i="66" s="1"/>
  <c r="G83" i="66" s="1"/>
  <c r="E84" i="66"/>
  <c r="F84" i="66" s="1"/>
  <c r="E85" i="66"/>
  <c r="E52" i="66" s="1"/>
  <c r="E60" i="66" s="1"/>
  <c r="D25" i="65"/>
  <c r="D23" i="65" s="1"/>
  <c r="E25" i="65"/>
  <c r="E23" i="65" s="1"/>
  <c r="F25" i="65"/>
  <c r="F23" i="65" s="1"/>
  <c r="G25" i="65"/>
  <c r="G23" i="65" s="1"/>
  <c r="G24" i="65" s="1"/>
  <c r="D48" i="65"/>
  <c r="D56" i="65" s="1"/>
  <c r="E48" i="65"/>
  <c r="E56" i="65" s="1"/>
  <c r="F48" i="65"/>
  <c r="F56" i="65" s="1"/>
  <c r="G48" i="65"/>
  <c r="G56" i="65"/>
  <c r="D49" i="65"/>
  <c r="D57" i="65" s="1"/>
  <c r="E49" i="65"/>
  <c r="F49" i="65"/>
  <c r="F57" i="65" s="1"/>
  <c r="G49" i="65"/>
  <c r="G57" i="65" s="1"/>
  <c r="D50" i="65"/>
  <c r="D58" i="65" s="1"/>
  <c r="E50" i="65"/>
  <c r="E58" i="65" s="1"/>
  <c r="F50" i="65"/>
  <c r="G50" i="65"/>
  <c r="G58" i="65" s="1"/>
  <c r="D52" i="65"/>
  <c r="D60" i="65"/>
  <c r="E52" i="65"/>
  <c r="E60" i="65" s="1"/>
  <c r="F52" i="65"/>
  <c r="F60" i="65" s="1"/>
  <c r="G52" i="65"/>
  <c r="G60" i="65" s="1"/>
  <c r="E57" i="65"/>
  <c r="F58" i="65"/>
  <c r="E73" i="65"/>
  <c r="G73" i="65" s="1"/>
  <c r="G80" i="65" s="1"/>
  <c r="G81" i="65" s="1"/>
  <c r="G85" i="65" s="1"/>
  <c r="D78" i="65"/>
  <c r="D71" i="65" s="1"/>
  <c r="E78" i="65"/>
  <c r="E71" i="65"/>
  <c r="E79" i="65" s="1"/>
  <c r="E87" i="65" s="1"/>
  <c r="E88" i="65" s="1"/>
  <c r="F78" i="65"/>
  <c r="F71" i="65" s="1"/>
  <c r="G78" i="65"/>
  <c r="G71" i="65" s="1"/>
  <c r="G79" i="65" s="1"/>
  <c r="G87" i="65" s="1"/>
  <c r="G88" i="65" s="1"/>
  <c r="D39" i="64"/>
  <c r="E39" i="64"/>
  <c r="F39" i="64"/>
  <c r="G39" i="64"/>
  <c r="E69" i="64"/>
  <c r="F69" i="64"/>
  <c r="G69" i="64"/>
  <c r="E72" i="64"/>
  <c r="F72" i="64"/>
  <c r="G72" i="64"/>
  <c r="D76" i="64"/>
  <c r="E76" i="64"/>
  <c r="F76" i="64"/>
  <c r="G76" i="64"/>
  <c r="D75" i="64"/>
  <c r="E75" i="64"/>
  <c r="F75" i="64"/>
  <c r="G75" i="64"/>
  <c r="D80" i="64"/>
  <c r="D25" i="64"/>
  <c r="E80" i="64"/>
  <c r="E79" i="64" s="1"/>
  <c r="F80" i="64"/>
  <c r="F25" i="64" s="1"/>
  <c r="G80" i="64"/>
  <c r="D82" i="64"/>
  <c r="E82" i="64"/>
  <c r="F82" i="64"/>
  <c r="G82" i="64"/>
  <c r="D83" i="64"/>
  <c r="D48" i="64" s="1"/>
  <c r="D56" i="64" s="1"/>
  <c r="E83" i="64"/>
  <c r="E48" i="64" s="1"/>
  <c r="E56" i="64" s="1"/>
  <c r="F83" i="64"/>
  <c r="F48" i="64" s="1"/>
  <c r="F56" i="64" s="1"/>
  <c r="G83" i="64"/>
  <c r="D84" i="64"/>
  <c r="D49" i="64" s="1"/>
  <c r="D57" i="64" s="1"/>
  <c r="E84" i="64"/>
  <c r="F84" i="64"/>
  <c r="F49" i="64" s="1"/>
  <c r="F57" i="64" s="1"/>
  <c r="G84" i="64"/>
  <c r="G49" i="64" s="1"/>
  <c r="G57" i="64" s="1"/>
  <c r="D96" i="64"/>
  <c r="D86" i="64" s="1"/>
  <c r="E96" i="64"/>
  <c r="E86" i="64" s="1"/>
  <c r="E51" i="64" s="1"/>
  <c r="E59" i="64" s="1"/>
  <c r="F96" i="64"/>
  <c r="F86" i="64" s="1"/>
  <c r="G96" i="64"/>
  <c r="G86" i="64" s="1"/>
  <c r="G51" i="64" s="1"/>
  <c r="G59" i="64" s="1"/>
  <c r="F95" i="64"/>
  <c r="F85" i="64" s="1"/>
  <c r="F50" i="64" s="1"/>
  <c r="F58" i="64" s="1"/>
  <c r="G95" i="64"/>
  <c r="G85" i="64"/>
  <c r="G50" i="64" s="1"/>
  <c r="G58" i="64" s="1"/>
  <c r="D97" i="64"/>
  <c r="D87" i="64"/>
  <c r="D52" i="64" s="1"/>
  <c r="D60" i="64" s="1"/>
  <c r="E97" i="64"/>
  <c r="E87" i="64"/>
  <c r="D23" i="60"/>
  <c r="D24" i="60"/>
  <c r="E23" i="60"/>
  <c r="E24" i="60" s="1"/>
  <c r="F23" i="60"/>
  <c r="F24" i="60" s="1"/>
  <c r="G23" i="60"/>
  <c r="G24" i="60" s="1"/>
  <c r="D28" i="60"/>
  <c r="E28" i="60"/>
  <c r="F28" i="60"/>
  <c r="F41" i="60" s="1"/>
  <c r="F39" i="60" s="1"/>
  <c r="G28" i="60"/>
  <c r="N70" i="60"/>
  <c r="D76" i="60"/>
  <c r="D25" i="60" s="1"/>
  <c r="E76" i="60"/>
  <c r="E25" i="60" s="1"/>
  <c r="F76" i="60"/>
  <c r="F82" i="60" s="1"/>
  <c r="F51" i="60" s="1"/>
  <c r="F59" i="60" s="1"/>
  <c r="G76" i="60"/>
  <c r="G82" i="60" s="1"/>
  <c r="G51" i="60" s="1"/>
  <c r="G59" i="60" s="1"/>
  <c r="D25" i="59"/>
  <c r="E25" i="59"/>
  <c r="F25" i="59"/>
  <c r="G25" i="59"/>
  <c r="D28" i="59"/>
  <c r="D41" i="59" s="1"/>
  <c r="D39" i="59" s="1"/>
  <c r="E28" i="59"/>
  <c r="E41" i="59" s="1"/>
  <c r="E39" i="59" s="1"/>
  <c r="F28" i="59"/>
  <c r="F41" i="59" s="1"/>
  <c r="F39" i="59" s="1"/>
  <c r="G28" i="59"/>
  <c r="G41" i="59" s="1"/>
  <c r="G39" i="59" s="1"/>
  <c r="D56" i="59"/>
  <c r="E56" i="59"/>
  <c r="F56" i="59"/>
  <c r="G56" i="59"/>
  <c r="D57" i="59"/>
  <c r="E57" i="59"/>
  <c r="F57" i="59"/>
  <c r="G57" i="59"/>
  <c r="D58" i="59"/>
  <c r="E58" i="59"/>
  <c r="F58" i="59"/>
  <c r="G58" i="59"/>
  <c r="D59" i="59"/>
  <c r="E59" i="59"/>
  <c r="F59" i="59"/>
  <c r="G59" i="59"/>
  <c r="D60" i="59"/>
  <c r="E60" i="59"/>
  <c r="F60" i="59"/>
  <c r="G60" i="59"/>
  <c r="D70" i="59"/>
  <c r="D23" i="59" s="1"/>
  <c r="E70" i="59"/>
  <c r="E23" i="59" s="1"/>
  <c r="F70" i="59"/>
  <c r="F23" i="59" s="1"/>
  <c r="G70" i="59"/>
  <c r="G23" i="59"/>
  <c r="G24" i="59" s="1"/>
  <c r="D25" i="58"/>
  <c r="E25" i="58"/>
  <c r="F25" i="58"/>
  <c r="G25" i="58"/>
  <c r="D28" i="58"/>
  <c r="E28" i="58"/>
  <c r="F28" i="58"/>
  <c r="G28" i="58"/>
  <c r="D68" i="58"/>
  <c r="E68" i="58" s="1"/>
  <c r="D70" i="58"/>
  <c r="E70" i="58"/>
  <c r="E41" i="58" s="1"/>
  <c r="E39" i="58" s="1"/>
  <c r="F70" i="58"/>
  <c r="F41" i="58" s="1"/>
  <c r="F39" i="58" s="1"/>
  <c r="G70" i="58"/>
  <c r="G41" i="58" s="1"/>
  <c r="G39" i="58" s="1"/>
  <c r="W71" i="57"/>
  <c r="W81" i="57"/>
  <c r="D72" i="58"/>
  <c r="D23" i="58"/>
  <c r="E72" i="58"/>
  <c r="W82" i="57" s="1"/>
  <c r="F72" i="58"/>
  <c r="F23" i="58"/>
  <c r="F24" i="58" s="1"/>
  <c r="G72" i="58"/>
  <c r="G23" i="58" s="1"/>
  <c r="G24" i="58" s="1"/>
  <c r="D25" i="57"/>
  <c r="E25" i="57"/>
  <c r="F25" i="57"/>
  <c r="G25" i="57"/>
  <c r="D28" i="57"/>
  <c r="E28" i="57"/>
  <c r="F28" i="57"/>
  <c r="G28" i="57"/>
  <c r="F38" i="60"/>
  <c r="L34" i="85"/>
  <c r="L44" i="85" s="1"/>
  <c r="W67" i="57"/>
  <c r="V68" i="57"/>
  <c r="W68" i="57"/>
  <c r="X68" i="57"/>
  <c r="E69" i="57"/>
  <c r="V79" i="57" s="1"/>
  <c r="V80" i="57" s="1"/>
  <c r="F69" i="57"/>
  <c r="F69" i="60" s="1"/>
  <c r="G69" i="57"/>
  <c r="G69" i="60" s="1"/>
  <c r="G41" i="60" s="1"/>
  <c r="G39" i="60" s="1"/>
  <c r="V71" i="57"/>
  <c r="V81" i="57"/>
  <c r="D71" i="57"/>
  <c r="D23" i="57"/>
  <c r="E71" i="57"/>
  <c r="E23" i="57"/>
  <c r="E24" i="57" s="1"/>
  <c r="F71" i="57"/>
  <c r="F23" i="57" s="1"/>
  <c r="F24" i="57" s="1"/>
  <c r="G71" i="57"/>
  <c r="G23" i="57" s="1"/>
  <c r="G24" i="57" s="1"/>
  <c r="V72" i="57"/>
  <c r="W72" i="57"/>
  <c r="X72" i="57"/>
  <c r="V73" i="57"/>
  <c r="W73" i="57"/>
  <c r="X73" i="57"/>
  <c r="V77" i="57"/>
  <c r="V78" i="57"/>
  <c r="W78" i="57"/>
  <c r="X78" i="57"/>
  <c r="X82" i="57"/>
  <c r="V83" i="57"/>
  <c r="W83" i="57"/>
  <c r="X83" i="57"/>
  <c r="V84" i="57"/>
  <c r="W84" i="57"/>
  <c r="X84" i="57"/>
  <c r="V85" i="57"/>
  <c r="W85" i="57"/>
  <c r="X85" i="57"/>
  <c r="D105" i="57"/>
  <c r="E105" i="57"/>
  <c r="F105" i="57"/>
  <c r="D106" i="57"/>
  <c r="E106" i="57"/>
  <c r="E88" i="57" s="1"/>
  <c r="E78" i="57" s="1"/>
  <c r="E48" i="57" s="1"/>
  <c r="E56" i="57" s="1"/>
  <c r="F106" i="57"/>
  <c r="F89" i="60" s="1"/>
  <c r="D107" i="57"/>
  <c r="D89" i="57" s="1"/>
  <c r="E107" i="57"/>
  <c r="E90" i="60" s="1"/>
  <c r="F107" i="57"/>
  <c r="F90" i="60" s="1"/>
  <c r="D108" i="57"/>
  <c r="D90" i="57" s="1"/>
  <c r="D91" i="58" s="1"/>
  <c r="D81" i="58" s="1"/>
  <c r="E108" i="57"/>
  <c r="F108" i="57"/>
  <c r="F91" i="60" s="1"/>
  <c r="G91" i="60" s="1"/>
  <c r="D109" i="57"/>
  <c r="D91" i="57" s="1"/>
  <c r="E109" i="57"/>
  <c r="E91" i="57" s="1"/>
  <c r="E81" i="57" s="1"/>
  <c r="E51" i="57" s="1"/>
  <c r="E59" i="57" s="1"/>
  <c r="F109" i="57"/>
  <c r="F92" i="60" s="1"/>
  <c r="D110" i="57"/>
  <c r="D93" i="60" s="1"/>
  <c r="D83" i="60" s="1"/>
  <c r="D52" i="60" s="1"/>
  <c r="D60" i="60" s="1"/>
  <c r="E110" i="57"/>
  <c r="E92" i="57" s="1"/>
  <c r="E82" i="57" s="1"/>
  <c r="E52" i="57" s="1"/>
  <c r="E60" i="57" s="1"/>
  <c r="F110" i="57"/>
  <c r="F93" i="60" s="1"/>
  <c r="F83" i="60" s="1"/>
  <c r="F52" i="60" s="1"/>
  <c r="F60" i="60" s="1"/>
  <c r="D23" i="56"/>
  <c r="D24" i="56"/>
  <c r="E23" i="56"/>
  <c r="F23" i="56"/>
  <c r="G23" i="56"/>
  <c r="G24" i="56"/>
  <c r="D70" i="56"/>
  <c r="E70" i="56"/>
  <c r="F70" i="56"/>
  <c r="G70" i="56"/>
  <c r="B100" i="56"/>
  <c r="D89" i="56"/>
  <c r="D89" i="58" s="1"/>
  <c r="D79" i="58" s="1"/>
  <c r="D48" i="58" s="1"/>
  <c r="D56" i="58" s="1"/>
  <c r="F89" i="56"/>
  <c r="B102" i="56"/>
  <c r="D23" i="55"/>
  <c r="D24" i="55" s="1"/>
  <c r="E23" i="55"/>
  <c r="E24" i="55" s="1"/>
  <c r="F23" i="55"/>
  <c r="F24" i="55" s="1"/>
  <c r="G23" i="55"/>
  <c r="G24" i="55" s="1"/>
  <c r="D68" i="55"/>
  <c r="E68" i="55"/>
  <c r="F68" i="55"/>
  <c r="G68" i="55"/>
  <c r="D23" i="54"/>
  <c r="D24" i="54" s="1"/>
  <c r="E23" i="54"/>
  <c r="E24" i="54"/>
  <c r="F23" i="54"/>
  <c r="F24" i="54"/>
  <c r="G23" i="54"/>
  <c r="G24" i="54"/>
  <c r="D68" i="54"/>
  <c r="E68" i="54"/>
  <c r="F68" i="54"/>
  <c r="G68" i="54"/>
  <c r="D23" i="53"/>
  <c r="D24" i="53"/>
  <c r="E23" i="53"/>
  <c r="E24" i="53" s="1"/>
  <c r="F23" i="53"/>
  <c r="F24" i="53" s="1"/>
  <c r="G23" i="53"/>
  <c r="G24" i="53" s="1"/>
  <c r="E25" i="53"/>
  <c r="F25" i="53"/>
  <c r="G25" i="53"/>
  <c r="D67" i="53"/>
  <c r="D67" i="56" s="1"/>
  <c r="D28" i="53"/>
  <c r="E67" i="53"/>
  <c r="E67" i="54"/>
  <c r="E75" i="54" s="1"/>
  <c r="F67" i="53"/>
  <c r="F67" i="55"/>
  <c r="G67" i="53"/>
  <c r="G28" i="53" s="1"/>
  <c r="D69" i="53"/>
  <c r="D69" i="55" s="1"/>
  <c r="E69" i="53"/>
  <c r="E69" i="55" s="1"/>
  <c r="F69" i="53"/>
  <c r="F69" i="54" s="1"/>
  <c r="G69" i="53"/>
  <c r="G69" i="54" s="1"/>
  <c r="D106" i="53"/>
  <c r="E106" i="53"/>
  <c r="F106" i="53"/>
  <c r="D107" i="53"/>
  <c r="D88" i="53" s="1"/>
  <c r="D78" i="53" s="1"/>
  <c r="D48" i="53" s="1"/>
  <c r="E107" i="53"/>
  <c r="E88" i="53" s="1"/>
  <c r="F107" i="53"/>
  <c r="F88" i="53"/>
  <c r="F88" i="54" s="1"/>
  <c r="F78" i="54" s="1"/>
  <c r="F48" i="54" s="1"/>
  <c r="F56" i="54" s="1"/>
  <c r="D108" i="53"/>
  <c r="D89" i="53" s="1"/>
  <c r="D89" i="55" s="1"/>
  <c r="E108" i="53"/>
  <c r="E89" i="53" s="1"/>
  <c r="F108" i="53"/>
  <c r="F89" i="53" s="1"/>
  <c r="F89" i="54" s="1"/>
  <c r="F79" i="54" s="1"/>
  <c r="F49" i="54" s="1"/>
  <c r="F57" i="54" s="1"/>
  <c r="D109" i="53"/>
  <c r="D90" i="53" s="1"/>
  <c r="E109" i="53"/>
  <c r="E90" i="53"/>
  <c r="E91" i="56" s="1"/>
  <c r="E81" i="56" s="1"/>
  <c r="E50" i="56" s="1"/>
  <c r="E58" i="56" s="1"/>
  <c r="F109" i="53"/>
  <c r="F90" i="53"/>
  <c r="F80" i="53" s="1"/>
  <c r="F50" i="53" s="1"/>
  <c r="F58" i="53" s="1"/>
  <c r="D110" i="53"/>
  <c r="D91" i="53"/>
  <c r="D91" i="54" s="1"/>
  <c r="E110" i="53"/>
  <c r="E91" i="53" s="1"/>
  <c r="F110" i="53"/>
  <c r="F91" i="53" s="1"/>
  <c r="D111" i="53"/>
  <c r="D92" i="53" s="1"/>
  <c r="D92" i="54" s="1"/>
  <c r="E111" i="53"/>
  <c r="E92" i="53"/>
  <c r="E93" i="56" s="1"/>
  <c r="E83" i="56" s="1"/>
  <c r="E52" i="56" s="1"/>
  <c r="E60" i="56" s="1"/>
  <c r="F111" i="53"/>
  <c r="F92" i="53" s="1"/>
  <c r="G24" i="52"/>
  <c r="D48" i="52"/>
  <c r="D56" i="52" s="1"/>
  <c r="E48" i="52"/>
  <c r="E56" i="52"/>
  <c r="F48" i="52"/>
  <c r="F56" i="52" s="1"/>
  <c r="G48" i="52"/>
  <c r="G56" i="52" s="1"/>
  <c r="D49" i="52"/>
  <c r="E49" i="52"/>
  <c r="E57" i="52" s="1"/>
  <c r="F49" i="52"/>
  <c r="F57" i="52" s="1"/>
  <c r="G49" i="52"/>
  <c r="G57" i="52" s="1"/>
  <c r="D50" i="52"/>
  <c r="D58" i="52" s="1"/>
  <c r="E50" i="52"/>
  <c r="E58" i="52" s="1"/>
  <c r="F50" i="52"/>
  <c r="F58" i="52" s="1"/>
  <c r="G50" i="52"/>
  <c r="G58" i="52" s="1"/>
  <c r="D51" i="52"/>
  <c r="D59" i="52" s="1"/>
  <c r="E51" i="52"/>
  <c r="F51" i="52"/>
  <c r="G51" i="52"/>
  <c r="D52" i="52"/>
  <c r="D60" i="52" s="1"/>
  <c r="E52" i="52"/>
  <c r="E60" i="52" s="1"/>
  <c r="F52" i="52"/>
  <c r="F60" i="52" s="1"/>
  <c r="G52" i="52"/>
  <c r="G60" i="52"/>
  <c r="D57" i="52"/>
  <c r="E59" i="52"/>
  <c r="F59" i="52"/>
  <c r="G59" i="52"/>
  <c r="D75" i="52"/>
  <c r="D28" i="52" s="1"/>
  <c r="D78" i="52" s="1"/>
  <c r="E75" i="52"/>
  <c r="E28" i="52" s="1"/>
  <c r="E78" i="52" s="1"/>
  <c r="F75" i="52"/>
  <c r="F28" i="52"/>
  <c r="F78" i="52" s="1"/>
  <c r="G75" i="52"/>
  <c r="G28" i="52" s="1"/>
  <c r="G78" i="52" s="1"/>
  <c r="D76" i="52"/>
  <c r="D41" i="52" s="1"/>
  <c r="E76" i="52"/>
  <c r="E41" i="52" s="1"/>
  <c r="E39" i="52" s="1"/>
  <c r="F76" i="52"/>
  <c r="F41" i="52" s="1"/>
  <c r="F39" i="52" s="1"/>
  <c r="G76" i="52"/>
  <c r="G41" i="52" s="1"/>
  <c r="D86" i="52"/>
  <c r="S2" i="51"/>
  <c r="D48" i="51"/>
  <c r="E48" i="51"/>
  <c r="E56" i="51" s="1"/>
  <c r="F48" i="51"/>
  <c r="F56" i="51" s="1"/>
  <c r="G48" i="51"/>
  <c r="G56" i="51" s="1"/>
  <c r="D49" i="51"/>
  <c r="D57" i="51" s="1"/>
  <c r="E49" i="51"/>
  <c r="E57" i="51" s="1"/>
  <c r="F49" i="51"/>
  <c r="F57" i="51"/>
  <c r="G49" i="51"/>
  <c r="G57" i="51" s="1"/>
  <c r="D50" i="51"/>
  <c r="D58" i="51" s="1"/>
  <c r="E50" i="51"/>
  <c r="E58" i="51" s="1"/>
  <c r="F50" i="51"/>
  <c r="F58" i="51" s="1"/>
  <c r="G50" i="51"/>
  <c r="G58" i="51" s="1"/>
  <c r="D51" i="51"/>
  <c r="D59" i="51" s="1"/>
  <c r="E51" i="51"/>
  <c r="E59" i="51"/>
  <c r="F51" i="51"/>
  <c r="F59" i="51"/>
  <c r="G51" i="51"/>
  <c r="G59" i="51" s="1"/>
  <c r="D52" i="51"/>
  <c r="D60" i="51" s="1"/>
  <c r="E52" i="51"/>
  <c r="E60" i="51" s="1"/>
  <c r="F52" i="51"/>
  <c r="F60" i="51" s="1"/>
  <c r="G52" i="51"/>
  <c r="G60" i="51" s="1"/>
  <c r="D56" i="51"/>
  <c r="S2" i="50"/>
  <c r="D48" i="50"/>
  <c r="E48" i="50"/>
  <c r="E56" i="50" s="1"/>
  <c r="F48" i="50"/>
  <c r="F56" i="50" s="1"/>
  <c r="G48" i="50"/>
  <c r="G56" i="50" s="1"/>
  <c r="D49" i="50"/>
  <c r="D57" i="50" s="1"/>
  <c r="E49" i="50"/>
  <c r="E57" i="50" s="1"/>
  <c r="F49" i="50"/>
  <c r="F57" i="50" s="1"/>
  <c r="G49" i="50"/>
  <c r="G57" i="50" s="1"/>
  <c r="D50" i="50"/>
  <c r="D58" i="50" s="1"/>
  <c r="E50" i="50"/>
  <c r="E58" i="50" s="1"/>
  <c r="F50" i="50"/>
  <c r="F58" i="50"/>
  <c r="G50" i="50"/>
  <c r="G58" i="50" s="1"/>
  <c r="D51" i="50"/>
  <c r="D59" i="50" s="1"/>
  <c r="E51" i="50"/>
  <c r="E59" i="50" s="1"/>
  <c r="F51" i="50"/>
  <c r="F59" i="50" s="1"/>
  <c r="G51" i="50"/>
  <c r="G59" i="50" s="1"/>
  <c r="D52" i="50"/>
  <c r="D60" i="50" s="1"/>
  <c r="E52" i="50"/>
  <c r="E60" i="50"/>
  <c r="F52" i="50"/>
  <c r="F60" i="50" s="1"/>
  <c r="G52" i="50"/>
  <c r="G60" i="50" s="1"/>
  <c r="D56" i="50"/>
  <c r="D75" i="50"/>
  <c r="E75" i="50"/>
  <c r="F75" i="50"/>
  <c r="G75" i="50"/>
  <c r="S2" i="49"/>
  <c r="D48" i="49"/>
  <c r="D56" i="49"/>
  <c r="E48" i="49"/>
  <c r="E56" i="49" s="1"/>
  <c r="F48" i="49"/>
  <c r="F56" i="49" s="1"/>
  <c r="G48" i="49"/>
  <c r="G56" i="49" s="1"/>
  <c r="D49" i="49"/>
  <c r="D57" i="49" s="1"/>
  <c r="E49" i="49"/>
  <c r="E57" i="49" s="1"/>
  <c r="F49" i="49"/>
  <c r="F57" i="49" s="1"/>
  <c r="G49" i="49"/>
  <c r="G57" i="49" s="1"/>
  <c r="D50" i="49"/>
  <c r="D58" i="49" s="1"/>
  <c r="E50" i="49"/>
  <c r="E58" i="49" s="1"/>
  <c r="F50" i="49"/>
  <c r="G50" i="49"/>
  <c r="D51" i="49"/>
  <c r="E51" i="49"/>
  <c r="E59" i="49"/>
  <c r="F51" i="49"/>
  <c r="G51" i="49"/>
  <c r="G59" i="49" s="1"/>
  <c r="D52" i="49"/>
  <c r="D60" i="49"/>
  <c r="E52" i="49"/>
  <c r="F52" i="49"/>
  <c r="F60" i="49" s="1"/>
  <c r="G52" i="49"/>
  <c r="G60" i="49" s="1"/>
  <c r="F58" i="49"/>
  <c r="G58" i="49"/>
  <c r="D59" i="49"/>
  <c r="F59" i="49"/>
  <c r="E60" i="49"/>
  <c r="D67" i="49"/>
  <c r="D74" i="49" s="1"/>
  <c r="D41" i="49" s="1"/>
  <c r="D39" i="49" s="1"/>
  <c r="D23" i="49"/>
  <c r="D24" i="49" s="1"/>
  <c r="I34" i="85"/>
  <c r="I36" i="85" s="1"/>
  <c r="D24" i="66"/>
  <c r="W69" i="57"/>
  <c r="W70" i="57" s="1"/>
  <c r="K86" i="85"/>
  <c r="K83" i="85"/>
  <c r="K80" i="85"/>
  <c r="K68" i="85"/>
  <c r="F41" i="65"/>
  <c r="F39" i="65" s="1"/>
  <c r="D72" i="69"/>
  <c r="D41" i="69"/>
  <c r="G25" i="52"/>
  <c r="F24" i="52"/>
  <c r="V82" i="57"/>
  <c r="D23" i="68"/>
  <c r="D24" i="69"/>
  <c r="E24" i="52"/>
  <c r="F24" i="56"/>
  <c r="E24" i="56"/>
  <c r="E77" i="64"/>
  <c r="E23" i="64" s="1"/>
  <c r="G41" i="65"/>
  <c r="G39" i="65" s="1"/>
  <c r="D71" i="68"/>
  <c r="D28" i="68" s="1"/>
  <c r="D71" i="69"/>
  <c r="D28" i="69" s="1"/>
  <c r="E38" i="55"/>
  <c r="G79" i="64"/>
  <c r="F85" i="68"/>
  <c r="D38" i="55"/>
  <c r="O50" i="19" s="1"/>
  <c r="F72" i="68"/>
  <c r="F41" i="68" s="1"/>
  <c r="G67" i="54"/>
  <c r="G75" i="54" s="1"/>
  <c r="G25" i="54" s="1"/>
  <c r="G67" i="55"/>
  <c r="G75" i="55" s="1"/>
  <c r="G25" i="55" s="1"/>
  <c r="E69" i="60"/>
  <c r="E41" i="60" s="1"/>
  <c r="E39" i="60" s="1"/>
  <c r="F25" i="52"/>
  <c r="F84" i="52"/>
  <c r="D24" i="57"/>
  <c r="W77" i="57"/>
  <c r="G25" i="60"/>
  <c r="V67" i="57"/>
  <c r="F69" i="55"/>
  <c r="E38" i="60"/>
  <c r="D92" i="60"/>
  <c r="D82" i="60" s="1"/>
  <c r="D51" i="60" s="1"/>
  <c r="D59" i="60" s="1"/>
  <c r="D77" i="64"/>
  <c r="D23" i="64" s="1"/>
  <c r="F89" i="57"/>
  <c r="G89" i="57" s="1"/>
  <c r="D41" i="57"/>
  <c r="D39" i="57" s="1"/>
  <c r="D41" i="58"/>
  <c r="D69" i="60"/>
  <c r="K26" i="85"/>
  <c r="K38" i="85" s="1"/>
  <c r="G25" i="64"/>
  <c r="F85" i="66"/>
  <c r="F52" i="66" s="1"/>
  <c r="F60" i="66" s="1"/>
  <c r="F91" i="57"/>
  <c r="G91" i="57" s="1"/>
  <c r="G81" i="57" s="1"/>
  <c r="G51" i="57" s="1"/>
  <c r="G59" i="57" s="1"/>
  <c r="D24" i="58"/>
  <c r="E89" i="56"/>
  <c r="E89" i="58" s="1"/>
  <c r="E79" i="58" s="1"/>
  <c r="E48" i="58" s="1"/>
  <c r="E56" i="58" s="1"/>
  <c r="E90" i="55"/>
  <c r="F75" i="55"/>
  <c r="F25" i="55" s="1"/>
  <c r="D84" i="52"/>
  <c r="D92" i="56"/>
  <c r="D82" i="56" s="1"/>
  <c r="D51" i="56" s="1"/>
  <c r="D59" i="56" s="1"/>
  <c r="D91" i="55"/>
  <c r="F90" i="55"/>
  <c r="F80" i="55" s="1"/>
  <c r="F50" i="55" s="1"/>
  <c r="F58" i="55" s="1"/>
  <c r="F91" i="56"/>
  <c r="D93" i="56"/>
  <c r="D82" i="53"/>
  <c r="D52" i="53" s="1"/>
  <c r="D60" i="53" s="1"/>
  <c r="D88" i="55"/>
  <c r="D88" i="54"/>
  <c r="D56" i="53"/>
  <c r="F90" i="54"/>
  <c r="F97" i="64"/>
  <c r="F87" i="64" s="1"/>
  <c r="F52" i="64" s="1"/>
  <c r="F60" i="64" s="1"/>
  <c r="D95" i="64"/>
  <c r="D85" i="64" s="1"/>
  <c r="D50" i="64" s="1"/>
  <c r="D58" i="64" s="1"/>
  <c r="F38" i="55"/>
  <c r="E82" i="53"/>
  <c r="E52" i="53" s="1"/>
  <c r="E60" i="53" s="1"/>
  <c r="E69" i="54"/>
  <c r="F67" i="56"/>
  <c r="F76" i="56" s="1"/>
  <c r="F67" i="54"/>
  <c r="F28" i="54" s="1"/>
  <c r="F28" i="53"/>
  <c r="F41" i="53"/>
  <c r="F39" i="53" s="1"/>
  <c r="G38" i="55"/>
  <c r="F90" i="57"/>
  <c r="F80" i="57" s="1"/>
  <c r="F50" i="57" s="1"/>
  <c r="F58" i="57" s="1"/>
  <c r="D88" i="57"/>
  <c r="D78" i="57" s="1"/>
  <c r="D48" i="57" s="1"/>
  <c r="D56" i="57" s="1"/>
  <c r="D89" i="60"/>
  <c r="D79" i="60" s="1"/>
  <c r="D48" i="60" s="1"/>
  <c r="D56" i="60" s="1"/>
  <c r="F41" i="57"/>
  <c r="F39" i="57" s="1"/>
  <c r="D39" i="58"/>
  <c r="E67" i="56"/>
  <c r="E76" i="56" s="1"/>
  <c r="E67" i="55"/>
  <c r="E28" i="53"/>
  <c r="E25" i="52"/>
  <c r="E82" i="52" s="1"/>
  <c r="G92" i="60"/>
  <c r="E91" i="60"/>
  <c r="E90" i="57"/>
  <c r="E91" i="58" s="1"/>
  <c r="E81" i="58" s="1"/>
  <c r="E50" i="58" s="1"/>
  <c r="E58" i="58" s="1"/>
  <c r="X81" i="57"/>
  <c r="G85" i="68"/>
  <c r="G52" i="68" s="1"/>
  <c r="G60" i="68" s="1"/>
  <c r="F52" i="68"/>
  <c r="F60" i="68" s="1"/>
  <c r="F89" i="58"/>
  <c r="F79" i="58"/>
  <c r="F48" i="58" s="1"/>
  <c r="F56" i="58" s="1"/>
  <c r="X71" i="57"/>
  <c r="G97" i="64"/>
  <c r="G87" i="64"/>
  <c r="G52" i="64" s="1"/>
  <c r="G60" i="64" s="1"/>
  <c r="E95" i="64"/>
  <c r="E85" i="64" s="1"/>
  <c r="E50" i="64" s="1"/>
  <c r="E58" i="64" s="1"/>
  <c r="E52" i="67"/>
  <c r="E60" i="67" s="1"/>
  <c r="F84" i="67"/>
  <c r="F90" i="58"/>
  <c r="F80" i="58" s="1"/>
  <c r="F49" i="58" s="1"/>
  <c r="F57" i="58" s="1"/>
  <c r="D24" i="68"/>
  <c r="D41" i="60"/>
  <c r="D39" i="60" s="1"/>
  <c r="X69" i="57"/>
  <c r="X70" i="57"/>
  <c r="E41" i="65"/>
  <c r="E39" i="65" s="1"/>
  <c r="G85" i="66"/>
  <c r="G52" i="66" s="1"/>
  <c r="G60" i="66" s="1"/>
  <c r="D50" i="58"/>
  <c r="D58" i="58" s="1"/>
  <c r="D80" i="57"/>
  <c r="D50" i="57" s="1"/>
  <c r="D58" i="57" s="1"/>
  <c r="L9" i="85"/>
  <c r="L20" i="85" s="1"/>
  <c r="G39" i="66"/>
  <c r="E28" i="55"/>
  <c r="E75" i="55"/>
  <c r="E28" i="56"/>
  <c r="E41" i="56" s="1"/>
  <c r="E39" i="56" s="1"/>
  <c r="E25" i="54"/>
  <c r="F51" i="67"/>
  <c r="F59" i="67" s="1"/>
  <c r="G84" i="67"/>
  <c r="G51" i="67" s="1"/>
  <c r="G59" i="67" s="1"/>
  <c r="D39" i="69"/>
  <c r="D28" i="56"/>
  <c r="D76" i="56"/>
  <c r="F75" i="54"/>
  <c r="D105" i="9"/>
  <c r="D101" i="9"/>
  <c r="C101" i="9"/>
  <c r="AE7" i="9"/>
  <c r="O45" i="9" s="1"/>
  <c r="D68" i="56"/>
  <c r="E25" i="56"/>
  <c r="E68" i="56"/>
  <c r="F25" i="54"/>
  <c r="D39" i="52"/>
  <c r="G39" i="52"/>
  <c r="R2" i="52"/>
  <c r="R2" i="51"/>
  <c r="R2" i="50"/>
  <c r="R2" i="49"/>
  <c r="Q2" i="52"/>
  <c r="K28" i="19"/>
  <c r="K24" i="19"/>
  <c r="K25" i="19"/>
  <c r="K26" i="19"/>
  <c r="K23" i="19"/>
  <c r="O53" i="19"/>
  <c r="O56" i="19"/>
  <c r="D79" i="57" l="1"/>
  <c r="D49" i="57" s="1"/>
  <c r="D57" i="57" s="1"/>
  <c r="D90" i="58"/>
  <c r="D80" i="58" s="1"/>
  <c r="D49" i="58" s="1"/>
  <c r="D57" i="58" s="1"/>
  <c r="G84" i="68"/>
  <c r="G51" i="68" s="1"/>
  <c r="G59" i="68" s="1"/>
  <c r="F51" i="68"/>
  <c r="F59" i="68" s="1"/>
  <c r="D92" i="58"/>
  <c r="D82" i="58" s="1"/>
  <c r="D51" i="58" s="1"/>
  <c r="D59" i="58" s="1"/>
  <c r="D81" i="57"/>
  <c r="D51" i="57" s="1"/>
  <c r="D59" i="57" s="1"/>
  <c r="G103" i="65"/>
  <c r="F103" i="65"/>
  <c r="F107" i="65"/>
  <c r="F51" i="65" s="1"/>
  <c r="F59" i="65" s="1"/>
  <c r="D79" i="65"/>
  <c r="D87" i="65" s="1"/>
  <c r="D88" i="65" s="1"/>
  <c r="D80" i="65"/>
  <c r="D81" i="65" s="1"/>
  <c r="D85" i="65" s="1"/>
  <c r="D107" i="65"/>
  <c r="D51" i="65" s="1"/>
  <c r="D59" i="65" s="1"/>
  <c r="E103" i="65"/>
  <c r="E107" i="65"/>
  <c r="E51" i="65" s="1"/>
  <c r="E59" i="65" s="1"/>
  <c r="G107" i="65"/>
  <c r="G51" i="65" s="1"/>
  <c r="G59" i="65" s="1"/>
  <c r="D103" i="65"/>
  <c r="E41" i="68"/>
  <c r="E39" i="68"/>
  <c r="D91" i="56"/>
  <c r="D81" i="56" s="1"/>
  <c r="D50" i="56" s="1"/>
  <c r="D58" i="56" s="1"/>
  <c r="D80" i="53"/>
  <c r="D50" i="53" s="1"/>
  <c r="D58" i="53" s="1"/>
  <c r="F41" i="54"/>
  <c r="F39" i="54" s="1"/>
  <c r="F68" i="56"/>
  <c r="F25" i="56"/>
  <c r="E88" i="55"/>
  <c r="E78" i="53"/>
  <c r="E48" i="53" s="1"/>
  <c r="E56" i="53" s="1"/>
  <c r="E88" i="54"/>
  <c r="E78" i="54" s="1"/>
  <c r="E48" i="54" s="1"/>
  <c r="E56" i="54" s="1"/>
  <c r="E92" i="54"/>
  <c r="E82" i="54" s="1"/>
  <c r="E52" i="54" s="1"/>
  <c r="E60" i="54" s="1"/>
  <c r="E92" i="55"/>
  <c r="G41" i="57"/>
  <c r="G39" i="57" s="1"/>
  <c r="G41" i="53"/>
  <c r="G39" i="53" s="1"/>
  <c r="G90" i="57"/>
  <c r="D73" i="49"/>
  <c r="D28" i="49" s="1"/>
  <c r="N17" i="85" a="1"/>
  <c r="N17" i="85" s="1"/>
  <c r="O17" i="85" a="1"/>
  <c r="O17" i="85" s="1"/>
  <c r="P17" i="85" a="1"/>
  <c r="P17" i="85" s="1"/>
  <c r="Q17" i="85" a="1"/>
  <c r="Q17" i="85" s="1"/>
  <c r="F79" i="64"/>
  <c r="E80" i="53"/>
  <c r="E50" i="53" s="1"/>
  <c r="E58" i="53" s="1"/>
  <c r="D69" i="54"/>
  <c r="F73" i="65"/>
  <c r="D90" i="60"/>
  <c r="D80" i="60" s="1"/>
  <c r="D49" i="60" s="1"/>
  <c r="D57" i="60" s="1"/>
  <c r="F28" i="55"/>
  <c r="F41" i="55" s="1"/>
  <c r="F39" i="55" s="1"/>
  <c r="G92" i="58"/>
  <c r="G82" i="58" s="1"/>
  <c r="G51" i="58" s="1"/>
  <c r="G59" i="58" s="1"/>
  <c r="F91" i="58"/>
  <c r="F81" i="58" s="1"/>
  <c r="F50" i="58" s="1"/>
  <c r="F58" i="58" s="1"/>
  <c r="E90" i="54"/>
  <c r="E80" i="54" s="1"/>
  <c r="E50" i="54" s="1"/>
  <c r="E58" i="54" s="1"/>
  <c r="G81" i="60"/>
  <c r="G50" i="60" s="1"/>
  <c r="G58" i="60" s="1"/>
  <c r="G107" i="93"/>
  <c r="G97" i="93" s="1"/>
  <c r="G57" i="93" s="1"/>
  <c r="G65" i="93" s="1"/>
  <c r="F88" i="55"/>
  <c r="F78" i="55" s="1"/>
  <c r="F48" i="55" s="1"/>
  <c r="F56" i="55" s="1"/>
  <c r="D83" i="56"/>
  <c r="D52" i="56" s="1"/>
  <c r="D60" i="56" s="1"/>
  <c r="V69" i="57"/>
  <c r="V70" i="57" s="1"/>
  <c r="D41" i="53"/>
  <c r="D39" i="53" s="1"/>
  <c r="I30" i="85"/>
  <c r="I31" i="85" s="1"/>
  <c r="I9" i="85"/>
  <c r="D51" i="64"/>
  <c r="D59" i="64" s="1"/>
  <c r="E51" i="68"/>
  <c r="E59" i="68" s="1"/>
  <c r="K47" i="85"/>
  <c r="K5" i="85" s="1"/>
  <c r="N38" i="85" a="1"/>
  <c r="N38" i="85" s="1"/>
  <c r="O38" i="85" a="1"/>
  <c r="O38" i="85" s="1"/>
  <c r="P38" i="85" a="1"/>
  <c r="P38" i="85" s="1"/>
  <c r="Q38" i="85" a="1"/>
  <c r="Q38" i="85" s="1"/>
  <c r="Y35" i="85"/>
  <c r="AA35" i="85" s="1"/>
  <c r="F79" i="56"/>
  <c r="F48" i="56" s="1"/>
  <c r="F56" i="56" s="1"/>
  <c r="G48" i="64"/>
  <c r="G56" i="64" s="1"/>
  <c r="E41" i="85"/>
  <c r="O30" i="85" a="1"/>
  <c r="O30" i="85" s="1"/>
  <c r="P30" i="85" a="1"/>
  <c r="P30" i="85" s="1"/>
  <c r="N30" i="85" a="1"/>
  <c r="N30" i="85" s="1"/>
  <c r="Q30" i="85" a="1"/>
  <c r="Q30" i="85" s="1"/>
  <c r="D80" i="52"/>
  <c r="D38" i="52" s="1"/>
  <c r="E23" i="58"/>
  <c r="E24" i="58" s="1"/>
  <c r="E89" i="57"/>
  <c r="E79" i="57" s="1"/>
  <c r="E49" i="57" s="1"/>
  <c r="E57" i="57" s="1"/>
  <c r="E44" i="85"/>
  <c r="P34" i="85" a="1"/>
  <c r="P34" i="85" s="1"/>
  <c r="O34" i="85" a="1"/>
  <c r="O34" i="85" s="1"/>
  <c r="N34" i="85" a="1"/>
  <c r="N34" i="85" s="1"/>
  <c r="Q34" i="85" a="1"/>
  <c r="Q34" i="85" s="1"/>
  <c r="F28" i="56"/>
  <c r="E80" i="65"/>
  <c r="E81" i="65" s="1"/>
  <c r="E85" i="65" s="1"/>
  <c r="D92" i="57"/>
  <c r="D92" i="55"/>
  <c r="F51" i="64"/>
  <c r="F59" i="64" s="1"/>
  <c r="D41" i="56"/>
  <c r="D39" i="56" s="1"/>
  <c r="O27" i="86"/>
  <c r="F92" i="57"/>
  <c r="F79" i="57"/>
  <c r="F49" i="57" s="1"/>
  <c r="F57" i="57" s="1"/>
  <c r="G28" i="54"/>
  <c r="G41" i="54" s="1"/>
  <c r="G39" i="54" s="1"/>
  <c r="O5" i="85" a="1"/>
  <c r="O5" i="85" s="1"/>
  <c r="P5" i="85" a="1"/>
  <c r="P5" i="85" s="1"/>
  <c r="Q5" i="85" a="1"/>
  <c r="Q5" i="85" s="1"/>
  <c r="N5" i="85" a="1"/>
  <c r="N5" i="85" s="1"/>
  <c r="D25" i="56"/>
  <c r="K14" i="19" s="1"/>
  <c r="I26" i="85"/>
  <c r="I28" i="85" s="1"/>
  <c r="E20" i="85"/>
  <c r="P9" i="85" a="1"/>
  <c r="P9" i="85" s="1"/>
  <c r="O9" i="85" a="1"/>
  <c r="O9" i="85" s="1"/>
  <c r="N9" i="85" a="1"/>
  <c r="N9" i="85" s="1"/>
  <c r="Q9" i="85" a="1"/>
  <c r="Q9" i="85" s="1"/>
  <c r="E86" i="93"/>
  <c r="E90" i="93" s="1"/>
  <c r="O23" i="85" a="1"/>
  <c r="O23" i="85" s="1"/>
  <c r="N23" i="85" a="1"/>
  <c r="N23" i="85" s="1"/>
  <c r="P23" i="85" a="1"/>
  <c r="P23" i="85" s="1"/>
  <c r="Q23" i="85" a="1"/>
  <c r="Q23" i="85" s="1"/>
  <c r="N60" i="90"/>
  <c r="E81" i="60"/>
  <c r="E50" i="60" s="1"/>
  <c r="E58" i="60" s="1"/>
  <c r="F81" i="56"/>
  <c r="F50" i="56" s="1"/>
  <c r="F58" i="56" s="1"/>
  <c r="G69" i="55"/>
  <c r="F99" i="93"/>
  <c r="F59" i="93" s="1"/>
  <c r="F67" i="93" s="1"/>
  <c r="G49" i="93"/>
  <c r="G47" i="93" s="1"/>
  <c r="E92" i="58"/>
  <c r="E82" i="58" s="1"/>
  <c r="E51" i="58" s="1"/>
  <c r="E59" i="58" s="1"/>
  <c r="F92" i="58"/>
  <c r="F82" i="58" s="1"/>
  <c r="F51" i="58" s="1"/>
  <c r="F59" i="58" s="1"/>
  <c r="D81" i="53"/>
  <c r="D51" i="53" s="1"/>
  <c r="D59" i="53" s="1"/>
  <c r="E93" i="60"/>
  <c r="E83" i="60" s="1"/>
  <c r="E52" i="60" s="1"/>
  <c r="E60" i="60" s="1"/>
  <c r="F77" i="64"/>
  <c r="F23" i="64" s="1"/>
  <c r="F67" i="64" s="1"/>
  <c r="E41" i="55"/>
  <c r="E39" i="55" s="1"/>
  <c r="R60" i="90"/>
  <c r="P29" i="9" a="1"/>
  <c r="P29" i="9" s="1"/>
  <c r="O25" i="9"/>
  <c r="O33" i="9"/>
  <c r="O77" i="9"/>
  <c r="O61" i="9"/>
  <c r="AA41" i="9" a="1"/>
  <c r="AA41" i="9" s="1"/>
  <c r="L42" i="9" s="1"/>
  <c r="AA49" i="9" a="1"/>
  <c r="AA49" i="9" s="1"/>
  <c r="L50" i="9" s="1"/>
  <c r="AA45" i="9" a="1"/>
  <c r="AA45" i="9" s="1"/>
  <c r="L45" i="9" s="1"/>
  <c r="AA17" i="9" a="1"/>
  <c r="AA17" i="9" s="1"/>
  <c r="L17" i="9" s="1"/>
  <c r="AA25" i="9" a="1"/>
  <c r="AA25" i="9" s="1"/>
  <c r="AA21" i="9" a="1"/>
  <c r="AA21" i="9" s="1"/>
  <c r="L23" i="9" s="1"/>
  <c r="AA5" i="9" a="1"/>
  <c r="AA5" i="9" s="1"/>
  <c r="AA9" i="9" a="1"/>
  <c r="AA9" i="9" s="1"/>
  <c r="L11" i="9" s="1"/>
  <c r="AA13" i="9" a="1"/>
  <c r="AA13" i="9" s="1"/>
  <c r="AA29" i="9" a="1"/>
  <c r="AA29" i="9" s="1"/>
  <c r="L31" i="9" s="1"/>
  <c r="AA37" i="9" a="1"/>
  <c r="AA37" i="9" s="1"/>
  <c r="L37" i="9" s="1"/>
  <c r="AA33" i="9" a="1"/>
  <c r="AA33" i="9" s="1"/>
  <c r="L36" i="9" s="1"/>
  <c r="AA65" i="9" a="1"/>
  <c r="AA65" i="9" s="1"/>
  <c r="AA73" i="9" a="1"/>
  <c r="AA73" i="9" s="1"/>
  <c r="AA69" i="9" a="1"/>
  <c r="AA69" i="9" s="1"/>
  <c r="AA81" i="9" a="1"/>
  <c r="AA81" i="9" s="1"/>
  <c r="L84" i="9" s="1"/>
  <c r="AA77" i="9" a="1"/>
  <c r="AA77" i="9" s="1"/>
  <c r="L77" i="9" s="1"/>
  <c r="Y41" i="85"/>
  <c r="K72" i="85"/>
  <c r="K65" i="85"/>
  <c r="K23" i="85" s="1"/>
  <c r="G41" i="85"/>
  <c r="K34" i="85"/>
  <c r="K44" i="85" s="1"/>
  <c r="K76" i="85"/>
  <c r="L5" i="85"/>
  <c r="L17" i="85" s="1"/>
  <c r="L30" i="85"/>
  <c r="L41" i="85" s="1"/>
  <c r="I27" i="85"/>
  <c r="I29" i="85"/>
  <c r="I37" i="85"/>
  <c r="I35" i="85"/>
  <c r="I44" i="85"/>
  <c r="I45" i="85" s="1"/>
  <c r="I33" i="85"/>
  <c r="I32" i="85"/>
  <c r="M12" i="86"/>
  <c r="M9" i="86"/>
  <c r="O13" i="9"/>
  <c r="O81" i="9"/>
  <c r="O17" i="9"/>
  <c r="O21" i="9"/>
  <c r="O37" i="9"/>
  <c r="O53" i="9"/>
  <c r="O57" i="9"/>
  <c r="O73" i="9"/>
  <c r="O65" i="9"/>
  <c r="O9" i="9"/>
  <c r="E24" i="65"/>
  <c r="F92" i="54"/>
  <c r="F82" i="54" s="1"/>
  <c r="F52" i="54" s="1"/>
  <c r="F60" i="54" s="1"/>
  <c r="F92" i="55"/>
  <c r="F82" i="55" s="1"/>
  <c r="F52" i="55" s="1"/>
  <c r="F60" i="55" s="1"/>
  <c r="G92" i="53"/>
  <c r="F93" i="56"/>
  <c r="F83" i="56" s="1"/>
  <c r="F52" i="56" s="1"/>
  <c r="F60" i="56" s="1"/>
  <c r="F82" i="53"/>
  <c r="F52" i="53" s="1"/>
  <c r="F60" i="53" s="1"/>
  <c r="F51" i="66"/>
  <c r="F59" i="66" s="1"/>
  <c r="G84" i="66"/>
  <c r="G51" i="66" s="1"/>
  <c r="G59" i="66" s="1"/>
  <c r="E81" i="53"/>
  <c r="E51" i="53" s="1"/>
  <c r="E59" i="53" s="1"/>
  <c r="E92" i="56"/>
  <c r="E82" i="56" s="1"/>
  <c r="E51" i="56" s="1"/>
  <c r="E59" i="56" s="1"/>
  <c r="E91" i="55"/>
  <c r="E81" i="55" s="1"/>
  <c r="E51" i="55" s="1"/>
  <c r="E59" i="55" s="1"/>
  <c r="E91" i="54"/>
  <c r="E81" i="54" s="1"/>
  <c r="E51" i="54" s="1"/>
  <c r="E59" i="54" s="1"/>
  <c r="E78" i="55"/>
  <c r="E48" i="55" s="1"/>
  <c r="E56" i="55" s="1"/>
  <c r="E80" i="55"/>
  <c r="E50" i="55" s="1"/>
  <c r="E58" i="55" s="1"/>
  <c r="E82" i="55"/>
  <c r="E52" i="55" s="1"/>
  <c r="E60" i="55" s="1"/>
  <c r="E25" i="55"/>
  <c r="F91" i="55"/>
  <c r="F91" i="54"/>
  <c r="F81" i="54" s="1"/>
  <c r="F51" i="54" s="1"/>
  <c r="F59" i="54" s="1"/>
  <c r="G91" i="53"/>
  <c r="F92" i="56"/>
  <c r="F82" i="56" s="1"/>
  <c r="F51" i="56" s="1"/>
  <c r="F59" i="56" s="1"/>
  <c r="F81" i="53"/>
  <c r="F51" i="53" s="1"/>
  <c r="F59" i="53" s="1"/>
  <c r="M29" i="82"/>
  <c r="M14" i="82"/>
  <c r="M11" i="82"/>
  <c r="F80" i="60"/>
  <c r="F49" i="60" s="1"/>
  <c r="F57" i="60" s="1"/>
  <c r="G90" i="60"/>
  <c r="G80" i="60" s="1"/>
  <c r="G49" i="60" s="1"/>
  <c r="G57" i="60" s="1"/>
  <c r="G93" i="60"/>
  <c r="G83" i="60" s="1"/>
  <c r="G52" i="60" s="1"/>
  <c r="G60" i="60" s="1"/>
  <c r="E67" i="64"/>
  <c r="E24" i="64"/>
  <c r="E90" i="56"/>
  <c r="E80" i="56" s="1"/>
  <c r="E49" i="56" s="1"/>
  <c r="E57" i="56" s="1"/>
  <c r="E89" i="55"/>
  <c r="E79" i="55" s="1"/>
  <c r="E49" i="55" s="1"/>
  <c r="E57" i="55" s="1"/>
  <c r="E89" i="54"/>
  <c r="E79" i="54" s="1"/>
  <c r="E49" i="54" s="1"/>
  <c r="E57" i="54" s="1"/>
  <c r="E79" i="53"/>
  <c r="E49" i="53" s="1"/>
  <c r="E57" i="53" s="1"/>
  <c r="G39" i="68"/>
  <c r="G41" i="68"/>
  <c r="O30" i="86"/>
  <c r="N44" i="86" s="1"/>
  <c r="N45" i="86" s="1"/>
  <c r="N46" i="86" s="1"/>
  <c r="O33" i="86"/>
  <c r="O36" i="86"/>
  <c r="G89" i="60"/>
  <c r="G79" i="60" s="1"/>
  <c r="G48" i="60" s="1"/>
  <c r="G56" i="60" s="1"/>
  <c r="F79" i="60"/>
  <c r="F48" i="60" s="1"/>
  <c r="F56" i="60" s="1"/>
  <c r="F79" i="65"/>
  <c r="F87" i="65" s="1"/>
  <c r="F88" i="65" s="1"/>
  <c r="F80" i="65"/>
  <c r="F81" i="65" s="1"/>
  <c r="F85" i="65" s="1"/>
  <c r="E93" i="58"/>
  <c r="E83" i="58" s="1"/>
  <c r="E52" i="58" s="1"/>
  <c r="E60" i="58" s="1"/>
  <c r="G90" i="58"/>
  <c r="G80" i="58" s="1"/>
  <c r="G49" i="58" s="1"/>
  <c r="G57" i="58" s="1"/>
  <c r="G79" i="57"/>
  <c r="G49" i="57" s="1"/>
  <c r="G57" i="57" s="1"/>
  <c r="D24" i="64"/>
  <c r="D67" i="64"/>
  <c r="F24" i="65"/>
  <c r="K27" i="86"/>
  <c r="K49" i="86" s="1"/>
  <c r="K12" i="86"/>
  <c r="F81" i="60"/>
  <c r="F50" i="60" s="1"/>
  <c r="F58" i="60" s="1"/>
  <c r="W79" i="57"/>
  <c r="W80" i="57" s="1"/>
  <c r="G90" i="53"/>
  <c r="E89" i="60"/>
  <c r="E79" i="60" s="1"/>
  <c r="E48" i="60" s="1"/>
  <c r="E56" i="60" s="1"/>
  <c r="K17" i="86"/>
  <c r="K9" i="86"/>
  <c r="G28" i="55"/>
  <c r="G41" i="55" s="1"/>
  <c r="G39" i="55" s="1"/>
  <c r="F98" i="93"/>
  <c r="F58" i="93" s="1"/>
  <c r="F66" i="93" s="1"/>
  <c r="G108" i="93"/>
  <c r="G98" i="93" s="1"/>
  <c r="G58" i="93" s="1"/>
  <c r="G66" i="93" s="1"/>
  <c r="F25" i="60"/>
  <c r="E25" i="64"/>
  <c r="F52" i="67"/>
  <c r="F60" i="67" s="1"/>
  <c r="F90" i="56"/>
  <c r="F80" i="56" s="1"/>
  <c r="F49" i="56" s="1"/>
  <c r="F57" i="56" s="1"/>
  <c r="G89" i="53"/>
  <c r="F89" i="55"/>
  <c r="F79" i="55" s="1"/>
  <c r="F49" i="55" s="1"/>
  <c r="F57" i="55" s="1"/>
  <c r="E90" i="58"/>
  <c r="E80" i="58" s="1"/>
  <c r="E49" i="58" s="1"/>
  <c r="E57" i="58" s="1"/>
  <c r="F88" i="57"/>
  <c r="F79" i="53"/>
  <c r="F49" i="53" s="1"/>
  <c r="F57" i="53" s="1"/>
  <c r="E92" i="60"/>
  <c r="E82" i="60" s="1"/>
  <c r="E51" i="60" s="1"/>
  <c r="E59" i="60" s="1"/>
  <c r="F81" i="57"/>
  <c r="F51" i="57" s="1"/>
  <c r="F59" i="57" s="1"/>
  <c r="D90" i="56"/>
  <c r="D80" i="56" s="1"/>
  <c r="D49" i="56" s="1"/>
  <c r="D57" i="56" s="1"/>
  <c r="D79" i="53"/>
  <c r="D49" i="53" s="1"/>
  <c r="D57" i="53" s="1"/>
  <c r="M33" i="86"/>
  <c r="M36" i="86"/>
  <c r="M21" i="86"/>
  <c r="M47" i="86" s="1"/>
  <c r="M48" i="86" s="1"/>
  <c r="M49" i="86" s="1"/>
  <c r="M27" i="86"/>
  <c r="G88" i="53"/>
  <c r="F78" i="53"/>
  <c r="F48" i="53" s="1"/>
  <c r="F56" i="53" s="1"/>
  <c r="G77" i="64"/>
  <c r="G23" i="64" s="1"/>
  <c r="D90" i="54"/>
  <c r="K19" i="86"/>
  <c r="O5" i="9"/>
  <c r="O69" i="9"/>
  <c r="O29" i="9"/>
  <c r="O41" i="9"/>
  <c r="E41" i="53"/>
  <c r="E39" i="53" s="1"/>
  <c r="I38" i="85"/>
  <c r="D90" i="55"/>
  <c r="D67" i="51"/>
  <c r="D67" i="50"/>
  <c r="E67" i="49"/>
  <c r="K33" i="86"/>
  <c r="K45" i="86" s="1"/>
  <c r="E28" i="54"/>
  <c r="E51" i="66"/>
  <c r="E59" i="66" s="1"/>
  <c r="G89" i="56"/>
  <c r="D91" i="60"/>
  <c r="D81" i="60" s="1"/>
  <c r="D50" i="60" s="1"/>
  <c r="D58" i="60" s="1"/>
  <c r="K55" i="85"/>
  <c r="K13" i="85" s="1"/>
  <c r="K62" i="85"/>
  <c r="K20" i="85" s="1"/>
  <c r="K51" i="85"/>
  <c r="K9" i="85" s="1"/>
  <c r="K6" i="86"/>
  <c r="D84" i="93"/>
  <c r="D31" i="93" s="1"/>
  <c r="D90" i="93"/>
  <c r="E49" i="64"/>
  <c r="E57" i="64" s="1"/>
  <c r="K24" i="86"/>
  <c r="K48" i="86" s="1"/>
  <c r="D79" i="56"/>
  <c r="D48" i="56" s="1"/>
  <c r="D56" i="56" s="1"/>
  <c r="E52" i="64"/>
  <c r="E60" i="64" s="1"/>
  <c r="E41" i="54"/>
  <c r="E39" i="54" s="1"/>
  <c r="E80" i="60"/>
  <c r="E49" i="60" s="1"/>
  <c r="E57" i="60" s="1"/>
  <c r="F39" i="68"/>
  <c r="G25" i="93"/>
  <c r="G86" i="93" s="1"/>
  <c r="G84" i="52"/>
  <c r="G82" i="52"/>
  <c r="F41" i="56"/>
  <c r="F39" i="56" s="1"/>
  <c r="D67" i="54"/>
  <c r="D24" i="65"/>
  <c r="M30" i="86"/>
  <c r="M44" i="86" s="1"/>
  <c r="M45" i="86" s="1"/>
  <c r="M46" i="86" s="1"/>
  <c r="E80" i="57"/>
  <c r="E50" i="57" s="1"/>
  <c r="E58" i="57" s="1"/>
  <c r="E79" i="56"/>
  <c r="E48" i="56" s="1"/>
  <c r="E56" i="56" s="1"/>
  <c r="D67" i="55"/>
  <c r="M24" i="86"/>
  <c r="F80" i="54"/>
  <c r="F50" i="54" s="1"/>
  <c r="F58" i="54" s="1"/>
  <c r="G67" i="56"/>
  <c r="E84" i="52"/>
  <c r="F25" i="93"/>
  <c r="F86" i="93" s="1"/>
  <c r="F82" i="52"/>
  <c r="E86" i="52"/>
  <c r="E80" i="52"/>
  <c r="X79" i="57"/>
  <c r="X80" i="57" s="1"/>
  <c r="E41" i="57"/>
  <c r="E39" i="57" s="1"/>
  <c r="O49" i="9"/>
  <c r="D89" i="54"/>
  <c r="K30" i="85"/>
  <c r="K41" i="85" s="1"/>
  <c r="F100" i="93"/>
  <c r="F60" i="93" s="1"/>
  <c r="F68" i="93" s="1"/>
  <c r="G106" i="93"/>
  <c r="G96" i="93" s="1"/>
  <c r="G56" i="93" s="1"/>
  <c r="G64" i="93" s="1"/>
  <c r="O62" i="90"/>
  <c r="I31" i="52"/>
  <c r="I32" i="52" s="1"/>
  <c r="E84" i="93"/>
  <c r="I5" i="85"/>
  <c r="I17" i="85" s="1"/>
  <c r="P65" i="9" a="1"/>
  <c r="P65" i="9" s="1"/>
  <c r="H25" i="90"/>
  <c r="H26" i="90" s="1"/>
  <c r="K60" i="90"/>
  <c r="M25" i="90"/>
  <c r="M26" i="90" s="1"/>
  <c r="G21" i="90"/>
  <c r="L65" i="90"/>
  <c r="L23" i="90" s="1"/>
  <c r="L25" i="90" s="1"/>
  <c r="L26" i="90" s="1"/>
  <c r="N25" i="90"/>
  <c r="N26" i="90" s="1"/>
  <c r="M60" i="90"/>
  <c r="O59" i="19"/>
  <c r="Q65" i="90"/>
  <c r="Q23" i="90" s="1"/>
  <c r="Q25" i="90" s="1"/>
  <c r="Q26" i="90" s="1"/>
  <c r="K21" i="86"/>
  <c r="K47" i="86" s="1"/>
  <c r="S60" i="90"/>
  <c r="M25" i="82"/>
  <c r="M32" i="82" s="1"/>
  <c r="G62" i="90"/>
  <c r="K30" i="86"/>
  <c r="K44" i="86" s="1"/>
  <c r="K59" i="19"/>
  <c r="K18" i="19"/>
  <c r="K22" i="19"/>
  <c r="K19" i="19"/>
  <c r="K21" i="19"/>
  <c r="K20" i="19"/>
  <c r="K17" i="19"/>
  <c r="K60" i="19"/>
  <c r="K46" i="19" s="1"/>
  <c r="K10" i="19"/>
  <c r="K40" i="19" s="1"/>
  <c r="K52" i="19"/>
  <c r="K32" i="19"/>
  <c r="K33" i="19"/>
  <c r="K54" i="19"/>
  <c r="K9" i="19"/>
  <c r="K39" i="19" s="1"/>
  <c r="K50" i="19"/>
  <c r="K6" i="19"/>
  <c r="K36" i="19" s="1"/>
  <c r="K51" i="19"/>
  <c r="K61" i="19"/>
  <c r="K11" i="19"/>
  <c r="K41" i="19" s="1"/>
  <c r="K57" i="19"/>
  <c r="K13" i="19"/>
  <c r="K43" i="19" s="1"/>
  <c r="K5" i="19"/>
  <c r="K35" i="19" s="1"/>
  <c r="K55" i="19"/>
  <c r="K58" i="19"/>
  <c r="K7" i="19"/>
  <c r="K37" i="19" s="1"/>
  <c r="K53" i="19"/>
  <c r="K56" i="19"/>
  <c r="K8" i="19"/>
  <c r="K38" i="19" s="1"/>
  <c r="K12" i="19"/>
  <c r="K42" i="19" s="1"/>
  <c r="K34" i="19"/>
  <c r="K29" i="19"/>
  <c r="K31" i="19"/>
  <c r="N48" i="86"/>
  <c r="F24" i="59"/>
  <c r="I13" i="85"/>
  <c r="E24" i="59"/>
  <c r="D24" i="59"/>
  <c r="P61" i="9" a="1"/>
  <c r="P61" i="9" s="1"/>
  <c r="P49" i="9" a="1"/>
  <c r="P49" i="9" s="1"/>
  <c r="P45" i="9" a="1"/>
  <c r="P45" i="9" s="1"/>
  <c r="Q60" i="90"/>
  <c r="S62" i="90"/>
  <c r="M65" i="90"/>
  <c r="M23" i="90" s="1"/>
  <c r="I62" i="90"/>
  <c r="G60" i="90"/>
  <c r="O60" i="90"/>
  <c r="H62" i="90"/>
  <c r="H65" i="90"/>
  <c r="H23" i="90" s="1"/>
  <c r="H60" i="90"/>
  <c r="P60" i="90"/>
  <c r="P62" i="90"/>
  <c r="P65" i="90"/>
  <c r="P23" i="90" s="1"/>
  <c r="P25" i="90" s="1"/>
  <c r="P26" i="90" s="1"/>
  <c r="J62" i="90"/>
  <c r="Q62" i="90"/>
  <c r="R62" i="90"/>
  <c r="F60" i="90"/>
  <c r="I60" i="90"/>
  <c r="K65" i="90"/>
  <c r="K23" i="90" s="1"/>
  <c r="K25" i="90" s="1"/>
  <c r="K26" i="90" s="1"/>
  <c r="S65" i="90"/>
  <c r="S23" i="90" s="1"/>
  <c r="S25" i="90" s="1"/>
  <c r="S26" i="90" s="1"/>
  <c r="I65" i="90"/>
  <c r="I23" i="90" s="1"/>
  <c r="L60" i="90"/>
  <c r="L62" i="90"/>
  <c r="F62" i="90"/>
  <c r="F65" i="90"/>
  <c r="F23" i="90" s="1"/>
  <c r="F25" i="90" s="1"/>
  <c r="F26" i="90" s="1"/>
  <c r="O65" i="90"/>
  <c r="O23" i="90" s="1"/>
  <c r="O25" i="90" s="1"/>
  <c r="O26" i="90" s="1"/>
  <c r="N65" i="90"/>
  <c r="N23" i="90" s="1"/>
  <c r="J65" i="90"/>
  <c r="J23" i="90" s="1"/>
  <c r="J25" i="90" s="1"/>
  <c r="J26" i="90" s="1"/>
  <c r="R65" i="90"/>
  <c r="R23" i="90" s="1"/>
  <c r="R25" i="90" s="1"/>
  <c r="R26" i="90" s="1"/>
  <c r="G65" i="90"/>
  <c r="G23" i="90" s="1"/>
  <c r="K61" i="9" a="1"/>
  <c r="K61" i="9" s="1"/>
  <c r="AI57" i="9" s="1"/>
  <c r="P81" i="9" a="1"/>
  <c r="P81" i="9" s="1"/>
  <c r="O44" i="19"/>
  <c r="P77" i="9" a="1"/>
  <c r="P77" i="9" s="1"/>
  <c r="P33" i="9" a="1"/>
  <c r="P33" i="9" s="1"/>
  <c r="K57" i="9" a="1"/>
  <c r="K57" i="9" s="1"/>
  <c r="AI51" i="9" s="1"/>
  <c r="P37" i="9" a="1"/>
  <c r="P37" i="9" s="1"/>
  <c r="P21" i="9" a="1"/>
  <c r="P21" i="9" s="1"/>
  <c r="P57" i="9" a="1"/>
  <c r="P57" i="9" s="1"/>
  <c r="P13" i="9" a="1"/>
  <c r="P13" i="9" s="1"/>
  <c r="P9" i="9" a="1"/>
  <c r="P9" i="9" s="1"/>
  <c r="P25" i="9" a="1"/>
  <c r="P25" i="9" s="1"/>
  <c r="P69" i="9" a="1"/>
  <c r="P69" i="9" s="1"/>
  <c r="P73" i="9" a="1"/>
  <c r="P73" i="9" s="1"/>
  <c r="AA61" i="9" l="1" a="1"/>
  <c r="AA61" i="9" s="1"/>
  <c r="AI58" i="9" s="1"/>
  <c r="K16" i="19"/>
  <c r="K15" i="19"/>
  <c r="F24" i="64"/>
  <c r="D93" i="58"/>
  <c r="D83" i="58" s="1"/>
  <c r="D52" i="58" s="1"/>
  <c r="D60" i="58" s="1"/>
  <c r="D82" i="57"/>
  <c r="D52" i="57" s="1"/>
  <c r="D60" i="57" s="1"/>
  <c r="G25" i="90"/>
  <c r="G26" i="90" s="1"/>
  <c r="AA54" i="9" s="1" a="1"/>
  <c r="AA54" i="9" s="1"/>
  <c r="AI46" i="9" s="1"/>
  <c r="AL44" i="9" s="1"/>
  <c r="AL45" i="9" s="1"/>
  <c r="K53" i="9" a="1"/>
  <c r="K53" i="9" s="1"/>
  <c r="AI45" i="9" s="1"/>
  <c r="L49" i="9"/>
  <c r="P44" i="85" a="1"/>
  <c r="P44" i="85" s="1"/>
  <c r="O44" i="85" a="1"/>
  <c r="O44" i="85" s="1"/>
  <c r="N44" i="85" a="1"/>
  <c r="N44" i="85" s="1"/>
  <c r="Q44" i="85" a="1"/>
  <c r="Q44" i="85" s="1"/>
  <c r="I41" i="85"/>
  <c r="I42" i="85" s="1"/>
  <c r="P20" i="85" a="1"/>
  <c r="P20" i="85" s="1"/>
  <c r="O20" i="85" a="1"/>
  <c r="O20" i="85" s="1"/>
  <c r="N20" i="85" a="1"/>
  <c r="N20" i="85" s="1"/>
  <c r="Q20" i="85" a="1"/>
  <c r="Q20" i="85" s="1"/>
  <c r="E38" i="52"/>
  <c r="O41" i="85" a="1"/>
  <c r="O41" i="85" s="1"/>
  <c r="P41" i="85" a="1"/>
  <c r="P41" i="85" s="1"/>
  <c r="N41" i="85" a="1"/>
  <c r="N41" i="85" s="1"/>
  <c r="Q41" i="85" a="1"/>
  <c r="Q41" i="85" s="1"/>
  <c r="G80" i="57"/>
  <c r="G50" i="57" s="1"/>
  <c r="G58" i="57" s="1"/>
  <c r="G91" i="58"/>
  <c r="G81" i="58" s="1"/>
  <c r="G50" i="58" s="1"/>
  <c r="G58" i="58" s="1"/>
  <c r="F93" i="58"/>
  <c r="F83" i="58" s="1"/>
  <c r="F52" i="58" s="1"/>
  <c r="F60" i="58" s="1"/>
  <c r="G92" i="57"/>
  <c r="F82" i="57"/>
  <c r="F52" i="57" s="1"/>
  <c r="F60" i="57" s="1"/>
  <c r="K54" i="9"/>
  <c r="AH44" i="9" s="1"/>
  <c r="AI44" i="9" s="1"/>
  <c r="AJ44" i="9" s="1"/>
  <c r="I46" i="85"/>
  <c r="O15" i="86"/>
  <c r="O6" i="86"/>
  <c r="O19" i="86"/>
  <c r="O9" i="86"/>
  <c r="O17" i="86"/>
  <c r="O12" i="86"/>
  <c r="L75" i="9"/>
  <c r="I32" i="105"/>
  <c r="L65" i="9"/>
  <c r="I26" i="105"/>
  <c r="I27" i="105"/>
  <c r="I28" i="105"/>
  <c r="I29" i="105"/>
  <c r="I30" i="105"/>
  <c r="I31" i="105"/>
  <c r="I33" i="105"/>
  <c r="L52" i="9"/>
  <c r="L51" i="9"/>
  <c r="D75" i="54"/>
  <c r="D79" i="54" s="1"/>
  <c r="D49" i="54" s="1"/>
  <c r="D57" i="54" s="1"/>
  <c r="D28" i="54"/>
  <c r="D41" i="54" s="1"/>
  <c r="D39" i="54" s="1"/>
  <c r="G86" i="52"/>
  <c r="G80" i="52"/>
  <c r="G38" i="52" s="1"/>
  <c r="G89" i="55"/>
  <c r="G79" i="55" s="1"/>
  <c r="G49" i="55" s="1"/>
  <c r="G57" i="55" s="1"/>
  <c r="G79" i="53"/>
  <c r="G49" i="53" s="1"/>
  <c r="G57" i="53" s="1"/>
  <c r="G90" i="56"/>
  <c r="G89" i="54"/>
  <c r="G79" i="54" s="1"/>
  <c r="G49" i="54" s="1"/>
  <c r="G57" i="54" s="1"/>
  <c r="G90" i="93"/>
  <c r="G84" i="93"/>
  <c r="L24" i="9"/>
  <c r="L22" i="9"/>
  <c r="I39" i="85"/>
  <c r="I40" i="85"/>
  <c r="G88" i="57"/>
  <c r="G78" i="57" s="1"/>
  <c r="G48" i="57" s="1"/>
  <c r="G56" i="57" s="1"/>
  <c r="F78" i="57"/>
  <c r="F48" i="57" s="1"/>
  <c r="F56" i="57" s="1"/>
  <c r="F81" i="55"/>
  <c r="F51" i="55" s="1"/>
  <c r="F59" i="55" s="1"/>
  <c r="G81" i="55"/>
  <c r="G51" i="55" s="1"/>
  <c r="G59" i="55" s="1"/>
  <c r="K58" i="9"/>
  <c r="AH50" i="9" s="1"/>
  <c r="AI50" i="9" s="1"/>
  <c r="AJ50" i="9" s="1"/>
  <c r="L21" i="9"/>
  <c r="D80" i="54"/>
  <c r="D50" i="54" s="1"/>
  <c r="D58" i="54" s="1"/>
  <c r="G80" i="53"/>
  <c r="G50" i="53" s="1"/>
  <c r="G58" i="53" s="1"/>
  <c r="G90" i="55"/>
  <c r="G80" i="55" s="1"/>
  <c r="G50" i="55" s="1"/>
  <c r="G58" i="55" s="1"/>
  <c r="G91" i="56"/>
  <c r="G90" i="54"/>
  <c r="G80" i="54" s="1"/>
  <c r="G50" i="54" s="1"/>
  <c r="G58" i="54" s="1"/>
  <c r="G67" i="64"/>
  <c r="G24" i="64"/>
  <c r="F86" i="52"/>
  <c r="F80" i="52"/>
  <c r="F38" i="52" s="1"/>
  <c r="G93" i="56"/>
  <c r="G82" i="53"/>
  <c r="G52" i="53" s="1"/>
  <c r="G60" i="53" s="1"/>
  <c r="G92" i="55"/>
  <c r="G82" i="55" s="1"/>
  <c r="G52" i="55" s="1"/>
  <c r="G60" i="55" s="1"/>
  <c r="G92" i="54"/>
  <c r="G82" i="54" s="1"/>
  <c r="G52" i="54" s="1"/>
  <c r="G60" i="54" s="1"/>
  <c r="F84" i="93"/>
  <c r="F90" i="93"/>
  <c r="G88" i="55"/>
  <c r="G78" i="55" s="1"/>
  <c r="G48" i="55" s="1"/>
  <c r="G56" i="55" s="1"/>
  <c r="G78" i="53"/>
  <c r="G48" i="53" s="1"/>
  <c r="G56" i="53" s="1"/>
  <c r="G88" i="54"/>
  <c r="G78" i="54" s="1"/>
  <c r="G48" i="54" s="1"/>
  <c r="G56" i="54" s="1"/>
  <c r="I25" i="90"/>
  <c r="I26" i="90" s="1"/>
  <c r="G76" i="56"/>
  <c r="G28" i="56"/>
  <c r="G41" i="56" s="1"/>
  <c r="G39" i="56" s="1"/>
  <c r="G89" i="58"/>
  <c r="G79" i="58" s="1"/>
  <c r="G48" i="58" s="1"/>
  <c r="G56" i="58" s="1"/>
  <c r="G79" i="56"/>
  <c r="G48" i="56" s="1"/>
  <c r="G56" i="56" s="1"/>
  <c r="K62" i="19"/>
  <c r="K48" i="19" s="1"/>
  <c r="K49" i="19" s="1"/>
  <c r="D28" i="55"/>
  <c r="D41" i="55" s="1"/>
  <c r="D39" i="55" s="1"/>
  <c r="D75" i="55"/>
  <c r="E67" i="50"/>
  <c r="F67" i="49"/>
  <c r="E67" i="51"/>
  <c r="E73" i="49"/>
  <c r="E28" i="49" s="1"/>
  <c r="E23" i="49"/>
  <c r="E24" i="49" s="1"/>
  <c r="E74" i="49"/>
  <c r="E41" i="49" s="1"/>
  <c r="E39" i="49" s="1"/>
  <c r="L47" i="9"/>
  <c r="L48" i="9"/>
  <c r="L46" i="9"/>
  <c r="K63" i="19"/>
  <c r="D23" i="51"/>
  <c r="D24" i="51" s="1"/>
  <c r="D74" i="51"/>
  <c r="D41" i="51" s="1"/>
  <c r="D39" i="51" s="1"/>
  <c r="D73" i="51"/>
  <c r="D28" i="51" s="1"/>
  <c r="D68" i="50"/>
  <c r="G91" i="54"/>
  <c r="G81" i="54" s="1"/>
  <c r="G51" i="54" s="1"/>
  <c r="G59" i="54" s="1"/>
  <c r="G92" i="56"/>
  <c r="G91" i="55"/>
  <c r="G81" i="53"/>
  <c r="G51" i="53" s="1"/>
  <c r="G59" i="53" s="1"/>
  <c r="K64" i="19"/>
  <c r="D73" i="50"/>
  <c r="D28" i="50" s="1"/>
  <c r="D74" i="50"/>
  <c r="D41" i="50" s="1"/>
  <c r="D39" i="50" s="1"/>
  <c r="D23" i="50"/>
  <c r="D24" i="50" s="1"/>
  <c r="F31" i="93"/>
  <c r="K44" i="19"/>
  <c r="K47" i="19"/>
  <c r="K45" i="19" s="1"/>
  <c r="I12" i="85"/>
  <c r="I10" i="85"/>
  <c r="I11" i="85"/>
  <c r="I20" i="85"/>
  <c r="I6" i="85"/>
  <c r="I7" i="85"/>
  <c r="I8" i="85"/>
  <c r="I23" i="85"/>
  <c r="I15" i="85"/>
  <c r="I14" i="85"/>
  <c r="I16" i="85"/>
  <c r="O46" i="19"/>
  <c r="O48" i="19"/>
  <c r="L74" i="9"/>
  <c r="L73" i="9"/>
  <c r="L76" i="9"/>
  <c r="L18" i="9"/>
  <c r="K62" i="9"/>
  <c r="AH56" i="9" s="1"/>
  <c r="AI56" i="9" s="1"/>
  <c r="AJ56" i="9" s="1"/>
  <c r="L28" i="9"/>
  <c r="L26" i="9"/>
  <c r="L19" i="9"/>
  <c r="L33" i="9"/>
  <c r="L34" i="9"/>
  <c r="L83" i="9"/>
  <c r="L35" i="9"/>
  <c r="L20" i="9"/>
  <c r="L80" i="9"/>
  <c r="L78" i="9"/>
  <c r="L82" i="9"/>
  <c r="L81" i="9"/>
  <c r="L79" i="9"/>
  <c r="L10" i="9"/>
  <c r="L29" i="9"/>
  <c r="L40" i="9"/>
  <c r="L38" i="9"/>
  <c r="L39" i="9"/>
  <c r="L9" i="9"/>
  <c r="L12" i="9"/>
  <c r="L25" i="9"/>
  <c r="L27" i="9"/>
  <c r="L43" i="9"/>
  <c r="L44" i="9"/>
  <c r="L32" i="9"/>
  <c r="L30" i="9"/>
  <c r="L41" i="9"/>
  <c r="L13" i="9"/>
  <c r="L14" i="9"/>
  <c r="L16" i="9"/>
  <c r="L15" i="9"/>
  <c r="L72" i="9"/>
  <c r="L71" i="9"/>
  <c r="L70" i="9"/>
  <c r="L69" i="9"/>
  <c r="L6" i="9"/>
  <c r="L8" i="9"/>
  <c r="L5" i="9"/>
  <c r="L7" i="9"/>
  <c r="L68" i="9"/>
  <c r="L67" i="9"/>
  <c r="L66" i="9"/>
  <c r="G93" i="58" l="1"/>
  <c r="G83" i="58" s="1"/>
  <c r="G52" i="58" s="1"/>
  <c r="G60" i="58" s="1"/>
  <c r="G82" i="57"/>
  <c r="G52" i="57" s="1"/>
  <c r="G60" i="57" s="1"/>
  <c r="AA58" i="9" a="1"/>
  <c r="AA58" i="9" s="1"/>
  <c r="AI52" i="9" s="1"/>
  <c r="AL50" i="9" s="1"/>
  <c r="I43" i="85"/>
  <c r="E74" i="51"/>
  <c r="E41" i="51" s="1"/>
  <c r="E39" i="51" s="1"/>
  <c r="E73" i="51"/>
  <c r="E28" i="51" s="1"/>
  <c r="E23" i="51"/>
  <c r="E24" i="51" s="1"/>
  <c r="D25" i="55"/>
  <c r="D79" i="55"/>
  <c r="D49" i="55" s="1"/>
  <c r="D57" i="55" s="1"/>
  <c r="D82" i="55"/>
  <c r="D52" i="55" s="1"/>
  <c r="D60" i="55" s="1"/>
  <c r="D81" i="55"/>
  <c r="D51" i="55" s="1"/>
  <c r="D59" i="55" s="1"/>
  <c r="D78" i="55"/>
  <c r="D48" i="55" s="1"/>
  <c r="D56" i="55" s="1"/>
  <c r="E73" i="50"/>
  <c r="E28" i="50" s="1"/>
  <c r="E74" i="50"/>
  <c r="E41" i="50" s="1"/>
  <c r="E39" i="50" s="1"/>
  <c r="E23" i="50"/>
  <c r="E24" i="50" s="1"/>
  <c r="G67" i="49"/>
  <c r="F67" i="51"/>
  <c r="F23" i="49"/>
  <c r="F24" i="49" s="1"/>
  <c r="F73" i="49"/>
  <c r="F28" i="49" s="1"/>
  <c r="F67" i="50"/>
  <c r="F74" i="49"/>
  <c r="F41" i="49" s="1"/>
  <c r="F39" i="49" s="1"/>
  <c r="G25" i="56"/>
  <c r="G68" i="56"/>
  <c r="O62" i="19"/>
  <c r="G31" i="93"/>
  <c r="G82" i="56"/>
  <c r="G51" i="56" s="1"/>
  <c r="G59" i="56" s="1"/>
  <c r="G83" i="56"/>
  <c r="G52" i="56" s="1"/>
  <c r="G60" i="56" s="1"/>
  <c r="G80" i="56"/>
  <c r="G49" i="56" s="1"/>
  <c r="G57" i="56" s="1"/>
  <c r="D80" i="55"/>
  <c r="D50" i="55" s="1"/>
  <c r="D58" i="55" s="1"/>
  <c r="G81" i="56"/>
  <c r="G50" i="56" s="1"/>
  <c r="G58" i="56" s="1"/>
  <c r="D25" i="54"/>
  <c r="D78" i="54"/>
  <c r="D48" i="54" s="1"/>
  <c r="D56" i="54" s="1"/>
  <c r="D81" i="54"/>
  <c r="D51" i="54" s="1"/>
  <c r="D59" i="54" s="1"/>
  <c r="D82" i="54"/>
  <c r="D52" i="54" s="1"/>
  <c r="D60" i="54" s="1"/>
  <c r="I19" i="85"/>
  <c r="I18" i="85"/>
  <c r="I21" i="85"/>
  <c r="I22" i="85"/>
  <c r="I24" i="85"/>
  <c r="I25" i="85"/>
  <c r="AL56" i="9"/>
  <c r="M62" i="9" s="1"/>
  <c r="M61" i="9" s="1"/>
  <c r="M54" i="9"/>
  <c r="M53" i="9" s="1"/>
  <c r="M58" i="9" l="1"/>
  <c r="M57" i="9" s="1"/>
  <c r="AL51" i="9"/>
  <c r="F23" i="50"/>
  <c r="F24" i="50" s="1"/>
  <c r="F74" i="50"/>
  <c r="F41" i="50" s="1"/>
  <c r="F39" i="50" s="1"/>
  <c r="F73" i="50"/>
  <c r="F28" i="50" s="1"/>
  <c r="F74" i="51"/>
  <c r="F41" i="51" s="1"/>
  <c r="F39" i="51" s="1"/>
  <c r="F23" i="51"/>
  <c r="F24" i="51" s="1"/>
  <c r="F73" i="51"/>
  <c r="F28" i="51" s="1"/>
  <c r="G73" i="49"/>
  <c r="G28" i="49" s="1"/>
  <c r="G74" i="49"/>
  <c r="G41" i="49" s="1"/>
  <c r="G39" i="49" s="1"/>
  <c r="G67" i="51"/>
  <c r="G23" i="49"/>
  <c r="G24" i="49" s="1"/>
  <c r="G67" i="50"/>
  <c r="AL57" i="9"/>
  <c r="Q7" i="104"/>
  <c r="Q8" i="104" s="1"/>
  <c r="R19" i="104" s="1"/>
  <c r="R17" i="103" s="1"/>
  <c r="Q17" i="103" s="1"/>
  <c r="G73" i="50" l="1"/>
  <c r="G28" i="50" s="1"/>
  <c r="G23" i="50"/>
  <c r="G24" i="50" s="1"/>
  <c r="G74" i="50"/>
  <c r="G41" i="50" s="1"/>
  <c r="G39" i="50" s="1"/>
  <c r="G74" i="51"/>
  <c r="G41" i="51" s="1"/>
  <c r="G39" i="51" s="1"/>
  <c r="G23" i="51"/>
  <c r="G24" i="51" s="1"/>
  <c r="G73" i="51"/>
  <c r="G28" i="51" s="1"/>
  <c r="R11" i="103"/>
  <c r="R12" i="103"/>
  <c r="R25" i="104"/>
  <c r="Q23" i="104"/>
  <c r="Q25" i="104"/>
  <c r="R24" i="104"/>
  <c r="P25" i="104"/>
  <c r="R26" i="104"/>
  <c r="P22" i="104"/>
  <c r="Q26" i="104"/>
  <c r="Q24" i="104"/>
  <c r="Q20" i="104"/>
  <c r="P24" i="104"/>
  <c r="R23" i="104"/>
  <c r="P23" i="104"/>
  <c r="P19" i="104"/>
  <c r="Q22" i="104"/>
  <c r="R20" i="104"/>
  <c r="Q21" i="104"/>
  <c r="Q19" i="104"/>
  <c r="R21" i="104"/>
  <c r="P20" i="104"/>
  <c r="R29" i="101" s="1" a="1"/>
  <c r="R29" i="101" s="1"/>
  <c r="Q29" i="101" s="1" a="1"/>
  <c r="Q29" i="101" s="1"/>
  <c r="P21" i="104"/>
  <c r="R22" i="104"/>
  <c r="P26" i="104"/>
  <c r="R15" i="103" l="1"/>
  <c r="Q15" i="103" s="1"/>
  <c r="R16" i="103"/>
  <c r="Q16" i="103" s="1"/>
  <c r="R141" i="101" a="1"/>
  <c r="R141" i="101" s="1"/>
  <c r="Q141" i="101" s="1"/>
  <c r="R139" i="101" a="1"/>
  <c r="R139" i="101" s="1"/>
  <c r="Q139" i="101" s="1"/>
  <c r="R138" i="101" a="1"/>
  <c r="R138" i="101" s="1"/>
  <c r="Q138" i="101" s="1"/>
  <c r="R140" i="101" a="1"/>
  <c r="R140" i="101" s="1"/>
  <c r="Q140" i="101" s="1"/>
  <c r="R24" i="101" a="1"/>
  <c r="R24" i="101" s="1"/>
  <c r="R19" i="101" a="1"/>
  <c r="R19" i="101" s="1"/>
  <c r="R27" i="101" a="1"/>
  <c r="R27" i="101" s="1"/>
  <c r="R21" i="101" a="1"/>
  <c r="R21" i="101" s="1"/>
  <c r="R20" i="101" a="1"/>
  <c r="R20" i="101" s="1"/>
  <c r="R26" i="101" a="1"/>
  <c r="R26" i="101" s="1"/>
  <c r="R22" i="101" a="1"/>
  <c r="R22" i="101" s="1"/>
  <c r="Q11" i="103"/>
  <c r="R28" i="101" a="1"/>
  <c r="R28" i="101" s="1"/>
  <c r="R23" i="101" a="1"/>
  <c r="R23" i="101" s="1"/>
  <c r="Q23" i="101" s="1"/>
  <c r="R25" i="101" a="1"/>
  <c r="R25" i="101" s="1"/>
  <c r="R46" i="101" a="1"/>
  <c r="R46" i="101" s="1"/>
  <c r="Q46" i="101" s="1"/>
  <c r="R47" i="101" a="1"/>
  <c r="R47" i="101" s="1"/>
  <c r="Q47" i="101" s="1"/>
  <c r="R24" i="103"/>
  <c r="Q24" i="103" s="1"/>
  <c r="R48" i="101" a="1"/>
  <c r="R48" i="101" s="1"/>
  <c r="Q48" i="101" s="1"/>
  <c r="R49" i="101" a="1"/>
  <c r="R49" i="101" s="1"/>
  <c r="Q49" i="101" s="1"/>
  <c r="R50" i="101" a="1"/>
  <c r="R50" i="101" s="1"/>
  <c r="Q50" i="101" s="1"/>
  <c r="R30" i="103"/>
  <c r="Q30" i="103" s="1"/>
  <c r="R42" i="103"/>
  <c r="Q42" i="103" s="1"/>
  <c r="R27" i="103"/>
  <c r="R44" i="103"/>
  <c r="R52" i="103" s="1"/>
  <c r="R29" i="103"/>
  <c r="R26" i="103"/>
  <c r="R36" i="103"/>
  <c r="R48" i="103" s="1"/>
  <c r="R34" i="103"/>
  <c r="Q34" i="103" s="1"/>
  <c r="R32" i="103"/>
  <c r="R46" i="103" s="1"/>
  <c r="R80" i="101"/>
  <c r="R82" i="101"/>
  <c r="Q82" i="101" s="1"/>
  <c r="R72" i="101"/>
  <c r="R62" i="101"/>
  <c r="Q62" i="101" s="1"/>
  <c r="R84" i="101"/>
  <c r="R54" i="101" a="1"/>
  <c r="R54" i="101" s="1"/>
  <c r="Q54" i="101" s="1"/>
  <c r="R66" i="101"/>
  <c r="Q66" i="101" s="1"/>
  <c r="R70" i="101"/>
  <c r="Q70" i="101" s="1"/>
  <c r="R74" i="101"/>
  <c r="Q74" i="101" s="1"/>
  <c r="R76" i="101"/>
  <c r="R64" i="101"/>
  <c r="R53" i="101" a="1"/>
  <c r="R53" i="101" s="1"/>
  <c r="Q53" i="101" s="1"/>
  <c r="R51" i="101" a="1"/>
  <c r="R51" i="101" s="1"/>
  <c r="Q51" i="101" s="1"/>
  <c r="R52" i="101" a="1"/>
  <c r="R52" i="101" s="1"/>
  <c r="Q52" i="101" s="1"/>
  <c r="R78" i="101"/>
  <c r="Q78" i="101" s="1"/>
  <c r="R56" i="101" a="1"/>
  <c r="R56" i="101" s="1"/>
  <c r="Q56" i="101" s="1"/>
  <c r="R68" i="101"/>
  <c r="R55" i="101" a="1"/>
  <c r="R55" i="101" s="1"/>
  <c r="Q55" i="101" s="1"/>
  <c r="R35" i="101" a="1"/>
  <c r="R35" i="101" s="1"/>
  <c r="Q35" i="101" s="1"/>
  <c r="R37" i="101" a="1"/>
  <c r="R37" i="101" s="1"/>
  <c r="Q37" i="101" s="1"/>
  <c r="R38" i="101" a="1"/>
  <c r="R38" i="101" s="1"/>
  <c r="Q38" i="101" s="1"/>
  <c r="R39" i="101" a="1"/>
  <c r="R39" i="101" s="1"/>
  <c r="Q39" i="101" s="1"/>
  <c r="R20" i="103"/>
  <c r="Q20" i="103" s="1"/>
  <c r="R36" i="101" a="1"/>
  <c r="R36" i="101" s="1"/>
  <c r="Q36" i="101" s="1"/>
  <c r="R129" i="101" a="1"/>
  <c r="R129" i="101" s="1"/>
  <c r="R127" i="101" a="1"/>
  <c r="R127" i="101" s="1"/>
  <c r="R118" i="101" a="1"/>
  <c r="R118" i="101" s="1"/>
  <c r="Q118" i="101" s="1"/>
  <c r="R121" i="101" a="1"/>
  <c r="R121" i="101" s="1"/>
  <c r="Q121" i="101" s="1"/>
  <c r="R120" i="101" a="1"/>
  <c r="R120" i="101" s="1"/>
  <c r="Q120" i="101" s="1"/>
  <c r="R119" i="101" a="1"/>
  <c r="R119" i="101" s="1"/>
  <c r="Q119" i="101" s="1"/>
  <c r="R126" i="101" a="1"/>
  <c r="R126" i="101" s="1"/>
  <c r="R128" i="101" a="1"/>
  <c r="R128" i="101" s="1"/>
  <c r="R31" i="101" a="1"/>
  <c r="R31" i="101" s="1"/>
  <c r="Q31" i="101" s="1"/>
  <c r="R33" i="101" a="1"/>
  <c r="R33" i="101" s="1"/>
  <c r="Q33" i="101" s="1"/>
  <c r="R34" i="101" a="1"/>
  <c r="R34" i="101" s="1"/>
  <c r="Q34" i="101" s="1"/>
  <c r="R32" i="101" a="1"/>
  <c r="R32" i="101" s="1"/>
  <c r="Q32" i="101" s="1"/>
  <c r="R30" i="101" a="1"/>
  <c r="R30" i="101" s="1"/>
  <c r="Q30" i="101" s="1"/>
  <c r="R22" i="103"/>
  <c r="Q22" i="103" s="1"/>
  <c r="R25" i="103"/>
  <c r="Q25" i="103" s="1"/>
  <c r="R23" i="103"/>
  <c r="Q23" i="103" s="1"/>
  <c r="R131" i="101" a="1"/>
  <c r="R131" i="101" s="1"/>
  <c r="Q131" i="101" s="1"/>
  <c r="R133" i="101" a="1"/>
  <c r="R133" i="101" s="1"/>
  <c r="Q133" i="101" s="1"/>
  <c r="R132" i="101" a="1"/>
  <c r="R132" i="101" s="1"/>
  <c r="Q132" i="101" s="1"/>
  <c r="R130" i="101" a="1"/>
  <c r="R130" i="101" s="1"/>
  <c r="Q130" i="101" s="1"/>
  <c r="R145" i="101" a="1"/>
  <c r="R145" i="101" s="1"/>
  <c r="Q145" i="101" s="1"/>
  <c r="R144" i="101" a="1"/>
  <c r="R144" i="101" s="1"/>
  <c r="Q144" i="101" s="1"/>
  <c r="R143" i="101" a="1"/>
  <c r="R143" i="101" s="1"/>
  <c r="Q143" i="101" s="1"/>
  <c r="R142" i="101" a="1"/>
  <c r="R142" i="101" s="1"/>
  <c r="Q142" i="101" s="1"/>
  <c r="R92" i="101"/>
  <c r="R100" i="101"/>
  <c r="R88" i="101"/>
  <c r="R86" i="101"/>
  <c r="Q86" i="101" s="1"/>
  <c r="R102" i="101"/>
  <c r="Q102" i="101" s="1"/>
  <c r="R59" i="101" a="1"/>
  <c r="R59" i="101" s="1"/>
  <c r="Q59" i="101" s="1"/>
  <c r="R57" i="101" a="1"/>
  <c r="R57" i="101" s="1"/>
  <c r="Q57" i="101" s="1"/>
  <c r="R58" i="101" a="1"/>
  <c r="R58" i="101" s="1"/>
  <c r="Q58" i="101" s="1"/>
  <c r="R96" i="101"/>
  <c r="R38" i="103"/>
  <c r="Q38" i="103" s="1"/>
  <c r="R61" i="101" a="1"/>
  <c r="R61" i="101" s="1"/>
  <c r="Q61" i="101" s="1"/>
  <c r="R98" i="101"/>
  <c r="Q98" i="101" s="1"/>
  <c r="R90" i="101"/>
  <c r="Q90" i="101" s="1"/>
  <c r="R104" i="101"/>
  <c r="R40" i="103"/>
  <c r="R50" i="103" s="1"/>
  <c r="R60" i="101" a="1"/>
  <c r="R60" i="101" s="1"/>
  <c r="Q60" i="101" s="1"/>
  <c r="R94" i="101"/>
  <c r="Q94" i="101" s="1"/>
  <c r="R28" i="103"/>
  <c r="R8" i="101" a="1"/>
  <c r="R8" i="101" s="1"/>
  <c r="R10" i="101" a="1"/>
  <c r="R10" i="101" s="1"/>
  <c r="R15" i="101" a="1"/>
  <c r="R15" i="101" s="1"/>
  <c r="R7" i="101" a="1"/>
  <c r="R7" i="101" s="1"/>
  <c r="R14" i="101" a="1"/>
  <c r="R14" i="101" s="1"/>
  <c r="R17" i="101" a="1"/>
  <c r="R17" i="101" s="1"/>
  <c r="Q17" i="101" s="1"/>
  <c r="R16" i="101" a="1"/>
  <c r="R16" i="101" s="1"/>
  <c r="R12" i="101" a="1"/>
  <c r="R12" i="101" s="1"/>
  <c r="R18" i="101" a="1"/>
  <c r="R18" i="101" s="1"/>
  <c r="R13" i="101" a="1"/>
  <c r="R13" i="101" s="1"/>
  <c r="R9" i="101" a="1"/>
  <c r="R9" i="101" s="1"/>
  <c r="Q9" i="101" s="1" a="1"/>
  <c r="R11" i="101"/>
  <c r="R21" i="103"/>
  <c r="Q21" i="103" s="1"/>
  <c r="R18" i="103"/>
  <c r="Q18" i="103" s="1"/>
  <c r="R19" i="103"/>
  <c r="Q19" i="103" s="1"/>
  <c r="R149" i="101" a="1"/>
  <c r="R149" i="101" s="1"/>
  <c r="Q149" i="101" s="1"/>
  <c r="R148" i="101" a="1"/>
  <c r="R148" i="101" s="1"/>
  <c r="Q148" i="101" s="1"/>
  <c r="R147" i="101" a="1"/>
  <c r="R147" i="101" s="1"/>
  <c r="Q147" i="101" s="1"/>
  <c r="R146" i="101" a="1"/>
  <c r="R146" i="101" s="1"/>
  <c r="Q146" i="101" s="1"/>
  <c r="R7" i="103"/>
  <c r="R10" i="103"/>
  <c r="R13" i="103"/>
  <c r="Q13" i="103" s="1"/>
  <c r="R8" i="103"/>
  <c r="R9" i="103"/>
  <c r="Q9" i="103" s="1"/>
  <c r="R14" i="103"/>
  <c r="R123" i="101" a="1"/>
  <c r="R123" i="101" s="1"/>
  <c r="R125" i="101" a="1"/>
  <c r="R125" i="101" s="1"/>
  <c r="R116" i="101" a="1"/>
  <c r="R116" i="101" s="1"/>
  <c r="Q116" i="101" s="1"/>
  <c r="R115" i="101" a="1"/>
  <c r="R115" i="101" s="1"/>
  <c r="Q115" i="101" s="1"/>
  <c r="R122" i="101" a="1"/>
  <c r="R122" i="101" s="1"/>
  <c r="R114" i="101" a="1"/>
  <c r="R114" i="101" s="1"/>
  <c r="Q114" i="101" s="1"/>
  <c r="R117" i="101" a="1"/>
  <c r="R117" i="101" s="1"/>
  <c r="Q117" i="101" s="1"/>
  <c r="R124" i="101" a="1"/>
  <c r="R124" i="101" s="1"/>
  <c r="R45" i="101" a="1"/>
  <c r="R45" i="101" s="1"/>
  <c r="Q45" i="101" s="1"/>
  <c r="R40" i="101" a="1"/>
  <c r="R40" i="101" s="1"/>
  <c r="Q40" i="101" s="1"/>
  <c r="R43" i="101" a="1"/>
  <c r="R43" i="101" s="1"/>
  <c r="Q43" i="101" s="1"/>
  <c r="R41" i="101" a="1"/>
  <c r="R41" i="101" s="1"/>
  <c r="Q41" i="101" s="1"/>
  <c r="R42" i="101" a="1"/>
  <c r="R42" i="101" s="1"/>
  <c r="Q42" i="101" s="1"/>
  <c r="R44" i="101" a="1"/>
  <c r="R44" i="101" s="1"/>
  <c r="Q44" i="101" s="1"/>
  <c r="R134" i="101" a="1"/>
  <c r="R134" i="101" s="1"/>
  <c r="Q134" i="101" s="1"/>
  <c r="R136" i="101" a="1"/>
  <c r="R136" i="101" s="1"/>
  <c r="Q136" i="101" s="1"/>
  <c r="R135" i="101" a="1"/>
  <c r="R135" i="101" s="1"/>
  <c r="Q135" i="101" s="1"/>
  <c r="R137" i="101" a="1"/>
  <c r="R137" i="101" s="1"/>
  <c r="Q137" i="101" s="1"/>
  <c r="R153" i="101" a="1"/>
  <c r="R153" i="101" s="1"/>
  <c r="Q153" i="101" s="1"/>
  <c r="R150" i="101" a="1"/>
  <c r="R150" i="101" s="1"/>
  <c r="Q150" i="101" s="1"/>
  <c r="R151" i="101" a="1"/>
  <c r="R151" i="101" s="1"/>
  <c r="Q151" i="101" s="1"/>
  <c r="R152" i="101" a="1"/>
  <c r="R152" i="101" s="1"/>
  <c r="Q152" i="101" s="1"/>
  <c r="Q11" i="101" l="1" a="1"/>
  <c r="Q11" i="101" s="1"/>
  <c r="R106" i="101"/>
  <c r="Q7" i="101"/>
  <c r="Q27" i="101"/>
  <c r="R113" i="101"/>
  <c r="Q9" i="101"/>
  <c r="R107" i="101"/>
  <c r="R55" i="103"/>
  <c r="Q27" i="103"/>
  <c r="Q55" i="103" s="1"/>
  <c r="R108" i="101"/>
  <c r="Q13" i="101"/>
  <c r="Q26" i="103"/>
  <c r="Q54" i="103" s="1"/>
  <c r="R54" i="103"/>
  <c r="R112" i="101"/>
  <c r="Q25" i="101"/>
  <c r="Q19" i="101"/>
  <c r="R110" i="101"/>
  <c r="Q28" i="103"/>
  <c r="Q56" i="103" s="1"/>
  <c r="R56" i="103"/>
  <c r="Q15" i="101"/>
  <c r="R109" i="101"/>
  <c r="R57" i="103"/>
  <c r="Q29" i="103"/>
  <c r="Q57" i="103" s="1"/>
  <c r="R111" i="101"/>
  <c r="Q21" i="10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2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Mvehicles*km/PJ for each output of this technology. </t>
        </r>
        <r>
          <rPr>
            <sz val="9"/>
            <color indexed="81"/>
            <rFont val="Tahoma"/>
            <family val="2"/>
          </rPr>
          <t xml:space="preserve">
For example, if the output is TPCS the meaning is how much energy the cars are consuming to produce output TPCS.
In this way we can specify 3 values for the same technology, one for each demand output.</t>
        </r>
      </text>
    </comment>
    <comment ref="L4" authorId="0" shapeId="0" xr:uid="{00000000-0006-0000-0200-000002000000}">
      <text>
        <r>
          <rPr>
            <b/>
            <sz val="9"/>
            <color indexed="81"/>
            <rFont val="Tahoma"/>
            <family val="2"/>
          </rPr>
          <t>Author:</t>
        </r>
        <r>
          <rPr>
            <sz val="9"/>
            <color indexed="81"/>
            <rFont val="Tahoma"/>
            <family val="2"/>
          </rPr>
          <t xml:space="preserve">
The values below characterise efficiency improvement compared to the base year. They are not used in the calculations directly, but are transformed in the corresponding TRANS file to Mvehicles*km/PJ form. </t>
        </r>
      </text>
    </comment>
    <comment ref="S5" authorId="0" shapeId="0" xr:uid="{00000000-0006-0000-0200-000003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9" authorId="0" shapeId="0" xr:uid="{00000000-0006-0000-0200-000004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13" authorId="0" shapeId="0" xr:uid="{00000000-0006-0000-0200-000006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17" authorId="0" shapeId="0" xr:uid="{00000000-0006-0000-0200-000007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1" authorId="0" shapeId="0" xr:uid="{00000000-0006-0000-0200-000008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5" authorId="0" shapeId="0" xr:uid="{00000000-0006-0000-0200-000009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9" authorId="0" shapeId="0" xr:uid="{00000000-0006-0000-0200-00000A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33" authorId="0" shapeId="0" xr:uid="{00000000-0006-0000-0200-00000B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37" authorId="0" shapeId="0" xr:uid="{00000000-0006-0000-0200-00000C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1" authorId="0" shapeId="0" xr:uid="{00000000-0006-0000-0200-00000D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5" authorId="0" shapeId="0" xr:uid="{00000000-0006-0000-0200-00000E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9" authorId="0" shapeId="0" xr:uid="{00000000-0006-0000-0200-00000F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D53" authorId="0" shapeId="0" xr:uid="{00000000-0006-0000-0200-000010000000}">
      <text>
        <r>
          <rPr>
            <b/>
            <sz val="9"/>
            <color indexed="81"/>
            <rFont val="Tahoma"/>
            <family val="2"/>
          </rPr>
          <t>Author:</t>
        </r>
        <r>
          <rPr>
            <sz val="9"/>
            <color indexed="81"/>
            <rFont val="Tahoma"/>
            <family val="2"/>
          </rPr>
          <t xml:space="preserve">
Plug-in hybrid</t>
        </r>
      </text>
    </comment>
    <comment ref="S53" authorId="0" shapeId="0" xr:uid="{00000000-0006-0000-0200-000011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57" authorId="0" shapeId="0" xr:uid="{00000000-0006-0000-0200-000012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1" authorId="0" shapeId="0" xr:uid="{00000000-0006-0000-0200-000013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5" authorId="0" shapeId="0" xr:uid="{00000000-0006-0000-0200-000014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9" authorId="0" shapeId="0" xr:uid="{00000000-0006-0000-0200-000015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73" authorId="0" shapeId="0" xr:uid="{00000000-0006-0000-0200-000016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77" authorId="0" shapeId="0" xr:uid="{00000000-0006-0000-0200-000017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81" authorId="0" shapeId="0" xr:uid="{00000000-0006-0000-0200-000018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7" authorId="0" shapeId="0" xr:uid="{00000000-0006-0000-0900-000001000000}">
      <text>
        <r>
          <rPr>
            <b/>
            <sz val="9"/>
            <color indexed="81"/>
            <rFont val="Tahoma"/>
            <family val="2"/>
          </rPr>
          <t>Author:</t>
        </r>
        <r>
          <rPr>
            <sz val="9"/>
            <color indexed="81"/>
            <rFont val="Tahoma"/>
            <family val="2"/>
          </rPr>
          <t xml:space="preserve">
Estimated from TU survey travel distance pattern</t>
        </r>
      </text>
    </comment>
    <comment ref="R13" authorId="0" shapeId="0" xr:uid="{00000000-0006-0000-0900-000002000000}">
      <text>
        <r>
          <rPr>
            <b/>
            <sz val="9"/>
            <color indexed="81"/>
            <rFont val="Tahoma"/>
            <family val="2"/>
          </rPr>
          <t>Author:</t>
        </r>
        <r>
          <rPr>
            <sz val="9"/>
            <color indexed="81"/>
            <rFont val="Tahoma"/>
            <family val="2"/>
          </rPr>
          <t xml:space="preserve">
Source: http://www.folkecenter.net/gb/rd/transport/two-three-wheels/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0B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 ref="C103" authorId="0" shapeId="0" xr:uid="{00000000-0006-0000-0B00-000002000000}">
      <text>
        <r>
          <rPr>
            <b/>
            <sz val="9"/>
            <color indexed="81"/>
            <rFont val="Tahoma"/>
            <family val="2"/>
          </rPr>
          <t>Author:</t>
        </r>
        <r>
          <rPr>
            <sz val="9"/>
            <color indexed="81"/>
            <rFont val="Tahoma"/>
            <family val="2"/>
          </rPr>
          <t xml:space="preserve">
Hybrid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D19" authorId="0" shapeId="0" xr:uid="{00000000-0006-0000-1000-000001000000}">
      <text>
        <r>
          <rPr>
            <b/>
            <sz val="9"/>
            <color indexed="81"/>
            <rFont val="Tahoma"/>
            <family val="2"/>
          </rPr>
          <t>Author:</t>
        </r>
        <r>
          <rPr>
            <sz val="9"/>
            <color indexed="81"/>
            <rFont val="Tahoma"/>
            <family val="2"/>
          </rPr>
          <t xml:space="preserve">
Source used also in AlternativDrivmodellen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3" authorId="0" shapeId="0" xr:uid="{00000000-0006-0000-17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99" authorId="0" shapeId="0" xr:uid="{00000000-0006-0000-2000-000001000000}">
      <text>
        <r>
          <rPr>
            <b/>
            <sz val="8"/>
            <color indexed="81"/>
            <rFont val="Tahoma"/>
            <family val="2"/>
          </rPr>
          <t>Author:</t>
        </r>
        <r>
          <rPr>
            <sz val="8"/>
            <color indexed="81"/>
            <rFont val="Tahoma"/>
            <family val="2"/>
          </rPr>
          <t xml:space="preserve">
 0,36 for engines &gt; 85 kW</t>
        </r>
      </text>
    </comment>
    <comment ref="G99" authorId="0" shapeId="0" xr:uid="{00000000-0006-0000-2000-000002000000}">
      <text>
        <r>
          <rPr>
            <b/>
            <sz val="8"/>
            <color indexed="81"/>
            <rFont val="Tahoma"/>
            <family val="2"/>
          </rPr>
          <t>Author:</t>
        </r>
        <r>
          <rPr>
            <sz val="8"/>
            <color indexed="81"/>
            <rFont val="Tahoma"/>
            <family val="2"/>
          </rPr>
          <t xml:space="preserve">
for engines of less than 0.75 dm3 swept volume per cylinder and a rated power speed of more than 3000 min-1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Y3" authorId="0" shapeId="0" xr:uid="{00000000-0006-0000-21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R50" authorId="0" shapeId="0" xr:uid="{00000000-0006-0000-2100-000002000000}">
      <text>
        <r>
          <rPr>
            <b/>
            <sz val="9"/>
            <color indexed="81"/>
            <rFont val="Tahoma"/>
            <family val="2"/>
          </rPr>
          <t>Author:</t>
        </r>
        <r>
          <rPr>
            <sz val="9"/>
            <color indexed="81"/>
            <rFont val="Tahoma"/>
            <family val="2"/>
          </rPr>
          <t xml:space="preserve">
http://www.maritimesales.com/Ferries%20for%20Sale.htm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3" authorId="0" shapeId="0" xr:uid="{00000000-0006-0000-2400-000001000000}">
      <text>
        <r>
          <rPr>
            <b/>
            <sz val="9"/>
            <color indexed="81"/>
            <rFont val="Tahoma"/>
            <family val="2"/>
          </rPr>
          <t>Author:</t>
        </r>
        <r>
          <rPr>
            <sz val="9"/>
            <color indexed="81"/>
            <rFont val="Tahoma"/>
            <family val="2"/>
          </rPr>
          <t xml:space="preserve">
From the Ship calculation scheme, based on a 2800 TEU ship</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5" authorId="0" shapeId="0" xr:uid="{CCB95EF2-DE96-40C7-B378-0232834BB964}">
      <text>
        <r>
          <rPr>
            <b/>
            <sz val="9"/>
            <color indexed="81"/>
            <rFont val="Tahoma"/>
            <family val="2"/>
          </rPr>
          <t>Author:</t>
        </r>
        <r>
          <rPr>
            <sz val="9"/>
            <color indexed="81"/>
            <rFont val="Tahoma"/>
            <family val="2"/>
          </rPr>
          <t xml:space="preserve">
In absolute terms but relative to base year</t>
        </r>
      </text>
    </comment>
    <comment ref="O5" authorId="0" shapeId="0" xr:uid="{2C9C0834-2AE8-4AF8-AD4F-54B9E4F209C3}">
      <text>
        <r>
          <rPr>
            <b/>
            <sz val="9"/>
            <color indexed="81"/>
            <rFont val="Tahoma"/>
            <family val="2"/>
          </rPr>
          <t>Author:</t>
        </r>
        <r>
          <rPr>
            <sz val="9"/>
            <color indexed="81"/>
            <rFont val="Tahoma"/>
            <family val="2"/>
          </rPr>
          <t xml:space="preserve">
Boeing 737 http://www.boeing.com/company/about-bca/</t>
        </r>
      </text>
    </comment>
    <comment ref="L6" authorId="0" shapeId="0" xr:uid="{3820BA8E-145C-4537-906F-4007AFC2E8B8}">
      <text>
        <r>
          <rPr>
            <b/>
            <sz val="9"/>
            <color indexed="81"/>
            <rFont val="Tahoma"/>
            <family val="2"/>
          </rPr>
          <t>Author:</t>
        </r>
        <r>
          <rPr>
            <sz val="9"/>
            <color indexed="81"/>
            <rFont val="Tahoma"/>
            <family val="2"/>
          </rPr>
          <t xml:space="preserve">
In absolute terms but relative to base year</t>
        </r>
      </text>
    </comment>
    <comment ref="L7" authorId="0" shapeId="0" xr:uid="{168F7F0A-0548-4957-9109-B24D8E0E2924}">
      <text>
        <r>
          <rPr>
            <b/>
            <sz val="9"/>
            <color indexed="81"/>
            <rFont val="Tahoma"/>
            <family val="2"/>
          </rPr>
          <t>Author:</t>
        </r>
        <r>
          <rPr>
            <sz val="9"/>
            <color indexed="81"/>
            <rFont val="Tahoma"/>
            <family val="2"/>
          </rPr>
          <t xml:space="preserve">
In absolute terms but relative to base year</t>
        </r>
      </text>
    </comment>
    <comment ref="O8" authorId="0" shapeId="0" xr:uid="{6DA16E08-E777-4820-8007-519E7214DE41}">
      <text>
        <r>
          <rPr>
            <b/>
            <sz val="9"/>
            <color indexed="81"/>
            <rFont val="Tahoma"/>
            <family val="2"/>
          </rPr>
          <t>Author:</t>
        </r>
        <r>
          <rPr>
            <sz val="9"/>
            <color indexed="81"/>
            <rFont val="Tahoma"/>
            <family val="2"/>
          </rPr>
          <t xml:space="preserve">
Boeing 737 http://www.boeing.com/company/about-bca/</t>
        </r>
      </text>
    </comment>
    <comment ref="V9" authorId="0" shapeId="0" xr:uid="{5C3BA6E4-F12C-48F8-ABA6-5B06ABE68672}">
      <text>
        <r>
          <rPr>
            <b/>
            <sz val="9"/>
            <color indexed="81"/>
            <rFont val="Tahoma"/>
            <family val="2"/>
          </rPr>
          <t>Author:</t>
        </r>
        <r>
          <rPr>
            <sz val="9"/>
            <color indexed="81"/>
            <rFont val="Tahoma"/>
            <family val="2"/>
          </rPr>
          <t xml:space="preserve">
From BY data, in VT</t>
        </r>
      </text>
    </comment>
    <comment ref="O11" authorId="0" shapeId="0" xr:uid="{86CA3436-B145-43F8-8BE1-F9C7C32ADCCB}">
      <text>
        <r>
          <rPr>
            <b/>
            <sz val="9"/>
            <color indexed="81"/>
            <rFont val="Tahoma"/>
            <family val="2"/>
          </rPr>
          <t>Author:</t>
        </r>
        <r>
          <rPr>
            <sz val="9"/>
            <color indexed="81"/>
            <rFont val="Tahoma"/>
            <family val="2"/>
          </rPr>
          <t xml:space="preserve">
Boeing 737 http://www.boeing.com/company/about-bca/</t>
        </r>
      </text>
    </comment>
    <comment ref="O14" authorId="0" shapeId="0" xr:uid="{1F99C1C5-E0D7-483E-95C3-4150BE2D552E}">
      <text>
        <r>
          <rPr>
            <b/>
            <sz val="9"/>
            <color indexed="81"/>
            <rFont val="Tahoma"/>
            <family val="2"/>
          </rPr>
          <t>Author:</t>
        </r>
        <r>
          <rPr>
            <sz val="9"/>
            <color indexed="81"/>
            <rFont val="Tahoma"/>
            <family val="2"/>
          </rPr>
          <t xml:space="preserve">
Boeing 737 http://www.boeing.com/company/about-bca/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<sst xmlns="http://schemas.openxmlformats.org/spreadsheetml/2006/main" count="10355" uniqueCount="1576">
  <si>
    <t>~FI_T</t>
  </si>
  <si>
    <t>TechName</t>
  </si>
  <si>
    <t>Comm-IN</t>
  </si>
  <si>
    <t>Comm-OUT</t>
  </si>
  <si>
    <t>FIXOM</t>
  </si>
  <si>
    <t>START</t>
  </si>
  <si>
    <t>VAROM</t>
  </si>
  <si>
    <t>INVCOST</t>
  </si>
  <si>
    <t>*TechDesc</t>
  </si>
  <si>
    <t>CEFF-O</t>
  </si>
  <si>
    <t>LIFE</t>
  </si>
  <si>
    <t>*Unit</t>
  </si>
  <si>
    <t>Mkr/kvehicle</t>
  </si>
  <si>
    <t>Available from year</t>
  </si>
  <si>
    <t>Years</t>
  </si>
  <si>
    <t>DKK</t>
  </si>
  <si>
    <t>Samlede omk (ex brændstof)</t>
  </si>
  <si>
    <t>DKK/GJ mek</t>
  </si>
  <si>
    <t>heraf investeringer</t>
  </si>
  <si>
    <t>heraf drift, faste</t>
  </si>
  <si>
    <t>CO2</t>
  </si>
  <si>
    <t>CH4</t>
  </si>
  <si>
    <t>N2O</t>
  </si>
  <si>
    <t>SO2</t>
  </si>
  <si>
    <t>Partikler</t>
  </si>
  <si>
    <t>Middel energiforbrug an hjul</t>
  </si>
  <si>
    <t>%</t>
  </si>
  <si>
    <t>g/km</t>
  </si>
  <si>
    <t>Year</t>
  </si>
  <si>
    <t>Diesel</t>
  </si>
  <si>
    <t>Primært drivmiddel</t>
  </si>
  <si>
    <t>Sekundært drivmiddel</t>
  </si>
  <si>
    <t>Std diesel motor</t>
  </si>
  <si>
    <t>Lastbil</t>
  </si>
  <si>
    <t>Lastbil Gas</t>
  </si>
  <si>
    <t>Bus Gas</t>
  </si>
  <si>
    <t>DKK/km</t>
  </si>
  <si>
    <t>NOx</t>
  </si>
  <si>
    <t>Nr.</t>
  </si>
  <si>
    <t>Reference</t>
  </si>
  <si>
    <t>Forudsætninger for samfundsøkonomiske analyser på energiområdet. Energistyrelsen. April 2011.</t>
  </si>
  <si>
    <t>Energistyrelsen. Forudsætninger for samfundsøkonomiske analyser på energiområdet. April 2010</t>
  </si>
  <si>
    <t>Transportøkonomiske enhedspriser 2010, DTU , Institut for transport</t>
  </si>
  <si>
    <t>Concawe (2011): Well-to-wheels analysis of future automotive fuels and power-trains in the European Context. November 2011.</t>
  </si>
  <si>
    <t>Nyt fra Danmarks Statistik, Motorparken 2010.</t>
  </si>
  <si>
    <t>EU kommisionens forordning nr. 692/2008 om EURO V og VI normer</t>
  </si>
  <si>
    <t>IEA, Energy Technology Perspectives 2008.</t>
  </si>
  <si>
    <t>Better Place, Renault Fluence</t>
  </si>
  <si>
    <t>COWI, Literaturstudie vedrørerende aktuelle og forventede priser på batterier, sendt til ENS</t>
  </si>
  <si>
    <t>Catalyst, Forsøgsordning med el-biler - tredje runde. Juni 2011. ENS</t>
  </si>
  <si>
    <t>http://www.biofuelsb2b.com/useful_info.php?page=Typic</t>
  </si>
  <si>
    <t>Concawe (2006): Well-to-wheels analysis of future automotive fuels and power-trains in the European Context. May 2006.</t>
  </si>
  <si>
    <t>Energistyrelsen. Biogasanlæg business case: Model 1000 m3/dag med salg af gas til decentral KV-værk og halmprocesvarme. Rev. 2009.05.25</t>
  </si>
  <si>
    <t>Energistyrelsen. Energistatistik 2011.</t>
  </si>
  <si>
    <t>Oplysninger per email fra Steffen Müller, produktionschef i Volvo Danmark, november 2011</t>
  </si>
  <si>
    <t>Lorie Hamelin, 2011. Modeling land use changes in consequential LCA, presentation, meta study</t>
  </si>
  <si>
    <t>www.eof.dk</t>
  </si>
  <si>
    <t>Power Point præsentation "Alternative Fuels Volvo Busser Danmark A/S" fra Jens Ommen, Volvo (via mail fra Steffen Müller 15/12-2011 til Michael Rask)</t>
  </si>
  <si>
    <t>Emails fra Kurt Vinther (kurt.vinther@volvo.com), Volvo d. 23/1-2012</t>
  </si>
  <si>
    <t>Oplysninger per email fra Niels Frees, Trafikstyrelsen, bekræftet af ENS. 07-09-2012.</t>
  </si>
  <si>
    <t>Oplysninger per mail fra ENS, Henrik Duer, 06/12 2012</t>
  </si>
  <si>
    <t>Nye herfra</t>
  </si>
  <si>
    <t>~FI_Process</t>
  </si>
  <si>
    <t>Sets</t>
  </si>
  <si>
    <t>TechDesc</t>
  </si>
  <si>
    <t>Tact</t>
  </si>
  <si>
    <t>Tcap</t>
  </si>
  <si>
    <t>Tslvl</t>
  </si>
  <si>
    <t>PrimaryCG</t>
  </si>
  <si>
    <t>Vintage</t>
  </si>
  <si>
    <t>*Process Set Membership</t>
  </si>
  <si>
    <t>Technology Name</t>
  </si>
  <si>
    <t>Technology Description</t>
  </si>
  <si>
    <t>Activity Unit</t>
  </si>
  <si>
    <t>Capacity Unit</t>
  </si>
  <si>
    <t>TimeSlice level of Process Activity</t>
  </si>
  <si>
    <t>Primary Commodity Group</t>
  </si>
  <si>
    <t>Vintage Tracking</t>
  </si>
  <si>
    <t>DMD</t>
  </si>
  <si>
    <t>YES</t>
  </si>
  <si>
    <t>TRAELC</t>
  </si>
  <si>
    <t>Mpass-km</t>
  </si>
  <si>
    <t>kvehicles</t>
  </si>
  <si>
    <t>Mkr/(kvehicle*km)</t>
  </si>
  <si>
    <t>Conversion factors</t>
  </si>
  <si>
    <t>kr/vehicle =</t>
  </si>
  <si>
    <t>Mt-km</t>
  </si>
  <si>
    <t>Start</t>
  </si>
  <si>
    <t>Relative eff (see also the TRANS)</t>
  </si>
  <si>
    <t>EFF</t>
  </si>
  <si>
    <t>Share-O~LO~0</t>
  </si>
  <si>
    <t>Interpolation rule</t>
  </si>
  <si>
    <t>Beskrivelse</t>
  </si>
  <si>
    <t>Kort teknologi-beskrivelse:</t>
  </si>
  <si>
    <t>Fordele og ulemper (herunder miljø)</t>
  </si>
  <si>
    <t>Eksempler på Best Available Technology:</t>
  </si>
  <si>
    <t>Fakta-ark</t>
  </si>
  <si>
    <t>Ref</t>
  </si>
  <si>
    <t>Note</t>
  </si>
  <si>
    <t>Enhed</t>
  </si>
  <si>
    <t>Prisår</t>
  </si>
  <si>
    <t>Energi/tekniske data</t>
  </si>
  <si>
    <t>Virkningsgrad primær</t>
  </si>
  <si>
    <t>Virkningsgrad sekundær</t>
  </si>
  <si>
    <t>Middel energiforbrug an køretøj, primær</t>
  </si>
  <si>
    <t>MJd/km</t>
  </si>
  <si>
    <t>Middel energiforbrug an køretøj, sekundær</t>
  </si>
  <si>
    <t>Levetid</t>
  </si>
  <si>
    <t>År</t>
  </si>
  <si>
    <t>Ydelse per år</t>
  </si>
  <si>
    <t>GJ mek/år</t>
  </si>
  <si>
    <t>Økonomi data</t>
  </si>
  <si>
    <t>Investering, anlæg</t>
  </si>
  <si>
    <t>heraf drift, øvrige variable</t>
  </si>
  <si>
    <t>Miljø data</t>
  </si>
  <si>
    <t>CO2 emissioner beregnes i køretøjsark</t>
  </si>
  <si>
    <t>Nox</t>
  </si>
  <si>
    <t>Evt. ekstra fakta eller mellem-regninger</t>
  </si>
  <si>
    <t>Curb weight</t>
  </si>
  <si>
    <t>kg</t>
  </si>
  <si>
    <t>Improvement i vehicle performance not related to drivetrain</t>
  </si>
  <si>
    <t>Kørsel pr år</t>
  </si>
  <si>
    <t>km/år</t>
  </si>
  <si>
    <t>18000 km/år*middel energiforbr an hjul</t>
  </si>
  <si>
    <t>Faste og variable d&amp;v</t>
  </si>
  <si>
    <t>Forbedringer i virkningsgrad</t>
  </si>
  <si>
    <t>Emissioner</t>
  </si>
  <si>
    <t>Euro 5 - blandet kørsel, år 2015</t>
  </si>
  <si>
    <t>Euro 6 - blandet kørsel 2020 og 2035</t>
  </si>
  <si>
    <t xml:space="preserve">CO2 dog beregnet på baggrund af </t>
  </si>
  <si>
    <t>forventet effektivisering i energiforbrug</t>
  </si>
  <si>
    <t>Standard diesel motor i mindre middelklassebil.</t>
  </si>
  <si>
    <t>Der forventes ingen væsentlig ændringer i prisen, men en fortsat forbedring af motorens virkningsgrad</t>
  </si>
  <si>
    <t>GJ mek/GJ diesel</t>
  </si>
  <si>
    <t>kg/GJ diesel</t>
  </si>
  <si>
    <t>MJ mech/km</t>
  </si>
  <si>
    <t>Mean energy cons at wheel, reference PISI</t>
  </si>
  <si>
    <t>Curb weight, reference PISI</t>
  </si>
  <si>
    <t xml:space="preserve">0,35 DKK/km </t>
  </si>
  <si>
    <t>GJ mek/GJ el</t>
  </si>
  <si>
    <t>kg/GJ el</t>
  </si>
  <si>
    <t>Curb weight, BEV</t>
  </si>
  <si>
    <t>Batteriomkostninger</t>
  </si>
  <si>
    <t>DKK/år</t>
  </si>
  <si>
    <t>Batteri, pris</t>
  </si>
  <si>
    <t>DKK/kWh</t>
  </si>
  <si>
    <t>Batteri, kapacitet</t>
  </si>
  <si>
    <t>kWh</t>
  </si>
  <si>
    <t>Electric energy consumption</t>
  </si>
  <si>
    <t>kWh/km</t>
  </si>
  <si>
    <t>Middel energiforbrug an køretøj, MJ/km</t>
  </si>
  <si>
    <t>Batteri</t>
  </si>
  <si>
    <t>MJ/km</t>
  </si>
  <si>
    <t>Fuel consumption</t>
  </si>
  <si>
    <t>Bus Diesel</t>
  </si>
  <si>
    <t>Mercedes 12 m. bybus</t>
  </si>
  <si>
    <t>Dæk, vask, vedligehold</t>
  </si>
  <si>
    <t>Busser</t>
  </si>
  <si>
    <t>Gas</t>
  </si>
  <si>
    <t>Hybrid</t>
  </si>
  <si>
    <t>Pris</t>
  </si>
  <si>
    <t>365 dage/år x 16 t/dag x 18,6 km/t</t>
  </si>
  <si>
    <t>D&amp;V ex olie</t>
  </si>
  <si>
    <t>Brændstofforbrug</t>
  </si>
  <si>
    <t>km/l</t>
  </si>
  <si>
    <t>Motorvirkningsgrad</t>
  </si>
  <si>
    <t>Olieskift pris</t>
  </si>
  <si>
    <t>kr/skift</t>
  </si>
  <si>
    <t>Totalvægt</t>
  </si>
  <si>
    <t>ton</t>
  </si>
  <si>
    <t>Olieskift interval</t>
  </si>
  <si>
    <t>km/skift</t>
  </si>
  <si>
    <t>Emissioner fra lastbiler</t>
  </si>
  <si>
    <t>g/GJ</t>
  </si>
  <si>
    <t>GJ mek/GJ CNG</t>
  </si>
  <si>
    <t>kg/GJ CNG</t>
  </si>
  <si>
    <t>Gap i motorvirkningsgrad til diesel</t>
  </si>
  <si>
    <t>Gap mellem diesel og gas antages at bliver mindre, jf. ref. 70</t>
  </si>
  <si>
    <t>km/m^3</t>
  </si>
  <si>
    <t>OBS! anden formel</t>
  </si>
  <si>
    <t>Aftalt mellem COWI og ENS, per energi leveret - IKKE per energi indfyret</t>
  </si>
  <si>
    <t>Ingen svovl i gas</t>
  </si>
  <si>
    <t>Scania P280 (distribution)</t>
  </si>
  <si>
    <t xml:space="preserve">          m `M=MMMMMMMMMMMMMMMMMMMMMMMMMMMM;;;;;;;;;;;;;;;;;;;;;;;;;;;;;;;;;;;;;;;?==============MomO;OaAMOå+;OAOOOOOOL</t>
  </si>
  <si>
    <t>PM for 2020 er udelukkende estimeret</t>
  </si>
  <si>
    <t>g/kWh</t>
  </si>
  <si>
    <t>Partikler (PM)</t>
  </si>
  <si>
    <t>HC</t>
  </si>
  <si>
    <t>g/MWh</t>
  </si>
  <si>
    <t>CO</t>
  </si>
  <si>
    <t>Middel energiforbrug an køretøj</t>
  </si>
  <si>
    <t>Estimat baseret på international benchmarking (2011 tal)</t>
  </si>
  <si>
    <t>Kørsel per år*middel energiforbr an hjul</t>
  </si>
  <si>
    <t>Gennemsnit fra Lint 41 drift i Lokalbanen og Arriva</t>
  </si>
  <si>
    <t>MJ/kg</t>
  </si>
  <si>
    <t>Detaljerede data mangler</t>
  </si>
  <si>
    <t>Middel energiforbrug an tog, sekundær</t>
  </si>
  <si>
    <t>Middel energiforbrug an tog, primær</t>
  </si>
  <si>
    <t>GJ mek/GJd</t>
  </si>
  <si>
    <t>Den bedste tilgængelige teknologi som er godkendt til jernbanebrug lige nu er som beskrevet ovenfor dieselmotorer der lever op til EU NRMM Stage IIIB. Den bedst tilgængelige teknologi opfylder pt. EURO6, som dog kun gælder lastbil og bus. Derudover vil den bedst tilgængelige dieselmotorteknologi til små motorer (under 560 kW) og regionaltrafik allerede i dag være kombineret med batterier og supercaps til optimeret opsamling af bremseenergien fra de relativt mange stop.</t>
  </si>
  <si>
    <t>De nye emissionsstandarder for togdrift følger meget tæt efter EURO-normen for vejsiden så dermed er der tale om krav til en meget effektiv og ren forbrænding. Det er en klar ulempe at motorer skal testes særskilt i henhold til togdrift-cyklus da det giver dyrere motorer til en relativ lille markedsniche.</t>
  </si>
  <si>
    <t>En standard dieselmotor til jernbanedrift er underlagt EU kommissionens Non-Road Mobile Machinery Directive - NRMM ("moderdirektivet" hedder EU/97/68* - se nedenfor). Den foreskriver to klasser af motorer: under 560 kW (primært til togsæt DMU - diesel multiple units) og over 560 kW (både til togsæt og lokomotiver). Den pt. gældende emissionsklasse er benævnt "Stage IIIB" og gælder fra 01/2012. Normen indbefatter emissionsgrænser for CO, HC, PM samt NOx. Emissionsgrænserne kan opnås på forskellig vis, via bl.a. EGR, katalysator og påfyldning af urea til udvaskning af NOx. Der benyttes altid diesel godkendt til vejbrug (EN 590) dvs. det er ultra svovlfattigt. Dieselmotorer til jernbanebrug benyttes ofte i diesel-elektrisk og mekanisk traktion. Førhen blev de også i vid udstrækning brugt i diesel-hydraulisk brug men det er på retur pga. udvikling af mere avancerede transmissionssystemer.</t>
  </si>
  <si>
    <t>Generel teknologi-beskrivelse:</t>
  </si>
  <si>
    <t>Dieseltogsæt (Lint 41)</t>
  </si>
  <si>
    <t>Bedste estimat baseret på ORR rapporten (2011 tal)</t>
  </si>
  <si>
    <t>Gennemsnit fra IC3 kørsel i DSB i 2013 ("alt andet lige")</t>
  </si>
  <si>
    <t>Estimat, værdi for 2035 er udelukkende teoretisk</t>
  </si>
  <si>
    <t>Dieseltogsæt (IC3 DSB)</t>
  </si>
  <si>
    <t>Produktionens el-mix antages at blive reguleret andetsteds i regnearket fra COWI.</t>
  </si>
  <si>
    <t>Omtrentlig årlig produktion/togsæt-km i DSB</t>
  </si>
  <si>
    <t>Miljø-data el-produktion</t>
  </si>
  <si>
    <t>Beregnet</t>
  </si>
  <si>
    <t>Restlevetid IR4 og nyindkøbte el-tog i 2035</t>
  </si>
  <si>
    <t>Ulemperne ved el-drift er primært miljømæssigt: afhængigheden af el-producentens el-mix og økonomisk: den store investering og vedligehold af det jernbane-specifikke elnet.</t>
  </si>
  <si>
    <t>Der er ingen emissioner direkte fra toget, og der opnås generelt en høj energieffektivitet i selve jernbanesystemet. Set over hele energikæden fra udvinding, fremstilling og transmission af elektrisk energi til forbrug ombord på toget afhænger det dog meget af hvordan strømmen er produceret. Hvis strømmen kommer fra 100% fossilt brændsel kan et diesel-tog godt være lige så miljøvenligt eller bedre end et el-tog alt andet lige.</t>
  </si>
  <si>
    <t>Når man skal beskrive el-togs systemet er der meget vigtigt at gøre sig klart hvor systemgrænserne går for at kunne sammenligne det med alternativer på en fornuftig måde. Der henvises til kilde 1 (http://www.railenergy.eu/RailenergyMethodology.aspx) angående en præcis systemafgrænsning for jernbanesystemet.</t>
  </si>
  <si>
    <t>El-tog har været i drift i over 100 år i mange lande og det er en velkendt og gennemprøvet teknologi som selvfølgelig også er under konstant udvikling. Oprindelig benyttedes kun DC i drift mens man senere er gået over til AC for at mindske tab primært i transmissionen fra transformer til tog. Der benyttes to typer fødning af elektriciteten: OCL (overhead catenary line eller frithængende kabler fra mast) og tredje skinne (jordbaseret fritliggende strømskinne).</t>
  </si>
  <si>
    <t>Elektrisk regionaltogsæt (IR4 DSB)</t>
  </si>
  <si>
    <t>Currency year</t>
  </si>
  <si>
    <t>CURR</t>
  </si>
  <si>
    <t>Efficiency index</t>
  </si>
  <si>
    <t>Start year offset:</t>
  </si>
  <si>
    <t>END</t>
  </si>
  <si>
    <t>Last available year for installation</t>
  </si>
  <si>
    <t>TRADSBL2</t>
  </si>
  <si>
    <t>TRADSBL3</t>
  </si>
  <si>
    <t>TRADSBL4</t>
  </si>
  <si>
    <t>TRAGSBL2</t>
  </si>
  <si>
    <t>TRAGSBL3</t>
  </si>
  <si>
    <t>TRAGSBL4</t>
  </si>
  <si>
    <t>Transport Passengers Car - Hydrogen Fuel-cell Electric Vehicle - Average size - New</t>
  </si>
  <si>
    <t>End</t>
  </si>
  <si>
    <t>Established</t>
  </si>
  <si>
    <t>Tech. learning group:</t>
  </si>
  <si>
    <t>kg/GJ DME</t>
  </si>
  <si>
    <t>GJ mek/GJ DME</t>
  </si>
  <si>
    <t>Recent</t>
  </si>
  <si>
    <t>år</t>
  </si>
  <si>
    <t>Batteriets holdbarhed (max. bilens levetid)</t>
  </si>
  <si>
    <t>Demonstration</t>
  </si>
  <si>
    <t>Euro VI</t>
  </si>
  <si>
    <t>Developing</t>
  </si>
  <si>
    <t xml:space="preserve">Batteriets vægt </t>
  </si>
  <si>
    <t>kg/kWh</t>
  </si>
  <si>
    <t>Batteriets vægt/energi</t>
  </si>
  <si>
    <t>Curb weight, PISI</t>
  </si>
  <si>
    <t>Varebil benzin</t>
  </si>
  <si>
    <t>Som benzinvarebil</t>
  </si>
  <si>
    <t>Curb weight,diesel</t>
  </si>
  <si>
    <t>Fiat Ducato</t>
  </si>
  <si>
    <t>VW/Skoda TDI motor 2.0 150hk, ca 24 km/l</t>
  </si>
  <si>
    <t>Ca. 15% bedre virkningsgrad benzinmotor</t>
  </si>
  <si>
    <t>Turboladet med EGR, direkte indsprøjtning, commonrail</t>
  </si>
  <si>
    <t>Standard diesel motor i en kassevogn VW Transporter eller lign.</t>
  </si>
  <si>
    <t>Inkluderer ladetab, varmeforbrug, motorvejskørsel (jf. GreeneMotion)</t>
  </si>
  <si>
    <t>Dog med antagelse om mindre forbedring end antaget i referencen</t>
  </si>
  <si>
    <t>Afviger fra ref. 68 da batteriet i varebilen er regnet for sig, og antageligt større end antaget i ref. 68</t>
  </si>
  <si>
    <t>10 % er fratrukket, da ladetab angives i IC ladestation</t>
  </si>
  <si>
    <t>Tesla model S, ca. 645.000kr. 502 km rækkevidde - 0,61 MJ el/km (NEDC)</t>
  </si>
  <si>
    <t>BMW i3, ca. 285.000kr. 200 km rækkevidde - 0,46 MJ el/km (NEDC)</t>
  </si>
  <si>
    <t>VW e-Golf, ca. 285.000kr. 190km rækkevidde - 0,46 MJ el/km (NEDC)</t>
  </si>
  <si>
    <t>Da elbilen får sin kabinevarme fra batteriet er både forbrug rækkevidde stærkt afhængig af klima og vejrforhold. Rækkevidden i dansk vintervejr er betydeligt reduceret. Desuden er der betydelige energitab i forbindelse med opladning.</t>
  </si>
  <si>
    <t>Der er ingen lokale emissioner fra bilen, støjniveauet er lavt og der kan opnås samlet højere energieffektivitet end ved almindelige biler med forbrændingsmotor. Dette gælder især ved bykørsel. Kørsel på motorvej øger ligeledes forbruget drastisk. Officielle NEDC målinger af forbrug og rækkevidde er derfor ikke realistiske under danske forhold. I skemaet her under anvendes reelle forbrugstal.</t>
  </si>
  <si>
    <t>Elbiler oplades enten via AC fra nettet eller via DC fra en quick charger. Induktiv ladning er også en mulighed. Batteriskift anvendes ikke længere.  Batteriomkostninger forventes kraftigt reduceret i takt med teknologiudvikling. Samtidigt ventes kapaciteten at stige væsentligt.</t>
  </si>
  <si>
    <t>Alle elbiler er i dag baseret på lithium ion teknologien, dog med forskellig cellekemi og -struktur. Batterierne er både stabile og holdbare.</t>
  </si>
  <si>
    <t>Elektriske personbiler er i dag en moden teknologi, hvis udbredelse dog afhænger meget af lokale rammebetingelser.</t>
  </si>
  <si>
    <t>Elmotor, stort batteri</t>
  </si>
  <si>
    <t xml:space="preserve">Kilde: [25] </t>
  </si>
  <si>
    <t>TSP</t>
  </si>
  <si>
    <t>Energi</t>
  </si>
  <si>
    <t>Euro V</t>
  </si>
  <si>
    <t>Emissioner fra Lastbiler (Diesel RT 20 - 26t)</t>
  </si>
  <si>
    <t>Antaget som lastbil</t>
  </si>
  <si>
    <t>Forringet energieffektivitet i DME fremstilling</t>
  </si>
  <si>
    <t>Mulighed for brug af biomasse som råstof, ingen særlige krav til drivmiddel infrastruktur</t>
  </si>
  <si>
    <t>Lastbil DME</t>
  </si>
  <si>
    <t>Stiger med 20 %</t>
  </si>
  <si>
    <t>Falder med 10 %</t>
  </si>
  <si>
    <t>Antaget som lastbil, men udgifter til forbedrede pakninger</t>
  </si>
  <si>
    <t>Forhøjet korrosion fra kemisk mere aktiv RME, kræver forbedrede pakninger</t>
  </si>
  <si>
    <t>Bedre klimaprofil pga. brændstof, større NOx emission, men lavere partikel og svovl emission</t>
  </si>
  <si>
    <t>Totalvægt 26 ton som solokøretøj, 60 ton som modulvogntog</t>
  </si>
  <si>
    <t>13-liters motor med 460 hk</t>
  </si>
  <si>
    <t>Lastbil til regionaldistribution, 500-800 km kørsel per dag i Danmark</t>
  </si>
  <si>
    <t>Lastbil RME</t>
  </si>
  <si>
    <t>gKWh</t>
  </si>
  <si>
    <t>PM</t>
  </si>
  <si>
    <t>EVV</t>
  </si>
  <si>
    <t>EURO VI</t>
  </si>
  <si>
    <t>EURO V</t>
  </si>
  <si>
    <t>EURO IV</t>
  </si>
  <si>
    <t>EURO III</t>
  </si>
  <si>
    <t>EURO II</t>
  </si>
  <si>
    <t>EURO I</t>
  </si>
  <si>
    <t>TABLE 2: Emission Standards for Diesel and Gas Engines, ETC Test, g/kWh</t>
  </si>
  <si>
    <t>Scania P280 (distribution). Gasforbruget i lastbilen er dog baseret på et gennemsnit af gaslastbilers merforbrug i forhold til diesellastbiler, og er derfor ikke specifik i forhold til denne lastbil</t>
  </si>
  <si>
    <t>Emissioner fra Bybusser (Diesel Urban Buses 15 - 18t)</t>
  </si>
  <si>
    <t>Regnet ud fra antagelsen om at gasbusser og lastbiler gennemsnitligt har et merforbrug på 19 % ift. diesel, jf. ref. 70.</t>
  </si>
  <si>
    <t>Mercedes 12 m. bybus. Gasforbruget i bussen er dog baseret på et gennemsnit af gasbussers merforbrug i forhold til dieselbusser, og er derfor ikke specifik i forhold til denne bus.</t>
  </si>
  <si>
    <t>Udviklingen i effektivitet antages at følge udviklingen af elbussen givet i ref. 69</t>
  </si>
  <si>
    <t>Som dieselbus</t>
  </si>
  <si>
    <t>Dæk, vask, vedligehold og batterigaranti</t>
  </si>
  <si>
    <t>56, Arriva elbusprojekt, korrespondance med Joachim Reinhard Danchell, Movia, 14/10-2014</t>
  </si>
  <si>
    <t>New</t>
  </si>
  <si>
    <t>El-EBusCo, 12 m. bybus</t>
  </si>
  <si>
    <t>Batteriets holdbarhed (max. bussens levetid)</t>
  </si>
  <si>
    <t>5 % mindre vedligehold</t>
  </si>
  <si>
    <t>Olieskift</t>
  </si>
  <si>
    <t>Reparationer, ekskl. dæk og olie</t>
  </si>
  <si>
    <t>86 kW Dieselmotor</t>
  </si>
  <si>
    <t>Bus 4x2 hjul (Volvo B9L), fladt terræn, middel belægning og moderat temperatur uden AC.</t>
  </si>
  <si>
    <t>Bus Hybrid</t>
  </si>
  <si>
    <t>Sheet: Emissions - ton, row 51</t>
  </si>
  <si>
    <t>kg/nm</t>
  </si>
  <si>
    <t>Sheet: Emissions - ton, row 36</t>
  </si>
  <si>
    <t>9000 TEU, 70% capacity, Sheet: Emissions - ton, row 14</t>
  </si>
  <si>
    <t>GJ/nm</t>
  </si>
  <si>
    <t>Middel energiforbrug an skib</t>
  </si>
  <si>
    <t>MJ fremdrift/MJ fuel</t>
  </si>
  <si>
    <t>Overall efficiency</t>
  </si>
  <si>
    <t>km/nm</t>
  </si>
  <si>
    <t>Length of nautical mile</t>
  </si>
  <si>
    <t>knots</t>
  </si>
  <si>
    <t>Cruise Speed</t>
  </si>
  <si>
    <t>UDS/nm</t>
  </si>
  <si>
    <t>Capex</t>
  </si>
  <si>
    <t>ratio</t>
  </si>
  <si>
    <t>Days at sea/total voyage time</t>
  </si>
  <si>
    <t>Interest rate for shipowner</t>
  </si>
  <si>
    <t>USD</t>
  </si>
  <si>
    <t>Cost of ship</t>
  </si>
  <si>
    <t>USD/nm</t>
  </si>
  <si>
    <t>Opex</t>
  </si>
  <si>
    <t>USD/day</t>
  </si>
  <si>
    <t>km</t>
  </si>
  <si>
    <t>Middel energiforbrug an skrue</t>
  </si>
  <si>
    <t>kg/GJd</t>
  </si>
  <si>
    <t>Middel energiforbrug an skib, sekundær</t>
  </si>
  <si>
    <t>Middel energiforbrug an skib, primær</t>
  </si>
  <si>
    <t>Ship service speed at actual draught (70% capacity) has been assumed to be 22knots in 2015, 20 in 2020 and 18 in 2035 and 2050.</t>
  </si>
  <si>
    <t>9000 TEU</t>
  </si>
  <si>
    <t>0 ifølge hans Otto og MAN diesel</t>
  </si>
  <si>
    <t>Approx. 6 times lower than HFO</t>
  </si>
  <si>
    <t>Interview with Hans Otto Kristensen on trends in ship operation, these speeds will also provide conformity to EEDI goals from IMO</t>
  </si>
  <si>
    <t>Hans-Otto Christensen, Dansk Rederiforening, Skønnet værdi pba. expertudsagn, 15% højere end conventionel motor</t>
  </si>
  <si>
    <t>Scaled proportional to container ship</t>
  </si>
  <si>
    <t>MJ mech/MJ fuel</t>
  </si>
  <si>
    <t>Engine efficiency</t>
  </si>
  <si>
    <t>J/kg</t>
  </si>
  <si>
    <t xml:space="preserve"> Calorific value HFO</t>
  </si>
  <si>
    <t>kg/Ws</t>
  </si>
  <si>
    <t xml:space="preserve"> Fuel consumption</t>
  </si>
  <si>
    <t>Sheet: Emission factors, row 26</t>
  </si>
  <si>
    <t xml:space="preserve"> Fuel consumption, main engine</t>
  </si>
  <si>
    <t>% reduction i CO2 emissions</t>
  </si>
  <si>
    <t>Reduction in energy consumption</t>
  </si>
  <si>
    <t>Total cost excl. fuel</t>
  </si>
  <si>
    <t>High speed katamaran ferry</t>
  </si>
  <si>
    <t>Middel energiforbrug an fly pr sæde</t>
  </si>
  <si>
    <t>Gennemsnitlige SAS tal anvendt til beregning af omkostninger</t>
  </si>
  <si>
    <t>SAS group sustainability report jan-oct 2012, p. 48</t>
  </si>
  <si>
    <t>1000km2</t>
  </si>
  <si>
    <t>Noise, 85db area</t>
  </si>
  <si>
    <t>1000 ton</t>
  </si>
  <si>
    <t>kr/km</t>
  </si>
  <si>
    <t>Total unit costs, excl. fuel</t>
  </si>
  <si>
    <t>Total unit costs</t>
  </si>
  <si>
    <t>kr/flight</t>
  </si>
  <si>
    <t>SAS group annual report jan-oct 2012, p. 92</t>
  </si>
  <si>
    <t>kr/pass.km.</t>
  </si>
  <si>
    <t>Total unit cost</t>
  </si>
  <si>
    <t>USD/km</t>
  </si>
  <si>
    <t>Jet fuel cost per km</t>
  </si>
  <si>
    <t>USD/ton</t>
  </si>
  <si>
    <t>Jet fuel price</t>
  </si>
  <si>
    <t>l/km</t>
  </si>
  <si>
    <t>kg/km</t>
  </si>
  <si>
    <t>jet fuel per km</t>
  </si>
  <si>
    <t>jet fuel per flight</t>
  </si>
  <si>
    <t>pass km. per flight</t>
  </si>
  <si>
    <t>ratio sched. to tot seat km</t>
  </si>
  <si>
    <t>seat km. tot</t>
  </si>
  <si>
    <t>seat km. sched</t>
  </si>
  <si>
    <t>pass km. tot</t>
  </si>
  <si>
    <t>pass tot</t>
  </si>
  <si>
    <t>SAS group sustainability report jan-oct 2012, p. 48. Improvement of 1,5 % in fuel economy pr. year until 2035, according to Martin Porsgaard</t>
  </si>
  <si>
    <t>jet fuel used</t>
  </si>
  <si>
    <t>avg. pass km.</t>
  </si>
  <si>
    <t>flights tot.</t>
  </si>
  <si>
    <t>flights sched</t>
  </si>
  <si>
    <t>stk</t>
  </si>
  <si>
    <t>Antal sæder</t>
  </si>
  <si>
    <t>MJ mek/sædekm</t>
  </si>
  <si>
    <t>Middel energiforbrug an "vinge"</t>
  </si>
  <si>
    <t>kg/GJ JetA1</t>
  </si>
  <si>
    <t>Middel energiforbrug an fly, sekundær</t>
  </si>
  <si>
    <t>Middel energiforbrug an fly, primær</t>
  </si>
  <si>
    <t>GJ mek/GJ JetA1</t>
  </si>
  <si>
    <t>Turbofan, 75 ton 168 sæder</t>
  </si>
  <si>
    <t>Turbofan, 75 ton passagerfly</t>
  </si>
  <si>
    <t>MJ/sædekm</t>
  </si>
  <si>
    <t>DKK/(km*sæde)</t>
  </si>
  <si>
    <t>Faste og variable d&amp;v (pr sæde)</t>
  </si>
  <si>
    <t>Ydelse per år (pr sæde)</t>
  </si>
  <si>
    <t>s.6 top, 100 mio. kr. for 5 togsæt. Angivet pr sæde</t>
  </si>
  <si>
    <t>DKK/sæde</t>
  </si>
  <si>
    <t>Gennemsnit fra Lint 41 kørsel på Lokalbanen</t>
  </si>
  <si>
    <t>kg/GJ LNG</t>
  </si>
  <si>
    <t>s.6 top, 100 mio. kr. for 5 togsæt + 2 mio.kr. til LNG powerpacks. Angivet pr sæde</t>
  </si>
  <si>
    <t>Ulempen er at der skal etableres en helt ny jernbane energi-infrastruktur til sikker tankning og opbevaring samt at der er ikke ubetydelige sikkerhedsmæssige risici ved håndtering af LNG, som skal opbevares ved -160 grader Celcius. Derfor vil det formentlig heller ikke komme på tale at benytte LNG i udbredt grad på det primære jernbanenet, hvor høj trafikintensitet samt mange kortere eller længere tunneller vil gøre det umuligt at garantere passagernes sikkerhed ved uheld.</t>
  </si>
  <si>
    <t>Fordelen ved LNG er at den kan bruges direkte i nyere avancerede dieselmotorer evt. ved tilsætning af mindre mængde diesel til antændingen (&lt;10%). Ved forbrændingen opnås 30% lavere CO2 emissioner og 70% lavere NOx emissioner sammenlignet med diesel. Øvrige regulerede emissioner reduceres også betydeligt. LNG har fået betydeligt comeback efter vedvarende fund af betydelige mængder gas bl.a. pga. fracking. For at det kan give mening økonomisk, må gassen være tilgængelig via et højtryksnet (f.eks. DONG's naturgasnet) ellers bliver det alt for dyrt.</t>
  </si>
  <si>
    <t>Selvom der er mange LNG forsøg i gang pt. i USA, Europa, Rusland og i Asien, så er det ikke et eksisterende alternativ til diesel. Det skal derfor understreges at nærværende data kun er en teoretisk tilnærmelse og på ingen måde har nogen forbindelse til virkelig drift i et Lint 41 med passagerer.</t>
  </si>
  <si>
    <t>Brug af gas i dieseldrevne motorer til jernbanedrift har været undersøgt over en længere årrække og helt tilbage til 1990'erne hvis ikke før. Der har været udført test med de forskellige opbevaringsformer som LPG, LNG, CNG samt biogas. Efter en betydelig modning af teknologien, blandt andet understøttet af udviklingen i dieselmotor-teknologien, er der nu bred (global) enighed om at det absolut mest velegnede gas-drivmiddel er LNG på grund af energitætheden, håndteringen og prisen ift. både gas- og dieselalternativerne.</t>
  </si>
  <si>
    <t>Gasdrevet lokaltog (baseret på Lint 41)</t>
  </si>
  <si>
    <t>side. 128. Diesel koster 62 mio, eltog koster 53 mio. Angivet pr sæde</t>
  </si>
  <si>
    <t>side. 128. Angivet pr sæde</t>
  </si>
  <si>
    <t>Hydrogen</t>
  </si>
  <si>
    <t>http://www.agri-outlook.org/</t>
  </si>
  <si>
    <t>Høringssvar til Alternative Drivmidler, jan 2012, SerEnergy A/S, Danish Power Systems, Nordic Green, Aalborg University. inklusiv uddybning per 10/12 2012</t>
  </si>
  <si>
    <t>Forudsætninger for samfundsøkonomiske analyser på energiområdet. Energistyrelsen. April 2011, opdateret dataark oktober 2012</t>
  </si>
  <si>
    <t>SHIP-DESMO-Container Ship - 1 January 2014.xls - https://www.shipowners.dk/services/beregningsvaerktoejer/</t>
  </si>
  <si>
    <t>JEC - Joint Research Centre-EUCAR-CONCAWE collaboration, Tank to Wheels Report, version 4.0, July 2013</t>
  </si>
  <si>
    <t>Statoil, Grønt Regnskab 2012</t>
  </si>
  <si>
    <t>ASTM 7566 - 13, Standard Specification for Aviation Fuel Containing Synthesized Hydrocarbons</t>
  </si>
  <si>
    <t>ASTM 1655 - 13, Standard Specification for Aviation Fuel</t>
  </si>
  <si>
    <t>Biogas i Danmark - status, barrierer og perspektiver, Biogas Taskforce, November 2013, Kap 8, Biogasøkonomi. Ea-energianalyser har leveret den bagvedliggende data.</t>
  </si>
  <si>
    <t>http://www.energinet.dk/SiteCollectionDocuments/Danske%20dokumenter/Gas/Faktablad%20-%20gaskvalitet.pdf</t>
  </si>
  <si>
    <t>IFRO rapport 220: Biogasproduktion i Danmark – Vurderinger af drifts- og samfundsøkonomi, 2013, tabel 5.6. http://curis.ku.dk/ws/files/46258309/IFRO_rapport_220.pdf</t>
  </si>
  <si>
    <t>FORCE, Danish Energy Agency, 2013, Technology data for advanced bioenergy fuels.</t>
  </si>
  <si>
    <t>Energistyrelsen Juni 1999. Brændselsprisforudsætninger for samfundsøkonomiske beregninger</t>
  </si>
  <si>
    <t>Energistyrelsen. Forudsætninger for samfundsøkonomiske analyser på energi-området. Maj 2009</t>
  </si>
  <si>
    <t>www.cleanfuelconnection.com</t>
  </si>
  <si>
    <t>Energistyrelsen (2006): Appendiks: Forudsætninger for samfundsøkonomiske analyser på energiområdet. Energistyrelsen, juli 2006.</t>
  </si>
  <si>
    <t>Niras (2011). Strategisk analyse af electrificering af banenettet - Opgave A, strategianalysen. Banedanmark.</t>
  </si>
  <si>
    <t>LNG LTD. Improved LNG process - Better Economics for Future Projects. http://www.lnglimited.com.au/IRM/content/default.aspx</t>
  </si>
  <si>
    <t xml:space="preserve">Ea Enerrgy Analyses (2013)  "Analysis of biomass prices, future Danish prices for straw, wood chips and wood pellets (draft 21-03-2013)", </t>
  </si>
  <si>
    <t>COWI/SDU 2013: Life Cycle Assessment of bioenergy pathways for the future Danish energy system</t>
  </si>
  <si>
    <t>IFPRI (2010): Global Trade and Environmental Impact Study of the EU Biofuels Mandate</t>
  </si>
  <si>
    <t>EU projektet Railenergy (www.railenergy.eu)</t>
  </si>
  <si>
    <t>"European Benchmarking of the costs, performance and revenues of GB TOCs", Prepared for the Office of Rail Regulation, Hamburg, November 20th, 2012, Civity Management Consultants, http://www.rail-reg.gov.uk/upload/pdf/civity-toc-benchmarking-201112.pdf (modificeret dansk værdi ift EU gns.: 2,4£ x 1,36)</t>
  </si>
  <si>
    <t>Baseret på viden og praktisk erfaring fra tekniske eksperter fra jernbanesektoren i Danmark og internationale faglige netværk</t>
  </si>
  <si>
    <t>Det lovgivende dokument for ikke vejgående maskiner (Non-Road Mobile Machinery, NRMM) indeholder i dag syv direktiver: "moder"-direktivet 97/68/EC, direktivændringerne som fremgår af Direktiv 2002/88/EC, Direktiv 2004/26/EC, Direktiv 2006/105/EC, Direktiv 2015/26/EU, Direktiv 2011/88/EU , og den sidste ændring af Direktiv 2012/46/EU, http://ec.europa.eu/enterprise/sectors/mechanical/documents/legislation/emissions-non-road</t>
  </si>
  <si>
    <t>Lokalbanen, www.lokalbanen.dk/om-lokalbanen/miljoe</t>
  </si>
  <si>
    <t>ETH, Zürich, http://www.ethlife.ethz.ch/archive_articles/130912_erdgasdieselhybrid_cn/index_EN</t>
  </si>
  <si>
    <t>Bilag til lokalbaneplan for Østbanen, Region Sjælland</t>
  </si>
  <si>
    <t>RAMMEVILKÅR FOR GAS TIL TUNG VEJTRANSPORT, Energistyrelsen, 2014</t>
  </si>
  <si>
    <t>Maritime Economics, Martin Stopford, 3rd edition, 2009, chapter 13, Routledge</t>
  </si>
  <si>
    <t>Fast Ferry International, http://www.fastferryinfo.com/</t>
  </si>
  <si>
    <t>Upstream Emissions of Fossil Fuel Feedstocks for Transport Fuels Consumed in the EU, International Council on Clean Transportation (ICCT), 2014.</t>
  </si>
  <si>
    <t>Energiscenarier frem mod 2020, 2035 og 2050. 2014, Energistyrelsen</t>
  </si>
  <si>
    <t>Arriva elbusprojekt, korrespondance med Joachim Reinhard Danchell, Movia, 14/10-2014</t>
  </si>
  <si>
    <t>Forudsætninger for samfundsøkonomiske analyser på energiområdet, Energistyrelsen, 2014</t>
  </si>
  <si>
    <t>Danmarks energi- og klimafremskrivning 2014, Energistyrelsen, 2014</t>
  </si>
  <si>
    <t>Efficiency and cost evolution of zero carbon technology pathways to 2050: The case of light duty battery electric vehicles (BEVs), Cuenot, 2014, Energistyrelsen</t>
  </si>
  <si>
    <t>Lifecycle Analysis Comparison of a Battery Electric Vehicle and a Conventional Gasoline Vehicle, Aguirre et al. 2012, Californian Air Ressource Board</t>
  </si>
  <si>
    <t>CO2 emissions from fuel combustion - highlights, 2013, IEA</t>
  </si>
  <si>
    <t>World Energy Outlook, 2014, IEA</t>
  </si>
  <si>
    <t>COWI/SDU: Carbon footprint of bioenergy pathways for the future Danish energy system, main report, 2014</t>
  </si>
  <si>
    <t>JEC WTW study Version 4a,  2014</t>
  </si>
  <si>
    <t>EUDP: "Technology data for hydrogen technologies", part of "Analysis for commercialization of hydrogen technologies" 2015</t>
  </si>
  <si>
    <t>US DOE: "Fuel Cell System Cost - 2013" http://www.hydrogen.energy.gov/pdfs/14012_fuel_cell_system_cost_2013.pdf</t>
  </si>
  <si>
    <t>Electric Power Research Institute (2013): Total Cost of Ownership Model for Current Plug-in Electric Vehicles</t>
  </si>
  <si>
    <t>Validering af energiforbrugsdata for køretøjer i AD modellen. Teknologisk Institut, 2015</t>
  </si>
  <si>
    <t>Analyse nr. 18- Fremtidig vejtransport, 2015, Dansk Energi</t>
  </si>
  <si>
    <t>ADDITION OF MATERIALS DATA TO THE DANISH TRANSPORTATION LCA MODEL, (S&amp;T)2 Consultants Inc., 2014</t>
  </si>
  <si>
    <t>A case for Life Cycle Assessment Light Duty Truck Vehicle, WorldSteelAuto 2014</t>
  </si>
  <si>
    <t>9000 TEU container ship - overall efficiency - propulsion and auxiliary power included, Notat fra Hans Otto Kristensen, 2015</t>
  </si>
  <si>
    <t>REVIEW OF TECHNOLOGY DATA FOR ADVANCED BIOENERGY FUELS</t>
  </si>
  <si>
    <t>Landbrug og Fødevarers prisdatabase, september 2015</t>
  </si>
  <si>
    <t>Ciriminna et al. 2014: Understanding the glycerol market. European journal og lipid science and technology.</t>
  </si>
  <si>
    <t>International Energy Agency: World Energy Outlook 2014</t>
  </si>
  <si>
    <t>GHGenius 4.03a, http://www.ghgenius.ca/</t>
  </si>
  <si>
    <t>Less oil, more CO2? ASPO Netherlands, 2009, http://www.peakoil.nl/wp-content/uploads/2009/05/april_2009_less_oil_more_co2_aspo_netherlands.pdf</t>
  </si>
  <si>
    <t>Dansk Eenrgi Transportmodel v. 5.0</t>
  </si>
  <si>
    <t>Energiforbrug for tog og fly, Teknologisk Institut, 2016</t>
  </si>
  <si>
    <t>2015</t>
  </si>
  <si>
    <t>MKr11</t>
  </si>
  <si>
    <t>Transport Passengers Motorcycle - Gasoline Engine - Blending2 - New</t>
  </si>
  <si>
    <t>Transport Passengers Motorcycle - Gasoline Engine - Blending3 - New</t>
  </si>
  <si>
    <t>Transport Passengers Motorcycle - Gasoline Engine - Blending4 - New</t>
  </si>
  <si>
    <t>Transport Passengers Moped - Gasoline Engine - Blending2 - New</t>
  </si>
  <si>
    <t>Transport Passengers Moped - Gasoline Engine - Blending3 - New</t>
  </si>
  <si>
    <t>Transport Passengers Moped - Gasoline Engine - Blending4 - New</t>
  </si>
  <si>
    <t>Transport Passengers Motorcycle - Dedicated ethanol - New</t>
  </si>
  <si>
    <t>Transport Passengers Moped - Dedicated ethanol - New</t>
  </si>
  <si>
    <t>Transport Passengers - Electric Bike - New</t>
  </si>
  <si>
    <t>Transport Passengers - Bicycle - New</t>
  </si>
  <si>
    <t>Transport Passengers Car - Flex-Fuel Ethanol - Average size - New</t>
  </si>
  <si>
    <t>PHEV</t>
  </si>
  <si>
    <t>Transport Passengers Car - Hybrid Electric Vehicle Gasoline 2 - Average size - New</t>
  </si>
  <si>
    <t>Transport Passengers Car - Hybrid Electric Vehicle Gasoline 3 - Average size - New</t>
  </si>
  <si>
    <t>Transport Passengers Car - Hybrid Electric Vehicle Gasoline 4 - Average size - New</t>
  </si>
  <si>
    <t>All new transport technologies to be added in the SubRES</t>
  </si>
  <si>
    <t>TRADSB</t>
  </si>
  <si>
    <t>Transport Freight Truck -RME - New</t>
  </si>
  <si>
    <t>km/MJ</t>
  </si>
  <si>
    <t>International</t>
  </si>
  <si>
    <t>ACTFLO~DEMO</t>
  </si>
  <si>
    <t>passengers/vehicle</t>
  </si>
  <si>
    <t>MKr15</t>
  </si>
  <si>
    <t>Passengers/vehicle</t>
  </si>
  <si>
    <t>AFA</t>
  </si>
  <si>
    <t>Max km per year</t>
  </si>
  <si>
    <t>Transport Passengers Car - Battery Electric Vehicle - Average battery size - New</t>
  </si>
  <si>
    <t>SHARE-I</t>
  </si>
  <si>
    <t>Share-I~LO~0</t>
  </si>
  <si>
    <t>Occupancy in base year</t>
  </si>
  <si>
    <t>(Mvehic*km)/PJ</t>
  </si>
  <si>
    <t>CEFF-I</t>
  </si>
  <si>
    <t>Share-I~0</t>
  </si>
  <si>
    <t>Battery</t>
  </si>
  <si>
    <t>Transport Passengers Public Buses - Electric - New</t>
  </si>
  <si>
    <t>Transport Passengers Coaches - Electric - New</t>
  </si>
  <si>
    <t>Transport Passengers Public Buses - Diesel Hybrid - Blending 2 - New</t>
  </si>
  <si>
    <t>Transport Passengers Public Buses - Diesel Hybrid - Blending 3 - New</t>
  </si>
  <si>
    <t>Transport Passengers Public Buses - Diesel Hybrid - Blending 4 - New</t>
  </si>
  <si>
    <t>Transport Passengers Coaches - Diesel Hybrid - Blending 2 - New</t>
  </si>
  <si>
    <t>Transport Passengers Coaches - Diesel Hybrid - Blending 3 - New</t>
  </si>
  <si>
    <t>Transport Passengers Coaches - Diesel Hybrid - Blending 4 - New</t>
  </si>
  <si>
    <t>MKr13</t>
  </si>
  <si>
    <t>TRANGBL2</t>
  </si>
  <si>
    <t>TRANGBL3</t>
  </si>
  <si>
    <t>TRANGBL4</t>
  </si>
  <si>
    <t>Transport Passengers Public Buses - Diesel Engine - Blending 2 - New</t>
  </si>
  <si>
    <t>Transport Passengers Public Buses - Diesel Engine- Blending 3 - New</t>
  </si>
  <si>
    <t>Transport Passengers Public Buses - Diesel Engine - Blending 4 - New</t>
  </si>
  <si>
    <t>Transport Passengers Coaches - Diesel Engine - Blending 2 - New</t>
  </si>
  <si>
    <t>Transport Passengers Coaches - Diesel Engine- Blending 3 - New</t>
  </si>
  <si>
    <t>Transport Passengers Coaches - Diesel Engine - Blending 4 - New</t>
  </si>
  <si>
    <t>Transport Passengers Public Buses - Gas Engine - Blending 2 - New</t>
  </si>
  <si>
    <t>Transport Passengers Public Buses - Gas Engine- Blending 3 - New</t>
  </si>
  <si>
    <t>Transport Passengers Public Buses - Gas Engine - Blending 4 - New</t>
  </si>
  <si>
    <t>Transport Passengers Coaches - Gas Engine - Blending 2 - New</t>
  </si>
  <si>
    <t>Transport Passengers Coaches - Gas Engine- Blending 3 - New</t>
  </si>
  <si>
    <t>Transport Passengers Coaches - Gas Engine - Blending 4 - New</t>
  </si>
  <si>
    <t>Transport Passengers Rail S-train - Electric - New</t>
  </si>
  <si>
    <t>kr/seat =</t>
  </si>
  <si>
    <t>Mkr/kseat</t>
  </si>
  <si>
    <t>Transport Passengers Rail Metro - Electric  - New</t>
  </si>
  <si>
    <t>Transport Passengers Rail Other train - Electric - New</t>
  </si>
  <si>
    <t>Transport Passengers Rail Other train - Diesel Engine - Blending 2 - New</t>
  </si>
  <si>
    <t>Transport Passengers Rail Other train - Diesel Engine - Blending 3 - New</t>
  </si>
  <si>
    <t>Transport Passengers Rail Other train - Diesel Engine - Blending 4 - New</t>
  </si>
  <si>
    <t>CAPUNIT</t>
  </si>
  <si>
    <t>Transport Passengers - Walk - New</t>
  </si>
  <si>
    <t>DKK/moto</t>
  </si>
  <si>
    <t>Assumptions costs moto and mopeds</t>
  </si>
  <si>
    <t>Assumptions for costs</t>
  </si>
  <si>
    <t>DKK/vehicle</t>
  </si>
  <si>
    <t>TPPANKEBL1E</t>
  </si>
  <si>
    <t>TPPAIKEBL1E</t>
  </si>
  <si>
    <t>TPPANAVGSLE</t>
  </si>
  <si>
    <t>Mvkm/PJ</t>
  </si>
  <si>
    <t>TFFAIKEBL1E</t>
  </si>
  <si>
    <t>€/moto</t>
  </si>
  <si>
    <t>45, "European Benchmarking of the costs, performance and revenues of GB TOCs", Prepared for the Office of Rail Regulation, Hamburg, November 20th, 2012, Civity Management Consultants, http://www.rail-reg.gov.uk/upload/pdf/civity-toc-benchmarking-201112.pdf (modificeret dansk værdi ift EU gns.: 2,4£ x 1,36)</t>
  </si>
  <si>
    <t>Varom costs</t>
  </si>
  <si>
    <t>Only including mantainance of rolling stock</t>
  </si>
  <si>
    <t>From: Civity, European Benchmarking of the costs, performance and revenues of GB TOCs, Final Report</t>
  </si>
  <si>
    <t>Commuter train</t>
  </si>
  <si>
    <t>DKK/trainkm</t>
  </si>
  <si>
    <t>Regional train</t>
  </si>
  <si>
    <t>Long distance train</t>
  </si>
  <si>
    <t>From: EA - Vehicle energy use and costs</t>
  </si>
  <si>
    <t>Transport Passengers Air National - Biokerosene 2- New</t>
  </si>
  <si>
    <t>Transport Freight Air International - Biokerosene 2 - New</t>
  </si>
  <si>
    <t>Transport Freight Air International - Biokerosene 3 - New</t>
  </si>
  <si>
    <t>Transport Freight Air International - Biokerosene 4 - New</t>
  </si>
  <si>
    <t>Transport Passengers Car - Diesel Engine - Blending 2 - Average size - New</t>
  </si>
  <si>
    <t>Transport Passengers Car - Diesel Engine - Blending 3 - Average size - New</t>
  </si>
  <si>
    <t>Transport Passengers Car - Diesel Engine - Blending 4 - Average size - New</t>
  </si>
  <si>
    <t>Transport Passengers Car - Otto Engine - Blending 2 - Average size - New</t>
  </si>
  <si>
    <t>Transport Passengers Car - Otto Engine - Blending 3 - Average size - New</t>
  </si>
  <si>
    <t>Transport Passengers Car - Otto Engine - Blending 4 - Average size - New</t>
  </si>
  <si>
    <t>Transport Passengers Car - Gas Engine - Blending 2 - Average size - New</t>
  </si>
  <si>
    <t>Transport Passengers Car - Gas Engine - Blending 3 - Average size - New</t>
  </si>
  <si>
    <t>Transport Passengers Car - Gas Engine - Blending 4 - Average size - New</t>
  </si>
  <si>
    <t>5, Concawe (2011): Well-to-wheels analysis of future automotive fuels and power-trains in the European Context. November 2011.</t>
  </si>
  <si>
    <t>6, Nyt fra Danmarks Statistik, Motorparken 2010.</t>
  </si>
  <si>
    <t>3, Transportøkonomiske enhedspriser 2010, DTU , Institut for transport</t>
  </si>
  <si>
    <t>7, EU kommisionens forordning nr. 692/2008 om EURO V og VI normer</t>
  </si>
  <si>
    <t>Transport Freight Truck - Diesel Engine - Blending 2 - New</t>
  </si>
  <si>
    <t>Transport Freight Truck - Diesel Engine - Blending 3 - New</t>
  </si>
  <si>
    <t>Transport Freight Truck - Diesel Engine - Blending 4 - New</t>
  </si>
  <si>
    <t>Transport Freight Truck - Gas Engine - Blending 2 - New</t>
  </si>
  <si>
    <t>Transport Freight Truck - Gas Engine - Blending 3 - New</t>
  </si>
  <si>
    <t>Transport Freight Truck - Gas Engine - Blending 4 - New</t>
  </si>
  <si>
    <t>Transport Freight Van - Diesel Engine - Blending 2 - New</t>
  </si>
  <si>
    <t>Transport Freight Van - Diesel Engine - Blending 3 - New</t>
  </si>
  <si>
    <t>Transport Freight Van - Diesel Engine - Blending 4 - New</t>
  </si>
  <si>
    <t>Transport Freight Van - Otto Engine - Blending 2 - New</t>
  </si>
  <si>
    <t>Transport Freight Van - Otto Engine - Blending 3 - New</t>
  </si>
  <si>
    <t>Transport Freight Van - Otto Engine - Blending 4 - New</t>
  </si>
  <si>
    <t>Transport Freight Van - Electricity - New</t>
  </si>
  <si>
    <t>Efficiency improvement</t>
  </si>
  <si>
    <t>Transport Freight Train - Diesel Engine - Blending 2 - New</t>
  </si>
  <si>
    <t>Transport Freight Train - Diesel Engine - Blending 3 - New</t>
  </si>
  <si>
    <t>Transport Freight Train - Diesel Engine - Blending 4 - New</t>
  </si>
  <si>
    <t>Transport Freight Train - Electric - New</t>
  </si>
  <si>
    <t>Transport passenger Ship Internnational - Fuel Oil - Blending 2 - New</t>
  </si>
  <si>
    <t>Transport passenger Ship Internnational - Fuel Oil - Blending 3 - New</t>
  </si>
  <si>
    <t>Transport passenger Ship Internnational - Fuel Oil - Blending 4 - New</t>
  </si>
  <si>
    <t>Mvehicle*km/PJ</t>
  </si>
  <si>
    <t>68, Validering af energiforbrugsdata for køretøjer i AD modellen. Teknologisk Institut, 2015</t>
  </si>
  <si>
    <t>79, Dansk Eenrgi Transportmodel v. 5.0</t>
  </si>
  <si>
    <t>51, RAMMEVILKÅR FOR GAS TIL TUNG VEJTRANSPORT, Energistyrelsen, 2014</t>
  </si>
  <si>
    <t>20, Oplysninger per email fra Niels Frees, Trafikstyrelsen, bekræftet af ENS. 07-09-2012.</t>
  </si>
  <si>
    <t>19, Emails fra Kurt Vinther (kurt.vinther@volvo.com), Volvo d. 23/1-2012</t>
  </si>
  <si>
    <t>80, Energiforbrug for tog og fly, Teknologisk Institut, 2016</t>
  </si>
  <si>
    <t>46, Baseret på viden og praktisk erfaring fra tekniske eksperter fra jernbanesektoren i Danmark og internationale faglige netværk</t>
  </si>
  <si>
    <t>39, Niras (2011). Strategisk analyse af electrificering af banenettet - Opgave A, strategianalysen. Banedanmark.</t>
  </si>
  <si>
    <t>47, Det lovgivende dokument for ikke vejgående maskiner (Non-Road Mobile Machinery, NRMM) indeholder i dag syv direktiver: "moder"-direktivet 97/68/EC, direktivændringerne som fremgår af Direktiv 2002/88/EC, Direktiv 2004/26/EC, Direktiv 2006/105/EC, Direktiv 2015/26/EU, Direktiv 2011/88/EU , og den sidste ændring af Direktiv 2012/46/EU, http://ec.europa.eu/enterprise/sectors/mechanical/documents/legislation/emissions-non-road</t>
  </si>
  <si>
    <t>50, Bilag til lokalbaneplan for Østbanen, Region Sjælland</t>
  </si>
  <si>
    <t>48, Lokalbanen, www.lokalbanen.dk/om-lokalbanen/miljoe</t>
  </si>
  <si>
    <t>15, Oplysninger per email fra Steffen Müller, produktionschef i Volvo Danmark, november 2011</t>
  </si>
  <si>
    <t>24, SHIP-DESMO-Container Ship - 1 January 2014.xls - https://www.shipowners.dk/services/beregningsvaerktoejer/</t>
  </si>
  <si>
    <t>53, Fast Ferry International, http://www.fastferryinfo.com/</t>
  </si>
  <si>
    <t>Share-O~UP~0</t>
  </si>
  <si>
    <t>Share-O~UP~2012</t>
  </si>
  <si>
    <t>TPCAX</t>
  </si>
  <si>
    <t>TPCAS</t>
  </si>
  <si>
    <t>TPCAM</t>
  </si>
  <si>
    <t>TPCAL</t>
  </si>
  <si>
    <t/>
  </si>
  <si>
    <t>TRAGSBL5</t>
  </si>
  <si>
    <t>Date</t>
  </si>
  <si>
    <t>Name</t>
  </si>
  <si>
    <t>Sheet Name</t>
  </si>
  <si>
    <t>Cells</t>
  </si>
  <si>
    <t>Comments</t>
  </si>
  <si>
    <t>Olexandr Balyk</t>
  </si>
  <si>
    <t>TRA_Bikes</t>
  </si>
  <si>
    <t>Removed input commodity and efficiency for this process</t>
  </si>
  <si>
    <t>TRA_Walk</t>
  </si>
  <si>
    <t>NCAP_AFA</t>
  </si>
  <si>
    <t>Mileage, km</t>
  </si>
  <si>
    <t>TRA_Cars</t>
  </si>
  <si>
    <t>Added availability factor for cars (moved from trans)</t>
  </si>
  <si>
    <t>EU El personbil</t>
  </si>
  <si>
    <t>Update from Mikkel on battery cost</t>
  </si>
  <si>
    <t>Update from Mikkel on power train cost</t>
  </si>
  <si>
    <t>Mikkel added conversion to DKK</t>
  </si>
  <si>
    <t>EU Plugin Hybrid personbil</t>
  </si>
  <si>
    <t>Mikkel's changes. Same battery costs as for EVs</t>
  </si>
  <si>
    <t>2010 Lab Year</t>
  </si>
  <si>
    <t>2020 Lab Year</t>
  </si>
  <si>
    <t>2025 Lab Year</t>
  </si>
  <si>
    <t>2030 Lab Year</t>
  </si>
  <si>
    <t>2045 Lab Year</t>
  </si>
  <si>
    <t>low tech</t>
  </si>
  <si>
    <t>avg tech</t>
  </si>
  <si>
    <t>high tech</t>
  </si>
  <si>
    <t>SI Conv</t>
  </si>
  <si>
    <t>Vehicle Cost LOW</t>
  </si>
  <si>
    <t>Vehicle Cost AVG</t>
  </si>
  <si>
    <t>Vehicle Cost HIGH</t>
  </si>
  <si>
    <t>CI Conv</t>
  </si>
  <si>
    <t>E85 Conv</t>
  </si>
  <si>
    <t>CNG Conv</t>
  </si>
  <si>
    <t>SI Split HEV</t>
  </si>
  <si>
    <t>SI Erev HEV PHEV40</t>
  </si>
  <si>
    <t>CI Split HEV</t>
  </si>
  <si>
    <t>CI Erev HEV PHEV40</t>
  </si>
  <si>
    <t>H2 Split HEV</t>
  </si>
  <si>
    <t>H2 Split HEV PHEV10</t>
  </si>
  <si>
    <t>H2 Split HEV PHEV20</t>
  </si>
  <si>
    <t>H2 Erev HEV PHEV30</t>
  </si>
  <si>
    <t>H2 Erev HEV PHEV40</t>
  </si>
  <si>
    <t>FC HEV</t>
  </si>
  <si>
    <t>FC HEV PHEV40</t>
  </si>
  <si>
    <t>BEV DM-100</t>
  </si>
  <si>
    <t>BEV 100</t>
  </si>
  <si>
    <t>BEV DM-200</t>
  </si>
  <si>
    <t>BEV 200</t>
  </si>
  <si>
    <t>BEV DM-300</t>
  </si>
  <si>
    <t>BEV 300</t>
  </si>
  <si>
    <t>Car type</t>
  </si>
  <si>
    <t>Fuel</t>
  </si>
  <si>
    <t>All costs are in USD</t>
  </si>
  <si>
    <t>Petrol</t>
  </si>
  <si>
    <t xml:space="preserve">Hydrogen </t>
  </si>
  <si>
    <t>Ethanoel</t>
  </si>
  <si>
    <t>Petrol Electricity</t>
  </si>
  <si>
    <t>Diesel Electricity</t>
  </si>
  <si>
    <t>Electricity</t>
  </si>
  <si>
    <t>Hydrogen Electricity</t>
  </si>
  <si>
    <t>Data sheet on investment costs of cars before taxes and VAT, the average tech and cost group has been selected as reference for the TIMES-DK model</t>
  </si>
  <si>
    <t>Three cost groups have been used, low, average and high</t>
  </si>
  <si>
    <t>Three risk levels has been used, calculated based on a monte carlo analysis, corrosponding to; 10 % uncertainty (alligned with original-equipment-manufacturer (OEM) improvements based on regulations, 50 % uncertainty, and 90 % uncertainty (alligned with agreesive technology advancement based on the DOE VTO)</t>
  </si>
  <si>
    <t>Data sheet used for lookups in the background data</t>
  </si>
  <si>
    <t>cost group</t>
  </si>
  <si>
    <t>car type</t>
  </si>
  <si>
    <t>Fuel cell</t>
  </si>
  <si>
    <t>Gas PHEV</t>
  </si>
  <si>
    <t>Petrol Hybrids</t>
  </si>
  <si>
    <t>Ethanoel hybrids</t>
  </si>
  <si>
    <t>Ethanoel PHEV</t>
  </si>
  <si>
    <t>Gas Hybrids</t>
  </si>
  <si>
    <t>Possible additions to car stock</t>
  </si>
  <si>
    <t>tech level</t>
  </si>
  <si>
    <t>MKr16</t>
  </si>
  <si>
    <t>DKK/USD</t>
  </si>
  <si>
    <t>Average lifetime of vehicels is assumed to be 16 year based on the "Alternative drivmiddel-modellen", Oktober 2017</t>
  </si>
  <si>
    <t>Average annual distance per vehicles is assumed to be 18000 km/year, based on the "Alternative drivmiddel-modellen", Oktober 2017</t>
  </si>
  <si>
    <t>Assumptions specific for Denmark:</t>
  </si>
  <si>
    <t>city fraction:</t>
  </si>
  <si>
    <t>min ajd factor:</t>
  </si>
  <si>
    <t>UDDS</t>
  </si>
  <si>
    <t>EV Only</t>
  </si>
  <si>
    <t>Wh/mile</t>
  </si>
  <si>
    <t>Distance</t>
  </si>
  <si>
    <t>miles</t>
  </si>
  <si>
    <t>HWFET</t>
  </si>
  <si>
    <t>Combined</t>
  </si>
  <si>
    <t>Wh/m, Adj</t>
  </si>
  <si>
    <t>Wh/mile for Battery Energy Consumption</t>
  </si>
  <si>
    <t>MPGGE for Engine Fuel Economy</t>
  </si>
  <si>
    <t>MPGGE: Miles per Gallon Gasoline Equivalent</t>
  </si>
  <si>
    <t>CD</t>
  </si>
  <si>
    <t>MPGGE Unadjusted</t>
  </si>
  <si>
    <t>MPGGE Adjusted</t>
  </si>
  <si>
    <t>CS</t>
  </si>
  <si>
    <t>CD+CS</t>
  </si>
  <si>
    <t>Unadjusted</t>
  </si>
  <si>
    <t>Adjusted</t>
  </si>
  <si>
    <t>The Single-mode (input split) for car and only Multi-mode for trucks</t>
  </si>
  <si>
    <t>This worksheet describes Conventional, Hybrid and Fuel Cell vehicle Fuel Economy in Miles per Gallon</t>
  </si>
  <si>
    <t>Abbreviation</t>
  </si>
  <si>
    <t>Description</t>
  </si>
  <si>
    <t>City Cycle</t>
  </si>
  <si>
    <t>Highway Cycle</t>
  </si>
  <si>
    <t>Unadjusted Fuel Economy values</t>
  </si>
  <si>
    <t>Adjusted Fuel Economy values</t>
  </si>
  <si>
    <t>Efficiency for BEV</t>
  </si>
  <si>
    <t>Efficiency for PHEV in both primary fuel and electricity consumption</t>
  </si>
  <si>
    <t>MJ/L</t>
  </si>
  <si>
    <t>Samlede kørselsomkostninger</t>
  </si>
  <si>
    <r>
      <t xml:space="preserve">Her er alle kørselsomkostningerne samlet og opgjort som gennemsnitlige og marginale omkostninger henholdsvis uden og med afgifter. Omkostningerne omfatter drivmiddel, dæk, reparation og vedligehold (inkl. olie og ejerafgift for så vidt angår de gennemsnitlige omkostninger inkl. afgifter) samt afskrivninger. Omkostningerne er baseret på et studie af Cowi 2016 </t>
    </r>
    <r>
      <rPr>
        <i/>
        <sz val="10"/>
        <rFont val="Arial"/>
        <family val="2"/>
      </rPr>
      <t xml:space="preserve">Opdatering af kørselsomkostninger i transportøkonomiske enhedspriser, </t>
    </r>
    <r>
      <rPr>
        <sz val="10"/>
        <rFont val="Arial"/>
        <family val="2"/>
      </rPr>
      <t>hvor omkostninger er opgjort for en række typiske konkrete biler i bilparken. De er baseret på reglerne for afgifterne for 2016. Der foreligger et regneark med mere detaljerede oplysninger om de enkeltre biltyper og deres sammenvejning. Omkostningerne varierer over tid grundet ændringer i priser på drivmidler og forbedringer af energieffektiviteten.</t>
    </r>
  </si>
  <si>
    <t>Kørselsomkostninger for benzin-personbiler opgjort som gennemsnitlige omkostninger med og uden afgifter</t>
  </si>
  <si>
    <t>priser</t>
  </si>
  <si>
    <t>kr./km</t>
  </si>
  <si>
    <t>ekskl. afgifter</t>
  </si>
  <si>
    <t>Dæk</t>
  </si>
  <si>
    <t>Reparation og vedligeholdelse</t>
  </si>
  <si>
    <t>Afskrivninger</t>
  </si>
  <si>
    <t>inkl. afgifter</t>
  </si>
  <si>
    <t>Ejerafgift</t>
  </si>
  <si>
    <t>Kørselsomkostninger for benzin-personbiler opgjort som marginale omkostninger med og uden afgifter</t>
  </si>
  <si>
    <t>Kørselsomkostninger for diesel-personbiler opgjort som gennemsnitlige omkostninger med og uden afgifter</t>
  </si>
  <si>
    <t>Kørselsomkostninger for diesel-personbiler opgjort som marginale omkostninger med og uden afgifter</t>
  </si>
  <si>
    <t>Kørselsomkostninger for Hybrid-personbiler opgjort som gennemsnitlige omkostninger med og uden afgifter</t>
  </si>
  <si>
    <t xml:space="preserve">Note: Benzindreven </t>
  </si>
  <si>
    <t>Kørselsomkostninger for hybrid-personbiler opgjort som marginale omkostninger med og uden afgifter</t>
  </si>
  <si>
    <t>Kørselsomkostninger for el-personbiler opgjort som gennemsnitlige omkostninger med og uden afgifter</t>
  </si>
  <si>
    <t>Note: Elbiler er fritaget for registrerings- og ejerafgift til og med 2015, og her er fritagelsen beregningsteknisk fortsat derefter.Ifølge aftale af 9/10 2015 indfases afgifterne i perioden 2016-2020, men små elbiler, som er repræsenteret ovenfor, vil få en ret lav afgift.</t>
  </si>
  <si>
    <t>Kørselsomkostninger for el-personbiler opgjort som marginale omkostninger med og uden afgifter</t>
  </si>
  <si>
    <t>Average operation and maintenance costs for vehicles according to fuel type</t>
  </si>
  <si>
    <t xml:space="preserve">Fuel cell cars assumed to have the same operation and maintenance costs as hybrids as the current car types avaiable on the market is a hybrid fuel cell/electric </t>
  </si>
  <si>
    <t>Gas cars assumed to have the same operation and maintenance costs as petrol cars as the current car types avaiable on the market is a modified spark ignition engine</t>
  </si>
  <si>
    <t>Driving parameter</t>
  </si>
  <si>
    <t>Efficiency parameter</t>
  </si>
  <si>
    <t>convesion factor for eff</t>
  </si>
  <si>
    <t>Fuel type</t>
  </si>
  <si>
    <t>Unit</t>
  </si>
  <si>
    <t>MJ/kWh</t>
  </si>
  <si>
    <t>Efficiency for single fuel vehicles in Miles per Gallon petrol eq.</t>
  </si>
  <si>
    <t xml:space="preserve">Efficency </t>
  </si>
  <si>
    <t>Share of trafic work</t>
  </si>
  <si>
    <t>Weighted share</t>
  </si>
  <si>
    <t>3) Adjustning efficiency parameters to replicate energy statistics in base year (2010) from the VT_DK_TRA sheet</t>
  </si>
  <si>
    <t>MPGGE to km/l or Wh/m to Wh/km</t>
  </si>
  <si>
    <t>use this value</t>
  </si>
  <si>
    <t>efficiency of cars</t>
  </si>
  <si>
    <t>reference eff</t>
  </si>
  <si>
    <t>km/GJ</t>
  </si>
  <si>
    <t>EL</t>
  </si>
  <si>
    <t>km/L</t>
  </si>
  <si>
    <t>petrol</t>
  </si>
  <si>
    <t>share of fuel</t>
  </si>
  <si>
    <t>TRAELCEV</t>
  </si>
  <si>
    <t>Mikkel Bosack Simonsen</t>
  </si>
  <si>
    <t>TRA_TRUCKS</t>
  </si>
  <si>
    <t>Updates of vans investment costs according to the sources and updated Electric vans to develop at the same trend as for cars</t>
  </si>
  <si>
    <t>All vehicles</t>
  </si>
  <si>
    <t>all</t>
  </si>
  <si>
    <t>Updates of car costs and efficiencies, based on the source autonomie.net</t>
  </si>
  <si>
    <t xml:space="preserve">Updates of efficiency of allvehicles, new vehicles are based on efficiencies for new vehicles rather than existing stock. Source for all other vehicles than cars are based on the "transportmodellen" </t>
  </si>
  <si>
    <t xml:space="preserve">Reference of efficiency for busses, taken from the VT_DK_TRA </t>
  </si>
  <si>
    <t>Driving pattern</t>
  </si>
  <si>
    <t>Extra Short &lt;5 km</t>
  </si>
  <si>
    <t>Short 5-25 km</t>
  </si>
  <si>
    <t>Medium 25-50 km</t>
  </si>
  <si>
    <t>Long &gt;50 km</t>
  </si>
  <si>
    <t>AVG. Eff</t>
  </si>
  <si>
    <t xml:space="preserve">Public busses </t>
  </si>
  <si>
    <t>Coaches</t>
  </si>
  <si>
    <t>Note: source is based on public city busses, therefore the efficiency is assumed to develop at similar pace for coaches</t>
  </si>
  <si>
    <t>for now not used</t>
  </si>
  <si>
    <t>Metro</t>
  </si>
  <si>
    <t>S-Train</t>
  </si>
  <si>
    <t>electric</t>
  </si>
  <si>
    <t>Other train</t>
  </si>
  <si>
    <t>Type</t>
  </si>
  <si>
    <t>it is assumed that metro and s train have the same efficiency as normal electric trains</t>
  </si>
  <si>
    <t>seats assumptions</t>
  </si>
  <si>
    <t>S-train</t>
  </si>
  <si>
    <t>Source for S-Train and other trains</t>
  </si>
  <si>
    <t>Assumed to be half of S-Train</t>
  </si>
  <si>
    <t>Truck</t>
  </si>
  <si>
    <t>Van</t>
  </si>
  <si>
    <t>Gasoline</t>
  </si>
  <si>
    <t>https://data.bloomberglp.com/bnef/sites/14/2017/07/BNEF-Lithium-ion-battery-costs-and-market.pdf</t>
  </si>
  <si>
    <t>assumed vans must be able to drive 400 km per charge</t>
  </si>
  <si>
    <t>kWh/KM</t>
  </si>
  <si>
    <t>kWh capacity</t>
  </si>
  <si>
    <t>Transport Freight Truck -Electric - New</t>
  </si>
  <si>
    <t>TRA_Trucks</t>
  </si>
  <si>
    <t>Update and applied new EV profiles for both truks and vans</t>
  </si>
  <si>
    <t>TPCADSBL2N</t>
  </si>
  <si>
    <t>TPCADSBL3N</t>
  </si>
  <si>
    <t>TPCADSBL4N</t>
  </si>
  <si>
    <t>TPCAGSBL2N</t>
  </si>
  <si>
    <t>TPCAGSBL3N</t>
  </si>
  <si>
    <t>TPCAGSBL4N</t>
  </si>
  <si>
    <t>TPCANGBL2N</t>
  </si>
  <si>
    <t>TPCANGBL3N</t>
  </si>
  <si>
    <t>TPCANGBL4N</t>
  </si>
  <si>
    <t>TPCAELCX1N</t>
  </si>
  <si>
    <t>TPCAELCH2N</t>
  </si>
  <si>
    <t>TPCAELCH3N</t>
  </si>
  <si>
    <t>TPCAELCH4N</t>
  </si>
  <si>
    <t>TPCAH2GX1N</t>
  </si>
  <si>
    <t>TPCAGSBL5N</t>
  </si>
  <si>
    <t>TPXS</t>
  </si>
  <si>
    <t>TPS</t>
  </si>
  <si>
    <t>TPM</t>
  </si>
  <si>
    <t>TPL</t>
  </si>
  <si>
    <t>TPMTGSBL2N</t>
  </si>
  <si>
    <t>TPMTGSBL3N</t>
  </si>
  <si>
    <t>TPMTGSBL4N</t>
  </si>
  <si>
    <t>TPMPGSBL2N</t>
  </si>
  <si>
    <t>TPMPGSBL3N</t>
  </si>
  <si>
    <t>TPMPGSBL4N</t>
  </si>
  <si>
    <t>TPMTGSBL5N</t>
  </si>
  <si>
    <t>TPMPGSBL5N</t>
  </si>
  <si>
    <t>TPBIKING1N</t>
  </si>
  <si>
    <t>TPWALKXX1N</t>
  </si>
  <si>
    <t>BIKEcom</t>
  </si>
  <si>
    <t>TPBUELCX1N</t>
  </si>
  <si>
    <t>TPCOELCX1N</t>
  </si>
  <si>
    <t>TPBUDSBL2H</t>
  </si>
  <si>
    <t>TPBUDSBL3H</t>
  </si>
  <si>
    <t>TPBUDSBL4H</t>
  </si>
  <si>
    <t>TPCODSBL2H</t>
  </si>
  <si>
    <t>TPCODSBL3H</t>
  </si>
  <si>
    <t>TPCODSBL4H</t>
  </si>
  <si>
    <t>TPBUDSBL2N</t>
  </si>
  <si>
    <t>TPBUDSBL3N</t>
  </si>
  <si>
    <t>TPBUDSBL4N</t>
  </si>
  <si>
    <t>TPCODSBL2N</t>
  </si>
  <si>
    <t>TPCODSBL3N</t>
  </si>
  <si>
    <t>TPCODSBL4N</t>
  </si>
  <si>
    <t>TPBUNGBL2N</t>
  </si>
  <si>
    <t>TPBUNGBL3N</t>
  </si>
  <si>
    <t>TPBUNGBL4N</t>
  </si>
  <si>
    <t>TPCONGBL2N</t>
  </si>
  <si>
    <t>TPCONGBL3N</t>
  </si>
  <si>
    <t>TPCONGBL4N</t>
  </si>
  <si>
    <t>TPRSELCX1N</t>
  </si>
  <si>
    <t>TPRMELCX1N</t>
  </si>
  <si>
    <t>TPROELCX1N</t>
  </si>
  <si>
    <t>TPRODSBL2N</t>
  </si>
  <si>
    <t>TPRODSBL3N</t>
  </si>
  <si>
    <t>TPRODSBL4N</t>
  </si>
  <si>
    <t>TFRA</t>
  </si>
  <si>
    <t>TFRLDSBL2N</t>
  </si>
  <si>
    <t>TFRLDSBL3N</t>
  </si>
  <si>
    <t>TFRLDSBL4N</t>
  </si>
  <si>
    <t>TFRLELCX1N</t>
  </si>
  <si>
    <t>TFTRDSBL2N</t>
  </si>
  <si>
    <t>TFTS</t>
  </si>
  <si>
    <t>TFTN</t>
  </si>
  <si>
    <t>TFTI</t>
  </si>
  <si>
    <t>TFTRDSBL3N</t>
  </si>
  <si>
    <t>TFTRDSBL4N</t>
  </si>
  <si>
    <t>TFVADSBL2N</t>
  </si>
  <si>
    <t>TFVS</t>
  </si>
  <si>
    <t>TFVL</t>
  </si>
  <si>
    <t>TFVADSBL3N</t>
  </si>
  <si>
    <t>TFVADSBL4N</t>
  </si>
  <si>
    <t>TFVAGSBL2N</t>
  </si>
  <si>
    <t>TFVAGSBL3N</t>
  </si>
  <si>
    <t>TFVAGSBL4N</t>
  </si>
  <si>
    <t>TFVAELCX1N</t>
  </si>
  <si>
    <t>TFTRDSBX1N</t>
  </si>
  <si>
    <t>TFTREVX1N</t>
  </si>
  <si>
    <t>TPPSI</t>
  </si>
  <si>
    <t>Share-I~FX~0</t>
  </si>
  <si>
    <t>TRADSBL2C</t>
  </si>
  <si>
    <t>TRADSBL3C</t>
  </si>
  <si>
    <t>TRADSBL4C</t>
  </si>
  <si>
    <t>TRAGSBL2C</t>
  </si>
  <si>
    <t>TRAGSBL3C</t>
  </si>
  <si>
    <t>TRAGSBL4C</t>
  </si>
  <si>
    <t>TRANGBL2C</t>
  </si>
  <si>
    <t>TRANGBL3C</t>
  </si>
  <si>
    <t>TRANGBL4C</t>
  </si>
  <si>
    <t>TRAELCEVC</t>
  </si>
  <si>
    <t>TRAGSBL5C</t>
  </si>
  <si>
    <t>Update fuel for cars (fuel tech cars only)</t>
  </si>
  <si>
    <t xml:space="preserve">Adjusted according to base year average AFA for all cars </t>
  </si>
  <si>
    <t>Based on Tesla EV truck with 800 km range or approx. 500 km real life range, assumed battery pack price of 120 in 2020 and decreasing according to studies to 75 US dollars in 2030</t>
  </si>
  <si>
    <t>MKr17</t>
  </si>
  <si>
    <t xml:space="preserve">Based on Daimers E-Fuso truck load of 11 ton compared to normal 13 ton load </t>
  </si>
  <si>
    <t>Loss in efficiency due to increasing weight of batteries (2020, assumed to be 1, as battery weight decreases in the future and it will have no impact (can be adjusted)</t>
  </si>
  <si>
    <t>Loss in efficiency due to increasing weight of batteries (2030, assumed to be 1, as battery weight decreases in the future and it will have no impact (can be adjusted)</t>
  </si>
  <si>
    <t>Comm-OUT-A</t>
  </si>
  <si>
    <t>Output</t>
  </si>
  <si>
    <t>Auxilary Output ratio between Pkm and Mtonkm</t>
  </si>
  <si>
    <t>TRAHFON</t>
  </si>
  <si>
    <t>Based on assumption that Tesla truck consumes 2 kWh/mile (1000 kwh to 500 miles range) and a 0.7 reality factor as for cars</t>
  </si>
  <si>
    <t>Based on Diesel trucks, matching all parameters except for fuel input</t>
  </si>
  <si>
    <t>Transport Freight Van - GSB Engine - Blending 2 - New</t>
  </si>
  <si>
    <t>Transport Freight Van - GSB Engine - Blending 4 - New</t>
  </si>
  <si>
    <t>Transport Freight Van - GSB Engine - Blending 3 - New</t>
  </si>
  <si>
    <t>TRAOILBL2N</t>
  </si>
  <si>
    <t>TRAOILBL3N</t>
  </si>
  <si>
    <t>TFTRGSBL2N</t>
  </si>
  <si>
    <t>TFTRGSBL3N</t>
  </si>
  <si>
    <t>TFTRGSBL4N</t>
  </si>
  <si>
    <t>Sheet: Emissions - ton, row 31</t>
  </si>
  <si>
    <t>CAPEX per day</t>
  </si>
  <si>
    <t>CAPEX per year</t>
  </si>
  <si>
    <t>Interview with Hans Otto Kristensen on trends in ship operation</t>
  </si>
  <si>
    <t>Hans-Otto Christensen, Dansk Rederiforening, Skønnet værdi pba. expertudsagn</t>
  </si>
  <si>
    <t>CAPEX</t>
  </si>
  <si>
    <t>MJ mek/year</t>
  </si>
  <si>
    <t>9000 TEU containerskib er den fremherskende containerskibsstørrelse pt. Det er den største skibstype, der kan passere den nye Panama kanal. Trenden går mod større skibe der sejler langsomere.</t>
  </si>
  <si>
    <t>10 times lower than HFO</t>
  </si>
  <si>
    <t>2,7 times lower than HFO</t>
  </si>
  <si>
    <t>9000 TEU Dual Fuel</t>
  </si>
  <si>
    <t>TPBIKELC1N</t>
  </si>
  <si>
    <t>Needs to be updated every second year, next update expected to be avaiable in 2020</t>
  </si>
  <si>
    <t>It is assumed as the source is based on US values, that the midsize cars values is similar to an average danish/european car as the price levels are evaluated seperately for each car group</t>
  </si>
  <si>
    <t>Source: Autonomie.net (Assessment of vehicle sizing, energy consumption and cost through large scale simulation og advandeced vehicle technology, 2020)</t>
  </si>
  <si>
    <t>Source: Autonomie.net (Assessment of vehicle sizing, energy consumption and cost through large scale simulation og advandeced vehicle technology, 2018)</t>
  </si>
  <si>
    <t>Midsize</t>
  </si>
  <si>
    <t>Difference from 2016 version in Gas and gasoline cars</t>
  </si>
  <si>
    <t>Difference in cost between gas and gasoline cars, Taken from the 2016 version as gas cars does not exist in 2018 version</t>
  </si>
  <si>
    <t>Ethanol cars are assumed to cast the same as gasoline cars</t>
  </si>
  <si>
    <t>Assumed similar development as for electric cars</t>
  </si>
  <si>
    <t>assumed similar trend between diesel and electric vans as are present for electric trucks</t>
  </si>
  <si>
    <t>*TFTRNGBL2N</t>
  </si>
  <si>
    <t>*</t>
  </si>
  <si>
    <t>*TFTRNGBL3N</t>
  </si>
  <si>
    <t>*TFTRNGBL4N</t>
  </si>
  <si>
    <t>LR</t>
  </si>
  <si>
    <t>YEAR</t>
  </si>
  <si>
    <t>ACTFLO~DEMO~DKE</t>
  </si>
  <si>
    <t>AFA~DKE</t>
  </si>
  <si>
    <t>AFA~DKW</t>
  </si>
  <si>
    <t>EFF~DKE</t>
  </si>
  <si>
    <t>EFF~DKW</t>
  </si>
  <si>
    <t>Share-I~UP</t>
  </si>
  <si>
    <t>Share-I~FX</t>
  </si>
  <si>
    <t>CAP2ACT</t>
  </si>
  <si>
    <t>Share-I~UP~0</t>
  </si>
  <si>
    <t>*Discription</t>
  </si>
  <si>
    <t>currency year</t>
  </si>
  <si>
    <t>Activity to Flo</t>
  </si>
  <si>
    <t>Utilisation factor</t>
  </si>
  <si>
    <t>Efficiency</t>
  </si>
  <si>
    <t>Variable cost</t>
  </si>
  <si>
    <t>Fixed OM cost</t>
  </si>
  <si>
    <t>Investment cost</t>
  </si>
  <si>
    <t>Input Share</t>
  </si>
  <si>
    <t xml:space="preserve">Capacity to Activity Factor </t>
  </si>
  <si>
    <t>MKr2010</t>
  </si>
  <si>
    <t xml:space="preserve"> (passenger/ferry)</t>
  </si>
  <si>
    <t>Max. km/year/vehicle</t>
  </si>
  <si>
    <t>Mvehicle-km/PJ</t>
  </si>
  <si>
    <t>M€/(kvehicle*km)</t>
  </si>
  <si>
    <t>MKr/kvehicle</t>
  </si>
  <si>
    <t>(kvehicle/Mvehicle)</t>
  </si>
  <si>
    <t>TRAMFO2</t>
  </si>
  <si>
    <t>TPSS</t>
  </si>
  <si>
    <t>MKr10</t>
  </si>
  <si>
    <t>TRAMFO3</t>
  </si>
  <si>
    <t>TPSM</t>
  </si>
  <si>
    <t>TPSL</t>
  </si>
  <si>
    <t>TPSXL</t>
  </si>
  <si>
    <t>ACTFLO~DEMO~DKW</t>
  </si>
  <si>
    <t>*source</t>
  </si>
  <si>
    <t>Source:https://www.siemens.com/press/en/pressrelease/?press=/en/pressrelease/2015/processindustries-drives/pr2015050200pden.htm&amp;content[]=PD</t>
  </si>
  <si>
    <t>Added cost of an electric ferry was estimated to be 18% over conventional ferry https://www.siemens.com/press/pool/de/feature/2015/processindustries-drives/2015-10-scandlines/study-seven-out-of-ten-e.pdf</t>
  </si>
  <si>
    <t>TRAMOB</t>
  </si>
  <si>
    <t>Transport Passengers Ferry Short Distance - 530kW DICI Engine</t>
  </si>
  <si>
    <t>Transport Passengers Ferry Medium Distance - 1396kW DICI Engine</t>
  </si>
  <si>
    <t>Transport Passengers Ferry Long Distance - 3429 kW DICI Engine</t>
  </si>
  <si>
    <t>Transport Passengers Ferry Extra Long Distance - 32160 kW DICI Engine</t>
  </si>
  <si>
    <t>Transport Passengers Ferry Short Distance - 530kW PISI Engine</t>
  </si>
  <si>
    <t>Transport Passengers Ferry Medium Distance - 1396kW PISI Engine</t>
  </si>
  <si>
    <t>Transport Passengers Ferry Long Distance - 3429 kW PISI Engine</t>
  </si>
  <si>
    <t>Transport Passengers Ferry Extra Long Distance - 32160 kW PISI Engine</t>
  </si>
  <si>
    <t>Transport Passengers Ferry Short Distance - 530kW PIDF Engine</t>
  </si>
  <si>
    <t>Transport Passengers Ferry Medium Distance - 1396kW PIDF Engine</t>
  </si>
  <si>
    <t>Transport Passengers Ferry Long Distance - 3429 kW PIDF Engine</t>
  </si>
  <si>
    <t>Transport Passengers Ferry Extra Long Distance - 32160 kW PIDF Engine</t>
  </si>
  <si>
    <t>Transport Passengers Ferry Short Distance - ELC Engine</t>
  </si>
  <si>
    <t>Transport Passengers Ferry Medium Distance - ELC Engine</t>
  </si>
  <si>
    <t>Transport Passengers Ferry Short Distance - Methanol DICI 530 Kw Engine</t>
  </si>
  <si>
    <t>Transport Passengers Ferry Medium Distance - Methanol DICI 1396 kW Engine</t>
  </si>
  <si>
    <t>Transport Passengers Ferry Long Distance - Methanol DICI 3429 kW Engine</t>
  </si>
  <si>
    <t>Transport Passengers Ferry Extra Long Distance - Methanol DICI 32160 kW Engine</t>
  </si>
  <si>
    <t>Transport Passengers Ferry Short Distance - H2 DICI 530 kW Engine</t>
  </si>
  <si>
    <t>Transport Passengers Ferry Medium Distance - H2 DICI 1396 kW Engine</t>
  </si>
  <si>
    <t>Transport Passengers Ferry Short Distance - MFO Fuel cell 530 kW Engine</t>
  </si>
  <si>
    <t>Transport Passengers Ferry Medium Distance - MFO Fuel cell 1396 kW Engine</t>
  </si>
  <si>
    <t>Transport Passengers Ferry Short Distance - Methanol Fuel cell 530 kW Engine</t>
  </si>
  <si>
    <t>Transport Passengers Ferry Medium Distance - Methanol Fuel cell 1396 kW Engine</t>
  </si>
  <si>
    <t>Transport Passengers Ferry Short Distance - H2 Fuel cell 530 kW Engine</t>
  </si>
  <si>
    <t>Transport Passengers Ferry Medium Distance - H2 Fuel cell 1396 kW Engine</t>
  </si>
  <si>
    <t>Transport Passengers Ferry Short Distance - LNG Fuel cell 530 kW Engine</t>
  </si>
  <si>
    <t>Transport Passengers Ferry Medium Distance - LNG Fuel cell 1396 kW Engine</t>
  </si>
  <si>
    <t xml:space="preserve"> (ton/vessel)</t>
  </si>
  <si>
    <t>MKr/(kvehicle*km)</t>
  </si>
  <si>
    <t>TFSL</t>
  </si>
  <si>
    <t>TFSD</t>
  </si>
  <si>
    <t>TFSC</t>
  </si>
  <si>
    <t>TFSR</t>
  </si>
  <si>
    <t>*Source:The added cost of the scrubber (1.8 M€/ vessel) is from 'Marine Scrubbers:The Guide 2015'. OM cost 1% of the inv.</t>
  </si>
  <si>
    <t>Transport Freight Liquid Bulk - DICI SMALL Engine</t>
  </si>
  <si>
    <t>Transport Freight Liquid Bulk - DICI MEDIUM Engine</t>
  </si>
  <si>
    <t>Transport Freight Liquid Bulk - DICI LARGE Engine</t>
  </si>
  <si>
    <t>Transport Freight Liquid Bulk - DICI LARGE Engine With Scrubber</t>
  </si>
  <si>
    <t>Transport Freight Dry Bulk - DICI SMALL Engine</t>
  </si>
  <si>
    <t>Transport Freight Dry Bulk - DICI MEDIUM Engine</t>
  </si>
  <si>
    <t>Transport Freight Dry Bulk - DICI LARGE Engine</t>
  </si>
  <si>
    <t>Transport Freight Dry Bulk - DICI LARGE Engine With Scrubber</t>
  </si>
  <si>
    <t>Transport Freight Containerised Cargo - DICI SMALL Engine</t>
  </si>
  <si>
    <t>Transport Freight Containerised Cargo - DICI MEDIUM Engine</t>
  </si>
  <si>
    <t>Transport Freight Containerised Cargo - DICI LARGE Engine</t>
  </si>
  <si>
    <t>Transport Freight Containerised Cargo - DICI LARGE Engine With Scrubber</t>
  </si>
  <si>
    <t>Transport Freight Ro-Ro Cargo - DICI SMALL Engine</t>
  </si>
  <si>
    <t>Transport Freight Ro-Ro Cargo - DICI MEDIUM Engine</t>
  </si>
  <si>
    <t>Transport Freight Liquid Bulk - Methanol DICI SMALL Engine</t>
  </si>
  <si>
    <t>Transport Freight Liquid Bulk - Methanol DICI MEDIUM Engine</t>
  </si>
  <si>
    <t>Transport Freight Liquid Bulk - Methanol DICI LARGE Engine</t>
  </si>
  <si>
    <t>Transport Freight Liquid Bulk - H2 DICI SMALL Engine</t>
  </si>
  <si>
    <t>Transport Freight Liquid Bulk - H2 DICI MEDIUM Engine</t>
  </si>
  <si>
    <t>Transport Freight Liquid Bulk - H2 DICI LARGE Engine</t>
  </si>
  <si>
    <t>Transport Freight Dry Bulk - Methanol DICI SMALL Engine</t>
  </si>
  <si>
    <t>Transport Freight Dry Bulk - Methanol DICI MEDIUM Engine</t>
  </si>
  <si>
    <t>Transport Freight Dry Bulk - Methanol DICI LARGE Engine</t>
  </si>
  <si>
    <t>Transport Freight Dry Bulk - H2 DICI SMALL Engine</t>
  </si>
  <si>
    <t>Transport Freight Dry Bulk - H2 DICI MEDIUM Engine</t>
  </si>
  <si>
    <t>Transport Freight Dry Bulk - H2 DICI LARGE Engine</t>
  </si>
  <si>
    <t>Transport Freight Containerised Cargo - Methanol DICI SMALL Engine</t>
  </si>
  <si>
    <t>Transport Freight Containerised Cargo - Methanol DICI MEDIUM Engine</t>
  </si>
  <si>
    <t>Transport Freight Containerised Cargo - Methanol DICI LARGE Engine</t>
  </si>
  <si>
    <t>Transport Freight Containerised Cargo - H2 DICI SMALL Engine</t>
  </si>
  <si>
    <t>Transport Freight Containerised Cargo - H2 DICI MEDIUM Engine</t>
  </si>
  <si>
    <t>Transport Freight Containerised Cargo - H2 DICI LARGE Engine</t>
  </si>
  <si>
    <t>Transport Freight Ro-Ro Cargo - Methanol DICI SMALL Engine</t>
  </si>
  <si>
    <t>Transport Freight Ro-Ro Cargo - Methanol DICI MEDIUM Engine</t>
  </si>
  <si>
    <t>Transport Freight Ro-Ro Cargo - H2 DICI SMALL Engine</t>
  </si>
  <si>
    <t>Transport Freight Ro-Ro Cargo - H2 DICI MEDIUM Engine</t>
  </si>
  <si>
    <t>Transport Freight Liquid Bulk - LNG PISI SMALL Engine</t>
  </si>
  <si>
    <t>Transport Freight Liquid Bulk - LNG PISI MEDIUM Engine</t>
  </si>
  <si>
    <t>Transport Freight Liquid Bulk - LNG PISI LARGE Engine</t>
  </si>
  <si>
    <t>Transport Freight Dry Bulk - LNG PISI SMALL Engine</t>
  </si>
  <si>
    <t>Transport Freight Dry Bulk - LNG PISI MEDIUM Engine</t>
  </si>
  <si>
    <t>Transport Freight Dry Bulk - LNG PISI LARGE Engine</t>
  </si>
  <si>
    <t>Transport Freight Containerised Cargo - LNG PISI SMALL Engine</t>
  </si>
  <si>
    <t>Transport Freight Containerised Cargo - LNG PISI MEDIUM Engine</t>
  </si>
  <si>
    <t>Transport Freight Containerised Cargo - LNG PISI LARGE Engine</t>
  </si>
  <si>
    <t>Transport Freight Ro-Ro Cargo - LNG PISI SMALL Engine</t>
  </si>
  <si>
    <t>Transport Freight Ro-Ro Cargo - LNG PISI MEDIUM Engine</t>
  </si>
  <si>
    <t>Transport Freight Liquid Bulk - LNG PIDF SMALL Engine</t>
  </si>
  <si>
    <t>Transport Freight Liquid Bulk - LNG PIDF MEDIUM Engine</t>
  </si>
  <si>
    <t>Transport Freight Liquid Bulk - LNG PIDF LARGE Engine</t>
  </si>
  <si>
    <t>Transport Freight Dry Bulk - LNG PIDF SMALL Engine</t>
  </si>
  <si>
    <t>Transport Freight Dry Bulk - LNG PIDF MEDIUM Engine</t>
  </si>
  <si>
    <t>Transport Freight Dry Bulk - LNG PIDF LARGE Engine</t>
  </si>
  <si>
    <t>Transport Freight Containerised Cargo - LNG PIDF SMALL Engine</t>
  </si>
  <si>
    <t>Transport Freight Containerised Cargo - LNG PIDF MEDIUM Engine</t>
  </si>
  <si>
    <t>Transport Freight Containerised Cargo - LNG PIDF LARGE Engine</t>
  </si>
  <si>
    <t>Transport Freight Ro-Ro Cargo - LNG PIDF SMALL Engine</t>
  </si>
  <si>
    <t>Transport Freight Ro-Ro Cargo - LNG PIDF MEDIUM Engine</t>
  </si>
  <si>
    <t>Transport Freight Liquid Bulk - ELC SMALL Engine</t>
  </si>
  <si>
    <t>Transport Freight Liquid Bulk - ELC MEDIUM Engine</t>
  </si>
  <si>
    <t>Transport Freight Dry Bulk - ELC SMALL Engine</t>
  </si>
  <si>
    <t>Transport Freight Dry Bulk - ELC MEDIUM Engine</t>
  </si>
  <si>
    <t>Transport Freight Containerised Cargo - ELC SMALL Engine</t>
  </si>
  <si>
    <t>Transport Freight Containerised Cargo - ELC MEDIUM Engine</t>
  </si>
  <si>
    <t>Transport Freight Ro-Ro Cargo - ELC SMALL Engine</t>
  </si>
  <si>
    <t>Transport Freight Ro-Ro Cargo - ELC MEDIUM Engine</t>
  </si>
  <si>
    <t>Transport Freight Liquid Bulk - MGO SMALL FC</t>
  </si>
  <si>
    <t>Transport Freight Liquid Bulk - MGO MEDIUM FC</t>
  </si>
  <si>
    <t>Transport Freight Liquid Bulk - Methanol SMALL FC</t>
  </si>
  <si>
    <t>Transport Freight Liquid Bulk - Methanol MEDIUM FC</t>
  </si>
  <si>
    <t>Transport Freight Liquid Bulk - H2 SMALL FC</t>
  </si>
  <si>
    <t>Transport Freight Liquid Bulk - H2 MEDIUM FC</t>
  </si>
  <si>
    <t>Transport Freight Liquid Bulk - LNG SMALL FC</t>
  </si>
  <si>
    <t>Transport Freight Liquid Bulk - LNG MEDIUM FC</t>
  </si>
  <si>
    <t>Transport Freight Dry Bulk - MGO SMALL FC</t>
  </si>
  <si>
    <t>Transport Freight Dry Bulk - MGO MEDIUM FC</t>
  </si>
  <si>
    <t>Transport Freight Dry Bulk - Methanol SMALL FC</t>
  </si>
  <si>
    <t>Transport Freight Dry Bulk - Methanol MEDIUM FC</t>
  </si>
  <si>
    <t>Transport Freight Dry Bulk - H2 SMALL FC</t>
  </si>
  <si>
    <t>Transport Freight Dry Bulk - H2 MEDIUM FC</t>
  </si>
  <si>
    <t>Transport Freight Dry Bulk - LNG SMALL FC</t>
  </si>
  <si>
    <t>Transport Freight Dry Bulk - LNG MEDIUM FC</t>
  </si>
  <si>
    <t>Transport Freight Containerised Cargo - MGO SMALL FC</t>
  </si>
  <si>
    <t>Transport Freight Containerised Cargo - MGO MEDIUM FC</t>
  </si>
  <si>
    <t>Transport Freight Containerised Cargo - Methanol SMALL FC</t>
  </si>
  <si>
    <t>Transport Freight Containerised Cargo - Methanol MEDIUM FC</t>
  </si>
  <si>
    <t>Transport Freight Containerised Cargo - H2 SMALL FC</t>
  </si>
  <si>
    <t>Transport Freight Containerised Cargo - H2 MEDIUM FC</t>
  </si>
  <si>
    <t>Transport Freight Containerised Cargo - LNG SMALL FC</t>
  </si>
  <si>
    <t>Transport Freight Containerised Cargo - LNG MEDIUM FC</t>
  </si>
  <si>
    <t>Transport Freight Ro-Ro Cargo - MGO SMALL FC</t>
  </si>
  <si>
    <t>Transport Freight Ro-Ro Cargo - MGO MEDIUM FC</t>
  </si>
  <si>
    <t>Transport Freight Ro-Ro Cargo - Methanol SMALL FC</t>
  </si>
  <si>
    <t>Transport Freight Ro-Ro Cargo - Methanol MEDIUM FC</t>
  </si>
  <si>
    <t>Transport Freight Ro-Ro Cargo - H2 SMALL FC</t>
  </si>
  <si>
    <t>Transport Freight Ro-Ro Cargo - H2 MEDIUM FC</t>
  </si>
  <si>
    <t>Transport Freight Ro-Ro Cargo - LNG SMALL FC</t>
  </si>
  <si>
    <t>Transport Freight Ro-Ro Cargo - LNG MEDIUM FC</t>
  </si>
  <si>
    <t>TFSRI</t>
  </si>
  <si>
    <t>TFSLI</t>
  </si>
  <si>
    <t>TFSDI</t>
  </si>
  <si>
    <t>TFSCI</t>
  </si>
  <si>
    <t>Speed in nautic miles/h</t>
  </si>
  <si>
    <t>https://orbit.dtu.dk/files/127119694/Psaraftis_Kontovas_SPEED_VRP_2014_v4.0.pdf</t>
  </si>
  <si>
    <t>https://ec.europa.eu/environment/air/pdf/chapter2_ship_emissions.pdf</t>
  </si>
  <si>
    <t>Distance ships</t>
  </si>
  <si>
    <t>Transport Freight RORO - DICI LARGE Engine</t>
  </si>
  <si>
    <t>Transport Freight RORO - Methanol DICI LARGE Engine</t>
  </si>
  <si>
    <t>Transport Freight RORO - H2 DICI LARGE Engine</t>
  </si>
  <si>
    <t>Transport Freight RORO - LNG PISI LARGE Engine</t>
  </si>
  <si>
    <t>Transport Freight RORO - LNG PIDF LARGE Engine</t>
  </si>
  <si>
    <t>https://pubs.acs.org/doi/abs/10.1021/es5018575</t>
  </si>
  <si>
    <t>Short sea</t>
  </si>
  <si>
    <t>Deep sea ships</t>
  </si>
  <si>
    <t>Container ship</t>
  </si>
  <si>
    <t>H2 ICE</t>
  </si>
  <si>
    <t>Fuel oil ICE</t>
  </si>
  <si>
    <t>Methanoel ICE</t>
  </si>
  <si>
    <t>LNG ICE</t>
  </si>
  <si>
    <t>Fuel oil FC</t>
  </si>
  <si>
    <t>Methanoel FC</t>
  </si>
  <si>
    <t>LNG FC</t>
  </si>
  <si>
    <t>H2 FC</t>
  </si>
  <si>
    <t>Price development of Vessel as a result of power unit (kUSD/kW)</t>
  </si>
  <si>
    <t>Price development of engine as a result of power unit (USD/kW)</t>
  </si>
  <si>
    <t>Efficiency of engine types</t>
  </si>
  <si>
    <t>Price development of storage as a result of power unit (USD/GJ)</t>
  </si>
  <si>
    <t>The engine size is estimated using the ccorrelation between DWT and engine power [4]:</t>
  </si>
  <si>
    <t>Power (kW)=0.746*α* (DWT)β</t>
  </si>
  <si>
    <t>Where: DWT-dead weight tonnage of the ship</t>
  </si>
  <si>
    <t>Table 5: Constants by crago type</t>
  </si>
  <si>
    <t>Ship type</t>
  </si>
  <si>
    <t>α</t>
  </si>
  <si>
    <t>β</t>
  </si>
  <si>
    <t>Container</t>
  </si>
  <si>
    <t>Ro-Ro</t>
  </si>
  <si>
    <t>Bulk carrier</t>
  </si>
  <si>
    <t>Tanker</t>
  </si>
  <si>
    <t xml:space="preserve">From TIMES-DKGAS model documentation and G. P. Piko, Regression Analysis of Ship Characteristics. 1980, The Department of Infrastructure, Regional Development and Cities, Australia. </t>
  </si>
  <si>
    <t>Power unit of the engine</t>
  </si>
  <si>
    <t>Passenger</t>
  </si>
  <si>
    <t>DWT (´000)</t>
  </si>
  <si>
    <t>Load factor "at sea"</t>
  </si>
  <si>
    <t>Share-I~LO</t>
  </si>
  <si>
    <t>Shipping type</t>
  </si>
  <si>
    <t>average distance (km)</t>
  </si>
  <si>
    <t>Cargo average (t)</t>
  </si>
  <si>
    <t>ktkm</t>
  </si>
  <si>
    <t>Share of total shipping</t>
  </si>
  <si>
    <t>DBK</t>
  </si>
  <si>
    <t>LBK</t>
  </si>
  <si>
    <t>LCNT</t>
  </si>
  <si>
    <t>OTH</t>
  </si>
  <si>
    <t>RO_MNSP</t>
  </si>
  <si>
    <t>RO_MSP</t>
  </si>
  <si>
    <t>Load capacity factors per shipping type</t>
  </si>
  <si>
    <t>https://www.transportmeasures.org/en/wiki/manuals/sea/load-capacity-utilisation/</t>
  </si>
  <si>
    <t>Type of ship</t>
  </si>
  <si>
    <t>size DWT</t>
  </si>
  <si>
    <t>Capacity utilazation</t>
  </si>
  <si>
    <t>Oil tanker</t>
  </si>
  <si>
    <t>Product tanker</t>
  </si>
  <si>
    <t>Chemical tanker</t>
  </si>
  <si>
    <t>LPG tanker</t>
  </si>
  <si>
    <t>General Cargo</t>
  </si>
  <si>
    <t>Reefer</t>
  </si>
  <si>
    <t>Vehicle</t>
  </si>
  <si>
    <t>RO-RO</t>
  </si>
  <si>
    <t>20000+</t>
  </si>
  <si>
    <t>10000-20000</t>
  </si>
  <si>
    <t>0-10000</t>
  </si>
  <si>
    <t>All</t>
  </si>
  <si>
    <t>Type of Ships</t>
  </si>
  <si>
    <t>Liquid bulk</t>
  </si>
  <si>
    <t>Dry bulk</t>
  </si>
  <si>
    <t>RO-ro</t>
  </si>
  <si>
    <t>DWT (t)</t>
  </si>
  <si>
    <t xml:space="preserve">Assumed 2800 TEU </t>
  </si>
  <si>
    <t>DBL</t>
  </si>
  <si>
    <t>LBL</t>
  </si>
  <si>
    <t>RORO</t>
  </si>
  <si>
    <t>DWT</t>
  </si>
  <si>
    <t>CAPF</t>
  </si>
  <si>
    <t>t</t>
  </si>
  <si>
    <t>Mtkm</t>
  </si>
  <si>
    <t>2010e</t>
  </si>
  <si>
    <t>2020e</t>
  </si>
  <si>
    <t>2030e</t>
  </si>
  <si>
    <t>2010s</t>
  </si>
  <si>
    <t>2020s</t>
  </si>
  <si>
    <t>2030s</t>
  </si>
  <si>
    <t>CWT</t>
  </si>
  <si>
    <t>s</t>
  </si>
  <si>
    <t>e</t>
  </si>
  <si>
    <t>Summarised table used as a datainput</t>
  </si>
  <si>
    <t>Data for calculation on the shipping distance, most of all data is based opun the TIMES-DKGAS model ducumentation developed by Chalmers (Dejene)</t>
  </si>
  <si>
    <t xml:space="preserve">International </t>
  </si>
  <si>
    <t xml:space="preserve">National </t>
  </si>
  <si>
    <t>Transport Freight Sea Liquid Bulk Cargo Domestic</t>
  </si>
  <si>
    <t>Transport Freight Sea Dry Bulk Cargo Domestic</t>
  </si>
  <si>
    <t>Transport Freight Sea Container Cargo Domestic</t>
  </si>
  <si>
    <t>Transport Freight Sea Ro-Ro Cargo Domestic</t>
  </si>
  <si>
    <t>Demand international shipping From Till thesis on international transportation by the shipping industry</t>
  </si>
  <si>
    <t>DKE</t>
  </si>
  <si>
    <t>DKW</t>
  </si>
  <si>
    <t>Medium</t>
  </si>
  <si>
    <t>Size</t>
  </si>
  <si>
    <t>National size of ships</t>
  </si>
  <si>
    <t>Small</t>
  </si>
  <si>
    <t>Large</t>
  </si>
  <si>
    <t xml:space="preserve">Demand national shipping </t>
  </si>
  <si>
    <t>Energy consumption for ships GJ/Nm, based upon DWT from Tills thesis and the transport departments calculation tool for shipping</t>
  </si>
  <si>
    <t>Energy consumption for ships spped in knots, based upon DWT from Tills thesis and the transport departments calculation tool for shipping</t>
  </si>
  <si>
    <t>Power unit of the engine (kW)</t>
  </si>
  <si>
    <t>FOFC</t>
  </si>
  <si>
    <t>MOFC</t>
  </si>
  <si>
    <t>H2FC</t>
  </si>
  <si>
    <t>NGFC</t>
  </si>
  <si>
    <t>FOIC</t>
  </si>
  <si>
    <t>MOIC</t>
  </si>
  <si>
    <t>H2IC</t>
  </si>
  <si>
    <t>NGIC</t>
  </si>
  <si>
    <t>ELCC</t>
  </si>
  <si>
    <t>Costs of shipping engines</t>
  </si>
  <si>
    <t>Efficiency of Ships</t>
  </si>
  <si>
    <t>Calculated from DTU transport Shipping tool</t>
  </si>
  <si>
    <t>NGDU</t>
  </si>
  <si>
    <t>Size of ship</t>
  </si>
  <si>
    <t>X large</t>
  </si>
  <si>
    <t>Deactivated~FI_Process</t>
  </si>
  <si>
    <t>Share relax coeff</t>
  </si>
  <si>
    <t>Share-O~LO</t>
  </si>
  <si>
    <t>FLO_SHAR~FX</t>
  </si>
  <si>
    <t>FLO_SHAR~FX~0</t>
  </si>
  <si>
    <t>MKr2016</t>
  </si>
  <si>
    <t xml:space="preserve"> (passenger/vehicle)</t>
  </si>
  <si>
    <t>Comm-IN-A</t>
  </si>
  <si>
    <t>Input</t>
  </si>
  <si>
    <t>Transport Freight Van Gasoline-less than 3.5 ton - New</t>
  </si>
  <si>
    <t>Transport Freight Van Diesel-less than 3.5 ton - New</t>
  </si>
  <si>
    <t>*Medium to Short ride CEFF</t>
  </si>
  <si>
    <t>Transport Freight Van CNG-less than 3.5 ton - New</t>
  </si>
  <si>
    <t>*Long to Short ride CEFF</t>
  </si>
  <si>
    <t>Transport Freight Van ELC-less than 3.5 ton - New</t>
  </si>
  <si>
    <t>Transport Freight Van Hydrogen-less than 3.5 ton - New</t>
  </si>
  <si>
    <t>*Based on catalogue</t>
  </si>
  <si>
    <t>Transport Freight Van Plug-in-GSL-less than 3.5 ton - New</t>
  </si>
  <si>
    <t>Transport Freight Van Plug-in-DSL-less than 3.5 ton - New</t>
  </si>
  <si>
    <t>Curr</t>
  </si>
  <si>
    <t>MKr2013</t>
  </si>
  <si>
    <t xml:space="preserve"> (ton/vehicle)</t>
  </si>
  <si>
    <t>TFTM</t>
  </si>
  <si>
    <t>TFTL</t>
  </si>
  <si>
    <t>MKr12</t>
  </si>
  <si>
    <t xml:space="preserve">Transport Freight Short &amp; Medium Distance - 2axle DICI </t>
  </si>
  <si>
    <t xml:space="preserve">Transport Freight Short &amp; Medium Distance - 3axle DICI </t>
  </si>
  <si>
    <t>Transport Freight Short &amp; Medium Distance - 2axle PISI</t>
  </si>
  <si>
    <t>Transport Freight Short &amp; Medium Distance - 3axle PISI</t>
  </si>
  <si>
    <t>Transport Freight Short &amp; Medium Distance - Electric road trucks-2axle</t>
  </si>
  <si>
    <t>Transport Freight Short &amp; Medium Distance - Electric road trucks-3axle</t>
  </si>
  <si>
    <t>Transport Freight Short &amp; Medium Distance - Pin hybrid trucks-2axle</t>
  </si>
  <si>
    <t>Transport Freight Short &amp; Medium Distance - Pin hybrid trucks-3axle</t>
  </si>
  <si>
    <t>Transport Freight Short &amp; Medium Distance - HFCV trucks-3axle</t>
  </si>
  <si>
    <t xml:space="preserve">Transport Freight Short &amp; Medium International Distance - 2axle DICI </t>
  </si>
  <si>
    <t xml:space="preserve">Transport Freight Short &amp; Medium International Distance - 3axle DICI </t>
  </si>
  <si>
    <t>Transport Freight Short &amp; Medium International Distance -2axle PISI</t>
  </si>
  <si>
    <t>Transport Freight Short &amp; Medium International Distance - 3axle PISI</t>
  </si>
  <si>
    <t>Transport Freight Short &amp; Medium International Distance - Electric road trucks-2axle</t>
  </si>
  <si>
    <t>Transport Freight Short &amp; Medium International Distance - Electric road trucks-3axle</t>
  </si>
  <si>
    <t>Transport Freight Short &amp; Medium International Distance - Pin hybrid trucks-2axle</t>
  </si>
  <si>
    <t>Transport Freight Short &amp; Medium International Distance - Pin hybrid trucks-3axle</t>
  </si>
  <si>
    <t>Transport Freight Short &amp; Medium International Distance - HFCV trucks-2axle</t>
  </si>
  <si>
    <t>Transport Freight Short &amp; Medium International Distance - HFCV trucks-3axle</t>
  </si>
  <si>
    <t>TFTIS</t>
  </si>
  <si>
    <t>TFTIM</t>
  </si>
  <si>
    <t>TFTIL</t>
  </si>
  <si>
    <t xml:space="preserve">2 axle </t>
  </si>
  <si>
    <t>Efficiency of 2015 trucks, used as reference</t>
  </si>
  <si>
    <t>3 axle</t>
  </si>
  <si>
    <t>National</t>
  </si>
  <si>
    <t>efficiency compared to electric drivetrain</t>
  </si>
  <si>
    <t>TRAAMM</t>
  </si>
  <si>
    <t>Loss in cargo capacity from using gas fuels compared to liquied fuels</t>
  </si>
  <si>
    <t>AMDU</t>
  </si>
  <si>
    <t>Transport Freight RORO - Ammonia duel fuel ships</t>
  </si>
  <si>
    <t>Transport Freight Liquid bulk - Ammonia duel fuel ships</t>
  </si>
  <si>
    <t>Transport Freight Dry Bulk - Ammonia duel fuel ships</t>
  </si>
  <si>
    <t>Transport Freight Containerised cargo - Ammonia duel fuel ships</t>
  </si>
  <si>
    <t>AMIC</t>
  </si>
  <si>
    <t>Transport Freight Liquid bulk - Ammonia fuel ships</t>
  </si>
  <si>
    <t>Transport Freight Dry Bulk - Ammonia fuel ships</t>
  </si>
  <si>
    <t>Transport Freight Containerised cargo - Ammonia fuel ships</t>
  </si>
  <si>
    <t>Transport Freight RORO - Ammonia fuel ships</t>
  </si>
  <si>
    <t>Kw</t>
  </si>
  <si>
    <t>Mio. kr /engien</t>
  </si>
  <si>
    <t>Adjustment for vessel costs of ships compared to the vessel Emma mærsk</t>
  </si>
  <si>
    <t>Engine size</t>
  </si>
  <si>
    <t>Compared cost to stationary units</t>
  </si>
  <si>
    <t>USD engine</t>
  </si>
  <si>
    <t xml:space="preserve">mio USD/MW stationary gas plant (ENS) </t>
  </si>
  <si>
    <t>USD Engine calculations</t>
  </si>
  <si>
    <t>Price</t>
  </si>
  <si>
    <t>Mio USD</t>
  </si>
  <si>
    <t>Vessel costs calculated</t>
  </si>
  <si>
    <t>Tank costs</t>
  </si>
  <si>
    <t>Calculated cost of Emma mærsk</t>
  </si>
  <si>
    <t>Factor correction needed</t>
  </si>
  <si>
    <t>Based upon above calculations all vessel costs have been adjusted</t>
  </si>
  <si>
    <t>Based upon above calculations all vessel costs have been adjusted, Tank and engine have been asumed similar due to comparison of costs of stationary similar plants.</t>
  </si>
  <si>
    <t>Base year values</t>
  </si>
  <si>
    <t>TRAH2C</t>
  </si>
  <si>
    <t>*TechName</t>
  </si>
  <si>
    <t>TRANGBL4N</t>
  </si>
  <si>
    <t>TRANGBL3N</t>
  </si>
  <si>
    <t>TRANGBL2N</t>
  </si>
  <si>
    <t>*="TFS"&amp;LEFT(AD15,1)&amp;AE15&amp;RIGHT(F15,2)&amp;MID(G15,3,1)&amp;"N"</t>
  </si>
  <si>
    <t>*="TFS"&amp;LEFT(AD16,1)&amp;AE16&amp;RIGHT(F16,2)&amp;MID(G16,3,1)&amp;"N"</t>
  </si>
  <si>
    <t>*="TFS"&amp;LEFT(AD17,1)&amp;AE17&amp;RIGHT(F17,2)&amp;MID(G17,3,1)&amp;"N"</t>
  </si>
  <si>
    <t>TRAMFO4</t>
  </si>
  <si>
    <t>TRAMFO</t>
  </si>
  <si>
    <t>TRAOILBL4N</t>
  </si>
  <si>
    <t>LHV0</t>
  </si>
  <si>
    <t>LHV100</t>
  </si>
  <si>
    <t>B%E</t>
  </si>
  <si>
    <t>BFM%</t>
  </si>
  <si>
    <t>BF_M%: IIf([BF_E%]=0;0;1/(([LHV_100%]/[LHV_0%]*(1/[BF_E%]-1/100)+1/100)))</t>
  </si>
  <si>
    <t>LHV</t>
  </si>
  <si>
    <t>BF_LHV (E): ([BF_M%]*[LHV_100%]+(100-[BF_M%])*[LHV_0%])/100</t>
  </si>
  <si>
    <t>B%V</t>
  </si>
  <si>
    <t>Case</t>
  </si>
  <si>
    <t>Vehicle type</t>
  </si>
  <si>
    <t>SectorID</t>
  </si>
  <si>
    <t>FuelType.FuelType</t>
  </si>
  <si>
    <t>ForecastYear</t>
  </si>
  <si>
    <t>SumOfMileage_km_scaled</t>
  </si>
  <si>
    <t>SO2_g_km</t>
  </si>
  <si>
    <t>NOx_g_km</t>
  </si>
  <si>
    <t>CH4_g_km</t>
  </si>
  <si>
    <t>VOC_g_km</t>
  </si>
  <si>
    <t>CO_g_km</t>
  </si>
  <si>
    <t>CO2_g_km</t>
  </si>
  <si>
    <t>N2O_g_km</t>
  </si>
  <si>
    <t>TSP_mg_km</t>
  </si>
  <si>
    <t>FC_g_km</t>
  </si>
  <si>
    <t>FC_MJ_km</t>
  </si>
  <si>
    <t>Fossil</t>
  </si>
  <si>
    <t>Cars</t>
  </si>
  <si>
    <t>qVejdirektoratet</t>
  </si>
  <si>
    <t>Vans</t>
  </si>
  <si>
    <t>Trucks Euro 0-III &amp; 6</t>
  </si>
  <si>
    <t>Buses Euro 0-III &amp; 6</t>
  </si>
  <si>
    <t>Trucks Euro IV-V</t>
  </si>
  <si>
    <t>Buses Euro IV-V</t>
  </si>
  <si>
    <t>Vans &amp; Trucks</t>
  </si>
  <si>
    <t>Buses</t>
  </si>
  <si>
    <t>VOC</t>
  </si>
  <si>
    <t>kg/GJ</t>
  </si>
  <si>
    <t>FC</t>
  </si>
  <si>
    <t>% justering</t>
  </si>
  <si>
    <t>E5</t>
  </si>
  <si>
    <t>E85</t>
  </si>
  <si>
    <t>E100</t>
  </si>
  <si>
    <t>Mileage</t>
  </si>
  <si>
    <t>Justering</t>
  </si>
  <si>
    <t>Biodiesel</t>
  </si>
  <si>
    <t>Equation_emis</t>
  </si>
  <si>
    <t>ANOx</t>
  </si>
  <si>
    <t>AVOC</t>
  </si>
  <si>
    <t>ACO</t>
  </si>
  <si>
    <t>APM</t>
  </si>
  <si>
    <t>AFC</t>
  </si>
  <si>
    <t>E0-E3 &amp; E6</t>
  </si>
  <si>
    <t>Exp</t>
  </si>
  <si>
    <t>100*Exp([ANOx]*[BF_V%])-100</t>
  </si>
  <si>
    <t>E4-E5</t>
  </si>
  <si>
    <t>Lin</t>
  </si>
  <si>
    <t>B%</t>
  </si>
  <si>
    <t>Category</t>
  </si>
  <si>
    <t>FuelCode</t>
  </si>
  <si>
    <t>FC (GJ)</t>
  </si>
  <si>
    <t>SO2 (g/GJ)</t>
  </si>
  <si>
    <t>NOx (g/GJ)</t>
  </si>
  <si>
    <t>NMVOC (g/GJ)</t>
  </si>
  <si>
    <t>CH4 (g/GJ)</t>
  </si>
  <si>
    <t>CO (g/GJ)</t>
  </si>
  <si>
    <t>CO2 (kg/GJ)</t>
  </si>
  <si>
    <t>N2O (g/GJ)</t>
  </si>
  <si>
    <t>PM2_5 (g/GJ)</t>
  </si>
  <si>
    <t>Ferries</t>
  </si>
  <si>
    <t>203V</t>
  </si>
  <si>
    <t>204B</t>
  </si>
  <si>
    <t>Fishing vessels</t>
  </si>
  <si>
    <t>Other national sea</t>
  </si>
  <si>
    <t>Railways</t>
  </si>
  <si>
    <t>Agriculture</t>
  </si>
  <si>
    <t>Aviation</t>
  </si>
  <si>
    <t>NMVOC</t>
  </si>
  <si>
    <t>Source</t>
  </si>
  <si>
    <t>TSP_tons</t>
  </si>
  <si>
    <t>PM10_tons</t>
  </si>
  <si>
    <t>PM2_5_tons</t>
  </si>
  <si>
    <t>SumOfFC_PJ</t>
  </si>
  <si>
    <t>TSP (g/GJ)</t>
  </si>
  <si>
    <t>PM10 (g/GJ)</t>
  </si>
  <si>
    <t>PM2.5 (g/GJ)</t>
  </si>
  <si>
    <t>Brake wear</t>
  </si>
  <si>
    <t>Trucks</t>
  </si>
  <si>
    <t>Road abrasion</t>
  </si>
  <si>
    <t>Tyre wear</t>
  </si>
  <si>
    <t xml:space="preserve">Emissions factors 2011 from MWi </t>
  </si>
  <si>
    <t>ID</t>
  </si>
  <si>
    <t>Total km</t>
  </si>
  <si>
    <t>TRASO2</t>
  </si>
  <si>
    <t>TRANOX</t>
  </si>
  <si>
    <t>TRACH4</t>
  </si>
  <si>
    <t>TRAN2O</t>
  </si>
  <si>
    <t>TRAPM</t>
  </si>
  <si>
    <t>mg/Kwh</t>
  </si>
  <si>
    <t>mg/km</t>
  </si>
  <si>
    <t>Not in use, to uncertain</t>
  </si>
  <si>
    <t>Assumed to fit large Busses /Not in use</t>
  </si>
  <si>
    <t>Assumed to fit 3 axcel trucks/ Not in use</t>
  </si>
  <si>
    <t>Assumed to fit small Busses/ not in use</t>
  </si>
  <si>
    <t>Assumed to fit 2 axcel trucks/ not in use</t>
  </si>
  <si>
    <t>Trucks Euro, estimate</t>
  </si>
  <si>
    <t>Assumed to be average new trucks</t>
  </si>
  <si>
    <t>Assumed to be average new busses</t>
  </si>
  <si>
    <t>-</t>
  </si>
  <si>
    <t>MJ/Km</t>
  </si>
  <si>
    <t>T/PJ</t>
  </si>
  <si>
    <t>Emis_factors lookup</t>
  </si>
  <si>
    <t>FuelOil</t>
  </si>
  <si>
    <t>DieselC</t>
  </si>
  <si>
    <t>GasolineC</t>
  </si>
  <si>
    <t>ElectricC</t>
  </si>
  <si>
    <t>GasolineV</t>
  </si>
  <si>
    <t>DieselV</t>
  </si>
  <si>
    <t>ElectricV</t>
  </si>
  <si>
    <t>DieselT</t>
  </si>
  <si>
    <t>DieselB</t>
  </si>
  <si>
    <t>ElectricB</t>
  </si>
  <si>
    <t>ElectricT</t>
  </si>
  <si>
    <t>HFO</t>
  </si>
  <si>
    <t>Fish</t>
  </si>
  <si>
    <t>HFOF</t>
  </si>
  <si>
    <t>FuelOilF</t>
  </si>
  <si>
    <t>DieselR</t>
  </si>
  <si>
    <t>ElectricR</t>
  </si>
  <si>
    <t>Geusstimate on electric rail only emitting from breakes and other friction</t>
  </si>
  <si>
    <t>DieselA</t>
  </si>
  <si>
    <t>Kerosen</t>
  </si>
  <si>
    <t>Assumed to remove PM and SO2</t>
  </si>
  <si>
    <t>GasS</t>
  </si>
  <si>
    <t>Sea</t>
  </si>
  <si>
    <t>ElectricS</t>
  </si>
  <si>
    <t>Assumption</t>
  </si>
  <si>
    <t>GasF</t>
  </si>
  <si>
    <t>GasT</t>
  </si>
  <si>
    <t>HybridT</t>
  </si>
  <si>
    <t>GasV</t>
  </si>
  <si>
    <t>HybridV</t>
  </si>
  <si>
    <t>DIeselB</t>
  </si>
  <si>
    <t>HybridB</t>
  </si>
  <si>
    <t>GasB</t>
  </si>
  <si>
    <t>GasC</t>
  </si>
  <si>
    <t>HybridC</t>
  </si>
  <si>
    <t>EMISSIONS~TRASO2</t>
  </si>
  <si>
    <t>EMISSIONS~TRANOX</t>
  </si>
  <si>
    <t>EMISSIONS~TRACH4</t>
  </si>
  <si>
    <t>EMISSIONS~TRAPM</t>
  </si>
  <si>
    <t>USD conversion plus Told</t>
  </si>
  <si>
    <t>Transport Passengers Air Short International - Biokerosene 2 - New</t>
  </si>
  <si>
    <t>TRAKEIN2</t>
  </si>
  <si>
    <t>TPAIS</t>
  </si>
  <si>
    <t>Transport Passengers Air Short International - Biokerosene 3 - New</t>
  </si>
  <si>
    <t>TRAKEIN3</t>
  </si>
  <si>
    <t>Transport Passengers Air Short International - Biokerosene 4 - New</t>
  </si>
  <si>
    <t>TRAKEIN4</t>
  </si>
  <si>
    <t>Transport Passengers Air Long International - Biokerosene 2 - New</t>
  </si>
  <si>
    <t>TPAIL</t>
  </si>
  <si>
    <t>Transport Passengers Air Long International - Biokerosene 3 - New</t>
  </si>
  <si>
    <t>Transport Passengers Air Long International - Biokerosene 4 - New</t>
  </si>
  <si>
    <t>TFAIV</t>
  </si>
  <si>
    <t>Transport Passengers Air National - Battery - New</t>
  </si>
  <si>
    <t>Transport Passengers Air National - Hydrogen - New</t>
  </si>
  <si>
    <t>Transport Passengers Air Short International - Battery - New</t>
  </si>
  <si>
    <t>Transport Passengers Air Short International - Hydrogen - New</t>
  </si>
  <si>
    <t>TRAKENA2</t>
  </si>
  <si>
    <t>TPANV</t>
  </si>
  <si>
    <t>Transport Passengers Air National - Biokerosene 3- New</t>
  </si>
  <si>
    <t>TRAKENA3</t>
  </si>
  <si>
    <t>Transport Passengers Air National - Biokerosene 4- New</t>
  </si>
  <si>
    <t>TRAKENA4</t>
  </si>
  <si>
    <t>NCAP_FOM</t>
  </si>
  <si>
    <t>KM per year</t>
  </si>
  <si>
    <t>ACT_FLO</t>
  </si>
  <si>
    <t>From TIMES-FI data on electric and hydrogen airplanes</t>
  </si>
  <si>
    <t>FI_T: EFF</t>
  </si>
  <si>
    <t>FI_T: NCAP_COST~EUR10</t>
  </si>
  <si>
    <t>FI_T: NCAP_FOM~EUR10</t>
  </si>
  <si>
    <t>FI_T: FLO_SHAR</t>
  </si>
  <si>
    <t>CF</t>
  </si>
  <si>
    <t>TPAI005</t>
  </si>
  <si>
    <t>Alternate generic plane long dist</t>
  </si>
  <si>
    <t>TRAHH2</t>
  </si>
  <si>
    <t>TPAI</t>
  </si>
  <si>
    <t>TPAN005</t>
  </si>
  <si>
    <t>Alternate generic plane domestic H2</t>
  </si>
  <si>
    <t>TPAN</t>
  </si>
  <si>
    <t>TPAN009</t>
  </si>
  <si>
    <t>Alternate generic plane domestic ELC</t>
  </si>
  <si>
    <t>TTRELC</t>
  </si>
  <si>
    <t>From SYSsettings</t>
  </si>
  <si>
    <t>MKR15 to MEUR15</t>
  </si>
  <si>
    <t>EUR10 to EUR15</t>
  </si>
  <si>
    <t>MKr15 to EUR10</t>
  </si>
  <si>
    <t>Stock</t>
  </si>
  <si>
    <t>Data from base year template</t>
  </si>
  <si>
    <t>kvehicle/Pja</t>
  </si>
  <si>
    <t>pKM</t>
  </si>
  <si>
    <t>seat</t>
  </si>
  <si>
    <t>l/100 km</t>
  </si>
  <si>
    <t>MJ/l</t>
  </si>
  <si>
    <t>kg/m cubic</t>
  </si>
  <si>
    <t>Kg/l</t>
  </si>
  <si>
    <t>MJ/100 km</t>
  </si>
  <si>
    <t>pkm/MJ</t>
  </si>
  <si>
    <t>Mpkm/PJ</t>
  </si>
  <si>
    <t>MPkm/år</t>
  </si>
  <si>
    <t>MVKM/år</t>
  </si>
  <si>
    <t>PJ kerosene</t>
  </si>
  <si>
    <t>TPANKEBL_N</t>
  </si>
  <si>
    <t>Airplanes</t>
  </si>
  <si>
    <t>TPANAGSL_N</t>
  </si>
  <si>
    <t>TPAIKEBL_N</t>
  </si>
  <si>
    <t>TFAIKEBL_N</t>
  </si>
  <si>
    <t>Turbofan, 75 ton passagerfly adjusted according to latest data on Airbus 321- NEO, assuming this indicates average sold airplanes in 2015, using similar projection to future years</t>
  </si>
  <si>
    <t xml:space="preserve">OBS! Adjusted according to new data from airbus 321 neo planes https://ens.dk/sites/ens.dk/files/Analyser/energiforbrug_for_tog_og_fly.pdf </t>
  </si>
  <si>
    <t>Virkningsgrad Adjusted</t>
  </si>
  <si>
    <t>Based on Kastrup-Rome (1534 km)</t>
  </si>
  <si>
    <t>Based on Kastrup-Billiund (220 km)</t>
  </si>
  <si>
    <t>Vehicle energy consumption per Vkm</t>
  </si>
  <si>
    <t>Vkm/GJ</t>
  </si>
  <si>
    <t>Mton-km</t>
  </si>
  <si>
    <t>TRAH2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</si>
</sst>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0">
    <numFmt numFmtId="41" formatCode="_-* #,##0_-;\-* #,##0_-;_-* &quot;-&quot;_-;_-@_-"/>
    <numFmt numFmtId="43" formatCode="_-* #,##0.00_-;\-* #,##0.00_-;_-* &quot;-&quot;??_-;_-@_-"/>
    <numFmt numFmtId="164" formatCode="_(* #,##0.00_);_(* \(#,##0.00\);_(* &quot;-&quot;??_);_(@_)"/>
    <numFmt numFmtId="165" formatCode="_-* #,##0.00\ _k_r_._-;\-* #,##0.00\ _k_r_._-;_-* &quot;-&quot;??\ _k_r_._-;_-@_-"/>
    <numFmt numFmtId="166" formatCode="_ * #,##0.00_ ;_ * \-#,##0.00_ ;_ * &quot;-&quot;??_ ;_ @_ "/>
    <numFmt numFmtId="167" formatCode="0.000"/>
    <numFmt numFmtId="168" formatCode="0.0"/>
    <numFmt numFmtId="169" formatCode="0.00000"/>
    <numFmt numFmtId="170" formatCode="_-[$€-2]\ * #,##0.00_-;\-[$€-2]\ * #,##0.00_-;_-[$€-2]\ * &quot;-&quot;??_-"/>
    <numFmt numFmtId="171" formatCode="_-&quot;€&quot;\ * #,##0.00_-;\-&quot;€&quot;\ * #,##0.00_-;_-&quot;€&quot;\ * &quot;-&quot;??_-;_-@_-"/>
    <numFmt numFmtId="172" formatCode="_([$€]* #,##0.00_);_([$€]* \(#,##0.00\);_([$€]* &quot;-&quot;??_);_(@_)"/>
    <numFmt numFmtId="173" formatCode="#,##0;\-\ #,##0;_-\ &quot;- &quot;"/>
    <numFmt numFmtId="174" formatCode="#,##0.0000"/>
    <numFmt numFmtId="175" formatCode="#,##0.000"/>
    <numFmt numFmtId="176" formatCode="#,##0.00000"/>
    <numFmt numFmtId="177" formatCode="_(* #,##0.0000_);_(* \(#,##0.0000\);_(* &quot;-&quot;??_);_(@_)"/>
    <numFmt numFmtId="178" formatCode="0_ ;\-0\ "/>
    <numFmt numFmtId="179" formatCode="0.00_ ;\-0.00\ "/>
    <numFmt numFmtId="180" formatCode="_-[$€-2]* #,##0.00_-;\-[$€-2]* #,##0.00_-;_-[$€-2]* &quot;-&quot;??_-"/>
    <numFmt numFmtId="181" formatCode="\Te\x\t"/>
    <numFmt numFmtId="182" formatCode="_-* #,##0.00\ _k_r_-;\-* #,##0.00\ _k_r_-;_-* &quot;-&quot;??\ _k_r_-;_-@_-"/>
    <numFmt numFmtId="183" formatCode="???,???.00"/>
    <numFmt numFmtId="184" formatCode="0.0%"/>
    <numFmt numFmtId="185" formatCode="0.0000"/>
    <numFmt numFmtId="186" formatCode="0.00000_ ;\-0.00000\ "/>
    <numFmt numFmtId="187" formatCode="_(* #,##0.0_);_(* \(#,##0.0\);_(* &quot;-&quot;??_);_(@_)"/>
    <numFmt numFmtId="188" formatCode="_(* #,##0_);_(* \(#,##0\);_(* &quot;-&quot;??_);_(@_)"/>
    <numFmt numFmtId="189" formatCode="_(* #,##0.000_);_(* \(#,##0.000\);_(* &quot;-&quot;??_);_(@_)"/>
    <numFmt numFmtId="190" formatCode="0.000_ ;\-0.000\ "/>
    <numFmt numFmtId="191" formatCode="0.0000_ ;\-0.0000\ "/>
    <numFmt numFmtId="192" formatCode="#,##0_ ;\-#,##0\ "/>
    <numFmt numFmtId="193" formatCode="&quot;kr&quot;\ #,##0.00_);[Red]\(&quot;kr&quot;\ #,##0.00\)"/>
    <numFmt numFmtId="194" formatCode="0.0_ ;\-0.0\ "/>
    <numFmt numFmtId="195" formatCode="#,##0.0"/>
    <numFmt numFmtId="196" formatCode="#,##0;#\ ##0"/>
    <numFmt numFmtId="197" formatCode="0.000%"/>
    <numFmt numFmtId="198" formatCode="_-* #,##0_-;\-* #,##0_-;_-* &quot;-&quot;??_-;_-@_-"/>
    <numFmt numFmtId="199" formatCode="_-* #,##0.00\ _€_-;\-* #,##0.00\ _€_-;_-* &quot;-&quot;??\ _€_-;_-@_-"/>
    <numFmt numFmtId="200" formatCode="#,##0.00\ &quot;F&quot;;[Red]\-#,##0.00\ &quot;F&quot;"/>
    <numFmt numFmtId="201" formatCode="#,##0.0_)"/>
    <numFmt numFmtId="202" formatCode="0.0;\-0.0"/>
    <numFmt numFmtId="203" formatCode="\$#,##0\ ;\(\$#,##0\)"/>
    <numFmt numFmtId="204" formatCode="_ * #,##0_ ;_ * \-#,##0_ ;_ * &quot;-&quot;_ ;_ @_ "/>
    <numFmt numFmtId="205" formatCode="General_)"/>
    <numFmt numFmtId="206" formatCode="_ * #,##0.000_ ;_ * \-#,##0.000_ ;_ * &quot;-&quot;??_ ;_ @_ "/>
    <numFmt numFmtId="207" formatCode="_(* #,##0.00000_);_(* \(#,##0.00000\);_(* &quot;-&quot;??_);_(@_)"/>
    <numFmt numFmtId="208" formatCode="_-* #,##0\ _k_r_._-;\-* #,##0\ _k_r_._-;_-* &quot;-&quot;??\ _k_r_._-;_-@_-"/>
    <numFmt numFmtId="209" formatCode="_-* #,##0.0000000\ _k_r_._-;\-* #,##0.0000000\ _k_r_._-;_-* &quot;-&quot;??\ _k_r_._-;_-@_-"/>
    <numFmt numFmtId="210" formatCode="_-* #,##0.0000\ _k_r_._-;\-* #,##0.0000\ _k_r_._-;_-* &quot;-&quot;??\ _k_r_._-;_-@_-"/>
    <numFmt numFmtId="211" formatCode="0.000000"/>
  </numFmts>
  <fonts count="19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color indexed="12"/>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Calibri"/>
      <family val="2"/>
    </font>
    <font>
      <sz val="8"/>
      <name val="Calibri"/>
      <family val="2"/>
    </font>
    <font>
      <b/>
      <sz val="9"/>
      <color indexed="81"/>
      <name val="Tahoma"/>
      <family val="2"/>
    </font>
    <font>
      <sz val="9"/>
      <color indexed="81"/>
      <name val="Tahoma"/>
      <family val="2"/>
    </font>
    <font>
      <b/>
      <i/>
      <sz val="9"/>
      <color indexed="81"/>
      <name val="Tahoma"/>
      <family val="2"/>
    </font>
    <font>
      <sz val="9"/>
      <color indexed="8"/>
      <name val="Times New Roman"/>
      <family val="1"/>
    </font>
    <font>
      <sz val="10"/>
      <name val="Arial"/>
      <family val="2"/>
      <charset val="204"/>
    </font>
    <font>
      <sz val="10"/>
      <name val="Arial"/>
      <family val="2"/>
      <charset val="204"/>
    </font>
    <font>
      <sz val="10"/>
      <name val="Helv"/>
    </font>
    <font>
      <sz val="9"/>
      <name val="Times New Roman"/>
      <family val="1"/>
    </font>
    <font>
      <sz val="10"/>
      <name val="MS Sans Serif"/>
      <family val="2"/>
    </font>
    <font>
      <b/>
      <sz val="9"/>
      <name val="Times New Roman"/>
      <family val="1"/>
    </font>
    <font>
      <b/>
      <sz val="10"/>
      <name val="Arial"/>
      <family val="2"/>
    </font>
    <font>
      <sz val="8"/>
      <name val="Arial"/>
      <family val="2"/>
    </font>
    <font>
      <u/>
      <sz val="8"/>
      <color indexed="12"/>
      <name val="Arial"/>
      <family val="2"/>
    </font>
    <font>
      <sz val="10"/>
      <name val="Arial"/>
      <family val="2"/>
      <charset val="204"/>
    </font>
    <font>
      <sz val="10"/>
      <name val="Arial"/>
      <family val="2"/>
      <charset val="204"/>
    </font>
    <font>
      <sz val="10"/>
      <name val="Arial"/>
      <family val="2"/>
    </font>
    <font>
      <sz val="9"/>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0"/>
      <color indexed="8"/>
      <name val="Arial"/>
      <family val="2"/>
    </font>
    <font>
      <b/>
      <u/>
      <sz val="10"/>
      <name val="Arial"/>
      <family val="2"/>
    </font>
    <font>
      <i/>
      <sz val="10"/>
      <name val="Arial"/>
      <family val="2"/>
    </font>
    <font>
      <sz val="10"/>
      <color indexed="12"/>
      <name val="Arial"/>
      <family val="2"/>
    </font>
    <font>
      <i/>
      <sz val="10"/>
      <color indexed="14"/>
      <name val="Arial"/>
      <family val="2"/>
    </font>
    <font>
      <sz val="10"/>
      <color indexed="17"/>
      <name val="Arial"/>
      <family val="2"/>
    </font>
    <font>
      <sz val="10"/>
      <color indexed="14"/>
      <name val="Arial"/>
      <family val="2"/>
    </font>
    <font>
      <b/>
      <sz val="12"/>
      <name val="Arial"/>
      <family val="2"/>
    </font>
    <font>
      <i/>
      <sz val="10"/>
      <name val="Calibri"/>
      <family val="2"/>
    </font>
    <font>
      <b/>
      <i/>
      <sz val="10"/>
      <name val="Arial"/>
      <family val="2"/>
    </font>
    <font>
      <sz val="11"/>
      <color theme="1"/>
      <name val="Calibri"/>
      <family val="2"/>
      <scheme val="minor"/>
    </font>
    <font>
      <sz val="10"/>
      <color rgb="FF9C0006"/>
      <name val="Calibri"/>
      <family val="2"/>
    </font>
    <font>
      <sz val="10"/>
      <color rgb="FF0000FF"/>
      <name val="Calibri"/>
      <family val="2"/>
    </font>
    <font>
      <b/>
      <sz val="16"/>
      <color theme="0"/>
      <name val="Calibri"/>
      <family val="2"/>
      <scheme val="minor"/>
    </font>
    <font>
      <sz val="10"/>
      <color rgb="FF00B050"/>
      <name val="Calibri"/>
      <family val="2"/>
    </font>
    <font>
      <sz val="11"/>
      <color theme="1"/>
      <name val="Calibri"/>
      <family val="2"/>
    </font>
    <font>
      <sz val="10"/>
      <color theme="1"/>
      <name val="Calibri"/>
      <family val="2"/>
    </font>
    <font>
      <sz val="10"/>
      <color rgb="FFFF0000"/>
      <name val="Calibri"/>
      <family val="2"/>
    </font>
    <font>
      <sz val="10"/>
      <name val="Calibri"/>
      <family val="2"/>
      <charset val="204"/>
      <scheme val="minor"/>
    </font>
    <font>
      <sz val="8"/>
      <name val="Calibri"/>
      <family val="2"/>
      <charset val="204"/>
      <scheme val="minor"/>
    </font>
    <font>
      <sz val="10"/>
      <color rgb="FFFF0000"/>
      <name val="Arial"/>
      <family val="2"/>
    </font>
    <font>
      <sz val="10"/>
      <color rgb="FF0000FF"/>
      <name val="Arial"/>
      <family val="2"/>
    </font>
    <font>
      <sz val="10"/>
      <color rgb="FF00B050"/>
      <name val="Arial"/>
      <family val="2"/>
    </font>
    <font>
      <sz val="10"/>
      <color theme="1"/>
      <name val="Arial"/>
      <family val="2"/>
    </font>
    <font>
      <b/>
      <sz val="10"/>
      <color rgb="FFFF0000"/>
      <name val="Arial"/>
      <family val="2"/>
    </font>
    <font>
      <i/>
      <sz val="10"/>
      <color theme="1"/>
      <name val="Arial"/>
      <family val="2"/>
    </font>
    <font>
      <sz val="10"/>
      <color theme="0" tint="-0.34998626667073579"/>
      <name val="Arial"/>
      <family val="2"/>
    </font>
    <font>
      <b/>
      <sz val="13"/>
      <color theme="3"/>
      <name val="Calibri"/>
      <family val="2"/>
      <scheme val="minor"/>
    </font>
    <font>
      <b/>
      <sz val="11"/>
      <color theme="3"/>
      <name val="Calibri"/>
      <family val="2"/>
      <scheme val="minor"/>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10"/>
      <color theme="10"/>
      <name val="Arial"/>
      <family val="2"/>
    </font>
    <font>
      <u/>
      <sz val="11"/>
      <color theme="10"/>
      <name val="Calibri"/>
      <family val="2"/>
      <scheme val="minor"/>
    </font>
    <font>
      <sz val="10"/>
      <name val="Times New Roman"/>
      <family val="1"/>
    </font>
    <font>
      <sz val="18"/>
      <color theme="3"/>
      <name val="Cambria"/>
      <family val="2"/>
      <scheme val="major"/>
    </font>
    <font>
      <b/>
      <sz val="7"/>
      <color indexed="45"/>
      <name val="Arial"/>
      <family val="2"/>
    </font>
    <font>
      <sz val="7"/>
      <color indexed="45"/>
      <name val="Arial"/>
      <family val="2"/>
    </font>
    <font>
      <b/>
      <sz val="11"/>
      <color rgb="FF0000FF"/>
      <name val="Calibri"/>
      <family val="2"/>
    </font>
    <font>
      <sz val="8"/>
      <name val="Calibri"/>
      <family val="2"/>
      <scheme val="minor"/>
    </font>
    <font>
      <sz val="8"/>
      <color rgb="FF0000FF"/>
      <name val="Calibri"/>
      <family val="2"/>
      <scheme val="minor"/>
    </font>
    <font>
      <b/>
      <sz val="8"/>
      <name val="Calibri"/>
      <family val="2"/>
      <scheme val="minor"/>
    </font>
    <font>
      <i/>
      <sz val="8"/>
      <name val="Calibri"/>
      <family val="2"/>
      <scheme val="minor"/>
    </font>
    <font>
      <sz val="10"/>
      <name val="Calibri"/>
      <family val="2"/>
      <scheme val="minor"/>
    </font>
    <font>
      <sz val="10"/>
      <color rgb="FF0000FF"/>
      <name val="Calibri"/>
      <family val="2"/>
      <scheme val="minor"/>
    </font>
    <font>
      <sz val="10"/>
      <color rgb="FFFF0000"/>
      <name val="Calibri"/>
      <family val="2"/>
      <scheme val="minor"/>
    </font>
    <font>
      <b/>
      <sz val="10"/>
      <name val="Calibri"/>
      <family val="2"/>
      <scheme val="minor"/>
    </font>
    <font>
      <b/>
      <sz val="8"/>
      <color indexed="81"/>
      <name val="Tahoma"/>
      <family val="2"/>
    </font>
    <font>
      <sz val="8"/>
      <color indexed="81"/>
      <name val="Tahoma"/>
      <family val="2"/>
    </font>
    <font>
      <sz val="10"/>
      <name val="Arial"/>
      <family val="2"/>
    </font>
    <font>
      <b/>
      <sz val="15"/>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b/>
      <sz val="18"/>
      <color theme="3"/>
      <name val="Cambria"/>
      <family val="2"/>
      <scheme val="major"/>
    </font>
    <font>
      <sz val="10"/>
      <color indexed="10"/>
      <name val="Arial"/>
      <family val="2"/>
    </font>
    <font>
      <sz val="10"/>
      <color rgb="FF008FBC"/>
      <name val="Calibri"/>
      <family val="2"/>
      <scheme val="minor"/>
    </font>
    <font>
      <u/>
      <sz val="10"/>
      <color indexed="12"/>
      <name val="Arial"/>
      <family val="2"/>
    </font>
    <font>
      <sz val="10"/>
      <color rgb="FF006100"/>
      <name val="Arial"/>
      <family val="2"/>
    </font>
    <font>
      <sz val="11"/>
      <name val="Arial"/>
      <family val="2"/>
    </font>
    <font>
      <sz val="10"/>
      <name val="Geneva"/>
      <family val="2"/>
    </font>
    <font>
      <u/>
      <sz val="10"/>
      <color indexed="12"/>
      <name val="Geneva"/>
      <family val="2"/>
    </font>
    <font>
      <sz val="12"/>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b/>
      <sz val="11"/>
      <name val="Calibri"/>
      <family val="2"/>
    </font>
    <font>
      <b/>
      <sz val="13"/>
      <color theme="0"/>
      <name val="Calibri"/>
      <family val="2"/>
      <scheme val="minor"/>
    </font>
    <font>
      <b/>
      <sz val="12"/>
      <color theme="0"/>
      <name val="Calibri"/>
      <family val="2"/>
      <scheme val="minor"/>
    </font>
    <font>
      <sz val="10"/>
      <color theme="1"/>
      <name val="Arial"/>
      <family val="2"/>
      <charset val="204"/>
    </font>
    <font>
      <sz val="10"/>
      <color rgb="FFFF0000"/>
      <name val="Arial"/>
      <family val="2"/>
      <charset val="204"/>
    </font>
    <font>
      <sz val="11"/>
      <name val="Calibri"/>
      <family val="2"/>
      <scheme val="minor"/>
    </font>
    <font>
      <b/>
      <sz val="14"/>
      <name val="Arial"/>
      <family val="2"/>
    </font>
    <font>
      <sz val="11"/>
      <color theme="1" tint="4.9989318521683403E-2"/>
      <name val="Calibri"/>
      <family val="2"/>
      <scheme val="minor"/>
    </font>
    <font>
      <b/>
      <sz val="14"/>
      <name val="Calibri"/>
      <family val="2"/>
      <scheme val="minor"/>
    </font>
    <font>
      <sz val="12"/>
      <name val="Calibri"/>
      <family val="2"/>
      <scheme val="minor"/>
    </font>
    <font>
      <b/>
      <i/>
      <sz val="11"/>
      <color rgb="FF7F7F7F"/>
      <name val="Calibri"/>
      <family val="2"/>
      <scheme val="minor"/>
    </font>
    <font>
      <sz val="10"/>
      <name val="Arial"/>
      <family val="2"/>
    </font>
    <font>
      <i/>
      <sz val="8"/>
      <name val="Arial"/>
      <family val="2"/>
    </font>
    <font>
      <sz val="10"/>
      <color rgb="FF212121"/>
      <name val="Arial"/>
      <family val="2"/>
    </font>
    <font>
      <sz val="10"/>
      <color indexed="12"/>
      <name val="Calibri"/>
      <family val="2"/>
    </font>
    <font>
      <b/>
      <sz val="16"/>
      <color indexed="9"/>
      <name val="Calibri"/>
      <family val="2"/>
    </font>
    <font>
      <sz val="10"/>
      <color indexed="21"/>
      <name val="Arial"/>
      <family val="2"/>
    </font>
    <font>
      <sz val="10"/>
      <color indexed="21"/>
      <name val="Calibri"/>
      <family val="2"/>
    </font>
    <font>
      <sz val="8"/>
      <color indexed="12"/>
      <name val="Calibri"/>
      <family val="2"/>
    </font>
    <font>
      <b/>
      <sz val="8"/>
      <name val="Calibri"/>
      <family val="2"/>
    </font>
    <font>
      <i/>
      <sz val="8"/>
      <name val="Calibri"/>
      <family val="2"/>
    </font>
    <font>
      <i/>
      <sz val="10"/>
      <color indexed="8"/>
      <name val="Arial"/>
      <family val="2"/>
    </font>
    <font>
      <sz val="10"/>
      <color indexed="10"/>
      <name val="Calibri"/>
      <family val="2"/>
    </font>
    <font>
      <sz val="11"/>
      <color rgb="FFFFFF00"/>
      <name val="Calibri"/>
      <family val="2"/>
      <scheme val="minor"/>
    </font>
    <font>
      <u/>
      <sz val="10"/>
      <color theme="10"/>
      <name val="Arial"/>
      <family val="2"/>
    </font>
    <font>
      <sz val="9"/>
      <color rgb="FFFF0000"/>
      <name val="Arial"/>
      <family val="2"/>
    </font>
    <font>
      <sz val="11"/>
      <color indexed="16"/>
      <name val="Calibri"/>
      <family val="2"/>
    </font>
    <font>
      <sz val="10"/>
      <color indexed="8"/>
      <name val="Arial"/>
      <family val="2"/>
    </font>
    <font>
      <b/>
      <sz val="10"/>
      <color indexed="8"/>
      <name val="Arial"/>
      <family val="2"/>
    </font>
    <font>
      <b/>
      <sz val="10"/>
      <color rgb="FF0000FF"/>
      <name val="Arial"/>
      <family val="2"/>
    </font>
    <font>
      <b/>
      <sz val="10"/>
      <name val="Calibri"/>
      <family val="2"/>
    </font>
  </fonts>
  <fills count="101">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FFC000"/>
        <bgColor indexed="64"/>
      </patternFill>
    </fill>
    <fill>
      <patternFill patternType="solid">
        <fgColor theme="6" tint="0.59996337778862885"/>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FFFFFF"/>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indexed="43"/>
        <bgColor indexed="64"/>
      </patternFill>
    </fill>
    <fill>
      <patternFill patternType="solid">
        <fgColor indexed="41"/>
        <bgColor indexed="64"/>
      </patternFill>
    </fill>
    <fill>
      <patternFill patternType="solid">
        <fgColor theme="4" tint="0.79998168889431442"/>
        <bgColor indexed="64"/>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0" tint="-0.24994659260841701"/>
        <bgColor indexed="64"/>
      </patternFill>
    </fill>
    <fill>
      <patternFill patternType="solid">
        <fgColor theme="6" tint="0.39997558519241921"/>
        <bgColor indexed="64"/>
      </patternFill>
    </fill>
    <fill>
      <patternFill patternType="solid">
        <fgColor rgb="FFFFFF66"/>
        <bgColor indexed="64"/>
      </patternFill>
    </fill>
    <fill>
      <patternFill patternType="solid">
        <fgColor rgb="FFC0C0C0"/>
        <bgColor indexed="64"/>
      </patternFill>
    </fill>
    <fill>
      <patternFill patternType="solid">
        <fgColor rgb="FFA6A6A6"/>
        <bgColor indexed="64"/>
      </patternFill>
    </fill>
    <fill>
      <patternFill patternType="solid">
        <fgColor rgb="FFBFBFBF"/>
        <bgColor indexed="64"/>
      </patternFill>
    </fill>
    <fill>
      <patternFill patternType="solid">
        <fgColor theme="8" tint="0.79998168889431442"/>
        <bgColor indexed="64"/>
      </patternFill>
    </fill>
    <fill>
      <patternFill patternType="solid">
        <fgColor rgb="FFC6EFCE"/>
        <bgColor indexed="64"/>
      </patternFill>
    </fill>
    <fill>
      <patternFill patternType="solid">
        <fgColor rgb="FFD8E4BC"/>
        <bgColor indexed="64"/>
      </patternFill>
    </fill>
    <fill>
      <patternFill patternType="solid">
        <fgColor rgb="FFF2F2F2"/>
        <bgColor indexed="64"/>
      </patternFill>
    </fill>
    <fill>
      <patternFill patternType="solid">
        <fgColor rgb="FFFFC7CE"/>
        <bgColor indexed="64"/>
      </patternFill>
    </fill>
    <fill>
      <patternFill patternType="solid">
        <fgColor indexed="22"/>
        <bgColor indexed="0"/>
      </patternFill>
    </fill>
    <fill>
      <patternFill patternType="solid">
        <fgColor indexed="13"/>
        <bgColor indexed="64"/>
      </patternFill>
    </fill>
    <fill>
      <patternFill patternType="solid">
        <fgColor indexed="13"/>
        <bgColor indexed="8"/>
      </patternFill>
    </fill>
  </fills>
  <borders count="181">
    <border>
      <left/>
      <right/>
      <top/>
      <bottom/>
      <diagonal/>
    </border>
    <border>
      <left style="thin">
        <color indexed="23"/>
      </left>
      <right style="thin">
        <color indexed="23"/>
      </right>
      <top style="thin">
        <color indexed="23"/>
      </top>
      <bottom style="thin">
        <color indexed="23"/>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bottom style="thin">
        <color indexed="64"/>
      </bottom>
      <diagonal/>
    </border>
    <border>
      <left/>
      <right/>
      <top style="thin">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right/>
      <top style="thin">
        <color indexed="45"/>
      </top>
      <bottom style="thin">
        <color indexed="45"/>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medium">
        <color auto="1"/>
      </top>
      <bottom/>
      <diagonal/>
    </border>
    <border>
      <left style="thin">
        <color auto="1"/>
      </left>
      <right/>
      <top style="medium">
        <color auto="1"/>
      </top>
      <bottom/>
      <diagonal/>
    </border>
    <border>
      <left style="medium">
        <color auto="1"/>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medium">
        <color auto="1"/>
      </bottom>
      <diagonal/>
    </border>
    <border>
      <left/>
      <right/>
      <top style="thin">
        <color auto="1"/>
      </top>
      <bottom/>
      <diagonal/>
    </border>
    <border>
      <left style="thin">
        <color auto="1"/>
      </left>
      <right/>
      <top/>
      <bottom/>
      <diagonal/>
    </border>
    <border>
      <left/>
      <right/>
      <top/>
      <bottom style="thin">
        <color auto="1"/>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indexed="64"/>
      </left>
      <right style="thin">
        <color indexed="64"/>
      </right>
      <top/>
      <bottom style="thin">
        <color auto="1"/>
      </bottom>
      <diagonal/>
    </border>
    <border>
      <left style="thin">
        <color indexed="64"/>
      </left>
      <right style="thin">
        <color indexed="64"/>
      </right>
      <top style="thin">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indexed="64"/>
      </bottom>
      <diagonal/>
    </border>
    <border>
      <left style="thin">
        <color auto="1"/>
      </left>
      <right/>
      <top/>
      <bottom/>
      <diagonal/>
    </border>
    <border>
      <left/>
      <right/>
      <top style="medium">
        <color auto="1"/>
      </top>
      <bottom/>
      <diagonal/>
    </border>
    <border>
      <left/>
      <right/>
      <top/>
      <bottom style="thin">
        <color auto="1"/>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bottom/>
      <diagonal/>
    </border>
    <border>
      <left/>
      <right style="medium">
        <color auto="1"/>
      </right>
      <top/>
      <bottom/>
      <diagonal/>
    </border>
    <border>
      <left/>
      <right style="medium">
        <color indexed="64"/>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style="thin">
        <color indexed="22"/>
      </bottom>
      <diagonal/>
    </border>
    <border>
      <left/>
      <right/>
      <top/>
      <bottom style="thin">
        <color indexed="64"/>
      </bottom>
      <diagonal/>
    </border>
    <border>
      <left/>
      <right style="thin">
        <color indexed="22"/>
      </right>
      <top/>
      <bottom style="thin">
        <color indexed="64"/>
      </bottom>
      <diagonal/>
    </border>
    <border>
      <left style="thin">
        <color indexed="22"/>
      </left>
      <right style="thin">
        <color indexed="22"/>
      </right>
      <top style="thin">
        <color indexed="22"/>
      </top>
      <bottom/>
      <diagonal/>
    </border>
    <border>
      <left style="thin">
        <color indexed="22"/>
      </left>
      <right/>
      <top/>
      <bottom/>
      <diagonal/>
    </border>
    <border>
      <left style="thin">
        <color indexed="22"/>
      </left>
      <right style="thin">
        <color indexed="22"/>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s>
  <cellStyleXfs count="40431">
    <xf numFmtId="0" fontId="0" fillId="0" borderId="0"/>
    <xf numFmtId="180" fontId="11" fillId="0" borderId="0"/>
    <xf numFmtId="3" fontId="11" fillId="30" borderId="43" applyFont="0" applyFill="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1" fillId="0" borderId="0" applyNumberFormat="0" applyFont="0" applyFill="0" applyBorder="0" applyProtection="0">
      <alignment horizontal="left" vertical="center" indent="5"/>
    </xf>
    <xf numFmtId="49" fontId="38" fillId="0" borderId="2" applyNumberFormat="0" applyFont="0" applyFill="0" applyBorder="0" applyProtection="0">
      <alignment horizontal="left" vertical="center" indent="5"/>
    </xf>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4" fontId="34" fillId="21" borderId="3">
      <alignment horizontal="right" vertical="center"/>
    </xf>
    <xf numFmtId="4" fontId="34" fillId="21" borderId="3">
      <alignment horizontal="right" vertical="center"/>
    </xf>
    <xf numFmtId="0" fontId="64" fillId="31" borderId="0" applyNumberFormat="0" applyBorder="0" applyAlignment="0" applyProtection="0"/>
    <xf numFmtId="4" fontId="40" fillId="0" borderId="4" applyFill="0" applyBorder="0" applyProtection="0">
      <alignment horizontal="right" vertical="center"/>
    </xf>
    <xf numFmtId="3" fontId="65" fillId="32" borderId="43" applyNumberFormat="0" applyBorder="0" applyAlignment="0" applyProtection="0"/>
    <xf numFmtId="0" fontId="15" fillId="22" borderId="1" applyNumberFormat="0" applyAlignment="0" applyProtection="0"/>
    <xf numFmtId="0" fontId="29" fillId="30" borderId="43" applyNumberFormat="0" applyBorder="0" applyAlignment="0" applyProtection="0"/>
    <xf numFmtId="0" fontId="23" fillId="0" borderId="5" applyNumberFormat="0" applyFill="0" applyAlignment="0" applyProtection="0"/>
    <xf numFmtId="0" fontId="16" fillId="23" borderId="6" applyNumberFormat="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0" borderId="0" applyNumberFormat="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63" fillId="0" borderId="0" applyFont="0" applyFill="0" applyBorder="0" applyAlignment="0" applyProtection="0"/>
    <xf numFmtId="43" fontId="11" fillId="0" borderId="0" applyFont="0" applyFill="0" applyBorder="0" applyAlignment="0" applyProtection="0"/>
    <xf numFmtId="43" fontId="45" fillId="0" borderId="0" applyFont="0" applyFill="0" applyBorder="0" applyAlignment="0" applyProtection="0"/>
    <xf numFmtId="182" fontId="11"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0" fontId="37" fillId="0" borderId="0"/>
    <xf numFmtId="0" fontId="38" fillId="0" borderId="7">
      <alignment horizontal="left" vertical="center" wrapText="1" indent="2"/>
    </xf>
    <xf numFmtId="170" fontId="3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170" fontId="36" fillId="0" borderId="0" applyFont="0" applyFill="0" applyBorder="0" applyAlignment="0" applyProtection="0"/>
    <xf numFmtId="170" fontId="35" fillId="0" borderId="0" applyFont="0" applyFill="0" applyBorder="0" applyAlignment="0" applyProtection="0"/>
    <xf numFmtId="0" fontId="11" fillId="0" borderId="0" applyFont="0" applyFill="0" applyBorder="0" applyAlignment="0" applyProtection="0"/>
    <xf numFmtId="170" fontId="44"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0" fontId="45" fillId="0" borderId="0" applyFont="0" applyFill="0" applyBorder="0" applyAlignment="0" applyProtection="0"/>
    <xf numFmtId="170"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0" fontId="37" fillId="0" borderId="0"/>
    <xf numFmtId="0" fontId="66" fillId="34" borderId="0" applyNumberFormat="0" applyAlignment="0" applyProtection="0"/>
    <xf numFmtId="0" fontId="50" fillId="0" borderId="0" applyNumberFormat="0" applyFill="0" applyBorder="0" applyAlignment="0" applyProtection="0"/>
    <xf numFmtId="180" fontId="43" fillId="0" borderId="0" applyNumberFormat="0" applyFill="0" applyBorder="0" applyAlignment="0" applyProtection="0">
      <alignment vertical="top"/>
      <protection locked="0"/>
    </xf>
    <xf numFmtId="178" fontId="67" fillId="35" borderId="0" applyNumberFormat="0" applyBorder="0" applyAlignment="0" applyProtection="0">
      <alignment horizontal="center" vertical="top" wrapText="1"/>
    </xf>
    <xf numFmtId="0" fontId="22" fillId="8" borderId="1" applyNumberFormat="0" applyAlignment="0" applyProtection="0"/>
    <xf numFmtId="4" fontId="38" fillId="0" borderId="0" applyBorder="0">
      <alignment horizontal="right" vertical="center"/>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0" fontId="24" fillId="24" borderId="0" applyNumberFormat="0" applyBorder="0" applyAlignment="0" applyProtection="0"/>
    <xf numFmtId="0" fontId="11" fillId="0" borderId="0"/>
    <xf numFmtId="0" fontId="11" fillId="0" borderId="0"/>
    <xf numFmtId="0" fontId="37" fillId="0" borderId="0"/>
    <xf numFmtId="180" fontId="11" fillId="0" borderId="0"/>
    <xf numFmtId="180" fontId="11" fillId="0" borderId="0"/>
    <xf numFmtId="180" fontId="11" fillId="0" borderId="0"/>
    <xf numFmtId="178" fontId="11" fillId="0" borderId="0"/>
    <xf numFmtId="0" fontId="63" fillId="0" borderId="0"/>
    <xf numFmtId="0" fontId="63" fillId="0" borderId="0"/>
    <xf numFmtId="0" fontId="63" fillId="0" borderId="0"/>
    <xf numFmtId="0" fontId="42" fillId="0" borderId="0"/>
    <xf numFmtId="0" fontId="68" fillId="0" borderId="0"/>
    <xf numFmtId="0" fontId="63" fillId="0" borderId="0"/>
    <xf numFmtId="0" fontId="69" fillId="0" borderId="0"/>
    <xf numFmtId="183" fontId="47" fillId="0" borderId="0" applyNumberFormat="0" applyProtection="0">
      <alignment horizontal="center" vertical="center"/>
    </xf>
    <xf numFmtId="0" fontId="63" fillId="0" borderId="0"/>
    <xf numFmtId="0" fontId="49" fillId="0" borderId="0"/>
    <xf numFmtId="0" fontId="69" fillId="0" borderId="0"/>
    <xf numFmtId="0" fontId="52" fillId="0" borderId="0"/>
    <xf numFmtId="0" fontId="35" fillId="0" borderId="0"/>
    <xf numFmtId="0" fontId="42" fillId="0" borderId="0"/>
    <xf numFmtId="178" fontId="29" fillId="30" borderId="0" applyNumberFormat="0" applyBorder="0" applyAlignment="0"/>
    <xf numFmtId="4" fontId="38" fillId="0" borderId="3" applyFill="0" applyBorder="0" applyProtection="0">
      <alignment horizontal="right" vertical="center"/>
    </xf>
    <xf numFmtId="0" fontId="40" fillId="0" borderId="0" applyNumberFormat="0" applyFill="0" applyBorder="0" applyProtection="0">
      <alignment horizontal="left" vertical="center"/>
    </xf>
    <xf numFmtId="0" fontId="38" fillId="0" borderId="3" applyNumberFormat="0" applyFill="0" applyAlignment="0" applyProtection="0"/>
    <xf numFmtId="0" fontId="11" fillId="25" borderId="0" applyNumberFormat="0" applyFont="0" applyBorder="0" applyAlignment="0" applyProtection="0"/>
    <xf numFmtId="0" fontId="51" fillId="26" borderId="0" applyNumberFormat="0" applyFont="0" applyBorder="0" applyAlignment="0" applyProtection="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2" fillId="0" borderId="0"/>
    <xf numFmtId="0" fontId="12"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9" fillId="0" borderId="0"/>
    <xf numFmtId="0" fontId="36" fillId="27" borderId="11" applyNumberFormat="0" applyFont="0" applyAlignment="0" applyProtection="0"/>
    <xf numFmtId="0" fontId="11" fillId="27" borderId="11" applyNumberFormat="0" applyFont="0" applyAlignment="0" applyProtection="0"/>
    <xf numFmtId="0" fontId="36" fillId="27" borderId="11" applyNumberFormat="0" applyFont="0" applyAlignment="0" applyProtection="0"/>
    <xf numFmtId="0" fontId="35" fillId="27" borderId="11" applyNumberFormat="0" applyFont="0" applyAlignment="0" applyProtection="0"/>
    <xf numFmtId="0" fontId="44" fillId="27" borderId="11" applyNumberFormat="0" applyFont="0" applyAlignment="0" applyProtection="0"/>
    <xf numFmtId="0" fontId="45" fillId="27" borderId="11" applyNumberFormat="0" applyFont="0" applyAlignment="0" applyProtection="0"/>
    <xf numFmtId="0" fontId="46" fillId="27" borderId="11" applyNumberFormat="0" applyFont="0" applyAlignment="0" applyProtection="0"/>
    <xf numFmtId="173" fontId="3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0" fontId="25" fillId="22" borderId="12" applyNumberFormat="0" applyAlignment="0" applyProtection="0"/>
    <xf numFmtId="174" fontId="38" fillId="28" borderId="3" applyNumberFormat="0" applyFont="0" applyBorder="0" applyAlignment="0" applyProtection="0">
      <alignment horizontal="right" vertical="center"/>
    </xf>
    <xf numFmtId="0" fontId="37" fillId="0" borderId="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11" fillId="0" borderId="0" applyFont="0" applyFill="0" applyBorder="0" applyAlignment="0" applyProtection="0"/>
    <xf numFmtId="9" fontId="63" fillId="0" borderId="0" applyFont="0" applyFill="0" applyBorder="0" applyAlignment="0" applyProtection="0"/>
    <xf numFmtId="9" fontId="45" fillId="0" borderId="0" applyFont="0" applyFill="0" applyBorder="0" applyAlignment="0" applyProtection="0"/>
    <xf numFmtId="9" fontId="42"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11" fillId="0" borderId="0" applyFont="0" applyFill="0" applyBorder="0" applyAlignment="0" applyProtection="0"/>
    <xf numFmtId="0" fontId="28"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8" applyNumberFormat="0" applyFill="0" applyAlignment="0" applyProtection="0"/>
    <xf numFmtId="0" fontId="20" fillId="0" borderId="9" applyNumberFormat="0" applyFill="0" applyAlignment="0" applyProtection="0"/>
    <xf numFmtId="0" fontId="21" fillId="0" borderId="10" applyNumberFormat="0" applyFill="0" applyAlignment="0" applyProtection="0"/>
    <xf numFmtId="0" fontId="21" fillId="0" borderId="0" applyNumberFormat="0" applyFill="0" applyBorder="0" applyAlignment="0" applyProtection="0"/>
    <xf numFmtId="0" fontId="27" fillId="0" borderId="13" applyNumberFormat="0" applyFill="0" applyAlignment="0" applyProtection="0"/>
    <xf numFmtId="0" fontId="70" fillId="33" borderId="43" applyNumberFormat="0" applyFill="0" applyBorder="0" applyAlignment="0" applyProtection="0"/>
    <xf numFmtId="0" fontId="14" fillId="4" borderId="0" applyNumberFormat="0" applyBorder="0" applyAlignment="0" applyProtection="0"/>
    <xf numFmtId="0" fontId="18" fillId="5" borderId="0" applyNumberFormat="0" applyBorder="0" applyAlignment="0" applyProtection="0"/>
    <xf numFmtId="0" fontId="48" fillId="0" borderId="14">
      <alignment horizontal="center"/>
      <protection hidden="1"/>
    </xf>
    <xf numFmtId="0" fontId="61" fillId="33" borderId="43" applyFill="0" applyBorder="0" applyAlignment="0" applyProtection="0"/>
    <xf numFmtId="4" fontId="38" fillId="0" borderId="0"/>
    <xf numFmtId="0" fontId="66" fillId="34" borderId="0" applyNumberFormat="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0"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2" fillId="0" borderId="0"/>
    <xf numFmtId="0" fontId="83" fillId="0" borderId="0">
      <alignment horizontal="right"/>
    </xf>
    <xf numFmtId="0" fontId="84" fillId="0" borderId="0"/>
    <xf numFmtId="0" fontId="85" fillId="0" borderId="0"/>
    <xf numFmtId="0" fontId="86" fillId="0" borderId="0"/>
    <xf numFmtId="0" fontId="87" fillId="0" borderId="47" applyNumberFormat="0" applyAlignment="0"/>
    <xf numFmtId="0" fontId="88" fillId="0" borderId="0" applyAlignment="0">
      <alignment horizontal="left"/>
    </xf>
    <xf numFmtId="0" fontId="88" fillId="0" borderId="0">
      <alignment horizontal="right"/>
    </xf>
    <xf numFmtId="184" fontId="88" fillId="0" borderId="0">
      <alignment horizontal="right"/>
    </xf>
    <xf numFmtId="168" fontId="89" fillId="0" borderId="0">
      <alignment horizontal="right"/>
    </xf>
    <xf numFmtId="0" fontId="90" fillId="0" borderId="0"/>
    <xf numFmtId="0" fontId="15" fillId="22" borderId="1" applyNumberFormat="0" applyAlignment="0" applyProtection="0"/>
    <xf numFmtId="0" fontId="15" fillId="22" borderId="1" applyNumberFormat="0" applyAlignment="0" applyProtection="0"/>
    <xf numFmtId="0" fontId="16" fillId="23" borderId="6" applyNumberFormat="0" applyAlignment="0" applyProtection="0"/>
    <xf numFmtId="166" fontId="11" fillId="0" borderId="0" applyFont="0" applyFill="0" applyBorder="0" applyAlignment="0" applyProtection="0"/>
    <xf numFmtId="166" fontId="91" fillId="0" borderId="0" applyFont="0" applyFill="0" applyBorder="0" applyAlignment="0" applyProtection="0"/>
    <xf numFmtId="43" fontId="12" fillId="0" borderId="0" applyFont="0" applyFill="0" applyBorder="0" applyAlignment="0" applyProtection="0"/>
    <xf numFmtId="166" fontId="91" fillId="0" borderId="0" applyFont="0" applyFill="0" applyBorder="0" applyAlignment="0" applyProtection="0"/>
    <xf numFmtId="166" fontId="91" fillId="0" borderId="0" applyFont="0" applyFill="0" applyBorder="0" applyAlignment="0" applyProtection="0"/>
    <xf numFmtId="166" fontId="9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0" fontId="17" fillId="0" borderId="0" applyNumberFormat="0" applyFill="0" applyBorder="0" applyAlignment="0" applyProtection="0"/>
    <xf numFmtId="0" fontId="18" fillId="5" borderId="0" applyNumberFormat="0" applyBorder="0" applyAlignment="0" applyProtection="0"/>
    <xf numFmtId="0" fontId="20" fillId="0" borderId="9" applyNumberFormat="0" applyFill="0" applyAlignment="0" applyProtection="0"/>
    <xf numFmtId="0" fontId="21" fillId="0" borderId="10" applyNumberFormat="0" applyFill="0" applyAlignment="0" applyProtection="0"/>
    <xf numFmtId="0" fontId="21" fillId="0" borderId="0" applyNumberFormat="0" applyFill="0" applyBorder="0" applyAlignment="0" applyProtection="0"/>
    <xf numFmtId="0" fontId="43" fillId="0" borderId="0" applyNumberFormat="0" applyFill="0" applyBorder="0" applyAlignment="0" applyProtection="0">
      <alignment vertical="top"/>
      <protection locked="0"/>
    </xf>
    <xf numFmtId="0" fontId="22" fillId="8" borderId="1"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1"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0" fontId="43" fillId="0" borderId="0" applyNumberFormat="0" applyFill="0" applyBorder="0" applyAlignment="0" applyProtection="0">
      <alignment vertical="top"/>
      <protection locked="0"/>
    </xf>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alignment vertical="top"/>
      <protection locked="0"/>
    </xf>
    <xf numFmtId="0" fontId="23" fillId="0" borderId="5" applyNumberFormat="0" applyFill="0" applyAlignment="0" applyProtection="0"/>
    <xf numFmtId="0" fontId="24" fillId="2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8"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6" fillId="0" borderId="0"/>
    <xf numFmtId="0" fontId="76" fillId="0" borderId="0"/>
    <xf numFmtId="0" fontId="76" fillId="0" borderId="0"/>
    <xf numFmtId="0" fontId="76" fillId="0" borderId="0"/>
    <xf numFmtId="0" fontId="76" fillId="0" borderId="0"/>
    <xf numFmtId="0" fontId="7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80" fontId="9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6" fillId="0" borderId="0"/>
    <xf numFmtId="0" fontId="76" fillId="0" borderId="0"/>
    <xf numFmtId="0" fontId="76" fillId="0" borderId="0"/>
    <xf numFmtId="0" fontId="11" fillId="0" borderId="0"/>
    <xf numFmtId="0" fontId="8" fillId="0" borderId="0"/>
    <xf numFmtId="0" fontId="8" fillId="0" borderId="0"/>
    <xf numFmtId="0" fontId="8" fillId="0" borderId="0"/>
    <xf numFmtId="0" fontId="8" fillId="0" borderId="0"/>
    <xf numFmtId="0" fontId="8" fillId="0" borderId="0"/>
    <xf numFmtId="0" fontId="42" fillId="0" borderId="0" applyFill="0" applyBorder="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8" fontId="29" fillId="30" borderId="0" applyNumberFormat="0" applyBorder="0" applyAlignment="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27" borderId="11" applyNumberFormat="0" applyFont="0" applyAlignment="0" applyProtection="0"/>
    <xf numFmtId="0" fontId="11" fillId="27" borderId="11" applyNumberFormat="0" applyFont="0" applyAlignment="0" applyProtection="0"/>
    <xf numFmtId="0" fontId="25" fillId="22" borderId="12" applyNumberFormat="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184" fontId="9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6"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95" fillId="0" borderId="0" applyNumberFormat="0" applyFill="0" applyBorder="0" applyAlignment="0" applyProtection="0"/>
    <xf numFmtId="0" fontId="26" fillId="0" borderId="0" applyNumberFormat="0" applyFill="0" applyBorder="0" applyAlignment="0" applyProtection="0"/>
    <xf numFmtId="0" fontId="27" fillId="0" borderId="13" applyNumberFormat="0" applyFill="0" applyAlignment="0" applyProtection="0"/>
    <xf numFmtId="0" fontId="27" fillId="0" borderId="13" applyNumberFormat="0" applyFill="0" applyAlignment="0" applyProtection="0"/>
    <xf numFmtId="0" fontId="28" fillId="0" borderId="0" applyNumberFormat="0" applyFill="0" applyBorder="0" applyAlignment="0" applyProtection="0"/>
    <xf numFmtId="0" fontId="96" fillId="0" borderId="48" applyNumberFormat="0">
      <alignment vertical="center"/>
    </xf>
    <xf numFmtId="196" fontId="97" fillId="0" borderId="48">
      <alignment horizontal="right" vertical="center"/>
    </xf>
    <xf numFmtId="178" fontId="67" fillId="35" borderId="0" applyNumberFormat="0" applyBorder="0" applyAlignment="0" applyProtection="0">
      <alignment horizontal="center" vertical="top" wrapText="1"/>
    </xf>
    <xf numFmtId="0" fontId="110" fillId="0" borderId="53" applyNumberFormat="0" applyFill="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0" fontId="111" fillId="58" borderId="0" applyNumberFormat="0" applyBorder="0" applyAlignment="0" applyProtection="0"/>
    <xf numFmtId="0" fontId="112" fillId="31" borderId="0" applyNumberFormat="0" applyBorder="0" applyAlignment="0" applyProtection="0"/>
    <xf numFmtId="0" fontId="113" fillId="59" borderId="0" applyNumberFormat="0" applyBorder="0" applyAlignment="0" applyProtection="0"/>
    <xf numFmtId="0" fontId="116" fillId="33" borderId="43" applyNumberFormat="0" applyAlignment="0" applyProtection="0"/>
    <xf numFmtId="0" fontId="117" fillId="0" borderId="55" applyNumberFormat="0" applyFill="0" applyAlignment="0" applyProtection="0"/>
    <xf numFmtId="0" fontId="118" fillId="61" borderId="56" applyNumberFormat="0" applyAlignment="0" applyProtection="0"/>
    <xf numFmtId="0" fontId="119" fillId="0" borderId="0" applyNumberFormat="0" applyFill="0" applyBorder="0" applyAlignment="0" applyProtection="0"/>
    <xf numFmtId="0" fontId="120" fillId="0" borderId="0" applyNumberFormat="0" applyFill="0" applyBorder="0" applyAlignment="0" applyProtection="0"/>
    <xf numFmtId="0" fontId="121" fillId="0" borderId="57" applyNumberFormat="0" applyFill="0" applyAlignment="0" applyProtection="0"/>
    <xf numFmtId="0" fontId="122" fillId="6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122" fillId="63" borderId="0" applyNumberFormat="0" applyBorder="0" applyAlignment="0" applyProtection="0"/>
    <xf numFmtId="0" fontId="122" fillId="6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122" fillId="65" borderId="0" applyNumberFormat="0" applyBorder="0" applyAlignment="0" applyProtection="0"/>
    <xf numFmtId="0" fontId="122" fillId="66"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122" fillId="67" borderId="0" applyNumberFormat="0" applyBorder="0" applyAlignment="0" applyProtection="0"/>
    <xf numFmtId="0" fontId="122" fillId="68"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122" fillId="69" borderId="0" applyNumberFormat="0" applyBorder="0" applyAlignment="0" applyProtection="0"/>
    <xf numFmtId="0" fontId="122" fillId="7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122" fillId="71" borderId="0" applyNumberFormat="0" applyBorder="0" applyAlignment="0" applyProtection="0"/>
    <xf numFmtId="0" fontId="122" fillId="72"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22" fillId="73"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123" fillId="0" borderId="0" applyNumberFormat="0" applyBorder="0" applyAlignment="0"/>
    <xf numFmtId="0" fontId="124" fillId="0" borderId="0" applyNumberFormat="0" applyFill="0" applyBorder="0" applyAlignment="0" applyProtection="0"/>
    <xf numFmtId="3" fontId="126" fillId="76" borderId="0" applyBorder="0" applyAlignment="0">
      <protection locked="0"/>
    </xf>
    <xf numFmtId="180" fontId="11" fillId="0" borderId="0" applyFont="0" applyFill="0" applyBorder="0" applyAlignment="0" applyProtection="0"/>
    <xf numFmtId="4" fontId="56" fillId="29" borderId="36" applyNumberFormat="0" applyFont="0" applyBorder="0" applyAlignment="0" applyProtection="0">
      <alignment horizontal="right"/>
    </xf>
    <xf numFmtId="0" fontId="11" fillId="0" borderId="0"/>
    <xf numFmtId="0" fontId="103" fillId="0" borderId="0"/>
    <xf numFmtId="180" fontId="11" fillId="0" borderId="0" applyFont="0" applyFill="0" applyBorder="0" applyAlignment="0" applyProtection="0"/>
    <xf numFmtId="0" fontId="114" fillId="60" borderId="43" applyNumberFormat="0" applyAlignment="0" applyProtection="0"/>
    <xf numFmtId="0" fontId="115" fillId="33" borderId="54" applyNumberFormat="0" applyAlignment="0" applyProtection="0"/>
    <xf numFmtId="166"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 fontId="56" fillId="77" borderId="0" applyNumberFormat="0" applyFont="0" applyBorder="0" applyAlignment="0" applyProtection="0">
      <alignment horizontal="right"/>
    </xf>
    <xf numFmtId="0" fontId="125" fillId="22" borderId="1" applyNumberFormat="0" applyFill="0" applyBorder="0" applyAlignment="0" applyProtection="0"/>
    <xf numFmtId="0" fontId="76" fillId="0" borderId="0"/>
    <xf numFmtId="166" fontId="76" fillId="0" borderId="0" applyFont="0" applyFill="0" applyBorder="0" applyAlignment="0" applyProtection="0"/>
    <xf numFmtId="9" fontId="76" fillId="0" borderId="0" applyFont="0" applyFill="0" applyBorder="0" applyAlignment="0" applyProtection="0"/>
    <xf numFmtId="0" fontId="127" fillId="0" borderId="0" applyNumberFormat="0" applyFill="0" applyBorder="0" applyAlignment="0" applyProtection="0">
      <alignment vertical="top"/>
      <protection locked="0"/>
    </xf>
    <xf numFmtId="166" fontId="11" fillId="0" borderId="0" applyFont="0" applyFill="0" applyBorder="0" applyAlignment="0" applyProtection="0"/>
    <xf numFmtId="0" fontId="76" fillId="0" borderId="0"/>
    <xf numFmtId="0" fontId="128" fillId="58" borderId="0" applyNumberFormat="0" applyBorder="0" applyAlignment="0" applyProtection="0"/>
    <xf numFmtId="0" fontId="76" fillId="44" borderId="46" applyNumberFormat="0" applyFont="0" applyAlignment="0" applyProtection="0"/>
    <xf numFmtId="0" fontId="11" fillId="0" borderId="0"/>
    <xf numFmtId="166" fontId="11" fillId="0" borderId="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123" fillId="0" borderId="0" applyNumberFormat="0" applyBorder="0" applyAlignment="0"/>
    <xf numFmtId="0" fontId="11" fillId="0" borderId="0" applyNumberFormat="0" applyFont="0" applyFill="0" applyBorder="0" applyProtection="0">
      <alignment horizontal="left" vertical="center" indent="5"/>
    </xf>
    <xf numFmtId="43" fontId="7"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7" fillId="0" borderId="0"/>
    <xf numFmtId="0" fontId="7" fillId="0" borderId="0"/>
    <xf numFmtId="0" fontId="7" fillId="0" borderId="0"/>
    <xf numFmtId="0" fontId="7" fillId="0" borderId="0"/>
    <xf numFmtId="0" fontId="7" fillId="0" borderId="0"/>
    <xf numFmtId="0" fontId="11" fillId="25"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7" borderId="11"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44" borderId="46" applyNumberFormat="0" applyFont="0" applyAlignment="0" applyProtection="0"/>
    <xf numFmtId="0" fontId="7" fillId="0" borderId="0"/>
    <xf numFmtId="0" fontId="7" fillId="48" borderId="0" applyNumberFormat="0" applyBorder="0" applyAlignment="0" applyProtection="0"/>
    <xf numFmtId="0" fontId="7" fillId="53" borderId="0" applyNumberFormat="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39" fillId="0" borderId="0"/>
    <xf numFmtId="0" fontId="7" fillId="0" borderId="0"/>
    <xf numFmtId="0" fontId="11" fillId="0" borderId="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9" fontId="38" fillId="0" borderId="3" applyNumberFormat="0" applyFont="0" applyFill="0" applyBorder="0" applyProtection="0">
      <alignment horizontal="left" vertical="center" indent="2"/>
    </xf>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201" fontId="88" fillId="0" borderId="0" applyAlignment="0" applyProtection="0"/>
    <xf numFmtId="201" fontId="88" fillId="0" borderId="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3" fontId="157" fillId="0" borderId="0" applyFont="0" applyFill="0" applyBorder="0" applyAlignment="0" applyProtection="0"/>
    <xf numFmtId="202" fontId="11" fillId="0" borderId="0"/>
    <xf numFmtId="202" fontId="11" fillId="0" borderId="0"/>
    <xf numFmtId="202" fontId="11" fillId="0" borderId="0"/>
    <xf numFmtId="202" fontId="11" fillId="0" borderId="0"/>
    <xf numFmtId="202" fontId="11" fillId="0" borderId="0"/>
    <xf numFmtId="0" fontId="37" fillId="0" borderId="0"/>
    <xf numFmtId="203" fontId="157" fillId="0" borderId="0" applyFont="0" applyFill="0" applyBorder="0" applyAlignment="0" applyProtection="0"/>
    <xf numFmtId="0" fontId="157" fillId="0" borderId="0" applyFont="0" applyFill="0" applyBorder="0" applyAlignment="0" applyProtection="0"/>
    <xf numFmtId="0" fontId="37" fillId="0" borderId="0"/>
    <xf numFmtId="2" fontId="157" fillId="0" borderId="0" applyFont="0" applyFill="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199" fontId="11" fillId="0" borderId="0" applyFont="0" applyFill="0" applyBorder="0" applyAlignment="0" applyProtection="0"/>
    <xf numFmtId="182"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9"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9" fillId="0" borderId="0" applyFont="0" applyFill="0" applyBorder="0" applyAlignment="0" applyProtection="0"/>
    <xf numFmtId="43" fontId="11"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9" fillId="0" borderId="0" applyFont="0" applyFill="0" applyBorder="0" applyAlignment="0" applyProtection="0"/>
    <xf numFmtId="199" fontId="11" fillId="0" borderId="0" applyFont="0" applyFill="0" applyBorder="0" applyAlignment="0" applyProtection="0"/>
    <xf numFmtId="0" fontId="131"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161" fillId="0" borderId="0" applyNumberFormat="0" applyFill="0" applyBorder="0" applyAlignment="0" applyProtection="0">
      <alignment vertical="top"/>
    </xf>
    <xf numFmtId="0" fontId="127"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7" fillId="0" borderId="0"/>
    <xf numFmtId="0" fontId="11" fillId="0" borderId="0"/>
    <xf numFmtId="0" fontId="7" fillId="0" borderId="0"/>
    <xf numFmtId="0" fontId="123" fillId="0" borderId="0" applyNumberFormat="0" applyBorder="0" applyAlignment="0"/>
    <xf numFmtId="0" fontId="11" fillId="0" borderId="0"/>
    <xf numFmtId="0" fontId="7"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9" fillId="0" borderId="0">
      <alignment vertical="top"/>
    </xf>
    <xf numFmtId="0" fontId="7" fillId="0" borderId="0"/>
    <xf numFmtId="0" fontId="7" fillId="0" borderId="0"/>
    <xf numFmtId="0" fontId="7" fillId="0" borderId="0"/>
    <xf numFmtId="0" fontId="157" fillId="0" borderId="0"/>
    <xf numFmtId="0" fontId="157" fillId="0" borderId="0"/>
    <xf numFmtId="0" fontId="157" fillId="0" borderId="0"/>
    <xf numFmtId="0" fontId="11" fillId="0" borderId="0"/>
    <xf numFmtId="0" fontId="9" fillId="0" borderId="0">
      <alignment vertical="top"/>
    </xf>
    <xf numFmtId="0" fontId="11" fillId="0" borderId="0"/>
    <xf numFmtId="0" fontId="7" fillId="0" borderId="0"/>
    <xf numFmtId="0" fontId="11" fillId="0" borderId="0"/>
    <xf numFmtId="0" fontId="9" fillId="0" borderId="0">
      <alignment vertical="top"/>
    </xf>
    <xf numFmtId="0" fontId="9" fillId="0" borderId="0">
      <alignment vertical="top"/>
    </xf>
    <xf numFmtId="0" fontId="7" fillId="0" borderId="0"/>
    <xf numFmtId="0" fontId="11" fillId="0" borderId="0"/>
    <xf numFmtId="0" fontId="11" fillId="0" borderId="0"/>
    <xf numFmtId="0" fontId="11"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53"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9" fillId="0" borderId="0">
      <alignment vertical="top"/>
    </xf>
    <xf numFmtId="0" fontId="7" fillId="0" borderId="0"/>
    <xf numFmtId="0" fontId="9" fillId="0" borderId="0">
      <alignment vertical="top"/>
    </xf>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7" fillId="0" borderId="0"/>
    <xf numFmtId="0" fontId="7" fillId="0" borderId="0"/>
    <xf numFmtId="0" fontId="11" fillId="0" borderId="0"/>
    <xf numFmtId="0" fontId="9" fillId="0" borderId="0">
      <alignment vertical="top"/>
    </xf>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11" fillId="0" borderId="0"/>
    <xf numFmtId="0" fontId="11" fillId="0" borderId="0"/>
    <xf numFmtId="0" fontId="39" fillId="0" borderId="0"/>
    <xf numFmtId="0" fontId="7" fillId="0" borderId="0"/>
    <xf numFmtId="0" fontId="7" fillId="0" borderId="0"/>
    <xf numFmtId="0" fontId="9" fillId="0" borderId="0">
      <alignment vertical="top"/>
    </xf>
    <xf numFmtId="0" fontId="7" fillId="0" borderId="0"/>
    <xf numFmtId="49" fontId="40" fillId="0" borderId="3" applyNumberFormat="0" applyFill="0" applyBorder="0" applyProtection="0">
      <alignment horizontal="left" vertical="center"/>
    </xf>
    <xf numFmtId="0" fontId="12" fillId="44" borderId="46" applyNumberFormat="0" applyFont="0" applyAlignment="0" applyProtection="0"/>
    <xf numFmtId="0" fontId="12" fillId="44" borderId="46" applyNumberFormat="0" applyFon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37" fillId="0" borderId="0"/>
    <xf numFmtId="9" fontId="130" fillId="0" borderId="0" applyFont="0" applyFill="0" applyBorder="0" applyAlignment="0" applyProtection="0"/>
    <xf numFmtId="9" fontId="130" fillId="0" borderId="0" applyFont="0" applyFill="0" applyBorder="0" applyAlignment="0" applyProtection="0"/>
    <xf numFmtId="9" fontId="13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30" fillId="0" borderId="0" applyFont="0" applyFill="0" applyBorder="0" applyAlignment="0" applyProtection="0"/>
    <xf numFmtId="9" fontId="130"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9" fillId="0" borderId="0" applyFont="0" applyFill="0" applyBorder="0" applyAlignment="0" applyProtection="0"/>
    <xf numFmtId="10" fontId="1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4" fontId="135" fillId="74" borderId="62" applyNumberFormat="0" applyProtection="0">
      <alignment vertical="center"/>
    </xf>
    <xf numFmtId="4" fontId="136" fillId="74" borderId="62" applyNumberFormat="0" applyProtection="0">
      <alignment vertical="center"/>
    </xf>
    <xf numFmtId="4" fontId="137" fillId="24" borderId="62" applyNumberFormat="0" applyProtection="0">
      <alignment horizontal="left" vertical="center" indent="1"/>
    </xf>
    <xf numFmtId="0" fontId="11" fillId="0" borderId="0"/>
    <xf numFmtId="4" fontId="138" fillId="79" borderId="62" applyNumberFormat="0" applyProtection="0">
      <alignment horizontal="left" vertical="center" indent="1"/>
    </xf>
    <xf numFmtId="4" fontId="139" fillId="82" borderId="62" applyNumberFormat="0" applyProtection="0">
      <alignment vertical="center"/>
    </xf>
    <xf numFmtId="0" fontId="11" fillId="0" borderId="0"/>
    <xf numFmtId="0" fontId="11" fillId="0" borderId="0"/>
    <xf numFmtId="0" fontId="11" fillId="0" borderId="0"/>
    <xf numFmtId="4" fontId="129" fillId="21" borderId="62" applyNumberFormat="0" applyProtection="0">
      <alignment vertical="center"/>
    </xf>
    <xf numFmtId="0" fontId="11" fillId="0" borderId="0"/>
    <xf numFmtId="0" fontId="11" fillId="0" borderId="0"/>
    <xf numFmtId="0" fontId="11" fillId="0" borderId="0"/>
    <xf numFmtId="4" fontId="139" fillId="83" borderId="62" applyNumberFormat="0" applyProtection="0">
      <alignment vertical="center"/>
    </xf>
    <xf numFmtId="0" fontId="11" fillId="0" borderId="0"/>
    <xf numFmtId="0" fontId="11" fillId="0" borderId="0"/>
    <xf numFmtId="0" fontId="11" fillId="0" borderId="0"/>
    <xf numFmtId="4" fontId="140" fillId="82" borderId="62" applyNumberFormat="0" applyProtection="0">
      <alignment vertical="center"/>
    </xf>
    <xf numFmtId="4" fontId="141" fillId="84" borderId="62" applyNumberFormat="0" applyProtection="0">
      <alignment horizontal="left" vertical="center" indent="1"/>
    </xf>
    <xf numFmtId="4" fontId="141" fillId="79" borderId="62" applyNumberFormat="0" applyProtection="0">
      <alignment horizontal="left" vertical="center" indent="1"/>
    </xf>
    <xf numFmtId="4" fontId="141" fillId="79" borderId="62" applyNumberFormat="0" applyProtection="0">
      <alignment horizontal="left" vertical="center" indent="1"/>
    </xf>
    <xf numFmtId="4" fontId="142" fillId="78" borderId="62" applyNumberFormat="0" applyProtection="0">
      <alignment vertical="center"/>
    </xf>
    <xf numFmtId="4" fontId="133" fillId="2" borderId="62" applyNumberFormat="0" applyProtection="0">
      <alignment horizontal="left" vertical="center" indent="1"/>
    </xf>
    <xf numFmtId="4" fontId="143" fillId="79" borderId="0" applyNumberFormat="0" applyProtection="0">
      <alignment horizontal="left" vertical="center" indent="1"/>
    </xf>
    <xf numFmtId="4" fontId="144" fillId="79" borderId="0"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145" fillId="2" borderId="62" applyNumberFormat="0" applyProtection="0">
      <alignment vertical="center"/>
    </xf>
    <xf numFmtId="4" fontId="146" fillId="2" borderId="62" applyNumberFormat="0" applyProtection="0">
      <alignment vertical="center"/>
    </xf>
    <xf numFmtId="4" fontId="147" fillId="75" borderId="62" applyNumberFormat="0" applyProtection="0">
      <alignment horizontal="left" vertical="center" indent="1"/>
    </xf>
    <xf numFmtId="0" fontId="11" fillId="0" borderId="0"/>
    <xf numFmtId="4" fontId="148" fillId="2" borderId="62" applyNumberFormat="0" applyProtection="0">
      <alignment horizontal="right" vertical="center"/>
    </xf>
    <xf numFmtId="4" fontId="149" fillId="2" borderId="62" applyNumberFormat="0" applyProtection="0">
      <alignment vertical="center"/>
    </xf>
    <xf numFmtId="4" fontId="148" fillId="27" borderId="62" applyNumberFormat="0" applyProtection="0">
      <alignment horizontal="left" vertical="center"/>
    </xf>
    <xf numFmtId="0" fontId="11" fillId="0" borderId="0"/>
    <xf numFmtId="4" fontId="150" fillId="2" borderId="62" applyNumberFormat="0" applyProtection="0">
      <alignment vertical="center"/>
    </xf>
    <xf numFmtId="4" fontId="151" fillId="2" borderId="62" applyNumberFormat="0" applyProtection="0">
      <alignment vertical="center"/>
    </xf>
    <xf numFmtId="4" fontId="147" fillId="85" borderId="62" applyNumberFormat="0" applyProtection="0">
      <alignment horizontal="left" vertical="center" indent="1"/>
    </xf>
    <xf numFmtId="4" fontId="152" fillId="86" borderId="0" applyNumberFormat="0" applyProtection="0">
      <alignment horizontal="left" indent="1"/>
    </xf>
    <xf numFmtId="4" fontId="134" fillId="2" borderId="62" applyNumberFormat="0" applyProtection="0">
      <alignment vertical="center"/>
    </xf>
    <xf numFmtId="0" fontId="132" fillId="0" borderId="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21" fillId="0" borderId="63" applyNumberFormat="0" applyFill="0" applyAlignment="0" applyProtection="0"/>
    <xf numFmtId="0" fontId="121" fillId="0" borderId="63" applyNumberFormat="0" applyFill="0" applyAlignment="0" applyProtection="0"/>
    <xf numFmtId="0" fontId="157" fillId="0" borderId="64" applyNumberFormat="0" applyFont="0" applyFill="0" applyAlignment="0" applyProtection="0"/>
    <xf numFmtId="0" fontId="121" fillId="0" borderId="63" applyNumberFormat="0" applyFill="0" applyAlignment="0" applyProtection="0"/>
    <xf numFmtId="0" fontId="121" fillId="0" borderId="63" applyNumberFormat="0" applyFill="0" applyAlignment="0" applyProtection="0"/>
    <xf numFmtId="0" fontId="121" fillId="0" borderId="63" applyNumberFormat="0" applyFill="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0" fontId="130" fillId="0" borderId="0"/>
    <xf numFmtId="0" fontId="124" fillId="0" borderId="0" applyNumberFormat="0" applyFill="0" applyBorder="0" applyAlignment="0" applyProtection="0"/>
    <xf numFmtId="0" fontId="110" fillId="0" borderId="53" applyNumberFormat="0" applyFill="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0" fontId="111" fillId="58" borderId="0" applyNumberFormat="0" applyBorder="0" applyAlignment="0" applyProtection="0"/>
    <xf numFmtId="0" fontId="112" fillId="31" borderId="0" applyNumberFormat="0" applyBorder="0" applyAlignment="0" applyProtection="0"/>
    <xf numFmtId="0" fontId="113" fillId="59" borderId="0" applyNumberFormat="0" applyBorder="0" applyAlignment="0" applyProtection="0"/>
    <xf numFmtId="0" fontId="114" fillId="60" borderId="43" applyNumberFormat="0" applyAlignment="0" applyProtection="0"/>
    <xf numFmtId="0" fontId="115" fillId="33" borderId="54" applyNumberFormat="0" applyAlignment="0" applyProtection="0"/>
    <xf numFmtId="0" fontId="116" fillId="33" borderId="43" applyNumberFormat="0" applyAlignment="0" applyProtection="0"/>
    <xf numFmtId="0" fontId="117" fillId="0" borderId="55" applyNumberFormat="0" applyFill="0" applyAlignment="0" applyProtection="0"/>
    <xf numFmtId="0" fontId="121" fillId="0" borderId="57" applyNumberFormat="0" applyFill="0" applyAlignment="0" applyProtection="0"/>
    <xf numFmtId="0" fontId="122" fillId="6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122" fillId="63" borderId="0" applyNumberFormat="0" applyBorder="0" applyAlignment="0" applyProtection="0"/>
    <xf numFmtId="0" fontId="122" fillId="6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122" fillId="65" borderId="0" applyNumberFormat="0" applyBorder="0" applyAlignment="0" applyProtection="0"/>
    <xf numFmtId="0" fontId="122" fillId="66"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122" fillId="67" borderId="0" applyNumberFormat="0" applyBorder="0" applyAlignment="0" applyProtection="0"/>
    <xf numFmtId="0" fontId="122" fillId="68"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122" fillId="69"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122" fillId="71" borderId="0" applyNumberFormat="0" applyBorder="0" applyAlignment="0" applyProtection="0"/>
    <xf numFmtId="0" fontId="122" fillId="72"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22" fillId="73"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3" fontId="15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122" fillId="67" borderId="0" applyNumberFormat="0" applyBorder="0" applyAlignment="0" applyProtection="0"/>
    <xf numFmtId="0" fontId="122" fillId="69" borderId="0" applyNumberFormat="0" applyBorder="0" applyAlignment="0" applyProtection="0"/>
    <xf numFmtId="0" fontId="122" fillId="73"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0" fontId="9" fillId="0" borderId="0">
      <alignment vertical="top"/>
    </xf>
    <xf numFmtId="0" fontId="7" fillId="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1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7"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80" fillId="0" borderId="44" applyNumberFormat="0" applyFill="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81" fillId="0" borderId="45" applyNumberFormat="0" applyFill="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27" borderId="0" applyNumberFormat="0" applyBorder="0" applyAlignment="0" applyProtection="0"/>
    <xf numFmtId="0" fontId="7" fillId="10" borderId="0" applyNumberFormat="0" applyBorder="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24"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0" borderId="0"/>
    <xf numFmtId="0" fontId="7" fillId="0" borderId="0"/>
    <xf numFmtId="0" fontId="7" fillId="10"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8" borderId="0" applyNumberFormat="0" applyBorder="0" applyAlignment="0" applyProtection="0"/>
    <xf numFmtId="9" fontId="7" fillId="0" borderId="0" applyFont="0" applyFill="0" applyBorder="0" applyAlignment="0" applyProtection="0"/>
    <xf numFmtId="0" fontId="113" fillId="59" borderId="0" applyNumberFormat="0" applyBorder="0" applyAlignment="0" applyProtection="0"/>
    <xf numFmtId="0" fontId="7" fillId="2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157" fillId="0" borderId="0"/>
    <xf numFmtId="3" fontId="157" fillId="0" borderId="0" applyFont="0" applyFill="0" applyBorder="0" applyAlignment="0" applyProtection="0"/>
    <xf numFmtId="203" fontId="157" fillId="0" borderId="0" applyFont="0" applyFill="0" applyBorder="0" applyAlignment="0" applyProtection="0"/>
    <xf numFmtId="0" fontId="157" fillId="0" borderId="0" applyFont="0" applyFill="0" applyBorder="0" applyAlignment="0" applyProtection="0"/>
    <xf numFmtId="2" fontId="157" fillId="0" borderId="0" applyFont="0" applyFill="0" applyBorder="0" applyAlignment="0" applyProtection="0"/>
    <xf numFmtId="0" fontId="158" fillId="0" borderId="0" applyNumberFormat="0" applyFill="0" applyBorder="0" applyAlignment="0" applyProtection="0"/>
    <xf numFmtId="0" fontId="159" fillId="0" borderId="0" applyNumberFormat="0" applyFill="0" applyBorder="0" applyAlignment="0" applyProtection="0"/>
    <xf numFmtId="10" fontId="157" fillId="0" borderId="0" applyFont="0" applyFill="0" applyBorder="0" applyAlignment="0" applyProtection="0"/>
    <xf numFmtId="0" fontId="157" fillId="0" borderId="64" applyNumberFormat="0" applyFont="0" applyFill="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10"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157" fillId="0" borderId="0"/>
    <xf numFmtId="0" fontId="158" fillId="0" borderId="0" applyNumberFormat="0" applyFill="0" applyBorder="0" applyAlignment="0" applyProtection="0"/>
    <xf numFmtId="0" fontId="159" fillId="0" borderId="0" applyNumberFormat="0" applyFill="0" applyBorder="0" applyAlignment="0" applyProtection="0"/>
    <xf numFmtId="0" fontId="7" fillId="27" borderId="0" applyNumberFormat="0" applyBorder="0" applyAlignment="0" applyProtection="0"/>
    <xf numFmtId="0" fontId="7" fillId="4" borderId="0" applyNumberFormat="0" applyBorder="0" applyAlignment="0" applyProtection="0"/>
    <xf numFmtId="0" fontId="122" fillId="6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0" fillId="0" borderId="53" applyNumberFormat="0" applyFill="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2"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122" fillId="62" borderId="0" applyNumberFormat="0" applyBorder="0" applyAlignment="0" applyProtection="0"/>
    <xf numFmtId="0" fontId="7" fillId="27" borderId="0" applyNumberFormat="0" applyBorder="0" applyAlignment="0" applyProtection="0"/>
    <xf numFmtId="0" fontId="122" fillId="68" borderId="0" applyNumberFormat="0" applyBorder="0" applyAlignment="0" applyProtection="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7" fillId="0" borderId="55" applyNumberFormat="0" applyFill="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15" fillId="33" borderId="54"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122" fillId="6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7" borderId="0" applyNumberFormat="0" applyBorder="0" applyAlignment="0" applyProtection="0"/>
    <xf numFmtId="0" fontId="122" fillId="72" borderId="0" applyNumberFormat="0" applyBorder="0" applyAlignment="0" applyProtection="0"/>
    <xf numFmtId="0" fontId="7" fillId="47" borderId="0" applyNumberFormat="0" applyBorder="0" applyAlignment="0" applyProtection="0"/>
    <xf numFmtId="0" fontId="112" fillId="31"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81" fillId="0" borderId="0" applyNumberFormat="0" applyFill="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22" fillId="63"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24" fillId="0" borderId="0" applyNumberFormat="0" applyFill="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1"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0" borderId="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121" fillId="0" borderId="57" applyNumberFormat="0" applyFill="0" applyAlignment="0" applyProtection="0"/>
    <xf numFmtId="0" fontId="7" fillId="10" borderId="0" applyNumberFormat="0" applyBorder="0" applyAlignment="0" applyProtection="0"/>
    <xf numFmtId="0" fontId="122" fillId="67" borderId="0" applyNumberFormat="0" applyBorder="0" applyAlignment="0" applyProtection="0"/>
    <xf numFmtId="0" fontId="11" fillId="0" borderId="0"/>
    <xf numFmtId="0" fontId="7" fillId="0" borderId="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6" fillId="33" borderId="43"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122" fillId="73"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14" fillId="60" borderId="43"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122" fillId="6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9" fontId="7" fillId="0" borderId="0" applyFont="0" applyFill="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 borderId="0" applyNumberFormat="0" applyBorder="0" applyAlignment="0" applyProtection="0"/>
    <xf numFmtId="0" fontId="122" fillId="71" borderId="0" applyNumberFormat="0" applyBorder="0" applyAlignment="0" applyProtection="0"/>
    <xf numFmtId="0" fontId="122" fillId="64" borderId="0" applyNumberFormat="0" applyBorder="0" applyAlignment="0" applyProtection="0"/>
    <xf numFmtId="0" fontId="111" fillId="58"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6" fontId="7"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202" fontId="11" fillId="0" borderId="0"/>
    <xf numFmtId="202" fontId="11" fillId="0" borderId="0"/>
    <xf numFmtId="202" fontId="11" fillId="0" borderId="0"/>
    <xf numFmtId="202" fontId="11" fillId="0" borderId="0"/>
    <xf numFmtId="202" fontId="11" fillId="0" borderId="0"/>
    <xf numFmtId="180" fontId="11" fillId="0" borderId="0" applyFont="0" applyFill="0" applyBorder="0" applyAlignment="0" applyProtection="0"/>
    <xf numFmtId="199" fontId="11" fillId="0" borderId="0" applyFont="0" applyFill="0" applyBorder="0" applyAlignment="0" applyProtection="0"/>
    <xf numFmtId="182"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9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180"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11" fillId="44" borderId="46" applyNumberFormat="0" applyFont="0" applyAlignment="0" applyProtection="0"/>
    <xf numFmtId="0" fontId="7" fillId="0" borderId="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0" fontId="11" fillId="0" borderId="0"/>
    <xf numFmtId="0" fontId="7" fillId="0" borderId="0"/>
    <xf numFmtId="0" fontId="7" fillId="0" borderId="0"/>
    <xf numFmtId="0" fontId="7" fillId="0" borderId="0"/>
    <xf numFmtId="0" fontId="35" fillId="0" borderId="0"/>
    <xf numFmtId="0" fontId="35" fillId="27" borderId="11" applyNumberFormat="0" applyFont="0" applyAlignment="0" applyProtection="0"/>
    <xf numFmtId="0" fontId="35" fillId="27" borderId="11" applyNumberFormat="0" applyFont="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9" fontId="7"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7" fillId="0" borderId="0"/>
    <xf numFmtId="49" fontId="38" fillId="0" borderId="2" applyNumberFormat="0" applyFont="0" applyFill="0" applyBorder="0" applyProtection="0">
      <alignment horizontal="left" vertical="center" indent="5"/>
    </xf>
    <xf numFmtId="0" fontId="7" fillId="0" borderId="0"/>
    <xf numFmtId="0" fontId="7" fillId="0" borderId="0"/>
    <xf numFmtId="0" fontId="7" fillId="0" borderId="0"/>
    <xf numFmtId="0" fontId="25" fillId="22" borderId="68" applyNumberFormat="0" applyAlignment="0" applyProtection="0"/>
    <xf numFmtId="0" fontId="35"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11" fillId="27" borderId="67"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09" fillId="0" borderId="0"/>
    <xf numFmtId="49" fontId="38" fillId="0" borderId="2" applyNumberFormat="0" applyFont="0" applyFill="0" applyBorder="0" applyProtection="0">
      <alignment horizontal="left" vertical="center" indent="5"/>
    </xf>
    <xf numFmtId="0" fontId="15" fillId="22" borderId="66" applyNumberFormat="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182" fontId="11" fillId="0" borderId="0" applyFont="0" applyFill="0" applyBorder="0" applyAlignment="0" applyProtection="0"/>
    <xf numFmtId="0" fontId="38" fillId="0" borderId="65">
      <alignment horizontal="left" vertical="center" wrapText="1" indent="2"/>
    </xf>
    <xf numFmtId="0" fontId="22" fillId="8" borderId="66" applyNumberFormat="0" applyAlignment="0" applyProtection="0"/>
    <xf numFmtId="0" fontId="22" fillId="8" borderId="66" applyNumberFormat="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42" fillId="0" borderId="0"/>
    <xf numFmtId="4" fontId="38" fillId="0" borderId="3" applyFill="0" applyBorder="0" applyProtection="0">
      <alignment horizontal="right" vertical="center"/>
    </xf>
    <xf numFmtId="0" fontId="38" fillId="0" borderId="3" applyNumberFormat="0" applyFill="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25" fillId="22" borderId="68" applyNumberFormat="0" applyAlignment="0" applyProtection="0"/>
    <xf numFmtId="0" fontId="25" fillId="22" borderId="68" applyNumberFormat="0" applyAlignment="0" applyProtection="0"/>
    <xf numFmtId="174" fontId="38" fillId="28" borderId="3" applyNumberFormat="0" applyFont="0" applyBorder="0" applyAlignment="0" applyProtection="0">
      <alignment horizontal="right" vertical="center"/>
    </xf>
    <xf numFmtId="9" fontId="7" fillId="0" borderId="0" applyFont="0" applyFill="0" applyBorder="0" applyAlignment="0" applyProtection="0"/>
    <xf numFmtId="9" fontId="42" fillId="0" borderId="0" applyFont="0" applyFill="0" applyBorder="0" applyAlignment="0" applyProtection="0"/>
    <xf numFmtId="0" fontId="27" fillId="0" borderId="69" applyNumberFormat="0" applyFill="0" applyAlignment="0" applyProtection="0"/>
    <xf numFmtId="180" fontId="11" fillId="0" borderId="0" applyFont="0" applyFill="0" applyBorder="0" applyAlignment="0" applyProtection="0"/>
    <xf numFmtId="180"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25" fillId="22" borderId="66" applyNumberForma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11" fillId="27" borderId="67" applyNumberFormat="0" applyFont="0" applyAlignment="0" applyProtection="0"/>
    <xf numFmtId="0" fontId="11" fillId="27" borderId="67" applyNumberFormat="0" applyFont="0" applyAlignment="0" applyProtection="0"/>
    <xf numFmtId="9" fontId="7" fillId="0" borderId="0" applyFont="0" applyFill="0" applyBorder="0" applyAlignment="0" applyProtection="0"/>
    <xf numFmtId="0" fontId="11" fillId="44" borderId="46" applyNumberFormat="0" applyFont="0" applyAlignment="0" applyProtection="0"/>
    <xf numFmtId="0" fontId="7" fillId="0" borderId="0"/>
    <xf numFmtId="0" fontId="7" fillId="48" borderId="0" applyNumberFormat="0" applyBorder="0" applyAlignment="0" applyProtection="0"/>
    <xf numFmtId="0" fontId="7" fillId="53" borderId="0" applyNumberFormat="0" applyBorder="0" applyAlignment="0" applyProtection="0"/>
    <xf numFmtId="43" fontId="1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9" fontId="38" fillId="0" borderId="3" applyNumberFormat="0" applyFont="0" applyFill="0" applyBorder="0" applyProtection="0">
      <alignment horizontal="left" vertical="center" indent="2"/>
    </xf>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9" fontId="40" fillId="0" borderId="3" applyNumberFormat="0" applyFill="0" applyBorder="0" applyProtection="0">
      <alignment horizontal="left" vertical="center"/>
    </xf>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0" fontId="7" fillId="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1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7"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27" borderId="0" applyNumberFormat="0" applyBorder="0" applyAlignment="0" applyProtection="0"/>
    <xf numFmtId="0" fontId="7" fillId="10" borderId="0" applyNumberFormat="0" applyBorder="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24"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0" borderId="0"/>
    <xf numFmtId="0" fontId="7" fillId="0" borderId="0"/>
    <xf numFmtId="0" fontId="7" fillId="10"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8" borderId="0" applyNumberFormat="0" applyBorder="0" applyAlignment="0" applyProtection="0"/>
    <xf numFmtId="9" fontId="7" fillId="0" borderId="0" applyFont="0" applyFill="0" applyBorder="0" applyAlignment="0" applyProtection="0"/>
    <xf numFmtId="0" fontId="7" fillId="2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10"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2"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7" borderId="0" applyNumberFormat="0" applyBorder="0" applyAlignment="0" applyProtection="0"/>
    <xf numFmtId="0" fontId="7" fillId="4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1"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0" borderId="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10" borderId="0" applyNumberFormat="0" applyBorder="0" applyAlignment="0" applyProtection="0"/>
    <xf numFmtId="0" fontId="7" fillId="0" borderId="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9" fontId="7" fillId="0" borderId="0" applyFont="0" applyFill="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6" fontId="7" fillId="0" borderId="0" applyFont="0" applyFill="0" applyBorder="0" applyAlignment="0" applyProtection="0"/>
    <xf numFmtId="43" fontId="11" fillId="0" borderId="0" applyFont="0" applyFill="0" applyBorder="0" applyAlignment="0" applyProtection="0"/>
    <xf numFmtId="18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27" fillId="0" borderId="69" applyNumberFormat="0" applyFill="0" applyAlignment="0" applyProtection="0"/>
    <xf numFmtId="0" fontId="7" fillId="0" borderId="0"/>
    <xf numFmtId="0" fontId="7" fillId="0" borderId="0"/>
    <xf numFmtId="0" fontId="7" fillId="0" borderId="0"/>
    <xf numFmtId="0" fontId="35" fillId="27" borderId="67" applyNumberFormat="0" applyFont="0" applyAlignment="0" applyProtection="0"/>
    <xf numFmtId="0" fontId="35" fillId="27" borderId="67" applyNumberFormat="0" applyFont="0" applyAlignment="0" applyProtection="0"/>
    <xf numFmtId="9"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6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 fontId="38" fillId="0" borderId="3" applyFill="0" applyBorder="0" applyProtection="0">
      <alignment horizontal="right" vertical="center"/>
    </xf>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7" fillId="0" borderId="0" applyFont="0" applyFill="0" applyBorder="0" applyAlignment="0" applyProtection="0"/>
    <xf numFmtId="178" fontId="67" fillId="35" borderId="0" applyNumberFormat="0" applyBorder="0" applyAlignment="0" applyProtection="0">
      <alignment horizontal="center" vertical="top" wrapText="1"/>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37" fillId="0" borderId="0"/>
    <xf numFmtId="0" fontId="42" fillId="0" borderId="0" applyFill="0" applyBorder="0"/>
    <xf numFmtId="0" fontId="37" fillId="0" borderId="0"/>
    <xf numFmtId="0" fontId="7" fillId="0" borderId="0"/>
    <xf numFmtId="0" fontId="7" fillId="0" borderId="0"/>
    <xf numFmtId="0" fontId="11" fillId="0" borderId="0"/>
    <xf numFmtId="0" fontId="7" fillId="0" borderId="0"/>
    <xf numFmtId="0" fontId="11" fillId="0" borderId="0"/>
    <xf numFmtId="0" fontId="35" fillId="0" borderId="0"/>
    <xf numFmtId="0" fontId="7" fillId="0" borderId="0"/>
    <xf numFmtId="178" fontId="29" fillId="30" borderId="0" applyNumberFormat="0" applyBorder="0" applyAlignment="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0" fontId="25" fillId="22" borderId="68" applyNumberFormat="0" applyAlignment="0" applyProtection="0"/>
    <xf numFmtId="0" fontId="25" fillId="22" borderId="68" applyNumberFormat="0" applyAlignment="0" applyProtection="0"/>
    <xf numFmtId="0" fontId="66" fillId="34" borderId="0" applyNumberFormat="0" applyAlignment="0" applyProtection="0"/>
    <xf numFmtId="0" fontId="165" fillId="39" borderId="0" applyNumberFormat="0" applyAlignment="0" applyProtection="0"/>
    <xf numFmtId="0" fontId="166" fillId="87" borderId="0" applyNumberFormat="0" applyAlignment="0" applyProtection="0"/>
    <xf numFmtId="178" fontId="164" fillId="2" borderId="0" applyNumberFormat="0" applyFill="0" applyBorder="0" applyAlignment="0">
      <alignment horizont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38" fillId="0" borderId="7">
      <alignment horizontal="left" vertical="center" wrapText="1" indent="2"/>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7" fillId="0" borderId="0" applyFont="0" applyFill="0" applyBorder="0" applyAlignment="0" applyProtection="0"/>
    <xf numFmtId="0" fontId="27" fillId="0" borderId="69" applyNumberFormat="0" applyFill="0" applyAlignment="0" applyProtection="0"/>
    <xf numFmtId="0" fontId="7" fillId="0" borderId="0"/>
    <xf numFmtId="166" fontId="7" fillId="0" borderId="0" applyFont="0" applyFill="0" applyBorder="0" applyAlignment="0" applyProtection="0"/>
    <xf numFmtId="0" fontId="64" fillId="31" borderId="0" applyNumberFormat="0" applyBorder="0" applyAlignment="0" applyProtection="0"/>
    <xf numFmtId="0" fontId="116" fillId="33" borderId="43" applyNumberFormat="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9" fillId="0" borderId="0"/>
    <xf numFmtId="0" fontId="69" fillId="0" borderId="0"/>
    <xf numFmtId="0" fontId="69" fillId="0" borderId="0"/>
    <xf numFmtId="180" fontId="11" fillId="0" borderId="0"/>
    <xf numFmtId="3" fontId="11" fillId="30" borderId="43" applyFont="0" applyFill="0" applyBorder="0" applyAlignment="0" applyProtection="0"/>
    <xf numFmtId="0" fontId="11" fillId="0" borderId="0" applyNumberFormat="0" applyFont="0" applyFill="0" applyBorder="0" applyProtection="0">
      <alignment horizontal="left" vertical="center" indent="5"/>
    </xf>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6"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25" borderId="0" applyNumberFormat="0" applyFont="0" applyBorder="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0" fontId="7" fillId="0" borderId="0"/>
    <xf numFmtId="166" fontId="7"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9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7" fillId="0" borderId="0" applyFont="0" applyFill="0" applyBorder="0" applyAlignment="0" applyProtection="0"/>
    <xf numFmtId="0" fontId="69" fillId="0" borderId="0"/>
    <xf numFmtId="0" fontId="64" fillId="31" borderId="0" applyNumberFormat="0" applyBorder="0" applyAlignment="0" applyProtection="0"/>
    <xf numFmtId="0" fontId="7" fillId="0" borderId="0"/>
    <xf numFmtId="0" fontId="7" fillId="0" borderId="0"/>
    <xf numFmtId="0" fontId="7" fillId="0" borderId="0"/>
    <xf numFmtId="0" fontId="7" fillId="0" borderId="0"/>
    <xf numFmtId="0" fontId="69" fillId="0" borderId="0"/>
    <xf numFmtId="0" fontId="69" fillId="0" borderId="0"/>
    <xf numFmtId="0" fontId="7" fillId="0" borderId="0"/>
    <xf numFmtId="0" fontId="7" fillId="0" borderId="0"/>
    <xf numFmtId="0" fontId="7" fillId="0" borderId="0"/>
    <xf numFmtId="0" fontId="7" fillId="0" borderId="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15" fillId="22" borderId="66" applyNumberFormat="0" applyAlignment="0" applyProtection="0"/>
    <xf numFmtId="0" fontId="15" fillId="22" borderId="66" applyNumberFormat="0" applyAlignment="0" applyProtection="0"/>
    <xf numFmtId="43" fontId="12"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22" fillId="8" borderId="66" applyNumberFormat="0" applyAlignment="0" applyProtection="0"/>
    <xf numFmtId="166"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27" borderId="67" applyNumberFormat="0" applyFont="0" applyAlignment="0" applyProtection="0"/>
    <xf numFmtId="0" fontId="11" fillId="27" borderId="67" applyNumberFormat="0" applyFont="0" applyAlignment="0" applyProtection="0"/>
    <xf numFmtId="0" fontId="25" fillId="22" borderId="68" applyNumberForma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7" fillId="0" borderId="69" applyNumberFormat="0" applyFill="0" applyAlignment="0" applyProtection="0"/>
    <xf numFmtId="0" fontId="27" fillId="0" borderId="69" applyNumberFormat="0" applyFill="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8" borderId="0" applyNumberFormat="0" applyBorder="0" applyAlignment="0" applyProtection="0"/>
    <xf numFmtId="0" fontId="6" fillId="53" borderId="0" applyNumberFormat="0" applyBorder="0" applyAlignment="0" applyProtection="0"/>
    <xf numFmtId="43" fontId="11"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1" fillId="0" borderId="70" applyNumberFormat="0" applyFill="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0" fontId="6" fillId="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10"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7"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27" borderId="0" applyNumberFormat="0" applyBorder="0" applyAlignment="0" applyProtection="0"/>
    <xf numFmtId="0" fontId="6" fillId="10" borderId="0" applyNumberFormat="0" applyBorder="0" applyAlignment="0" applyProtection="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24"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0" borderId="0"/>
    <xf numFmtId="0" fontId="6" fillId="0" borderId="0"/>
    <xf numFmtId="0" fontId="6" fillId="10"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8" borderId="0" applyNumberFormat="0" applyBorder="0" applyAlignment="0" applyProtection="0"/>
    <xf numFmtId="9" fontId="6" fillId="0" borderId="0" applyFont="0" applyFill="0" applyBorder="0" applyAlignment="0" applyProtection="0"/>
    <xf numFmtId="0" fontId="6" fillId="2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10"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2"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7" borderId="0" applyNumberFormat="0" applyBorder="0" applyAlignment="0" applyProtection="0"/>
    <xf numFmtId="0" fontId="6" fillId="4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1"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0" borderId="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10" borderId="0" applyNumberFormat="0" applyBorder="0" applyAlignment="0" applyProtection="0"/>
    <xf numFmtId="0" fontId="6" fillId="0" borderId="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9" fontId="6" fillId="0" borderId="0" applyFont="0" applyFill="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35" fillId="27" borderId="67" applyNumberFormat="0" applyFont="0" applyAlignment="0" applyProtection="0"/>
    <xf numFmtId="0" fontId="35" fillId="27" borderId="67" applyNumberFormat="0" applyFont="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8" borderId="0" applyNumberFormat="0" applyBorder="0" applyAlignment="0" applyProtection="0"/>
    <xf numFmtId="0" fontId="6" fillId="53" borderId="0" applyNumberFormat="0" applyBorder="0" applyAlignment="0" applyProtection="0"/>
    <xf numFmtId="43" fontId="11"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0" fontId="6" fillId="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10"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7"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27" borderId="0" applyNumberFormat="0" applyBorder="0" applyAlignment="0" applyProtection="0"/>
    <xf numFmtId="0" fontId="6" fillId="10" borderId="0" applyNumberFormat="0" applyBorder="0" applyAlignment="0" applyProtection="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24"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0" borderId="0"/>
    <xf numFmtId="0" fontId="6" fillId="0" borderId="0"/>
    <xf numFmtId="0" fontId="6" fillId="10"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8" borderId="0" applyNumberFormat="0" applyBorder="0" applyAlignment="0" applyProtection="0"/>
    <xf numFmtId="9" fontId="6" fillId="0" borderId="0" applyFont="0" applyFill="0" applyBorder="0" applyAlignment="0" applyProtection="0"/>
    <xf numFmtId="0" fontId="6" fillId="2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10"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2"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7" borderId="0" applyNumberFormat="0" applyBorder="0" applyAlignment="0" applyProtection="0"/>
    <xf numFmtId="0" fontId="6" fillId="4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1"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0" borderId="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10" borderId="0" applyNumberFormat="0" applyBorder="0" applyAlignment="0" applyProtection="0"/>
    <xf numFmtId="0" fontId="6" fillId="0" borderId="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9" fontId="6" fillId="0" borderId="0" applyFont="0" applyFill="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6"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12" fillId="0" borderId="0" applyFont="0" applyFill="0" applyBorder="0" applyAlignment="0" applyProtection="0"/>
    <xf numFmtId="43" fontId="12"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5"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3" fillId="53"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0" borderId="0"/>
    <xf numFmtId="0" fontId="3" fillId="44" borderId="46"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43" fontId="2" fillId="0" borderId="0" applyFont="0" applyFill="0" applyBorder="0" applyAlignment="0" applyProtection="0"/>
    <xf numFmtId="0" fontId="127" fillId="0" borderId="0" applyNumberFormat="0" applyFill="0" applyBorder="0" applyAlignment="0" applyProtection="0">
      <alignment vertical="top"/>
      <protection locked="0"/>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75" fillId="0" borderId="0" applyFont="0" applyFill="0" applyBorder="0" applyAlignment="0" applyProtection="0"/>
    <xf numFmtId="0" fontId="175" fillId="0" borderId="0"/>
    <xf numFmtId="205" fontId="9" fillId="0" borderId="0"/>
    <xf numFmtId="0" fontId="188" fillId="0" borderId="0" applyNumberFormat="0" applyFill="0" applyBorder="0" applyAlignment="0" applyProtection="0"/>
    <xf numFmtId="0" fontId="191" fillId="0" borderId="0"/>
    <xf numFmtId="0" fontId="191" fillId="0" borderId="0"/>
    <xf numFmtId="0" fontId="191" fillId="0" borderId="0"/>
    <xf numFmtId="0" fontId="191" fillId="0" borderId="0"/>
  </cellStyleXfs>
  <cellXfs count="1766">
    <xf numFmtId="0" fontId="0" fillId="0" borderId="0" xfId="0"/>
    <xf numFmtId="0" fontId="0" fillId="0" borderId="0" xfId="0" applyAlignment="1">
      <alignment horizontal="left"/>
    </xf>
    <xf numFmtId="2" fontId="10" fillId="0" borderId="0" xfId="0" applyNumberFormat="1" applyFont="1" applyAlignment="1">
      <alignment horizontal="left"/>
    </xf>
    <xf numFmtId="0" fontId="0" fillId="0" borderId="0" xfId="0" applyFill="1"/>
    <xf numFmtId="0" fontId="30" fillId="29" borderId="15" xfId="0" applyFont="1" applyFill="1" applyBorder="1" applyAlignment="1">
      <alignment horizontal="left" vertical="top" wrapText="1"/>
    </xf>
    <xf numFmtId="0" fontId="0" fillId="0" borderId="16" xfId="0" applyBorder="1"/>
    <xf numFmtId="0" fontId="29" fillId="36" borderId="17" xfId="0" applyFont="1" applyFill="1" applyBorder="1" applyAlignment="1">
      <alignment horizontal="left" vertical="center" wrapText="1"/>
    </xf>
    <xf numFmtId="0" fontId="29" fillId="36" borderId="16" xfId="0" applyFont="1" applyFill="1" applyBorder="1" applyAlignment="1">
      <alignment horizontal="left" vertical="center" wrapText="1"/>
    </xf>
    <xf numFmtId="0" fontId="71" fillId="36" borderId="17" xfId="0" applyFont="1" applyFill="1" applyBorder="1" applyAlignment="1">
      <alignment horizontal="center" vertical="center" wrapText="1"/>
    </xf>
    <xf numFmtId="0" fontId="11" fillId="0" borderId="0" xfId="0" applyFont="1"/>
    <xf numFmtId="168" fontId="0" fillId="0" borderId="0" xfId="0" applyNumberFormat="1"/>
    <xf numFmtId="0" fontId="11" fillId="2" borderId="0" xfId="850" applyFill="1"/>
    <xf numFmtId="0" fontId="41" fillId="2" borderId="22" xfId="0" applyFont="1" applyFill="1" applyBorder="1"/>
    <xf numFmtId="0" fontId="41" fillId="2" borderId="23" xfId="0" applyFont="1" applyFill="1" applyBorder="1"/>
    <xf numFmtId="176" fontId="0" fillId="0" borderId="0" xfId="0" applyNumberFormat="1"/>
    <xf numFmtId="0" fontId="71" fillId="36" borderId="24" xfId="0" applyFont="1" applyFill="1" applyBorder="1" applyAlignment="1">
      <alignment horizontal="center" vertical="center" wrapText="1"/>
    </xf>
    <xf numFmtId="0" fontId="0" fillId="0" borderId="0" xfId="0" applyBorder="1"/>
    <xf numFmtId="181" fontId="29" fillId="36" borderId="17" xfId="0" applyNumberFormat="1" applyFont="1" applyFill="1" applyBorder="1" applyAlignment="1">
      <alignment horizontal="left" vertical="center" wrapText="1"/>
    </xf>
    <xf numFmtId="181" fontId="10" fillId="0" borderId="0" xfId="0" applyNumberFormat="1" applyFont="1"/>
    <xf numFmtId="181" fontId="0" fillId="0" borderId="0" xfId="0" applyNumberFormat="1"/>
    <xf numFmtId="181" fontId="30" fillId="29" borderId="15" xfId="0" quotePrefix="1" applyNumberFormat="1" applyFont="1" applyFill="1" applyBorder="1" applyAlignment="1">
      <alignment horizontal="left" vertical="top" wrapText="1"/>
    </xf>
    <xf numFmtId="181" fontId="0" fillId="0" borderId="0" xfId="0" applyNumberFormat="1" applyFill="1" applyBorder="1"/>
    <xf numFmtId="181" fontId="11" fillId="0" borderId="0" xfId="0" applyNumberFormat="1" applyFont="1"/>
    <xf numFmtId="181" fontId="11" fillId="0" borderId="0" xfId="0" applyNumberFormat="1" applyFont="1" applyFill="1" applyBorder="1"/>
    <xf numFmtId="181" fontId="0" fillId="0" borderId="0" xfId="0" applyNumberFormat="1" applyFont="1" applyFill="1" applyBorder="1"/>
    <xf numFmtId="0" fontId="35" fillId="0" borderId="0" xfId="0" applyFont="1"/>
    <xf numFmtId="0" fontId="72" fillId="0" borderId="0" xfId="0" applyFont="1" applyAlignment="1">
      <alignment wrapText="1"/>
    </xf>
    <xf numFmtId="2" fontId="0" fillId="0" borderId="0" xfId="0" applyNumberFormat="1"/>
    <xf numFmtId="0" fontId="30" fillId="0" borderId="0" xfId="0" applyFont="1" applyFill="1" applyBorder="1" applyAlignment="1">
      <alignment horizontal="left" vertical="top" wrapText="1"/>
    </xf>
    <xf numFmtId="0" fontId="35" fillId="37" borderId="25" xfId="0" applyFont="1" applyFill="1" applyBorder="1" applyAlignment="1">
      <alignment horizontal="right"/>
    </xf>
    <xf numFmtId="181" fontId="35" fillId="0" borderId="0" xfId="0" applyNumberFormat="1" applyFont="1"/>
    <xf numFmtId="0" fontId="41" fillId="0" borderId="0" xfId="868" applyFont="1"/>
    <xf numFmtId="181" fontId="41" fillId="0" borderId="0" xfId="868" applyNumberFormat="1" applyFont="1" applyFill="1" applyBorder="1"/>
    <xf numFmtId="0" fontId="35" fillId="0" borderId="0" xfId="868"/>
    <xf numFmtId="14" fontId="35" fillId="0" borderId="0" xfId="868" applyNumberFormat="1" applyFont="1" applyAlignment="1">
      <alignment horizontal="left"/>
    </xf>
    <xf numFmtId="181" fontId="35" fillId="0" borderId="0" xfId="868" applyNumberFormat="1" applyFont="1" applyFill="1" applyBorder="1" applyAlignment="1">
      <alignment horizontal="left"/>
    </xf>
    <xf numFmtId="0" fontId="35" fillId="0" borderId="0" xfId="868" applyFont="1" applyAlignment="1">
      <alignment horizontal="left"/>
    </xf>
    <xf numFmtId="14" fontId="35" fillId="0" borderId="0" xfId="868" applyNumberFormat="1" applyFill="1" applyAlignment="1">
      <alignment horizontal="left"/>
    </xf>
    <xf numFmtId="181" fontId="35" fillId="0" borderId="0" xfId="868" applyNumberFormat="1" applyFill="1" applyBorder="1" applyAlignment="1">
      <alignment horizontal="left"/>
    </xf>
    <xf numFmtId="0" fontId="11" fillId="0" borderId="0" xfId="868" applyFont="1" applyFill="1" applyBorder="1" applyAlignment="1">
      <alignment horizontal="left"/>
    </xf>
    <xf numFmtId="0" fontId="11" fillId="0" borderId="0" xfId="868" applyFont="1"/>
    <xf numFmtId="2" fontId="0" fillId="0" borderId="0" xfId="0" applyNumberFormat="1" applyBorder="1"/>
    <xf numFmtId="0" fontId="73" fillId="0" borderId="0" xfId="0" applyFont="1" applyBorder="1"/>
    <xf numFmtId="0" fontId="29" fillId="36" borderId="0" xfId="0" applyFont="1" applyFill="1" applyBorder="1" applyAlignment="1">
      <alignment horizontal="left" vertical="center" wrapText="1"/>
    </xf>
    <xf numFmtId="0" fontId="11" fillId="0" borderId="0" xfId="868" applyFont="1" applyAlignment="1">
      <alignment horizontal="left"/>
    </xf>
    <xf numFmtId="181" fontId="11" fillId="0" borderId="0" xfId="868" applyNumberFormat="1" applyFont="1" applyFill="1" applyBorder="1" applyAlignment="1">
      <alignment horizontal="left"/>
    </xf>
    <xf numFmtId="14" fontId="11" fillId="0" borderId="0" xfId="868" applyNumberFormat="1" applyFont="1" applyAlignment="1">
      <alignment horizontal="left"/>
    </xf>
    <xf numFmtId="169" fontId="0" fillId="0" borderId="17" xfId="0" applyNumberFormat="1" applyBorder="1"/>
    <xf numFmtId="0" fontId="0" fillId="0" borderId="0" xfId="0" applyNumberFormat="1" applyBorder="1"/>
    <xf numFmtId="0" fontId="35" fillId="37" borderId="41" xfId="0" applyFont="1" applyFill="1" applyBorder="1" applyAlignment="1">
      <alignment horizontal="right"/>
    </xf>
    <xf numFmtId="0" fontId="0" fillId="37" borderId="24" xfId="0" applyFill="1" applyBorder="1"/>
    <xf numFmtId="0" fontId="0" fillId="37" borderId="42" xfId="0" applyFill="1" applyBorder="1"/>
    <xf numFmtId="0" fontId="0" fillId="37" borderId="16" xfId="0" applyFill="1" applyBorder="1"/>
    <xf numFmtId="0" fontId="0" fillId="37" borderId="33" xfId="0" applyFill="1" applyBorder="1"/>
    <xf numFmtId="181" fontId="11" fillId="0" borderId="0" xfId="0" applyNumberFormat="1" applyFont="1" applyBorder="1"/>
    <xf numFmtId="1" fontId="0" fillId="0" borderId="0" xfId="0" applyNumberFormat="1" applyAlignment="1" applyProtection="1"/>
    <xf numFmtId="0" fontId="29" fillId="36" borderId="24" xfId="0" applyFont="1" applyFill="1" applyBorder="1" applyAlignment="1">
      <alignment horizontal="left" vertical="center" wrapText="1"/>
    </xf>
    <xf numFmtId="181" fontId="0" fillId="0" borderId="0" xfId="0" applyNumberFormat="1" applyFill="1"/>
    <xf numFmtId="0" fontId="0" fillId="36" borderId="0" xfId="0" applyFill="1"/>
    <xf numFmtId="3" fontId="65" fillId="32" borderId="3" xfId="27" applyBorder="1"/>
    <xf numFmtId="178" fontId="66" fillId="38" borderId="0" xfId="1766" applyNumberFormat="1" applyFill="1"/>
    <xf numFmtId="1" fontId="66" fillId="38" borderId="0" xfId="1766" applyNumberFormat="1" applyFill="1"/>
    <xf numFmtId="2" fontId="66" fillId="38" borderId="0" xfId="1766" applyNumberFormat="1" applyFill="1"/>
    <xf numFmtId="178" fontId="29" fillId="26" borderId="0" xfId="2572" applyFill="1"/>
    <xf numFmtId="167" fontId="29" fillId="26" borderId="0" xfId="2572" applyNumberFormat="1" applyFill="1"/>
    <xf numFmtId="190" fontId="29" fillId="26" borderId="0" xfId="2572" applyNumberFormat="1" applyFill="1"/>
    <xf numFmtId="185" fontId="29" fillId="26" borderId="0" xfId="2572" applyNumberFormat="1" applyFill="1"/>
    <xf numFmtId="178" fontId="29" fillId="26" borderId="0" xfId="2572" applyFont="1" applyFill="1"/>
    <xf numFmtId="178" fontId="11" fillId="2" borderId="20" xfId="2572" applyFont="1" applyFill="1" applyBorder="1"/>
    <xf numFmtId="178" fontId="29" fillId="30" borderId="29" xfId="2572" applyFont="1" applyFill="1" applyBorder="1"/>
    <xf numFmtId="178" fontId="29" fillId="30" borderId="29" xfId="2572" applyFill="1" applyBorder="1"/>
    <xf numFmtId="178" fontId="29" fillId="2" borderId="19" xfId="2572" applyFill="1" applyBorder="1"/>
    <xf numFmtId="178" fontId="29" fillId="2" borderId="18" xfId="2572" applyFill="1" applyBorder="1"/>
    <xf numFmtId="178" fontId="11" fillId="2" borderId="0" xfId="2572" applyFont="1" applyFill="1" applyBorder="1" applyAlignment="1">
      <alignment horizontal="left"/>
    </xf>
    <xf numFmtId="177" fontId="56" fillId="2" borderId="0" xfId="2572" applyNumberFormat="1" applyFont="1" applyFill="1" applyBorder="1"/>
    <xf numFmtId="178" fontId="29" fillId="30" borderId="0" xfId="2572" applyFill="1" applyBorder="1"/>
    <xf numFmtId="178" fontId="29" fillId="2" borderId="21" xfId="2572" applyFill="1" applyBorder="1"/>
    <xf numFmtId="178" fontId="29" fillId="30" borderId="0" xfId="2572" applyFont="1" applyFill="1" applyBorder="1"/>
    <xf numFmtId="188" fontId="53" fillId="2" borderId="0" xfId="2572" applyNumberFormat="1" applyFont="1" applyFill="1" applyBorder="1" applyAlignment="1">
      <alignment horizontal="left" indent="1"/>
    </xf>
    <xf numFmtId="188" fontId="53" fillId="30" borderId="0" xfId="2572" applyNumberFormat="1" applyFont="1" applyFill="1" applyBorder="1" applyAlignment="1">
      <alignment horizontal="left" indent="1"/>
    </xf>
    <xf numFmtId="188" fontId="53" fillId="30" borderId="0" xfId="2572" applyNumberFormat="1" applyFont="1" applyFill="1" applyBorder="1"/>
    <xf numFmtId="178" fontId="29" fillId="30" borderId="28" xfId="2572" applyFill="1" applyBorder="1"/>
    <xf numFmtId="178" fontId="29" fillId="30" borderId="27" xfId="2572" applyFont="1" applyFill="1" applyBorder="1"/>
    <xf numFmtId="178" fontId="29" fillId="30" borderId="27" xfId="2572" applyFill="1" applyBorder="1"/>
    <xf numFmtId="179" fontId="11" fillId="2" borderId="27" xfId="2572" applyNumberFormat="1" applyFont="1" applyFill="1" applyBorder="1" applyAlignment="1" applyProtection="1">
      <alignment horizontal="left" indent="1"/>
      <protection locked="0"/>
    </xf>
    <xf numFmtId="190" fontId="11" fillId="2" borderId="27" xfId="2572" applyNumberFormat="1" applyFont="1" applyFill="1" applyBorder="1" applyAlignment="1" applyProtection="1">
      <alignment horizontal="left" indent="1"/>
      <protection locked="0"/>
    </xf>
    <xf numFmtId="178" fontId="29" fillId="30" borderId="26" xfId="2572" applyFill="1" applyBorder="1"/>
    <xf numFmtId="178" fontId="60" fillId="26" borderId="0" xfId="2572" applyFont="1" applyFill="1"/>
    <xf numFmtId="178" fontId="29" fillId="2" borderId="20" xfId="2572" applyFill="1" applyBorder="1"/>
    <xf numFmtId="178" fontId="29" fillId="30" borderId="37" xfId="2572" applyFill="1" applyBorder="1"/>
    <xf numFmtId="179" fontId="74" fillId="30" borderId="0" xfId="2572" applyNumberFormat="1" applyFont="1" applyFill="1" applyBorder="1"/>
    <xf numFmtId="184" fontId="74" fillId="30" borderId="0" xfId="1751" applyNumberFormat="1" applyFont="1" applyFill="1" applyBorder="1"/>
    <xf numFmtId="178" fontId="29" fillId="30" borderId="36" xfId="2572" applyFill="1" applyBorder="1"/>
    <xf numFmtId="178" fontId="29" fillId="30" borderId="35" xfId="2572" applyFill="1" applyBorder="1"/>
    <xf numFmtId="179" fontId="74" fillId="30" borderId="36" xfId="2572" applyNumberFormat="1" applyFont="1" applyFill="1" applyBorder="1"/>
    <xf numFmtId="2" fontId="29" fillId="30" borderId="0" xfId="2572" applyNumberFormat="1" applyFill="1" applyBorder="1"/>
    <xf numFmtId="178" fontId="56" fillId="30" borderId="0" xfId="2572" applyFont="1" applyFill="1" applyBorder="1"/>
    <xf numFmtId="178" fontId="11" fillId="2" borderId="0" xfId="2572" applyFont="1" applyFill="1" applyBorder="1"/>
    <xf numFmtId="177" fontId="29" fillId="30" borderId="0" xfId="2572" applyNumberFormat="1" applyFont="1" applyFill="1" applyBorder="1"/>
    <xf numFmtId="188" fontId="67" fillId="30" borderId="0" xfId="2572" applyNumberFormat="1" applyFont="1" applyFill="1" applyBorder="1"/>
    <xf numFmtId="188" fontId="65" fillId="30" borderId="0" xfId="2572" applyNumberFormat="1" applyFont="1" applyFill="1" applyBorder="1"/>
    <xf numFmtId="43" fontId="67" fillId="30" borderId="0" xfId="2572" applyNumberFormat="1" applyFont="1" applyFill="1" applyBorder="1"/>
    <xf numFmtId="178" fontId="29" fillId="30" borderId="34" xfId="2572" applyFill="1" applyBorder="1"/>
    <xf numFmtId="178" fontId="29" fillId="30" borderId="16" xfId="2572" applyFont="1" applyFill="1" applyBorder="1"/>
    <xf numFmtId="178" fontId="55" fillId="30" borderId="16" xfId="2572" applyFont="1" applyFill="1" applyBorder="1"/>
    <xf numFmtId="178" fontId="55" fillId="30" borderId="25" xfId="2572" applyFont="1" applyFill="1" applyBorder="1"/>
    <xf numFmtId="178" fontId="55" fillId="30" borderId="33" xfId="2572" applyFont="1" applyFill="1" applyBorder="1"/>
    <xf numFmtId="178" fontId="29" fillId="30" borderId="32" xfId="2572" applyFill="1" applyBorder="1"/>
    <xf numFmtId="178" fontId="29" fillId="30" borderId="30" xfId="2572" applyFill="1" applyBorder="1"/>
    <xf numFmtId="178" fontId="11" fillId="2" borderId="29" xfId="2572" applyFont="1" applyFill="1" applyBorder="1"/>
    <xf numFmtId="178" fontId="11" fillId="30" borderId="29" xfId="2572" applyFont="1" applyFill="1" applyBorder="1"/>
    <xf numFmtId="178" fontId="56" fillId="2" borderId="29" xfId="2572" applyFont="1" applyFill="1" applyBorder="1"/>
    <xf numFmtId="178" fontId="57" fillId="30" borderId="37" xfId="2572" applyFont="1" applyFill="1" applyBorder="1"/>
    <xf numFmtId="178" fontId="59" fillId="2" borderId="19" xfId="2572" applyFont="1" applyFill="1" applyBorder="1"/>
    <xf numFmtId="169" fontId="11" fillId="30" borderId="0" xfId="2572" applyNumberFormat="1" applyFont="1" applyFill="1" applyBorder="1" applyProtection="1">
      <protection locked="0"/>
    </xf>
    <xf numFmtId="169" fontId="29" fillId="2" borderId="0" xfId="2572" applyNumberFormat="1" applyFill="1" applyBorder="1" applyProtection="1">
      <protection locked="0"/>
    </xf>
    <xf numFmtId="178" fontId="55" fillId="30" borderId="35" xfId="2572" applyFont="1" applyFill="1" applyBorder="1"/>
    <xf numFmtId="178" fontId="11" fillId="2" borderId="18" xfId="2572" applyFont="1" applyFill="1" applyBorder="1"/>
    <xf numFmtId="2" fontId="53" fillId="30" borderId="0" xfId="2572" applyNumberFormat="1" applyFont="1" applyFill="1" applyBorder="1" applyProtection="1">
      <protection locked="0"/>
    </xf>
    <xf numFmtId="168" fontId="53" fillId="39" borderId="0" xfId="2572" applyNumberFormat="1" applyFont="1" applyFill="1" applyBorder="1" applyProtection="1">
      <protection locked="0"/>
    </xf>
    <xf numFmtId="178" fontId="59" fillId="30" borderId="0" xfId="2572" applyFont="1" applyFill="1" applyBorder="1"/>
    <xf numFmtId="178" fontId="55" fillId="30" borderId="21" xfId="2572" applyFont="1" applyFill="1" applyBorder="1"/>
    <xf numFmtId="169" fontId="53" fillId="2" borderId="0" xfId="2572" applyNumberFormat="1" applyFont="1" applyFill="1" applyBorder="1" applyProtection="1">
      <protection locked="0"/>
    </xf>
    <xf numFmtId="178" fontId="56" fillId="30" borderId="0" xfId="2572" applyFont="1" applyFill="1" applyBorder="1" applyProtection="1">
      <protection locked="0"/>
    </xf>
    <xf numFmtId="168" fontId="53" fillId="30" borderId="0" xfId="2572" applyNumberFormat="1" applyFont="1" applyFill="1" applyBorder="1"/>
    <xf numFmtId="188" fontId="56" fillId="30" borderId="0" xfId="2572" applyNumberFormat="1" applyFont="1" applyFill="1" applyBorder="1" applyProtection="1">
      <protection locked="0"/>
    </xf>
    <xf numFmtId="178" fontId="41" fillId="30" borderId="21" xfId="2572" applyFont="1" applyFill="1" applyBorder="1"/>
    <xf numFmtId="178" fontId="29" fillId="30" borderId="21" xfId="2572" applyFill="1" applyBorder="1" applyAlignment="1">
      <alignment horizontal="left" indent="1"/>
    </xf>
    <xf numFmtId="1" fontId="74" fillId="30" borderId="0" xfId="2572" applyNumberFormat="1" applyFont="1" applyFill="1" applyBorder="1" applyProtection="1">
      <protection locked="0"/>
    </xf>
    <xf numFmtId="2" fontId="53" fillId="2" borderId="0" xfId="2572" applyNumberFormat="1" applyFont="1" applyFill="1" applyBorder="1" applyProtection="1">
      <protection locked="0"/>
    </xf>
    <xf numFmtId="188" fontId="56" fillId="2" borderId="0" xfId="2572" applyNumberFormat="1" applyFont="1" applyFill="1" applyBorder="1" applyProtection="1">
      <protection locked="0"/>
    </xf>
    <xf numFmtId="178" fontId="11" fillId="30" borderId="21" xfId="2572" applyFont="1" applyFill="1" applyBorder="1"/>
    <xf numFmtId="178" fontId="56" fillId="30" borderId="36" xfId="2572" applyFont="1" applyFill="1" applyBorder="1"/>
    <xf numFmtId="178" fontId="11" fillId="30" borderId="0" xfId="2572" applyFont="1" applyFill="1" applyBorder="1"/>
    <xf numFmtId="3" fontId="29" fillId="30" borderId="0" xfId="2572" applyNumberFormat="1" applyFont="1" applyFill="1" applyBorder="1"/>
    <xf numFmtId="178" fontId="57" fillId="30" borderId="35" xfId="2572" applyFont="1" applyFill="1" applyBorder="1"/>
    <xf numFmtId="178" fontId="53" fillId="30" borderId="0" xfId="2572" applyFont="1" applyFill="1" applyBorder="1" applyProtection="1">
      <protection locked="0"/>
    </xf>
    <xf numFmtId="178" fontId="53" fillId="2" borderId="0" xfId="2572" applyFont="1" applyFill="1" applyBorder="1" applyProtection="1">
      <protection locked="0"/>
    </xf>
    <xf numFmtId="178" fontId="56" fillId="30" borderId="36" xfId="2572" applyFont="1" applyFill="1" applyBorder="1" applyProtection="1">
      <protection locked="0"/>
    </xf>
    <xf numFmtId="178" fontId="29" fillId="2" borderId="18" xfId="2572" quotePrefix="1" applyFill="1" applyBorder="1"/>
    <xf numFmtId="187" fontId="75" fillId="30" borderId="0" xfId="2572" applyNumberFormat="1" applyFont="1" applyFill="1" applyBorder="1" applyProtection="1">
      <protection locked="0"/>
    </xf>
    <xf numFmtId="189" fontId="29" fillId="2" borderId="0" xfId="2572" applyNumberFormat="1" applyFill="1" applyBorder="1" applyProtection="1">
      <protection locked="0"/>
    </xf>
    <xf numFmtId="43" fontId="29" fillId="2" borderId="36" xfId="2572" applyNumberFormat="1" applyFill="1" applyBorder="1" applyProtection="1">
      <protection locked="0"/>
    </xf>
    <xf numFmtId="178" fontId="53" fillId="2" borderId="21" xfId="2572" applyFont="1" applyFill="1" applyBorder="1"/>
    <xf numFmtId="43" fontId="65" fillId="2" borderId="36" xfId="2572" applyNumberFormat="1" applyFont="1" applyFill="1" applyBorder="1" applyProtection="1">
      <protection locked="0"/>
    </xf>
    <xf numFmtId="179" fontId="11" fillId="30" borderId="0" xfId="2572" applyNumberFormat="1" applyFont="1" applyFill="1" applyBorder="1" applyProtection="1">
      <protection locked="0"/>
    </xf>
    <xf numFmtId="179" fontId="29" fillId="30" borderId="0" xfId="2572" applyNumberFormat="1" applyFill="1" applyBorder="1" applyProtection="1">
      <protection locked="0"/>
    </xf>
    <xf numFmtId="179" fontId="29" fillId="30" borderId="36" xfId="2572" applyNumberFormat="1" applyFill="1" applyBorder="1" applyProtection="1">
      <protection locked="0"/>
    </xf>
    <xf numFmtId="190" fontId="56" fillId="30" borderId="0" xfId="2572" applyNumberFormat="1" applyFont="1" applyFill="1" applyBorder="1" applyProtection="1">
      <protection locked="0"/>
    </xf>
    <xf numFmtId="178" fontId="55" fillId="30" borderId="0" xfId="2572" applyFont="1" applyFill="1" applyBorder="1"/>
    <xf numFmtId="178" fontId="29" fillId="30" borderId="16" xfId="2572" applyFill="1" applyBorder="1"/>
    <xf numFmtId="9" fontId="29" fillId="26" borderId="0" xfId="2572" applyNumberFormat="1" applyFill="1"/>
    <xf numFmtId="178" fontId="41" fillId="26" borderId="0" xfId="2572" applyFont="1" applyFill="1"/>
    <xf numFmtId="178" fontId="54" fillId="30" borderId="21" xfId="2572" applyFont="1" applyFill="1" applyBorder="1"/>
    <xf numFmtId="178" fontId="29" fillId="30" borderId="21" xfId="2572" applyFont="1" applyFill="1" applyBorder="1"/>
    <xf numFmtId="178" fontId="54" fillId="30" borderId="26" xfId="2572" applyFont="1" applyFill="1" applyBorder="1"/>
    <xf numFmtId="186" fontId="30" fillId="26" borderId="0" xfId="2572" applyNumberFormat="1" applyFont="1" applyFill="1"/>
    <xf numFmtId="177" fontId="67" fillId="35" borderId="0" xfId="3103" applyNumberFormat="1" applyBorder="1" applyAlignment="1"/>
    <xf numFmtId="189" fontId="67" fillId="30" borderId="0" xfId="2572" applyNumberFormat="1" applyFont="1" applyFill="1" applyBorder="1"/>
    <xf numFmtId="177" fontId="29" fillId="30" borderId="36" xfId="2572" applyNumberFormat="1" applyFont="1" applyFill="1" applyBorder="1"/>
    <xf numFmtId="1" fontId="53" fillId="39" borderId="0" xfId="2572" applyNumberFormat="1" applyFont="1" applyFill="1" applyBorder="1" applyProtection="1">
      <protection locked="0"/>
    </xf>
    <xf numFmtId="189" fontId="29" fillId="30" borderId="0" xfId="2572" applyNumberFormat="1" applyFill="1" applyBorder="1" applyProtection="1">
      <protection locked="0"/>
    </xf>
    <xf numFmtId="43" fontId="29" fillId="30" borderId="36" xfId="2572" applyNumberFormat="1" applyFill="1" applyBorder="1" applyProtection="1">
      <protection locked="0"/>
    </xf>
    <xf numFmtId="178" fontId="11" fillId="2" borderId="21" xfId="2572" applyFont="1" applyFill="1" applyBorder="1"/>
    <xf numFmtId="2" fontId="53" fillId="2" borderId="27" xfId="2572" applyNumberFormat="1" applyFont="1" applyFill="1" applyBorder="1" applyProtection="1">
      <protection locked="0"/>
    </xf>
    <xf numFmtId="178" fontId="56" fillId="2" borderId="27" xfId="2572" applyFont="1" applyFill="1" applyBorder="1" applyProtection="1">
      <protection locked="0"/>
    </xf>
    <xf numFmtId="178" fontId="29" fillId="30" borderId="31" xfId="2572" applyFill="1" applyBorder="1"/>
    <xf numFmtId="178" fontId="56" fillId="2" borderId="38" xfId="2572" applyFont="1" applyFill="1" applyBorder="1"/>
    <xf numFmtId="169" fontId="29" fillId="2" borderId="36" xfId="2572" applyNumberFormat="1" applyFill="1" applyBorder="1" applyProtection="1">
      <protection locked="0"/>
    </xf>
    <xf numFmtId="1" fontId="53" fillId="39" borderId="36" xfId="2572" applyNumberFormat="1" applyFont="1" applyFill="1" applyBorder="1" applyProtection="1">
      <protection locked="0"/>
    </xf>
    <xf numFmtId="178" fontId="56" fillId="2" borderId="36" xfId="2572" applyFont="1" applyFill="1" applyBorder="1"/>
    <xf numFmtId="169" fontId="53" fillId="2" borderId="36" xfId="2572" applyNumberFormat="1" applyFont="1" applyFill="1" applyBorder="1" applyProtection="1">
      <protection locked="0"/>
    </xf>
    <xf numFmtId="2" fontId="53" fillId="2" borderId="36" xfId="2572" applyNumberFormat="1" applyFont="1" applyFill="1" applyBorder="1" applyProtection="1">
      <protection locked="0"/>
    </xf>
    <xf numFmtId="168" fontId="53" fillId="30" borderId="36" xfId="2572" applyNumberFormat="1" applyFont="1" applyFill="1" applyBorder="1"/>
    <xf numFmtId="188" fontId="56" fillId="2" borderId="36" xfId="2572" applyNumberFormat="1" applyFont="1" applyFill="1" applyBorder="1" applyProtection="1">
      <protection locked="0"/>
    </xf>
    <xf numFmtId="178" fontId="53" fillId="2" borderId="36" xfId="2572" applyFont="1" applyFill="1" applyBorder="1" applyProtection="1">
      <protection locked="0"/>
    </xf>
    <xf numFmtId="190" fontId="11" fillId="2" borderId="0" xfId="2572" applyNumberFormat="1" applyFont="1" applyFill="1" applyBorder="1" applyProtection="1">
      <protection locked="0"/>
    </xf>
    <xf numFmtId="190" fontId="11" fillId="2" borderId="36" xfId="2572" applyNumberFormat="1" applyFont="1" applyFill="1" applyBorder="1" applyProtection="1">
      <protection locked="0"/>
    </xf>
    <xf numFmtId="178" fontId="55" fillId="30" borderId="36" xfId="2572" applyFont="1" applyFill="1" applyBorder="1"/>
    <xf numFmtId="188" fontId="56" fillId="2" borderId="0" xfId="2572" applyNumberFormat="1" applyFont="1" applyFill="1" applyBorder="1"/>
    <xf numFmtId="179" fontId="76" fillId="2" borderId="27" xfId="2572" applyNumberFormat="1" applyFont="1" applyFill="1" applyBorder="1" applyProtection="1">
      <protection locked="0"/>
    </xf>
    <xf numFmtId="192" fontId="11" fillId="30" borderId="0" xfId="2572" applyNumberFormat="1" applyFont="1" applyFill="1" applyBorder="1"/>
    <xf numFmtId="179" fontId="29" fillId="30" borderId="0" xfId="2572" applyNumberFormat="1" applyFill="1" applyBorder="1"/>
    <xf numFmtId="43" fontId="67" fillId="2" borderId="0" xfId="2572" applyNumberFormat="1" applyFont="1" applyFill="1" applyBorder="1" applyProtection="1">
      <protection locked="0"/>
    </xf>
    <xf numFmtId="178" fontId="58" fillId="2" borderId="0" xfId="2572" applyFont="1" applyFill="1" applyBorder="1"/>
    <xf numFmtId="179" fontId="29" fillId="26" borderId="0" xfId="2572" applyNumberFormat="1" applyFill="1"/>
    <xf numFmtId="178" fontId="58" fillId="2" borderId="27" xfId="2572" applyFont="1" applyFill="1" applyBorder="1"/>
    <xf numFmtId="190" fontId="56" fillId="30" borderId="27" xfId="2572" applyNumberFormat="1" applyFont="1" applyFill="1" applyBorder="1" applyProtection="1">
      <protection locked="0"/>
    </xf>
    <xf numFmtId="9" fontId="0" fillId="26" borderId="0" xfId="1751" applyFont="1" applyFill="1"/>
    <xf numFmtId="193" fontId="29" fillId="26" borderId="0" xfId="2572" applyNumberFormat="1" applyFill="1"/>
    <xf numFmtId="178" fontId="58" fillId="2" borderId="29" xfId="2572" applyFont="1" applyFill="1" applyBorder="1"/>
    <xf numFmtId="192" fontId="74" fillId="30" borderId="29" xfId="2572" applyNumberFormat="1" applyFont="1" applyFill="1" applyBorder="1"/>
    <xf numFmtId="178" fontId="29" fillId="30" borderId="18" xfId="2572" applyFill="1" applyBorder="1"/>
    <xf numFmtId="190" fontId="98" fillId="32" borderId="0" xfId="2572" applyNumberFormat="1" applyFont="1" applyFill="1" applyAlignment="1">
      <alignment vertical="center"/>
    </xf>
    <xf numFmtId="169" fontId="53" fillId="30" borderId="0" xfId="2572" applyNumberFormat="1" applyFont="1" applyFill="1" applyBorder="1" applyProtection="1">
      <protection locked="0"/>
    </xf>
    <xf numFmtId="178" fontId="11" fillId="26" borderId="0" xfId="2572" applyFont="1" applyFill="1"/>
    <xf numFmtId="178" fontId="74" fillId="26" borderId="0" xfId="2572" applyFont="1" applyFill="1"/>
    <xf numFmtId="43" fontId="65" fillId="2" borderId="0" xfId="2572" applyNumberFormat="1" applyFont="1" applyFill="1" applyBorder="1" applyProtection="1">
      <protection locked="0"/>
    </xf>
    <xf numFmtId="178" fontId="56" fillId="2" borderId="0" xfId="2572" applyFont="1" applyFill="1" applyBorder="1"/>
    <xf numFmtId="178" fontId="11" fillId="30" borderId="35" xfId="2572" applyFont="1" applyFill="1" applyBorder="1"/>
    <xf numFmtId="178" fontId="65" fillId="30" borderId="0" xfId="2572" applyFont="1"/>
    <xf numFmtId="43" fontId="67" fillId="2" borderId="36" xfId="2572" applyNumberFormat="1" applyFont="1" applyFill="1" applyBorder="1" applyProtection="1">
      <protection locked="0"/>
    </xf>
    <xf numFmtId="43" fontId="29" fillId="2" borderId="0" xfId="2572" applyNumberFormat="1" applyFill="1" applyBorder="1" applyProtection="1">
      <protection locked="0"/>
    </xf>
    <xf numFmtId="43" fontId="11" fillId="2" borderId="36" xfId="2572" applyNumberFormat="1" applyFont="1" applyFill="1" applyBorder="1" applyProtection="1">
      <protection locked="0"/>
    </xf>
    <xf numFmtId="9" fontId="74" fillId="30" borderId="0" xfId="1751" applyFont="1" applyFill="1" applyBorder="1"/>
    <xf numFmtId="179" fontId="65" fillId="30" borderId="36" xfId="27" applyNumberFormat="1" applyFill="1" applyBorder="1"/>
    <xf numFmtId="190" fontId="29" fillId="30" borderId="0" xfId="2572" applyNumberFormat="1" applyFill="1" applyBorder="1"/>
    <xf numFmtId="188" fontId="65" fillId="32" borderId="0" xfId="27" applyNumberFormat="1" applyBorder="1" applyProtection="1">
      <protection locked="0"/>
    </xf>
    <xf numFmtId="188" fontId="65" fillId="32" borderId="36" xfId="27" applyNumberFormat="1" applyBorder="1" applyProtection="1">
      <protection locked="0"/>
    </xf>
    <xf numFmtId="179" fontId="29" fillId="30" borderId="36" xfId="29" applyNumberFormat="1" applyBorder="1" applyProtection="1">
      <protection locked="0"/>
    </xf>
    <xf numFmtId="194" fontId="65" fillId="32" borderId="0" xfId="27" applyNumberFormat="1" applyBorder="1" applyProtection="1">
      <protection locked="0"/>
    </xf>
    <xf numFmtId="194" fontId="65" fillId="32" borderId="36" xfId="27" applyNumberFormat="1" applyBorder="1" applyProtection="1">
      <protection locked="0"/>
    </xf>
    <xf numFmtId="191" fontId="29" fillId="2" borderId="18" xfId="2572" applyNumberFormat="1" applyFill="1" applyBorder="1"/>
    <xf numFmtId="190" fontId="53" fillId="30" borderId="0" xfId="2572" applyNumberFormat="1" applyFont="1" applyFill="1" applyBorder="1" applyProtection="1">
      <protection locked="0"/>
    </xf>
    <xf numFmtId="190" fontId="56" fillId="30" borderId="36" xfId="2572" applyNumberFormat="1" applyFont="1" applyFill="1" applyBorder="1" applyProtection="1">
      <protection locked="0"/>
    </xf>
    <xf numFmtId="189" fontId="67" fillId="30" borderId="0" xfId="2572" applyNumberFormat="1" applyFont="1" applyFill="1" applyBorder="1" applyProtection="1">
      <protection locked="0"/>
    </xf>
    <xf numFmtId="189" fontId="65" fillId="30" borderId="0" xfId="2572" applyNumberFormat="1" applyFont="1" applyFill="1" applyBorder="1" applyProtection="1">
      <protection locked="0"/>
    </xf>
    <xf numFmtId="43" fontId="65" fillId="30" borderId="36" xfId="2572" applyNumberFormat="1" applyFont="1" applyFill="1" applyBorder="1" applyProtection="1">
      <protection locked="0"/>
    </xf>
    <xf numFmtId="178" fontId="99" fillId="41" borderId="0" xfId="2572" applyFont="1" applyFill="1"/>
    <xf numFmtId="175" fontId="99" fillId="30" borderId="16" xfId="2572" applyNumberFormat="1" applyFont="1" applyFill="1" applyBorder="1"/>
    <xf numFmtId="178" fontId="99" fillId="30" borderId="16" xfId="2572" applyFont="1" applyFill="1" applyBorder="1"/>
    <xf numFmtId="195" fontId="99" fillId="30" borderId="0" xfId="2572" applyNumberFormat="1" applyFont="1" applyFill="1" applyBorder="1"/>
    <xf numFmtId="178" fontId="99" fillId="30" borderId="0" xfId="2572" applyFont="1" applyFill="1" applyBorder="1"/>
    <xf numFmtId="175" fontId="99" fillId="30" borderId="0" xfId="2572" applyNumberFormat="1" applyFont="1" applyFill="1" applyBorder="1"/>
    <xf numFmtId="3" fontId="99" fillId="30" borderId="0" xfId="2572" applyNumberFormat="1" applyFont="1" applyFill="1" applyBorder="1"/>
    <xf numFmtId="186" fontId="100" fillId="30" borderId="16" xfId="2572" applyNumberFormat="1" applyFont="1" applyFill="1" applyBorder="1"/>
    <xf numFmtId="186" fontId="100" fillId="30" borderId="0" xfId="2572" applyNumberFormat="1" applyFont="1" applyFill="1" applyBorder="1"/>
    <xf numFmtId="194" fontId="100" fillId="30" borderId="0" xfId="2572" applyNumberFormat="1" applyFont="1" applyFill="1" applyBorder="1"/>
    <xf numFmtId="179" fontId="100" fillId="30" borderId="17" xfId="2572" applyNumberFormat="1" applyFont="1" applyFill="1" applyBorder="1"/>
    <xf numFmtId="178" fontId="99" fillId="30" borderId="17" xfId="2572" applyFont="1" applyFill="1" applyBorder="1"/>
    <xf numFmtId="178" fontId="101" fillId="30" borderId="16" xfId="2572" applyFont="1" applyFill="1" applyBorder="1" applyAlignment="1">
      <alignment horizontal="right"/>
    </xf>
    <xf numFmtId="178" fontId="102" fillId="30" borderId="17" xfId="2572" applyFont="1" applyFill="1" applyBorder="1"/>
    <xf numFmtId="178" fontId="101" fillId="41" borderId="0" xfId="2572" applyFont="1" applyFill="1"/>
    <xf numFmtId="43" fontId="75" fillId="30" borderId="29" xfId="2572" applyNumberFormat="1" applyFont="1" applyFill="1" applyBorder="1"/>
    <xf numFmtId="178" fontId="29" fillId="30" borderId="19" xfId="2572" applyFill="1" applyBorder="1"/>
    <xf numFmtId="188" fontId="75" fillId="30" borderId="0" xfId="2572" applyNumberFormat="1" applyFont="1" applyFill="1" applyBorder="1"/>
    <xf numFmtId="43" fontId="75" fillId="30" borderId="0" xfId="2572" applyNumberFormat="1" applyFont="1" applyFill="1" applyBorder="1"/>
    <xf numFmtId="178" fontId="29" fillId="30" borderId="21" xfId="2572" applyFill="1" applyBorder="1"/>
    <xf numFmtId="1" fontId="78" fillId="30" borderId="27" xfId="2572" applyNumberFormat="1" applyFont="1" applyFill="1" applyBorder="1" applyAlignment="1">
      <alignment horizontal="right"/>
    </xf>
    <xf numFmtId="178" fontId="76" fillId="30" borderId="29" xfId="2572" applyFont="1" applyFill="1" applyBorder="1"/>
    <xf numFmtId="175" fontId="76" fillId="2" borderId="0" xfId="2572" applyNumberFormat="1" applyFont="1" applyFill="1" applyBorder="1"/>
    <xf numFmtId="166" fontId="29" fillId="26" borderId="0" xfId="2572" applyNumberFormat="1" applyFill="1"/>
    <xf numFmtId="178" fontId="76" fillId="30" borderId="0" xfId="2572" applyFont="1" applyFill="1" applyBorder="1"/>
    <xf numFmtId="195" fontId="56" fillId="2" borderId="29" xfId="2572" applyNumberFormat="1" applyFont="1" applyFill="1" applyBorder="1"/>
    <xf numFmtId="178" fontId="11" fillId="30" borderId="37" xfId="2572" applyFont="1" applyFill="1" applyBorder="1"/>
    <xf numFmtId="178" fontId="11" fillId="2" borderId="19" xfId="2572" applyFont="1" applyFill="1" applyBorder="1"/>
    <xf numFmtId="9" fontId="56" fillId="2" borderId="0" xfId="1751" applyFont="1" applyFill="1" applyBorder="1"/>
    <xf numFmtId="4" fontId="11" fillId="2" borderId="0" xfId="2572" applyNumberFormat="1" applyFont="1" applyFill="1" applyBorder="1"/>
    <xf numFmtId="4" fontId="56" fillId="2" borderId="0" xfId="2572" applyNumberFormat="1" applyFont="1" applyFill="1" applyBorder="1"/>
    <xf numFmtId="174" fontId="56" fillId="2" borderId="0" xfId="2572" applyNumberFormat="1" applyFont="1" applyFill="1" applyBorder="1"/>
    <xf numFmtId="3" fontId="56" fillId="2" borderId="0" xfId="2572" applyNumberFormat="1" applyFont="1" applyFill="1" applyBorder="1"/>
    <xf numFmtId="4" fontId="29" fillId="2" borderId="0" xfId="2572" applyNumberFormat="1" applyFont="1" applyFill="1" applyBorder="1"/>
    <xf numFmtId="168" fontId="53" fillId="39" borderId="36" xfId="2572" applyNumberFormat="1" applyFont="1" applyFill="1" applyBorder="1" applyProtection="1">
      <protection locked="0"/>
    </xf>
    <xf numFmtId="178" fontId="11" fillId="30" borderId="0" xfId="2572" applyFont="1" applyFill="1" applyBorder="1" applyProtection="1">
      <protection locked="0"/>
    </xf>
    <xf numFmtId="3" fontId="53" fillId="30" borderId="36" xfId="2572" applyNumberFormat="1" applyFont="1" applyFill="1" applyBorder="1"/>
    <xf numFmtId="3" fontId="53" fillId="30" borderId="0" xfId="2572" applyNumberFormat="1" applyFont="1" applyFill="1" applyBorder="1"/>
    <xf numFmtId="189" fontId="11" fillId="2" borderId="0" xfId="2572" applyNumberFormat="1" applyFont="1" applyFill="1" applyBorder="1" applyProtection="1">
      <protection locked="0"/>
    </xf>
    <xf numFmtId="189" fontId="11" fillId="2" borderId="36" xfId="2572" applyNumberFormat="1" applyFont="1" applyFill="1" applyBorder="1" applyProtection="1">
      <protection locked="0"/>
    </xf>
    <xf numFmtId="43" fontId="75" fillId="30" borderId="20" xfId="2572" applyNumberFormat="1" applyFont="1" applyFill="1" applyBorder="1"/>
    <xf numFmtId="188" fontId="75" fillId="30" borderId="18" xfId="2572" applyNumberFormat="1" applyFont="1" applyFill="1" applyBorder="1"/>
    <xf numFmtId="43" fontId="75" fillId="30" borderId="18" xfId="2572" applyNumberFormat="1" applyFont="1" applyFill="1" applyBorder="1"/>
    <xf numFmtId="1" fontId="78" fillId="30" borderId="28" xfId="2572" applyNumberFormat="1" applyFont="1" applyFill="1" applyBorder="1" applyAlignment="1">
      <alignment horizontal="right"/>
    </xf>
    <xf numFmtId="188" fontId="76" fillId="2" borderId="0" xfId="2572" applyNumberFormat="1" applyFont="1" applyFill="1" applyBorder="1"/>
    <xf numFmtId="195" fontId="56" fillId="2" borderId="0" xfId="2572" applyNumberFormat="1" applyFont="1" applyFill="1" applyBorder="1"/>
    <xf numFmtId="178" fontId="29" fillId="39" borderId="0" xfId="2572" applyFill="1"/>
    <xf numFmtId="178" fontId="11" fillId="39" borderId="0" xfId="2572" applyFont="1" applyFill="1"/>
    <xf numFmtId="166" fontId="11" fillId="26" borderId="0" xfId="2572" applyNumberFormat="1" applyFont="1" applyFill="1"/>
    <xf numFmtId="174" fontId="11" fillId="2" borderId="0" xfId="2572" applyNumberFormat="1" applyFont="1" applyFill="1" applyBorder="1"/>
    <xf numFmtId="174" fontId="74" fillId="2" borderId="0" xfId="2572" applyNumberFormat="1" applyFont="1" applyFill="1" applyBorder="1"/>
    <xf numFmtId="190" fontId="76" fillId="30" borderId="0" xfId="2572" applyNumberFormat="1" applyFont="1" applyFill="1" applyBorder="1"/>
    <xf numFmtId="179" fontId="53" fillId="2" borderId="0" xfId="2572" applyNumberFormat="1" applyFont="1" applyFill="1" applyBorder="1" applyProtection="1">
      <protection locked="0"/>
    </xf>
    <xf numFmtId="179" fontId="53" fillId="2" borderId="36" xfId="2572" applyNumberFormat="1" applyFont="1" applyFill="1" applyBorder="1" applyProtection="1">
      <protection locked="0"/>
    </xf>
    <xf numFmtId="186" fontId="30" fillId="39" borderId="0" xfId="2572" applyNumberFormat="1" applyFont="1" applyFill="1"/>
    <xf numFmtId="195" fontId="103" fillId="30" borderId="16" xfId="2572" applyNumberFormat="1" applyFont="1" applyFill="1" applyBorder="1"/>
    <xf numFmtId="3" fontId="103" fillId="30" borderId="16" xfId="2572" applyNumberFormat="1" applyFont="1" applyFill="1" applyBorder="1"/>
    <xf numFmtId="3" fontId="103" fillId="42" borderId="16" xfId="2572" applyNumberFormat="1" applyFont="1" applyFill="1" applyBorder="1"/>
    <xf numFmtId="178" fontId="103" fillId="30" borderId="16" xfId="2572" applyFont="1" applyFill="1" applyBorder="1"/>
    <xf numFmtId="3" fontId="103" fillId="30" borderId="0" xfId="2572" applyNumberFormat="1" applyFont="1" applyFill="1" applyBorder="1"/>
    <xf numFmtId="3" fontId="103" fillId="42" borderId="0" xfId="2572" applyNumberFormat="1" applyFont="1" applyFill="1" applyBorder="1"/>
    <xf numFmtId="178" fontId="103" fillId="30" borderId="0" xfId="2572" applyFont="1" applyFill="1" applyBorder="1"/>
    <xf numFmtId="3" fontId="103" fillId="30" borderId="17" xfId="2572" applyNumberFormat="1" applyFont="1" applyFill="1" applyBorder="1"/>
    <xf numFmtId="3" fontId="103" fillId="42" borderId="17" xfId="2572" applyNumberFormat="1" applyFont="1" applyFill="1" applyBorder="1"/>
    <xf numFmtId="178" fontId="103" fillId="30" borderId="17" xfId="2572" applyFont="1" applyFill="1" applyBorder="1"/>
    <xf numFmtId="179" fontId="104" fillId="30" borderId="16" xfId="2572" applyNumberFormat="1" applyFont="1" applyFill="1" applyBorder="1"/>
    <xf numFmtId="179" fontId="104" fillId="42" borderId="16" xfId="2572" applyNumberFormat="1" applyFont="1" applyFill="1" applyBorder="1"/>
    <xf numFmtId="179" fontId="104" fillId="30" borderId="0" xfId="2572" applyNumberFormat="1" applyFont="1" applyFill="1" applyBorder="1"/>
    <xf numFmtId="179" fontId="105" fillId="30" borderId="0" xfId="2572" applyNumberFormat="1" applyFont="1" applyFill="1" applyBorder="1"/>
    <xf numFmtId="194" fontId="104" fillId="30" borderId="0" xfId="2572" applyNumberFormat="1" applyFont="1" applyFill="1" applyBorder="1"/>
    <xf numFmtId="194" fontId="104" fillId="42" borderId="0" xfId="2572" applyNumberFormat="1" applyFont="1" applyFill="1" applyBorder="1"/>
    <xf numFmtId="194" fontId="104" fillId="30" borderId="17" xfId="2572" applyNumberFormat="1" applyFont="1" applyFill="1" applyBorder="1"/>
    <xf numFmtId="194" fontId="104" fillId="42" borderId="17" xfId="2572" applyNumberFormat="1" applyFont="1" applyFill="1" applyBorder="1"/>
    <xf numFmtId="178" fontId="106" fillId="30" borderId="24" xfId="2572" applyFont="1" applyFill="1" applyBorder="1" applyAlignment="1">
      <alignment horizontal="right"/>
    </xf>
    <xf numFmtId="178" fontId="103" fillId="30" borderId="24" xfId="2572" applyFont="1" applyFill="1" applyBorder="1"/>
    <xf numFmtId="178" fontId="103" fillId="41" borderId="0" xfId="2572" applyFont="1" applyFill="1"/>
    <xf numFmtId="178" fontId="106" fillId="41" borderId="0" xfId="2572" applyFont="1" applyFill="1"/>
    <xf numFmtId="43" fontId="75" fillId="40" borderId="0" xfId="2572" applyNumberFormat="1" applyFont="1" applyFill="1" applyBorder="1"/>
    <xf numFmtId="188" fontId="75" fillId="39" borderId="0" xfId="2572" applyNumberFormat="1" applyFont="1" applyFill="1" applyBorder="1"/>
    <xf numFmtId="189" fontId="76" fillId="40" borderId="0" xfId="2572" applyNumberFormat="1" applyFont="1" applyFill="1" applyBorder="1"/>
    <xf numFmtId="188" fontId="76" fillId="39" borderId="0" xfId="2572" applyNumberFormat="1" applyFont="1" applyFill="1" applyBorder="1"/>
    <xf numFmtId="9" fontId="11" fillId="2" borderId="0" xfId="1751" applyFont="1" applyFill="1" applyBorder="1"/>
    <xf numFmtId="197" fontId="56" fillId="2" borderId="0" xfId="1751" applyNumberFormat="1" applyFont="1" applyFill="1" applyBorder="1"/>
    <xf numFmtId="43" fontId="0" fillId="2" borderId="0" xfId="2042" applyFont="1" applyFill="1" applyBorder="1"/>
    <xf numFmtId="168" fontId="53" fillId="30" borderId="0" xfId="2572" applyNumberFormat="1" applyFont="1" applyFill="1" applyBorder="1" applyProtection="1">
      <protection locked="0"/>
    </xf>
    <xf numFmtId="178" fontId="99" fillId="2" borderId="0" xfId="2572" applyFont="1" applyFill="1"/>
    <xf numFmtId="178" fontId="99" fillId="38" borderId="0" xfId="2572" applyFont="1" applyFill="1"/>
    <xf numFmtId="175" fontId="99" fillId="2" borderId="16" xfId="2572" applyNumberFormat="1" applyFont="1" applyFill="1" applyBorder="1"/>
    <xf numFmtId="178" fontId="99" fillId="2" borderId="16" xfId="2572" applyFont="1" applyFill="1" applyBorder="1"/>
    <xf numFmtId="195" fontId="99" fillId="2" borderId="0" xfId="2572" applyNumberFormat="1" applyFont="1" applyFill="1" applyBorder="1"/>
    <xf numFmtId="178" fontId="99" fillId="2" borderId="0" xfId="2572" applyFont="1" applyFill="1" applyBorder="1"/>
    <xf numFmtId="175" fontId="99" fillId="2" borderId="0" xfId="2572" applyNumberFormat="1" applyFont="1" applyFill="1" applyBorder="1"/>
    <xf numFmtId="3" fontId="99" fillId="2" borderId="0" xfId="2572" applyNumberFormat="1" applyFont="1" applyFill="1" applyBorder="1"/>
    <xf numFmtId="186" fontId="100" fillId="2" borderId="16" xfId="2572" applyNumberFormat="1" applyFont="1" applyFill="1" applyBorder="1"/>
    <xf numFmtId="186" fontId="100" fillId="2" borderId="0" xfId="2572" applyNumberFormat="1" applyFont="1" applyFill="1" applyBorder="1"/>
    <xf numFmtId="194" fontId="100" fillId="2" borderId="0" xfId="2572" applyNumberFormat="1" applyFont="1" applyFill="1" applyBorder="1"/>
    <xf numFmtId="179" fontId="100" fillId="2" borderId="17" xfId="2572" applyNumberFormat="1" applyFont="1" applyFill="1" applyBorder="1"/>
    <xf numFmtId="178" fontId="99" fillId="2" borderId="17" xfId="2572" applyFont="1" applyFill="1" applyBorder="1"/>
    <xf numFmtId="178" fontId="101" fillId="2" borderId="16" xfId="2572" applyFont="1" applyFill="1" applyBorder="1" applyAlignment="1">
      <alignment horizontal="right"/>
    </xf>
    <xf numFmtId="178" fontId="102" fillId="2" borderId="17" xfId="2572" applyFont="1" applyFill="1" applyBorder="1"/>
    <xf numFmtId="178" fontId="101" fillId="2" borderId="0" xfId="2572" applyFont="1" applyFill="1"/>
    <xf numFmtId="178" fontId="41" fillId="39" borderId="0" xfId="2572" applyFont="1" applyFill="1"/>
    <xf numFmtId="195" fontId="73" fillId="2" borderId="29" xfId="2572" applyNumberFormat="1" applyFont="1" applyFill="1" applyBorder="1"/>
    <xf numFmtId="3" fontId="73" fillId="2" borderId="0" xfId="2572" applyNumberFormat="1" applyFont="1" applyFill="1" applyBorder="1"/>
    <xf numFmtId="9" fontId="74" fillId="2" borderId="0" xfId="1751" applyFont="1" applyFill="1" applyBorder="1"/>
    <xf numFmtId="3" fontId="76" fillId="2" borderId="0" xfId="2572" applyNumberFormat="1" applyFont="1" applyFill="1" applyBorder="1"/>
    <xf numFmtId="195" fontId="74" fillId="2" borderId="0" xfId="2572" applyNumberFormat="1" applyFont="1" applyFill="1" applyBorder="1"/>
    <xf numFmtId="4" fontId="73" fillId="2" borderId="0" xfId="2572" applyNumberFormat="1" applyFont="1" applyFill="1" applyBorder="1"/>
    <xf numFmtId="3" fontId="74" fillId="2" borderId="0" xfId="2572" applyNumberFormat="1" applyFont="1" applyFill="1" applyBorder="1"/>
    <xf numFmtId="3" fontId="77" fillId="36" borderId="0" xfId="2572" applyNumberFormat="1" applyFont="1" applyFill="1" applyBorder="1"/>
    <xf numFmtId="178" fontId="11" fillId="30" borderId="39" xfId="2572" applyFont="1" applyFill="1" applyBorder="1" applyAlignment="1">
      <alignment horizontal="right"/>
    </xf>
    <xf numFmtId="178" fontId="29" fillId="30" borderId="39" xfId="2572" applyFill="1" applyBorder="1" applyAlignment="1">
      <alignment horizontal="right"/>
    </xf>
    <xf numFmtId="178" fontId="29" fillId="30" borderId="40" xfId="2572" applyFill="1" applyBorder="1" applyAlignment="1">
      <alignment horizontal="right"/>
    </xf>
    <xf numFmtId="178" fontId="29" fillId="30" borderId="39" xfId="2572" applyFill="1" applyBorder="1"/>
    <xf numFmtId="178" fontId="62" fillId="30" borderId="22" xfId="2572" applyFont="1" applyFill="1" applyBorder="1" applyAlignment="1">
      <alignment horizontal="left"/>
    </xf>
    <xf numFmtId="178" fontId="77" fillId="2" borderId="20" xfId="2572" applyFont="1" applyFill="1" applyBorder="1"/>
    <xf numFmtId="195" fontId="74" fillId="2" borderId="29" xfId="2572" applyNumberFormat="1" applyFont="1" applyFill="1" applyBorder="1"/>
    <xf numFmtId="9" fontId="76" fillId="2" borderId="0" xfId="1751" applyFont="1" applyFill="1" applyBorder="1"/>
    <xf numFmtId="178" fontId="73" fillId="2" borderId="18" xfId="2572" applyFont="1" applyFill="1" applyBorder="1"/>
    <xf numFmtId="178" fontId="74" fillId="30" borderId="0" xfId="2572" applyFont="1" applyFill="1" applyBorder="1" applyProtection="1">
      <protection locked="0"/>
    </xf>
    <xf numFmtId="178" fontId="74" fillId="30" borderId="36" xfId="2572" applyFont="1" applyFill="1" applyBorder="1" applyProtection="1">
      <protection locked="0"/>
    </xf>
    <xf numFmtId="3" fontId="76" fillId="40" borderId="0" xfId="2572" applyNumberFormat="1" applyFont="1" applyFill="1" applyBorder="1"/>
    <xf numFmtId="184" fontId="11" fillId="2" borderId="0" xfId="1751" applyNumberFormat="1" applyFont="1" applyFill="1" applyBorder="1"/>
    <xf numFmtId="195" fontId="11" fillId="2" borderId="0" xfId="2572" applyNumberFormat="1" applyFont="1" applyFill="1" applyBorder="1"/>
    <xf numFmtId="178" fontId="77" fillId="2" borderId="18" xfId="2572" applyFont="1" applyFill="1" applyBorder="1"/>
    <xf numFmtId="4" fontId="74" fillId="2" borderId="0" xfId="2572" applyNumberFormat="1" applyFont="1" applyFill="1" applyBorder="1"/>
    <xf numFmtId="195" fontId="75" fillId="2" borderId="0" xfId="2572" applyNumberFormat="1" applyFont="1" applyFill="1" applyBorder="1"/>
    <xf numFmtId="178" fontId="76" fillId="2" borderId="18" xfId="2572" applyFont="1" applyFill="1" applyBorder="1"/>
    <xf numFmtId="178" fontId="58" fillId="2" borderId="0" xfId="2572" applyFont="1" applyFill="1" applyBorder="1" applyAlignment="1">
      <alignment horizontal="left"/>
    </xf>
    <xf numFmtId="43" fontId="56" fillId="2" borderId="0" xfId="2572" applyNumberFormat="1" applyFont="1" applyFill="1" applyBorder="1"/>
    <xf numFmtId="178" fontId="58" fillId="2" borderId="27" xfId="2572" applyFont="1" applyFill="1" applyBorder="1" applyAlignment="1">
      <alignment horizontal="left"/>
    </xf>
    <xf numFmtId="178" fontId="11" fillId="2" borderId="27" xfId="2572" applyFont="1" applyFill="1" applyBorder="1" applyProtection="1">
      <protection locked="0"/>
    </xf>
    <xf numFmtId="9" fontId="11" fillId="2" borderId="29" xfId="1751" applyFont="1" applyFill="1" applyBorder="1" applyProtection="1">
      <protection locked="0"/>
    </xf>
    <xf numFmtId="9" fontId="11" fillId="2" borderId="38" xfId="1751" applyFont="1" applyFill="1" applyBorder="1" applyProtection="1">
      <protection locked="0"/>
    </xf>
    <xf numFmtId="179" fontId="11" fillId="2" borderId="0" xfId="2572" applyNumberFormat="1" applyFont="1" applyFill="1" applyBorder="1" applyProtection="1">
      <protection locked="0"/>
    </xf>
    <xf numFmtId="186" fontId="11" fillId="2" borderId="0" xfId="2572" applyNumberFormat="1" applyFont="1" applyFill="1" applyBorder="1" applyProtection="1">
      <protection locked="0"/>
    </xf>
    <xf numFmtId="178" fontId="11" fillId="2" borderId="0" xfId="2572" applyNumberFormat="1" applyFont="1" applyFill="1" applyBorder="1" applyProtection="1">
      <protection locked="0"/>
    </xf>
    <xf numFmtId="178" fontId="29" fillId="2" borderId="0" xfId="2572" applyFont="1" applyFill="1" applyBorder="1"/>
    <xf numFmtId="194" fontId="58" fillId="2" borderId="0" xfId="2572" applyNumberFormat="1" applyFont="1" applyFill="1" applyBorder="1"/>
    <xf numFmtId="2" fontId="53" fillId="39" borderId="0" xfId="2572" applyNumberFormat="1" applyFont="1" applyFill="1" applyBorder="1" applyProtection="1">
      <protection locked="0"/>
    </xf>
    <xf numFmtId="2" fontId="53" fillId="39" borderId="36" xfId="2572" applyNumberFormat="1" applyFont="1" applyFill="1" applyBorder="1" applyProtection="1">
      <protection locked="0"/>
    </xf>
    <xf numFmtId="194" fontId="29" fillId="26" borderId="0" xfId="2572" applyNumberFormat="1" applyFill="1"/>
    <xf numFmtId="189" fontId="67" fillId="30" borderId="0" xfId="3103" applyNumberFormat="1" applyFill="1" applyBorder="1" applyAlignment="1" applyProtection="1">
      <protection locked="0"/>
    </xf>
    <xf numFmtId="188" fontId="29" fillId="2" borderId="0" xfId="2572" applyNumberFormat="1" applyFill="1" applyBorder="1" applyProtection="1">
      <protection locked="0"/>
    </xf>
    <xf numFmtId="188" fontId="29" fillId="2" borderId="36" xfId="2572" applyNumberFormat="1" applyFill="1" applyBorder="1" applyProtection="1">
      <protection locked="0"/>
    </xf>
    <xf numFmtId="186" fontId="42" fillId="26" borderId="0" xfId="2572" applyNumberFormat="1" applyFont="1" applyFill="1"/>
    <xf numFmtId="43" fontId="11" fillId="2" borderId="0" xfId="2572" applyNumberFormat="1" applyFont="1" applyFill="1" applyBorder="1"/>
    <xf numFmtId="178" fontId="11" fillId="2" borderId="36" xfId="2572" applyNumberFormat="1" applyFont="1" applyFill="1" applyBorder="1" applyProtection="1">
      <protection locked="0"/>
    </xf>
    <xf numFmtId="178" fontId="74" fillId="30" borderId="0" xfId="2572" applyFont="1" applyFill="1" applyBorder="1"/>
    <xf numFmtId="190" fontId="74" fillId="30" borderId="0" xfId="2572" applyNumberFormat="1" applyFont="1" applyFill="1" applyBorder="1"/>
    <xf numFmtId="9" fontId="29" fillId="30" borderId="0" xfId="1751" applyFont="1" applyFill="1" applyBorder="1"/>
    <xf numFmtId="188" fontId="11" fillId="2" borderId="0" xfId="2572" applyNumberFormat="1" applyFont="1" applyFill="1" applyBorder="1" applyAlignment="1">
      <alignment horizontal="left" indent="1"/>
    </xf>
    <xf numFmtId="179" fontId="11" fillId="2" borderId="27" xfId="2572" applyNumberFormat="1" applyFont="1" applyFill="1" applyBorder="1" applyProtection="1">
      <protection locked="0"/>
    </xf>
    <xf numFmtId="178" fontId="29" fillId="41" borderId="0" xfId="2572" applyFill="1"/>
    <xf numFmtId="166" fontId="29" fillId="41" borderId="0" xfId="2572" applyNumberFormat="1" applyFill="1" applyBorder="1"/>
    <xf numFmtId="178" fontId="29" fillId="41" borderId="0" xfId="2572" applyFill="1" applyBorder="1"/>
    <xf numFmtId="178" fontId="29" fillId="57" borderId="18" xfId="2572" applyFont="1" applyFill="1" applyBorder="1" applyAlignment="1">
      <alignment vertical="center"/>
    </xf>
    <xf numFmtId="178" fontId="29" fillId="57" borderId="20" xfId="2572" applyFont="1" applyFill="1" applyBorder="1" applyAlignment="1">
      <alignment vertical="center"/>
    </xf>
    <xf numFmtId="178" fontId="74" fillId="57" borderId="29" xfId="2572" applyFont="1" applyFill="1" applyBorder="1" applyAlignment="1">
      <alignment vertical="center"/>
    </xf>
    <xf numFmtId="178" fontId="29" fillId="57" borderId="19" xfId="2572" applyFont="1" applyFill="1" applyBorder="1" applyAlignment="1">
      <alignment vertical="center"/>
    </xf>
    <xf numFmtId="178" fontId="74" fillId="57" borderId="0" xfId="2572" applyFont="1" applyFill="1" applyAlignment="1">
      <alignment vertical="center"/>
    </xf>
    <xf numFmtId="178" fontId="29" fillId="57" borderId="21" xfId="2572" applyFont="1" applyFill="1" applyBorder="1" applyAlignment="1">
      <alignment vertical="center"/>
    </xf>
    <xf numFmtId="178" fontId="11" fillId="57" borderId="0" xfId="2572" applyFont="1" applyFill="1" applyAlignment="1">
      <alignment vertical="center"/>
    </xf>
    <xf numFmtId="178" fontId="74" fillId="57" borderId="21" xfId="2572" applyFont="1" applyFill="1" applyBorder="1" applyAlignment="1">
      <alignment vertical="center"/>
    </xf>
    <xf numFmtId="178" fontId="29" fillId="57" borderId="0" xfId="2572" applyFont="1" applyFill="1" applyAlignment="1">
      <alignment vertical="center"/>
    </xf>
    <xf numFmtId="194" fontId="11" fillId="2" borderId="36" xfId="2572" applyNumberFormat="1" applyFont="1" applyFill="1" applyBorder="1" applyProtection="1">
      <protection locked="0"/>
    </xf>
    <xf numFmtId="190" fontId="29" fillId="2" borderId="0" xfId="2572" applyNumberFormat="1" applyFont="1" applyFill="1" applyBorder="1"/>
    <xf numFmtId="2" fontId="53" fillId="30" borderId="0" xfId="2572" applyNumberFormat="1" applyFont="1" applyFill="1" applyBorder="1"/>
    <xf numFmtId="2" fontId="53" fillId="30" borderId="36" xfId="2572" applyNumberFormat="1" applyFont="1" applyFill="1" applyBorder="1"/>
    <xf numFmtId="190" fontId="74" fillId="2" borderId="36" xfId="2572" applyNumberFormat="1" applyFont="1" applyFill="1" applyBorder="1" applyProtection="1">
      <protection locked="0"/>
    </xf>
    <xf numFmtId="49" fontId="29" fillId="30" borderId="20" xfId="2572" applyNumberFormat="1" applyFill="1" applyBorder="1" applyAlignment="1">
      <alignment vertical="top" wrapText="1"/>
    </xf>
    <xf numFmtId="49" fontId="29" fillId="30" borderId="29" xfId="2572" applyNumberFormat="1" applyFill="1" applyBorder="1" applyAlignment="1">
      <alignment vertical="top" wrapText="1"/>
    </xf>
    <xf numFmtId="49" fontId="29" fillId="30" borderId="19" xfId="2572" applyNumberFormat="1" applyFill="1" applyBorder="1" applyAlignment="1">
      <alignment vertical="top" wrapText="1"/>
    </xf>
    <xf numFmtId="49" fontId="29" fillId="30" borderId="18" xfId="2572" applyNumberFormat="1" applyFill="1" applyBorder="1" applyAlignment="1">
      <alignment vertical="top" wrapText="1"/>
    </xf>
    <xf numFmtId="49" fontId="29" fillId="30" borderId="0" xfId="2572" applyNumberFormat="1" applyFill="1" applyBorder="1" applyAlignment="1">
      <alignment vertical="top" wrapText="1"/>
    </xf>
    <xf numFmtId="49" fontId="29" fillId="30" borderId="21" xfId="2572" applyNumberFormat="1" applyFill="1" applyBorder="1" applyAlignment="1">
      <alignment vertical="top" wrapText="1"/>
    </xf>
    <xf numFmtId="49" fontId="29" fillId="30" borderId="28" xfId="2572" applyNumberFormat="1" applyFill="1" applyBorder="1" applyAlignment="1">
      <alignment vertical="top" wrapText="1"/>
    </xf>
    <xf numFmtId="49" fontId="29" fillId="30" borderId="27" xfId="2572" applyNumberFormat="1" applyFill="1" applyBorder="1" applyAlignment="1">
      <alignment vertical="top" wrapText="1"/>
    </xf>
    <xf numFmtId="49" fontId="29" fillId="30" borderId="26" xfId="2572" applyNumberFormat="1" applyFill="1" applyBorder="1" applyAlignment="1">
      <alignment vertical="top" wrapText="1"/>
    </xf>
    <xf numFmtId="177" fontId="56" fillId="30" borderId="0" xfId="2572" applyNumberFormat="1" applyFont="1" applyFill="1" applyBorder="1"/>
    <xf numFmtId="178" fontId="29" fillId="36" borderId="0" xfId="2572" applyFill="1" applyBorder="1"/>
    <xf numFmtId="178" fontId="11" fillId="30" borderId="27" xfId="2572" applyFont="1" applyFill="1" applyBorder="1" applyAlignment="1" applyProtection="1">
      <alignment horizontal="left" indent="1"/>
      <protection locked="0"/>
    </xf>
    <xf numFmtId="178" fontId="29" fillId="30" borderId="29" xfId="2572" applyFill="1" applyBorder="1" applyAlignment="1"/>
    <xf numFmtId="178" fontId="74" fillId="30" borderId="0" xfId="2572" applyFont="1" applyFill="1" applyBorder="1" applyAlignment="1"/>
    <xf numFmtId="184" fontId="74" fillId="30" borderId="0" xfId="2572" applyNumberFormat="1" applyFont="1" applyFill="1" applyBorder="1" applyAlignment="1">
      <alignment horizontal="right"/>
    </xf>
    <xf numFmtId="178" fontId="29" fillId="30" borderId="36" xfId="2572" applyFill="1" applyBorder="1" applyAlignment="1">
      <alignment horizontal="right"/>
    </xf>
    <xf numFmtId="178" fontId="29" fillId="2" borderId="21" xfId="2572" applyFill="1" applyBorder="1" applyAlignment="1">
      <alignment wrapText="1"/>
    </xf>
    <xf numFmtId="179" fontId="74" fillId="30" borderId="0" xfId="2572" applyNumberFormat="1" applyFont="1" applyFill="1" applyBorder="1" applyAlignment="1"/>
    <xf numFmtId="179" fontId="74" fillId="30" borderId="36" xfId="2572" applyNumberFormat="1" applyFont="1" applyFill="1" applyBorder="1" applyAlignment="1"/>
    <xf numFmtId="3" fontId="29" fillId="30" borderId="0" xfId="2572" applyNumberFormat="1" applyFill="1" applyBorder="1" applyAlignment="1">
      <alignment horizontal="right"/>
    </xf>
    <xf numFmtId="192" fontId="29" fillId="30" borderId="0" xfId="2572" applyNumberFormat="1" applyFill="1" applyBorder="1" applyAlignment="1"/>
    <xf numFmtId="192" fontId="56" fillId="30" borderId="0" xfId="2572" applyNumberFormat="1" applyFont="1" applyFill="1" applyBorder="1" applyAlignment="1">
      <alignment horizontal="left"/>
    </xf>
    <xf numFmtId="192" fontId="56" fillId="30" borderId="0" xfId="2572" applyNumberFormat="1" applyFont="1" applyFill="1" applyBorder="1" applyAlignment="1"/>
    <xf numFmtId="43" fontId="11" fillId="30" borderId="0" xfId="2572" applyNumberFormat="1" applyFont="1" applyFill="1" applyBorder="1"/>
    <xf numFmtId="168" fontId="53" fillId="42" borderId="0" xfId="2572" applyNumberFormat="1" applyFont="1" applyFill="1" applyBorder="1" applyProtection="1">
      <protection locked="0"/>
    </xf>
    <xf numFmtId="178" fontId="79" fillId="30" borderId="0" xfId="2572" applyFont="1" applyFill="1" applyBorder="1" applyProtection="1">
      <protection locked="0"/>
    </xf>
    <xf numFmtId="2" fontId="79" fillId="30" borderId="0" xfId="2572" applyNumberFormat="1" applyFont="1" applyFill="1" applyBorder="1" applyProtection="1">
      <protection locked="0"/>
    </xf>
    <xf numFmtId="168" fontId="79" fillId="30" borderId="0" xfId="2572" applyNumberFormat="1" applyFont="1" applyFill="1" applyBorder="1"/>
    <xf numFmtId="179" fontId="75" fillId="30" borderId="0" xfId="2572" applyNumberFormat="1" applyFont="1" applyFill="1" applyBorder="1" applyProtection="1">
      <protection locked="0"/>
    </xf>
    <xf numFmtId="178" fontId="55" fillId="30" borderId="16" xfId="2572" applyFont="1" applyFill="1" applyBorder="1" applyAlignment="1">
      <alignment horizontal="right"/>
    </xf>
    <xf numFmtId="49" fontId="55" fillId="30" borderId="16" xfId="2572" applyNumberFormat="1" applyFont="1" applyFill="1" applyBorder="1" applyAlignment="1">
      <alignment horizontal="right"/>
    </xf>
    <xf numFmtId="49" fontId="11" fillId="30" borderId="20" xfId="2572" applyNumberFormat="1" applyFont="1" applyFill="1" applyBorder="1" applyAlignment="1">
      <alignment vertical="top"/>
    </xf>
    <xf numFmtId="49" fontId="11" fillId="30" borderId="29" xfId="2572" applyNumberFormat="1" applyFont="1" applyFill="1" applyBorder="1" applyAlignment="1">
      <alignment vertical="top"/>
    </xf>
    <xf numFmtId="49" fontId="11" fillId="30" borderId="19" xfId="2572" applyNumberFormat="1" applyFont="1" applyFill="1" applyBorder="1" applyAlignment="1">
      <alignment vertical="top"/>
    </xf>
    <xf numFmtId="49" fontId="11" fillId="30" borderId="18" xfId="2572" applyNumberFormat="1" applyFont="1" applyFill="1" applyBorder="1" applyAlignment="1">
      <alignment vertical="top"/>
    </xf>
    <xf numFmtId="49" fontId="11" fillId="30" borderId="0" xfId="2572" applyNumberFormat="1" applyFont="1" applyFill="1" applyBorder="1" applyAlignment="1">
      <alignment vertical="top"/>
    </xf>
    <xf numFmtId="49" fontId="11" fillId="30" borderId="21" xfId="2572" applyNumberFormat="1" applyFont="1" applyFill="1" applyBorder="1" applyAlignment="1">
      <alignment vertical="top"/>
    </xf>
    <xf numFmtId="178" fontId="29" fillId="2" borderId="18" xfId="2572" applyFill="1" applyBorder="1" applyAlignment="1">
      <alignment vertical="top"/>
    </xf>
    <xf numFmtId="178" fontId="29" fillId="30" borderId="0" xfId="2572" applyFill="1" applyBorder="1" applyAlignment="1">
      <alignment vertical="top"/>
    </xf>
    <xf numFmtId="178" fontId="54" fillId="30" borderId="21" xfId="2572" applyFont="1" applyFill="1" applyBorder="1" applyAlignment="1">
      <alignment vertical="top"/>
    </xf>
    <xf numFmtId="49" fontId="11" fillId="30" borderId="18" xfId="2572" applyNumberFormat="1" applyFont="1" applyFill="1" applyBorder="1" applyAlignment="1">
      <alignment vertical="top" wrapText="1"/>
    </xf>
    <xf numFmtId="49" fontId="11" fillId="30" borderId="0" xfId="2572" applyNumberFormat="1" applyFont="1" applyFill="1" applyBorder="1" applyAlignment="1">
      <alignment vertical="top" wrapText="1"/>
    </xf>
    <xf numFmtId="49" fontId="11" fillId="30" borderId="21" xfId="2572" applyNumberFormat="1" applyFont="1" applyFill="1" applyBorder="1" applyAlignment="1">
      <alignment vertical="top" wrapText="1"/>
    </xf>
    <xf numFmtId="178" fontId="58" fillId="30" borderId="0" xfId="2572" applyFont="1" applyFill="1" applyBorder="1" applyAlignment="1">
      <alignment horizontal="left"/>
    </xf>
    <xf numFmtId="189" fontId="56" fillId="30" borderId="0" xfId="2572" applyNumberFormat="1" applyFont="1" applyFill="1" applyBorder="1" applyProtection="1">
      <protection locked="0"/>
    </xf>
    <xf numFmtId="190" fontId="75" fillId="30" borderId="0" xfId="2572" applyNumberFormat="1" applyFont="1" applyFill="1" applyBorder="1" applyProtection="1">
      <protection locked="0"/>
    </xf>
    <xf numFmtId="49" fontId="11" fillId="30" borderId="18" xfId="2572" applyNumberFormat="1" applyFont="1" applyFill="1" applyBorder="1" applyAlignment="1">
      <alignment horizontal="left" vertical="top" wrapText="1"/>
    </xf>
    <xf numFmtId="49" fontId="11" fillId="30" borderId="0" xfId="2572" applyNumberFormat="1" applyFont="1" applyFill="1" applyBorder="1" applyAlignment="1">
      <alignment horizontal="left" vertical="top" wrapText="1"/>
    </xf>
    <xf numFmtId="49" fontId="11" fillId="30" borderId="21" xfId="2572" applyNumberFormat="1" applyFont="1" applyFill="1" applyBorder="1" applyAlignment="1">
      <alignment horizontal="left" vertical="top" wrapText="1"/>
    </xf>
    <xf numFmtId="49" fontId="11" fillId="30" borderId="21" xfId="2572" applyNumberFormat="1" applyFont="1" applyFill="1" applyBorder="1" applyAlignment="1">
      <alignment horizontal="left" vertical="top"/>
    </xf>
    <xf numFmtId="167" fontId="29" fillId="41" borderId="0" xfId="2572" applyNumberFormat="1" applyFill="1" applyBorder="1"/>
    <xf numFmtId="185" fontId="29" fillId="41" borderId="0" xfId="2572" applyNumberFormat="1" applyFill="1" applyBorder="1"/>
    <xf numFmtId="179" fontId="29" fillId="41" borderId="0" xfId="2572" applyNumberFormat="1" applyFill="1" applyBorder="1"/>
    <xf numFmtId="49" fontId="29" fillId="41" borderId="0" xfId="2572" applyNumberFormat="1" applyFill="1" applyBorder="1" applyAlignment="1">
      <alignment vertical="top" wrapText="1"/>
    </xf>
    <xf numFmtId="178" fontId="60" fillId="41" borderId="0" xfId="2572" applyFont="1" applyFill="1" applyBorder="1"/>
    <xf numFmtId="185" fontId="53" fillId="30" borderId="0" xfId="2572" applyNumberFormat="1" applyFont="1" applyFill="1" applyBorder="1" applyProtection="1">
      <protection locked="0"/>
    </xf>
    <xf numFmtId="179" fontId="56" fillId="30" borderId="0" xfId="2572" applyNumberFormat="1" applyFont="1" applyFill="1" applyBorder="1" applyProtection="1">
      <protection locked="0"/>
    </xf>
    <xf numFmtId="178" fontId="29" fillId="26" borderId="0" xfId="2572" applyFill="1" applyAlignment="1">
      <alignment horizontal="left"/>
    </xf>
    <xf numFmtId="49" fontId="29" fillId="41" borderId="0" xfId="2572" applyNumberFormat="1" applyFill="1" applyBorder="1" applyAlignment="1">
      <alignment horizontal="left" vertical="top" wrapText="1"/>
    </xf>
    <xf numFmtId="178" fontId="29" fillId="41" borderId="0" xfId="2572" applyFill="1" applyBorder="1" applyAlignment="1">
      <alignment horizontal="left"/>
    </xf>
    <xf numFmtId="178" fontId="29" fillId="30" borderId="29" xfId="2572" applyFill="1" applyBorder="1" applyAlignment="1">
      <alignment horizontal="left"/>
    </xf>
    <xf numFmtId="178" fontId="29" fillId="30" borderId="0" xfId="2572" applyFill="1" applyBorder="1" applyAlignment="1">
      <alignment horizontal="left"/>
    </xf>
    <xf numFmtId="179" fontId="56" fillId="30" borderId="27" xfId="2572" applyNumberFormat="1" applyFont="1" applyFill="1" applyBorder="1" applyProtection="1">
      <protection locked="0"/>
    </xf>
    <xf numFmtId="178" fontId="58" fillId="2" borderId="29" xfId="2572" applyFont="1" applyFill="1" applyBorder="1" applyAlignment="1">
      <alignment horizontal="left"/>
    </xf>
    <xf numFmtId="1" fontId="65" fillId="30" borderId="0" xfId="2572" applyNumberFormat="1" applyFont="1" applyFill="1" applyBorder="1"/>
    <xf numFmtId="192" fontId="56" fillId="30" borderId="0" xfId="2572" applyNumberFormat="1" applyFont="1" applyFill="1" applyBorder="1"/>
    <xf numFmtId="178" fontId="29" fillId="30" borderId="16" xfId="2572" applyFill="1" applyBorder="1" applyAlignment="1">
      <alignment horizontal="left"/>
    </xf>
    <xf numFmtId="178" fontId="29" fillId="30" borderId="27" xfId="2572" applyFill="1" applyBorder="1" applyAlignment="1">
      <alignment horizontal="left"/>
    </xf>
    <xf numFmtId="178" fontId="58" fillId="2" borderId="0" xfId="2572" applyFont="1" applyFill="1" applyBorder="1" applyAlignment="1">
      <alignment horizontal="left" vertical="top"/>
    </xf>
    <xf numFmtId="178" fontId="29" fillId="30" borderId="0" xfId="2572" applyFont="1" applyFill="1" applyBorder="1" applyAlignment="1">
      <alignment horizontal="left"/>
    </xf>
    <xf numFmtId="178" fontId="29" fillId="30" borderId="0" xfId="2572" applyFill="1" applyBorder="1" applyAlignment="1">
      <alignment horizontal="left" vertical="top"/>
    </xf>
    <xf numFmtId="179" fontId="56" fillId="30" borderId="36" xfId="2572" applyNumberFormat="1" applyFont="1" applyFill="1" applyBorder="1" applyProtection="1">
      <protection locked="0"/>
    </xf>
    <xf numFmtId="179" fontId="75" fillId="30" borderId="36" xfId="2572" applyNumberFormat="1" applyFont="1" applyFill="1" applyBorder="1" applyProtection="1">
      <protection locked="0"/>
    </xf>
    <xf numFmtId="178" fontId="11" fillId="30" borderId="18" xfId="2572" applyFont="1" applyFill="1" applyBorder="1" applyAlignment="1">
      <alignment vertical="top" wrapText="1"/>
    </xf>
    <xf numFmtId="178" fontId="11" fillId="30" borderId="0" xfId="2572" applyFont="1" applyFill="1" applyBorder="1" applyAlignment="1">
      <alignment vertical="top" wrapText="1"/>
    </xf>
    <xf numFmtId="178" fontId="11" fillId="30" borderId="21" xfId="2572" applyFont="1" applyFill="1" applyBorder="1" applyAlignment="1">
      <alignment vertical="top" wrapText="1"/>
    </xf>
    <xf numFmtId="178" fontId="11" fillId="30" borderId="18" xfId="2572" applyFont="1" applyFill="1" applyBorder="1" applyAlignment="1"/>
    <xf numFmtId="178" fontId="11" fillId="30" borderId="0" xfId="2572" applyFont="1" applyFill="1" applyBorder="1" applyAlignment="1"/>
    <xf numFmtId="178" fontId="11" fillId="30" borderId="21" xfId="2572" applyFont="1" applyFill="1" applyBorder="1" applyAlignment="1">
      <alignment vertical="top"/>
    </xf>
    <xf numFmtId="178" fontId="11" fillId="30" borderId="21" xfId="2572" applyFont="1" applyFill="1" applyBorder="1" applyAlignment="1"/>
    <xf numFmtId="178" fontId="66" fillId="38" borderId="0" xfId="1766" applyNumberFormat="1" applyFill="1" applyAlignment="1">
      <alignment horizontal="left"/>
    </xf>
    <xf numFmtId="0" fontId="0" fillId="2" borderId="49" xfId="0" applyFill="1" applyBorder="1"/>
    <xf numFmtId="0" fontId="0" fillId="2" borderId="50" xfId="0" applyFill="1" applyBorder="1"/>
    <xf numFmtId="0" fontId="0" fillId="2" borderId="51" xfId="0" applyFill="1" applyBorder="1"/>
    <xf numFmtId="0" fontId="0" fillId="2" borderId="52" xfId="0" applyFill="1" applyBorder="1"/>
    <xf numFmtId="178" fontId="67" fillId="35" borderId="51" xfId="3103" applyBorder="1" applyAlignment="1"/>
    <xf numFmtId="0" fontId="0" fillId="2" borderId="51" xfId="0" applyFill="1" applyBorder="1" applyAlignment="1"/>
    <xf numFmtId="0" fontId="0" fillId="30" borderId="0" xfId="0" applyFill="1" applyBorder="1"/>
    <xf numFmtId="0" fontId="11" fillId="0" borderId="0" xfId="849"/>
    <xf numFmtId="181" fontId="11" fillId="0" borderId="0" xfId="868" applyNumberFormat="1" applyFont="1" applyFill="1" applyBorder="1"/>
    <xf numFmtId="14" fontId="11" fillId="0" borderId="0" xfId="868" applyNumberFormat="1" applyFont="1"/>
    <xf numFmtId="1" fontId="0" fillId="0" borderId="0" xfId="0" applyNumberFormat="1" applyBorder="1" applyAlignment="1" applyProtection="1">
      <alignment horizontal="right"/>
    </xf>
    <xf numFmtId="198" fontId="11" fillId="0" borderId="0" xfId="0" applyNumberFormat="1" applyFont="1" applyBorder="1"/>
    <xf numFmtId="0" fontId="11" fillId="0" borderId="0" xfId="0" applyFont="1" applyFill="1" applyBorder="1"/>
    <xf numFmtId="0" fontId="30" fillId="29" borderId="15" xfId="0" applyFont="1" applyFill="1" applyBorder="1" applyAlignment="1">
      <alignment horizontal="left" vertical="top" wrapText="1"/>
    </xf>
    <xf numFmtId="0" fontId="29" fillId="36" borderId="17" xfId="0" applyFont="1" applyFill="1" applyBorder="1" applyAlignment="1">
      <alignment horizontal="left" vertical="center" wrapText="1"/>
    </xf>
    <xf numFmtId="0" fontId="11" fillId="0" borderId="0" xfId="0" applyFont="1" applyBorder="1"/>
    <xf numFmtId="181" fontId="0" fillId="0" borderId="0" xfId="0" applyNumberFormat="1" applyFont="1" applyFill="1" applyBorder="1"/>
    <xf numFmtId="0" fontId="0" fillId="0" borderId="0" xfId="0"/>
    <xf numFmtId="0" fontId="0" fillId="0" borderId="0" xfId="0" applyBorder="1"/>
    <xf numFmtId="181" fontId="0" fillId="0" borderId="0" xfId="0" applyNumberFormat="1"/>
    <xf numFmtId="181" fontId="11" fillId="0" borderId="0" xfId="0" applyNumberFormat="1" applyFont="1" applyFill="1" applyBorder="1"/>
    <xf numFmtId="181" fontId="0" fillId="0" borderId="0" xfId="0" applyNumberFormat="1" applyFill="1" applyBorder="1"/>
    <xf numFmtId="181" fontId="0" fillId="0" borderId="0" xfId="0" applyNumberFormat="1" applyBorder="1"/>
    <xf numFmtId="178" fontId="11" fillId="36" borderId="0" xfId="2572" applyFont="1" applyFill="1" applyAlignment="1">
      <alignment vertical="center"/>
    </xf>
    <xf numFmtId="178" fontId="29" fillId="36" borderId="21" xfId="2572" applyFont="1" applyFill="1" applyBorder="1" applyAlignment="1">
      <alignment vertical="center"/>
    </xf>
    <xf numFmtId="2" fontId="0" fillId="0" borderId="0" xfId="0" applyNumberFormat="1" applyFill="1" applyBorder="1"/>
    <xf numFmtId="167" fontId="0" fillId="0" borderId="0" xfId="0" applyNumberFormat="1" applyFill="1" applyBorder="1"/>
    <xf numFmtId="185" fontId="0" fillId="0" borderId="0" xfId="0" applyNumberFormat="1" applyFill="1" applyBorder="1"/>
    <xf numFmtId="0" fontId="0" fillId="37" borderId="0" xfId="0" applyFill="1" applyBorder="1"/>
    <xf numFmtId="0" fontId="0" fillId="0" borderId="0" xfId="0"/>
    <xf numFmtId="0" fontId="0" fillId="0" borderId="0" xfId="0"/>
    <xf numFmtId="0" fontId="0" fillId="0" borderId="0" xfId="0" applyFill="1"/>
    <xf numFmtId="0" fontId="73" fillId="0" borderId="0" xfId="0" applyFont="1"/>
    <xf numFmtId="0" fontId="11" fillId="2" borderId="51" xfId="0" applyFont="1" applyFill="1" applyBorder="1"/>
    <xf numFmtId="1" fontId="0" fillId="0" borderId="0" xfId="0" applyNumberFormat="1" applyFill="1" applyBorder="1"/>
    <xf numFmtId="168" fontId="11" fillId="0" borderId="0" xfId="0" applyNumberFormat="1" applyFont="1" applyFill="1" applyBorder="1"/>
    <xf numFmtId="0" fontId="0" fillId="0" borderId="0" xfId="0"/>
    <xf numFmtId="0" fontId="0" fillId="0" borderId="0" xfId="0" applyFill="1"/>
    <xf numFmtId="0" fontId="72" fillId="0" borderId="0" xfId="0" applyFont="1" applyAlignment="1">
      <alignment wrapText="1"/>
    </xf>
    <xf numFmtId="0" fontId="0" fillId="0" borderId="0" xfId="0"/>
    <xf numFmtId="0" fontId="0" fillId="0" borderId="0" xfId="0" applyBorder="1"/>
    <xf numFmtId="0" fontId="11" fillId="0" borderId="0" xfId="0" applyFont="1" applyBorder="1"/>
    <xf numFmtId="0" fontId="35" fillId="0" borderId="0" xfId="0" applyFont="1" applyBorder="1"/>
    <xf numFmtId="169" fontId="0" fillId="0" borderId="0" xfId="0" applyNumberFormat="1" applyBorder="1"/>
    <xf numFmtId="169" fontId="0" fillId="0" borderId="0" xfId="0" applyNumberFormat="1"/>
    <xf numFmtId="0" fontId="0" fillId="0" borderId="29" xfId="0" applyBorder="1"/>
    <xf numFmtId="169" fontId="0" fillId="0" borderId="29" xfId="0" applyNumberFormat="1" applyBorder="1"/>
    <xf numFmtId="0" fontId="0" fillId="0" borderId="0" xfId="0"/>
    <xf numFmtId="0" fontId="0" fillId="0" borderId="0" xfId="0" applyFill="1"/>
    <xf numFmtId="0" fontId="11" fillId="0" borderId="0" xfId="0" applyFont="1"/>
    <xf numFmtId="168" fontId="0" fillId="0" borderId="0" xfId="0" applyNumberFormat="1"/>
    <xf numFmtId="176" fontId="0" fillId="0" borderId="0" xfId="0" applyNumberFormat="1"/>
    <xf numFmtId="181" fontId="0" fillId="0" borderId="0" xfId="0" applyNumberFormat="1" applyFill="1" applyBorder="1"/>
    <xf numFmtId="181" fontId="11" fillId="0" borderId="0" xfId="0" applyNumberFormat="1" applyFont="1" applyFill="1" applyBorder="1"/>
    <xf numFmtId="0" fontId="0" fillId="0" borderId="0" xfId="0"/>
    <xf numFmtId="0" fontId="0" fillId="0" borderId="0" xfId="0" applyFill="1"/>
    <xf numFmtId="0" fontId="0" fillId="0" borderId="16" xfId="0" applyBorder="1"/>
    <xf numFmtId="0" fontId="11" fillId="0" borderId="0" xfId="0" applyFont="1"/>
    <xf numFmtId="1" fontId="0" fillId="0" borderId="0" xfId="0" applyNumberFormat="1"/>
    <xf numFmtId="0" fontId="0" fillId="0" borderId="17" xfId="0" applyBorder="1"/>
    <xf numFmtId="1" fontId="0" fillId="0" borderId="17" xfId="0" applyNumberFormat="1" applyBorder="1"/>
    <xf numFmtId="0" fontId="0" fillId="0" borderId="0" xfId="0" applyBorder="1"/>
    <xf numFmtId="0" fontId="11" fillId="0" borderId="0" xfId="0" applyFont="1" applyBorder="1"/>
    <xf numFmtId="1" fontId="0" fillId="0" borderId="0" xfId="0" applyNumberFormat="1" applyBorder="1"/>
    <xf numFmtId="0" fontId="35" fillId="0" borderId="0" xfId="0" applyFont="1"/>
    <xf numFmtId="0" fontId="35" fillId="0" borderId="0" xfId="0" applyFont="1" applyBorder="1"/>
    <xf numFmtId="2" fontId="0" fillId="0" borderId="0" xfId="0" applyNumberFormat="1"/>
    <xf numFmtId="0" fontId="0" fillId="0" borderId="0" xfId="0" applyFill="1" applyBorder="1"/>
    <xf numFmtId="0" fontId="11" fillId="0" borderId="16" xfId="0" applyFont="1" applyBorder="1"/>
    <xf numFmtId="2" fontId="0" fillId="0" borderId="17" xfId="0" applyNumberFormat="1" applyBorder="1"/>
    <xf numFmtId="2" fontId="0" fillId="0" borderId="0" xfId="0" applyNumberFormat="1" applyBorder="1"/>
    <xf numFmtId="174" fontId="0" fillId="0" borderId="0" xfId="0" applyNumberFormat="1"/>
    <xf numFmtId="174" fontId="0" fillId="0" borderId="17" xfId="0" applyNumberFormat="1" applyBorder="1"/>
    <xf numFmtId="174" fontId="0" fillId="0" borderId="0" xfId="0" applyNumberFormat="1" applyBorder="1"/>
    <xf numFmtId="0" fontId="0" fillId="0" borderId="16" xfId="0" applyFill="1" applyBorder="1"/>
    <xf numFmtId="181" fontId="0" fillId="0" borderId="0" xfId="0" applyNumberFormat="1"/>
    <xf numFmtId="181" fontId="0" fillId="0" borderId="0" xfId="0" applyNumberFormat="1" applyFill="1" applyBorder="1"/>
    <xf numFmtId="181" fontId="11" fillId="0" borderId="0" xfId="0" applyNumberFormat="1" applyFont="1"/>
    <xf numFmtId="181" fontId="11" fillId="0" borderId="0" xfId="0" applyNumberFormat="1" applyFont="1" applyFill="1" applyBorder="1"/>
    <xf numFmtId="181" fontId="0" fillId="0" borderId="0" xfId="0" applyNumberFormat="1" applyFont="1" applyFill="1" applyBorder="1"/>
    <xf numFmtId="0" fontId="0" fillId="0" borderId="0" xfId="0"/>
    <xf numFmtId="0" fontId="0" fillId="0" borderId="0" xfId="0" applyFill="1"/>
    <xf numFmtId="0" fontId="30" fillId="29" borderId="15" xfId="0" applyFont="1" applyFill="1" applyBorder="1" applyAlignment="1">
      <alignment horizontal="left" vertical="top" wrapText="1"/>
    </xf>
    <xf numFmtId="0" fontId="0" fillId="0" borderId="0" xfId="0" applyBorder="1"/>
    <xf numFmtId="181" fontId="0" fillId="0" borderId="0" xfId="0" applyNumberFormat="1"/>
    <xf numFmtId="2" fontId="0" fillId="0" borderId="29" xfId="0" applyNumberFormat="1" applyBorder="1"/>
    <xf numFmtId="2" fontId="0" fillId="0" borderId="35" xfId="0" applyNumberFormat="1" applyBorder="1"/>
    <xf numFmtId="0" fontId="167" fillId="0" borderId="16" xfId="0" applyFont="1" applyBorder="1"/>
    <xf numFmtId="174" fontId="167" fillId="0" borderId="16" xfId="0" applyNumberFormat="1" applyFont="1" applyBorder="1"/>
    <xf numFmtId="1" fontId="167" fillId="0" borderId="16" xfId="0" applyNumberFormat="1" applyFont="1" applyBorder="1"/>
    <xf numFmtId="0" fontId="167" fillId="0" borderId="16" xfId="0" applyFont="1" applyFill="1" applyBorder="1"/>
    <xf numFmtId="0" fontId="11" fillId="0" borderId="0" xfId="849" applyAlignment="1">
      <alignment horizontal="left"/>
    </xf>
    <xf numFmtId="2" fontId="10" fillId="0" borderId="0" xfId="849" applyNumberFormat="1" applyFont="1" applyAlignment="1">
      <alignment horizontal="left"/>
    </xf>
    <xf numFmtId="0" fontId="11" fillId="0" borderId="16" xfId="849" applyBorder="1"/>
    <xf numFmtId="0" fontId="29" fillId="36" borderId="17" xfId="849" applyFont="1" applyFill="1" applyBorder="1" applyAlignment="1">
      <alignment horizontal="left" vertical="center" wrapText="1"/>
    </xf>
    <xf numFmtId="0" fontId="71" fillId="36" borderId="17" xfId="849" applyFont="1" applyFill="1" applyBorder="1" applyAlignment="1">
      <alignment horizontal="center" vertical="center" wrapText="1"/>
    </xf>
    <xf numFmtId="0" fontId="29" fillId="36" borderId="16" xfId="849" applyFont="1" applyFill="1" applyBorder="1" applyAlignment="1">
      <alignment horizontal="left" vertical="center" wrapText="1"/>
    </xf>
    <xf numFmtId="0" fontId="30" fillId="29" borderId="17" xfId="849" applyFont="1" applyFill="1" applyBorder="1" applyAlignment="1">
      <alignment horizontal="left" vertical="top" wrapText="1"/>
    </xf>
    <xf numFmtId="0" fontId="11" fillId="0" borderId="17" xfId="849" applyBorder="1"/>
    <xf numFmtId="0" fontId="35" fillId="0" borderId="17" xfId="849" applyFont="1" applyBorder="1"/>
    <xf numFmtId="2" fontId="73" fillId="0" borderId="17" xfId="849" applyNumberFormat="1" applyFont="1" applyFill="1" applyBorder="1"/>
    <xf numFmtId="169" fontId="73" fillId="0" borderId="17" xfId="849" applyNumberFormat="1" applyFont="1" applyFill="1" applyBorder="1"/>
    <xf numFmtId="168" fontId="73" fillId="0" borderId="17" xfId="849" applyNumberFormat="1" applyFont="1" applyFill="1" applyBorder="1"/>
    <xf numFmtId="0" fontId="11" fillId="0" borderId="0" xfId="849" applyBorder="1"/>
    <xf numFmtId="0" fontId="35" fillId="0" borderId="0" xfId="849" applyFont="1" applyBorder="1"/>
    <xf numFmtId="0" fontId="11" fillId="0" borderId="0" xfId="849" applyFont="1" applyFill="1" applyBorder="1"/>
    <xf numFmtId="2" fontId="73" fillId="0" borderId="0" xfId="849" applyNumberFormat="1" applyFont="1" applyFill="1" applyBorder="1"/>
    <xf numFmtId="169" fontId="73" fillId="0" borderId="0" xfId="849" applyNumberFormat="1" applyFont="1" applyFill="1" applyBorder="1"/>
    <xf numFmtId="168" fontId="73" fillId="0" borderId="0" xfId="849" applyNumberFormat="1" applyFont="1" applyFill="1" applyBorder="1"/>
    <xf numFmtId="2" fontId="73" fillId="0" borderId="0" xfId="849" applyNumberFormat="1" applyFont="1" applyFill="1"/>
    <xf numFmtId="0" fontId="11" fillId="0" borderId="0" xfId="849" applyFont="1"/>
    <xf numFmtId="1" fontId="11" fillId="0" borderId="0" xfId="849" applyNumberFormat="1"/>
    <xf numFmtId="0" fontId="11" fillId="0" borderId="16" xfId="849" applyFont="1" applyFill="1" applyBorder="1"/>
    <xf numFmtId="2" fontId="73" fillId="0" borderId="16" xfId="849" applyNumberFormat="1" applyFont="1" applyFill="1" applyBorder="1"/>
    <xf numFmtId="169" fontId="73" fillId="0" borderId="16" xfId="849" applyNumberFormat="1" applyFont="1" applyFill="1" applyBorder="1"/>
    <xf numFmtId="168" fontId="73" fillId="0" borderId="16" xfId="849" applyNumberFormat="1" applyFont="1" applyFill="1" applyBorder="1"/>
    <xf numFmtId="0" fontId="11" fillId="0" borderId="0" xfId="849" applyFill="1" applyBorder="1"/>
    <xf numFmtId="0" fontId="11" fillId="0" borderId="16" xfId="849" applyFill="1" applyBorder="1"/>
    <xf numFmtId="0" fontId="73" fillId="0" borderId="0" xfId="849" applyFont="1" applyFill="1" applyBorder="1"/>
    <xf numFmtId="0" fontId="11" fillId="0" borderId="0" xfId="849" applyFill="1"/>
    <xf numFmtId="0" fontId="35" fillId="0" borderId="0" xfId="849" applyFont="1" applyFill="1" applyBorder="1"/>
    <xf numFmtId="0" fontId="11" fillId="0" borderId="0" xfId="849" applyFont="1" applyFill="1"/>
    <xf numFmtId="167" fontId="11" fillId="0" borderId="0" xfId="849" applyNumberFormat="1" applyBorder="1"/>
    <xf numFmtId="0" fontId="11" fillId="0" borderId="0" xfId="849" applyFont="1" applyFill="1" applyBorder="1" applyAlignment="1">
      <alignment horizontal="left"/>
    </xf>
    <xf numFmtId="0" fontId="11" fillId="0" borderId="0" xfId="849" applyFont="1" applyFill="1" applyBorder="1" applyAlignment="1">
      <alignment horizontal="center" vertical="center"/>
    </xf>
    <xf numFmtId="0" fontId="11" fillId="0" borderId="0" xfId="849" applyFont="1" applyBorder="1"/>
    <xf numFmtId="181" fontId="10" fillId="0" borderId="0" xfId="849" applyNumberFormat="1" applyFont="1"/>
    <xf numFmtId="181" fontId="11" fillId="0" borderId="0" xfId="849" applyNumberFormat="1"/>
    <xf numFmtId="181" fontId="29" fillId="36" borderId="17" xfId="849" applyNumberFormat="1" applyFont="1" applyFill="1" applyBorder="1" applyAlignment="1">
      <alignment horizontal="left" vertical="center" wrapText="1"/>
    </xf>
    <xf numFmtId="181" fontId="30" fillId="29" borderId="15" xfId="849" quotePrefix="1" applyNumberFormat="1" applyFont="1" applyFill="1" applyBorder="1" applyAlignment="1">
      <alignment horizontal="left" vertical="top" wrapText="1"/>
    </xf>
    <xf numFmtId="181" fontId="11" fillId="0" borderId="0" xfId="849" applyNumberFormat="1" applyFill="1" applyBorder="1"/>
    <xf numFmtId="181" fontId="11" fillId="0" borderId="0" xfId="849" applyNumberFormat="1" applyFont="1"/>
    <xf numFmtId="181" fontId="11" fillId="0" borderId="0" xfId="849" applyNumberFormat="1" applyFont="1" applyFill="1" applyBorder="1"/>
    <xf numFmtId="0" fontId="73" fillId="0" borderId="0" xfId="849" applyFont="1" applyBorder="1"/>
    <xf numFmtId="1" fontId="11" fillId="0" borderId="0" xfId="849" applyNumberFormat="1" applyFont="1" applyFill="1" applyBorder="1"/>
    <xf numFmtId="169" fontId="11" fillId="0" borderId="0" xfId="849" applyNumberFormat="1" applyFont="1" applyFill="1" applyBorder="1"/>
    <xf numFmtId="198" fontId="11" fillId="0" borderId="0" xfId="849" applyNumberFormat="1" applyFont="1" applyBorder="1"/>
    <xf numFmtId="2" fontId="11" fillId="0" borderId="0" xfId="849" applyNumberFormat="1" applyFont="1" applyBorder="1"/>
    <xf numFmtId="1" fontId="11" fillId="0" borderId="0" xfId="849" applyNumberFormat="1" applyAlignment="1" applyProtection="1"/>
    <xf numFmtId="0" fontId="73" fillId="0" borderId="0" xfId="849" applyFont="1" applyFill="1"/>
    <xf numFmtId="0" fontId="11" fillId="0" borderId="0" xfId="849" applyNumberFormat="1" applyBorder="1"/>
    <xf numFmtId="1" fontId="11" fillId="0" borderId="0" xfId="849" applyNumberFormat="1" applyBorder="1" applyAlignment="1">
      <alignment horizontal="right"/>
    </xf>
    <xf numFmtId="1" fontId="11" fillId="0" borderId="0" xfId="849" applyNumberFormat="1" applyAlignment="1" applyProtection="1">
      <alignment horizontal="right"/>
    </xf>
    <xf numFmtId="2" fontId="11" fillId="0" borderId="0" xfId="849" applyNumberFormat="1"/>
    <xf numFmtId="1" fontId="73" fillId="0" borderId="0" xfId="849" applyNumberFormat="1" applyFont="1" applyFill="1"/>
    <xf numFmtId="2" fontId="11" fillId="0" borderId="0" xfId="849" applyNumberFormat="1" applyFont="1" applyFill="1" applyBorder="1"/>
    <xf numFmtId="2" fontId="73" fillId="0" borderId="0" xfId="849" applyNumberFormat="1" applyFont="1"/>
    <xf numFmtId="0" fontId="30" fillId="29" borderId="15" xfId="849" applyFont="1" applyFill="1" applyBorder="1" applyAlignment="1">
      <alignment horizontal="left" vertical="top" wrapText="1"/>
    </xf>
    <xf numFmtId="0" fontId="11" fillId="0" borderId="0" xfId="849" applyFont="1" applyFill="1" applyBorder="1" applyAlignment="1"/>
    <xf numFmtId="0" fontId="71" fillId="36" borderId="24" xfId="849" applyFont="1" applyFill="1" applyBorder="1" applyAlignment="1">
      <alignment horizontal="center" vertical="center" wrapText="1"/>
    </xf>
    <xf numFmtId="0" fontId="29" fillId="36" borderId="24" xfId="849" applyFont="1" applyFill="1" applyBorder="1" applyAlignment="1">
      <alignment horizontal="left" vertical="center" wrapText="1"/>
    </xf>
    <xf numFmtId="0" fontId="11" fillId="36" borderId="0" xfId="849" applyFill="1"/>
    <xf numFmtId="1" fontId="11" fillId="0" borderId="0" xfId="849" applyNumberFormat="1" applyBorder="1"/>
    <xf numFmtId="185" fontId="11" fillId="0" borderId="0" xfId="849" applyNumberFormat="1" applyBorder="1"/>
    <xf numFmtId="0" fontId="35" fillId="37" borderId="41" xfId="849" applyFont="1" applyFill="1" applyBorder="1" applyAlignment="1">
      <alignment horizontal="right"/>
    </xf>
    <xf numFmtId="0" fontId="11" fillId="37" borderId="24" xfId="849" applyFill="1" applyBorder="1"/>
    <xf numFmtId="0" fontId="11" fillId="37" borderId="42" xfId="849" applyFill="1" applyBorder="1"/>
    <xf numFmtId="176" fontId="11" fillId="0" borderId="0" xfId="849" applyNumberFormat="1" applyBorder="1"/>
    <xf numFmtId="2" fontId="11" fillId="0" borderId="16" xfId="849" applyNumberFormat="1" applyBorder="1"/>
    <xf numFmtId="176" fontId="11" fillId="0" borderId="16" xfId="849" applyNumberFormat="1" applyBorder="1"/>
    <xf numFmtId="1" fontId="11" fillId="0" borderId="16" xfId="849" applyNumberFormat="1" applyBorder="1"/>
    <xf numFmtId="185" fontId="11" fillId="0" borderId="16" xfId="849" applyNumberFormat="1" applyBorder="1"/>
    <xf numFmtId="2" fontId="11" fillId="0" borderId="0" xfId="849" applyNumberFormat="1" applyBorder="1"/>
    <xf numFmtId="176" fontId="11" fillId="0" borderId="0" xfId="849" applyNumberFormat="1"/>
    <xf numFmtId="0" fontId="11" fillId="0" borderId="16" xfId="849" applyFont="1" applyBorder="1"/>
    <xf numFmtId="185" fontId="11" fillId="0" borderId="0" xfId="849" applyNumberFormat="1"/>
    <xf numFmtId="0" fontId="35" fillId="0" borderId="16" xfId="849" applyFont="1" applyBorder="1"/>
    <xf numFmtId="168" fontId="11" fillId="0" borderId="0" xfId="849" applyNumberFormat="1" applyBorder="1"/>
    <xf numFmtId="168" fontId="11" fillId="0" borderId="0" xfId="849" applyNumberFormat="1"/>
    <xf numFmtId="181" fontId="11" fillId="0" borderId="0" xfId="849" applyNumberFormat="1" applyBorder="1"/>
    <xf numFmtId="0" fontId="11" fillId="0" borderId="0" xfId="849" applyNumberFormat="1" applyFont="1" applyBorder="1"/>
    <xf numFmtId="167" fontId="11" fillId="0" borderId="0" xfId="849" applyNumberFormat="1" applyFont="1" applyBorder="1"/>
    <xf numFmtId="1" fontId="11" fillId="0" borderId="0" xfId="849" applyNumberFormat="1" applyFont="1" applyBorder="1"/>
    <xf numFmtId="0" fontId="11" fillId="37" borderId="42" xfId="849" applyFont="1" applyFill="1" applyBorder="1"/>
    <xf numFmtId="0" fontId="11" fillId="0" borderId="0" xfId="849" applyFont="1" applyAlignment="1"/>
    <xf numFmtId="169" fontId="11" fillId="0" borderId="0" xfId="849" applyNumberFormat="1" applyFont="1" applyBorder="1"/>
    <xf numFmtId="169" fontId="168" fillId="0" borderId="0" xfId="849" applyNumberFormat="1" applyFont="1" applyFill="1" applyBorder="1"/>
    <xf numFmtId="1" fontId="168" fillId="0" borderId="0" xfId="849" applyNumberFormat="1" applyFont="1" applyFill="1" applyBorder="1"/>
    <xf numFmtId="0" fontId="168" fillId="0" borderId="17" xfId="849" applyFont="1" applyFill="1" applyBorder="1"/>
    <xf numFmtId="0" fontId="168" fillId="0" borderId="0" xfId="849" applyFont="1" applyBorder="1"/>
    <xf numFmtId="0" fontId="73" fillId="0" borderId="0" xfId="849" applyFont="1"/>
    <xf numFmtId="181" fontId="11" fillId="0" borderId="0" xfId="849" applyNumberFormat="1" applyFill="1"/>
    <xf numFmtId="181" fontId="35" fillId="0" borderId="0" xfId="849" applyNumberFormat="1" applyFont="1"/>
    <xf numFmtId="0" fontId="35" fillId="0" borderId="0" xfId="0" applyFont="1" applyFill="1" applyBorder="1"/>
    <xf numFmtId="0" fontId="11" fillId="0" borderId="0" xfId="0" quotePrefix="1" applyFont="1"/>
    <xf numFmtId="0" fontId="41" fillId="0" borderId="0" xfId="0" applyFont="1"/>
    <xf numFmtId="0" fontId="11" fillId="0" borderId="0" xfId="0" applyFont="1" applyAlignment="1">
      <alignment horizontal="left"/>
    </xf>
    <xf numFmtId="14" fontId="11" fillId="0" borderId="0" xfId="0" applyNumberFormat="1" applyFont="1" applyAlignment="1">
      <alignment horizontal="left"/>
    </xf>
    <xf numFmtId="0" fontId="132" fillId="0" borderId="0" xfId="0" applyFont="1"/>
    <xf numFmtId="168" fontId="103" fillId="0" borderId="0" xfId="0" applyNumberFormat="1" applyFont="1" applyBorder="1" applyAlignment="1">
      <alignment horizontal="center" vertical="center"/>
    </xf>
    <xf numFmtId="168" fontId="169" fillId="0" borderId="0" xfId="0" applyNumberFormat="1" applyFont="1" applyAlignment="1">
      <alignment horizontal="center" vertical="center"/>
    </xf>
    <xf numFmtId="1" fontId="169" fillId="43" borderId="74" xfId="0" applyNumberFormat="1" applyFont="1" applyFill="1" applyBorder="1" applyAlignment="1">
      <alignment horizontal="center" vertical="center"/>
    </xf>
    <xf numFmtId="1" fontId="169" fillId="0" borderId="0" xfId="0" applyNumberFormat="1" applyFont="1" applyAlignment="1">
      <alignment horizontal="center" vertical="center"/>
    </xf>
    <xf numFmtId="1" fontId="169" fillId="0" borderId="75" xfId="0" applyNumberFormat="1" applyFont="1" applyBorder="1" applyAlignment="1">
      <alignment horizontal="center" vertical="center"/>
    </xf>
    <xf numFmtId="1" fontId="169" fillId="88" borderId="51" xfId="0" applyNumberFormat="1" applyFont="1" applyFill="1" applyBorder="1" applyAlignment="1">
      <alignment horizontal="center" vertical="center"/>
    </xf>
    <xf numFmtId="168" fontId="169" fillId="0" borderId="29" xfId="0" applyNumberFormat="1" applyFont="1" applyBorder="1" applyAlignment="1">
      <alignment horizontal="center" vertical="center"/>
    </xf>
    <xf numFmtId="168" fontId="169" fillId="0" borderId="20" xfId="0" applyNumberFormat="1" applyFont="1" applyBorder="1" applyAlignment="1">
      <alignment horizontal="center" vertical="center"/>
    </xf>
    <xf numFmtId="168" fontId="169" fillId="0" borderId="21" xfId="0" applyNumberFormat="1" applyFont="1" applyBorder="1" applyAlignment="1">
      <alignment horizontal="center" vertical="center"/>
    </xf>
    <xf numFmtId="168" fontId="169" fillId="0" borderId="76" xfId="0" applyNumberFormat="1" applyFont="1" applyBorder="1" applyAlignment="1">
      <alignment horizontal="center" vertical="center"/>
    </xf>
    <xf numFmtId="168" fontId="169" fillId="0" borderId="77" xfId="0" applyNumberFormat="1" applyFont="1" applyBorder="1" applyAlignment="1">
      <alignment horizontal="center" vertical="center"/>
    </xf>
    <xf numFmtId="168" fontId="169" fillId="0" borderId="78" xfId="0" applyNumberFormat="1" applyFont="1" applyBorder="1" applyAlignment="1">
      <alignment horizontal="center" vertical="center"/>
    </xf>
    <xf numFmtId="168" fontId="169" fillId="88" borderId="51" xfId="0" applyNumberFormat="1" applyFont="1" applyFill="1" applyBorder="1" applyAlignment="1">
      <alignment horizontal="center" vertical="center"/>
    </xf>
    <xf numFmtId="168" fontId="111" fillId="58" borderId="80" xfId="3108" applyNumberFormat="1" applyBorder="1" applyAlignment="1">
      <alignment vertical="center"/>
    </xf>
    <xf numFmtId="168" fontId="111" fillId="58" borderId="23" xfId="3108" applyNumberFormat="1" applyBorder="1" applyAlignment="1">
      <alignment horizontal="center" vertical="center"/>
    </xf>
    <xf numFmtId="168" fontId="111" fillId="58" borderId="81" xfId="3108" applyNumberFormat="1" applyBorder="1" applyAlignment="1">
      <alignment horizontal="center" vertical="center"/>
    </xf>
    <xf numFmtId="168" fontId="111" fillId="58" borderId="82" xfId="3108" applyNumberFormat="1" applyBorder="1" applyAlignment="1">
      <alignment horizontal="center" vertical="center"/>
    </xf>
    <xf numFmtId="168" fontId="111" fillId="58" borderId="40" xfId="3108" applyNumberFormat="1" applyBorder="1" applyAlignment="1">
      <alignment horizontal="center" vertical="center"/>
    </xf>
    <xf numFmtId="168" fontId="111" fillId="58" borderId="83" xfId="3108" applyNumberFormat="1" applyBorder="1" applyAlignment="1">
      <alignment horizontal="center" vertical="center"/>
    </xf>
    <xf numFmtId="168" fontId="111" fillId="58" borderId="84" xfId="3108" applyNumberFormat="1" applyBorder="1" applyAlignment="1">
      <alignment horizontal="center" vertical="center"/>
    </xf>
    <xf numFmtId="168" fontId="169" fillId="43" borderId="79" xfId="0" applyNumberFormat="1" applyFont="1" applyFill="1" applyBorder="1" applyAlignment="1">
      <alignment horizontal="center" vertical="center"/>
    </xf>
    <xf numFmtId="168" fontId="111" fillId="58" borderId="85" xfId="3108" applyNumberFormat="1" applyBorder="1" applyAlignment="1">
      <alignment vertical="center"/>
    </xf>
    <xf numFmtId="168" fontId="111" fillId="58" borderId="34" xfId="3108" applyNumberFormat="1" applyBorder="1" applyAlignment="1">
      <alignment horizontal="center" vertical="center"/>
    </xf>
    <xf numFmtId="168" fontId="111" fillId="58" borderId="33" xfId="3108" applyNumberFormat="1" applyBorder="1" applyAlignment="1">
      <alignment horizontal="center" vertical="center"/>
    </xf>
    <xf numFmtId="168" fontId="111" fillId="58" borderId="4" xfId="3108" applyNumberFormat="1" applyBorder="1" applyAlignment="1">
      <alignment horizontal="center" vertical="center"/>
    </xf>
    <xf numFmtId="168" fontId="111" fillId="58" borderId="25" xfId="3108" applyNumberFormat="1" applyBorder="1" applyAlignment="1">
      <alignment horizontal="center" vertical="center"/>
    </xf>
    <xf numFmtId="168" fontId="111" fillId="58" borderId="86" xfId="3108" applyNumberFormat="1" applyBorder="1" applyAlignment="1">
      <alignment horizontal="center" vertical="center"/>
    </xf>
    <xf numFmtId="168" fontId="111" fillId="58" borderId="87" xfId="3108" applyNumberFormat="1" applyBorder="1" applyAlignment="1">
      <alignment horizontal="center" vertical="center"/>
    </xf>
    <xf numFmtId="168" fontId="169" fillId="0" borderId="80" xfId="0" applyNumberFormat="1" applyFont="1" applyFill="1" applyBorder="1" applyAlignment="1">
      <alignment vertical="center"/>
    </xf>
    <xf numFmtId="168" fontId="169" fillId="0" borderId="89" xfId="0" applyNumberFormat="1" applyFont="1" applyFill="1" applyBorder="1" applyAlignment="1">
      <alignment horizontal="center" vertical="center"/>
    </xf>
    <xf numFmtId="168" fontId="169" fillId="0" borderId="90" xfId="0" applyNumberFormat="1" applyFont="1" applyFill="1" applyBorder="1" applyAlignment="1">
      <alignment horizontal="center" vertical="center"/>
    </xf>
    <xf numFmtId="168" fontId="169" fillId="0" borderId="91" xfId="0" applyNumberFormat="1" applyFont="1" applyFill="1" applyBorder="1" applyAlignment="1">
      <alignment horizontal="center" vertical="center"/>
    </xf>
    <xf numFmtId="168" fontId="169" fillId="0" borderId="92" xfId="0" applyNumberFormat="1" applyFont="1" applyFill="1" applyBorder="1" applyAlignment="1">
      <alignment horizontal="center" vertical="center"/>
    </xf>
    <xf numFmtId="168" fontId="169" fillId="0" borderId="2" xfId="0" applyNumberFormat="1" applyFont="1" applyFill="1" applyBorder="1" applyAlignment="1">
      <alignment horizontal="center" vertical="center"/>
    </xf>
    <xf numFmtId="168" fontId="169" fillId="0" borderId="93" xfId="0" applyNumberFormat="1" applyFont="1" applyFill="1" applyBorder="1" applyAlignment="1">
      <alignment horizontal="center" vertical="center"/>
    </xf>
    <xf numFmtId="168" fontId="169" fillId="0" borderId="85" xfId="0" applyNumberFormat="1" applyFont="1" applyFill="1" applyBorder="1" applyAlignment="1">
      <alignment vertical="center"/>
    </xf>
    <xf numFmtId="168" fontId="169" fillId="30" borderId="79" xfId="0" applyNumberFormat="1" applyFont="1" applyFill="1" applyBorder="1" applyAlignment="1">
      <alignment horizontal="center" vertical="center"/>
    </xf>
    <xf numFmtId="0" fontId="129" fillId="0" borderId="0" xfId="0" applyFont="1"/>
    <xf numFmtId="0" fontId="170" fillId="0" borderId="0" xfId="0" applyFont="1"/>
    <xf numFmtId="1" fontId="169" fillId="0" borderId="26" xfId="0" applyNumberFormat="1" applyFont="1" applyBorder="1" applyAlignment="1">
      <alignment vertical="center"/>
    </xf>
    <xf numFmtId="1" fontId="169" fillId="0" borderId="27" xfId="0" applyNumberFormat="1" applyFont="1" applyBorder="1" applyAlignment="1">
      <alignment vertical="center"/>
    </xf>
    <xf numFmtId="168" fontId="111" fillId="58" borderId="79" xfId="3108" applyNumberFormat="1" applyBorder="1" applyAlignment="1">
      <alignment vertical="center"/>
    </xf>
    <xf numFmtId="168" fontId="111" fillId="58" borderId="74" xfId="3108" applyNumberFormat="1" applyBorder="1" applyAlignment="1">
      <alignment vertical="center"/>
    </xf>
    <xf numFmtId="168" fontId="169" fillId="0" borderId="79" xfId="0" applyNumberFormat="1" applyFont="1" applyFill="1" applyBorder="1" applyAlignment="1">
      <alignment vertical="center"/>
    </xf>
    <xf numFmtId="168" fontId="111" fillId="58" borderId="18" xfId="3108" applyNumberFormat="1" applyBorder="1" applyAlignment="1">
      <alignment horizontal="center" vertical="center"/>
    </xf>
    <xf numFmtId="168" fontId="169" fillId="0" borderId="18" xfId="0" applyNumberFormat="1" applyFont="1" applyFill="1" applyBorder="1" applyAlignment="1">
      <alignment horizontal="center" vertical="center"/>
    </xf>
    <xf numFmtId="168" fontId="169" fillId="0" borderId="34" xfId="0" applyNumberFormat="1" applyFont="1" applyFill="1" applyBorder="1" applyAlignment="1">
      <alignment horizontal="center" vertical="center"/>
    </xf>
    <xf numFmtId="168" fontId="169" fillId="0" borderId="0" xfId="0" applyNumberFormat="1" applyFont="1" applyBorder="1" applyAlignment="1">
      <alignment horizontal="center" vertical="center"/>
    </xf>
    <xf numFmtId="1" fontId="169" fillId="0" borderId="72" xfId="0" applyNumberFormat="1" applyFont="1" applyBorder="1" applyAlignment="1">
      <alignment vertical="center"/>
    </xf>
    <xf numFmtId="0" fontId="35" fillId="37" borderId="92" xfId="0" applyFont="1" applyFill="1" applyBorder="1" applyAlignment="1">
      <alignment horizontal="right"/>
    </xf>
    <xf numFmtId="0" fontId="169" fillId="0" borderId="0" xfId="0" applyFont="1"/>
    <xf numFmtId="2" fontId="169" fillId="0" borderId="0" xfId="0" applyNumberFormat="1" applyFont="1" applyBorder="1"/>
    <xf numFmtId="2" fontId="169" fillId="0" borderId="0" xfId="0" applyNumberFormat="1" applyFont="1" applyBorder="1" applyAlignment="1">
      <alignment horizontal="center"/>
    </xf>
    <xf numFmtId="2" fontId="169" fillId="0" borderId="0" xfId="0" applyNumberFormat="1" applyFont="1" applyBorder="1" applyAlignment="1">
      <alignment horizontal="left"/>
    </xf>
    <xf numFmtId="2" fontId="169" fillId="0" borderId="0" xfId="0" applyNumberFormat="1" applyFont="1"/>
    <xf numFmtId="2" fontId="169" fillId="0" borderId="0" xfId="0" applyNumberFormat="1" applyFont="1" applyAlignment="1">
      <alignment horizontal="center"/>
    </xf>
    <xf numFmtId="2" fontId="169" fillId="0" borderId="0" xfId="0" applyNumberFormat="1" applyFont="1" applyAlignment="1">
      <alignment horizontal="left"/>
    </xf>
    <xf numFmtId="2" fontId="169" fillId="0" borderId="0" xfId="0" applyNumberFormat="1" applyFont="1" applyFill="1"/>
    <xf numFmtId="168" fontId="169" fillId="0" borderId="0" xfId="864" applyNumberFormat="1" applyFont="1" applyAlignment="1">
      <alignment horizontal="right" vertical="center"/>
    </xf>
    <xf numFmtId="2" fontId="169" fillId="89" borderId="0" xfId="864" applyNumberFormat="1" applyFont="1" applyFill="1" applyAlignment="1">
      <alignment horizontal="center" vertical="center"/>
    </xf>
    <xf numFmtId="168" fontId="169" fillId="0" borderId="0" xfId="864" applyNumberFormat="1" applyFont="1" applyAlignment="1">
      <alignment horizontal="center" vertical="center"/>
    </xf>
    <xf numFmtId="2" fontId="111" fillId="58" borderId="73" xfId="3108" applyNumberFormat="1" applyBorder="1" applyAlignment="1">
      <alignment horizontal="center" vertical="center"/>
    </xf>
    <xf numFmtId="2" fontId="111" fillId="58" borderId="75" xfId="3108" applyNumberFormat="1" applyBorder="1" applyAlignment="1">
      <alignment horizontal="left" vertical="center"/>
    </xf>
    <xf numFmtId="2" fontId="111" fillId="58" borderId="72" xfId="3108" applyNumberFormat="1" applyBorder="1" applyAlignment="1">
      <alignment horizontal="center" vertical="center"/>
    </xf>
    <xf numFmtId="2" fontId="111" fillId="58" borderId="83" xfId="3108" applyNumberFormat="1" applyBorder="1" applyAlignment="1">
      <alignment horizontal="center" vertical="center"/>
    </xf>
    <xf numFmtId="2" fontId="111" fillId="58" borderId="82" xfId="3108" applyNumberFormat="1" applyBorder="1" applyAlignment="1">
      <alignment horizontal="center" vertical="center"/>
    </xf>
    <xf numFmtId="2" fontId="111" fillId="58" borderId="84" xfId="3108" applyNumberFormat="1" applyBorder="1" applyAlignment="1">
      <alignment horizontal="center" vertical="center"/>
    </xf>
    <xf numFmtId="2" fontId="111" fillId="58" borderId="81" xfId="3108" applyNumberFormat="1" applyBorder="1" applyAlignment="1">
      <alignment horizontal="center" vertical="center"/>
    </xf>
    <xf numFmtId="2" fontId="111" fillId="58" borderId="29" xfId="3108" applyNumberFormat="1" applyBorder="1" applyAlignment="1">
      <alignment horizontal="center" vertical="center"/>
    </xf>
    <xf numFmtId="2" fontId="111" fillId="58" borderId="95" xfId="3108" applyNumberFormat="1" applyBorder="1" applyAlignment="1">
      <alignment horizontal="left" vertical="center"/>
    </xf>
    <xf numFmtId="2" fontId="111" fillId="58" borderId="19" xfId="3108" applyNumberFormat="1" applyBorder="1" applyAlignment="1">
      <alignment horizontal="center" vertical="center"/>
    </xf>
    <xf numFmtId="2" fontId="111" fillId="58" borderId="2" xfId="3108" applyNumberFormat="1" applyBorder="1" applyAlignment="1">
      <alignment horizontal="center" vertical="center"/>
    </xf>
    <xf numFmtId="2" fontId="111" fillId="58" borderId="91" xfId="3108" applyNumberFormat="1" applyBorder="1" applyAlignment="1">
      <alignment horizontal="center" vertical="center"/>
    </xf>
    <xf numFmtId="2" fontId="111" fillId="58" borderId="93" xfId="3108" applyNumberFormat="1" applyBorder="1" applyAlignment="1">
      <alignment horizontal="center" vertical="center"/>
    </xf>
    <xf numFmtId="2" fontId="111" fillId="58" borderId="90" xfId="3108" applyNumberFormat="1" applyBorder="1" applyAlignment="1">
      <alignment horizontal="center" vertical="center"/>
    </xf>
    <xf numFmtId="2" fontId="111" fillId="58" borderId="99" xfId="3108" applyNumberFormat="1" applyBorder="1" applyAlignment="1">
      <alignment horizontal="center" vertical="center"/>
    </xf>
    <xf numFmtId="2" fontId="111" fillId="58" borderId="100" xfId="3108" applyNumberFormat="1" applyBorder="1" applyAlignment="1">
      <alignment horizontal="center" vertical="center"/>
    </xf>
    <xf numFmtId="2" fontId="111" fillId="58" borderId="101" xfId="3108" applyNumberFormat="1" applyBorder="1" applyAlignment="1">
      <alignment horizontal="center" vertical="center"/>
    </xf>
    <xf numFmtId="2" fontId="111" fillId="58" borderId="102" xfId="3108" applyNumberFormat="1" applyBorder="1" applyAlignment="1">
      <alignment horizontal="center" vertical="center"/>
    </xf>
    <xf numFmtId="0" fontId="171" fillId="0" borderId="0" xfId="0" applyFont="1" applyFill="1"/>
    <xf numFmtId="2" fontId="169" fillId="0" borderId="73" xfId="3108" applyNumberFormat="1" applyFont="1" applyFill="1" applyBorder="1" applyAlignment="1">
      <alignment horizontal="center" vertical="center"/>
    </xf>
    <xf numFmtId="2" fontId="169" fillId="0" borderId="75" xfId="3108" applyNumberFormat="1" applyFont="1" applyFill="1" applyBorder="1" applyAlignment="1">
      <alignment horizontal="left" vertical="center"/>
    </xf>
    <xf numFmtId="2" fontId="171" fillId="0" borderId="72" xfId="3108" applyNumberFormat="1" applyFont="1" applyFill="1" applyBorder="1" applyAlignment="1">
      <alignment horizontal="center" vertical="center"/>
    </xf>
    <xf numFmtId="2" fontId="171" fillId="0" borderId="86" xfId="3108" applyNumberFormat="1" applyFont="1" applyFill="1" applyBorder="1" applyAlignment="1">
      <alignment horizontal="center" vertical="center"/>
    </xf>
    <xf numFmtId="2" fontId="171" fillId="0" borderId="4" xfId="3108" applyNumberFormat="1" applyFont="1" applyFill="1" applyBorder="1" applyAlignment="1">
      <alignment horizontal="center" vertical="center"/>
    </xf>
    <xf numFmtId="2" fontId="171" fillId="0" borderId="87" xfId="3108" applyNumberFormat="1" applyFont="1" applyFill="1" applyBorder="1" applyAlignment="1">
      <alignment horizontal="center" vertical="center"/>
    </xf>
    <xf numFmtId="2" fontId="171" fillId="0" borderId="33" xfId="3108" applyNumberFormat="1" applyFont="1" applyFill="1" applyBorder="1" applyAlignment="1">
      <alignment horizontal="center" vertical="center"/>
    </xf>
    <xf numFmtId="2" fontId="169" fillId="0" borderId="29" xfId="3108" applyNumberFormat="1" applyFont="1" applyFill="1" applyBorder="1" applyAlignment="1">
      <alignment horizontal="center" vertical="center"/>
    </xf>
    <xf numFmtId="2" fontId="169" fillId="0" borderId="95" xfId="3108" applyNumberFormat="1" applyFont="1" applyFill="1" applyBorder="1" applyAlignment="1">
      <alignment horizontal="left" vertical="center"/>
    </xf>
    <xf numFmtId="2" fontId="171" fillId="0" borderId="19" xfId="3108" applyNumberFormat="1" applyFont="1" applyFill="1" applyBorder="1" applyAlignment="1">
      <alignment horizontal="center" vertical="center"/>
    </xf>
    <xf numFmtId="2" fontId="171" fillId="0" borderId="2" xfId="3108" applyNumberFormat="1" applyFont="1" applyFill="1" applyBorder="1" applyAlignment="1">
      <alignment horizontal="center" vertical="center"/>
    </xf>
    <xf numFmtId="2" fontId="171" fillId="0" borderId="91" xfId="3108" applyNumberFormat="1" applyFont="1" applyFill="1" applyBorder="1" applyAlignment="1">
      <alignment horizontal="center" vertical="center"/>
    </xf>
    <xf numFmtId="2" fontId="171" fillId="0" borderId="93" xfId="3108" applyNumberFormat="1" applyFont="1" applyFill="1" applyBorder="1" applyAlignment="1">
      <alignment horizontal="center" vertical="center"/>
    </xf>
    <xf numFmtId="2" fontId="171" fillId="0" borderId="90" xfId="3108" applyNumberFormat="1" applyFont="1" applyFill="1" applyBorder="1" applyAlignment="1">
      <alignment horizontal="center" vertical="center"/>
    </xf>
    <xf numFmtId="2" fontId="171" fillId="0" borderId="103" xfId="3108" applyNumberFormat="1" applyFont="1" applyFill="1" applyBorder="1" applyAlignment="1">
      <alignment horizontal="center" vertical="center"/>
    </xf>
    <xf numFmtId="2" fontId="171" fillId="0" borderId="104" xfId="3108" applyNumberFormat="1" applyFont="1" applyFill="1" applyBorder="1" applyAlignment="1">
      <alignment horizontal="center" vertical="center"/>
    </xf>
    <xf numFmtId="2" fontId="171" fillId="0" borderId="105" xfId="3108" applyNumberFormat="1" applyFont="1" applyFill="1" applyBorder="1" applyAlignment="1">
      <alignment horizontal="center" vertical="center"/>
    </xf>
    <xf numFmtId="2" fontId="171" fillId="0" borderId="106" xfId="3108" applyNumberFormat="1" applyFont="1" applyFill="1" applyBorder="1" applyAlignment="1">
      <alignment horizontal="center" vertical="center"/>
    </xf>
    <xf numFmtId="2" fontId="171" fillId="0" borderId="99" xfId="3108" applyNumberFormat="1" applyFont="1" applyFill="1" applyBorder="1" applyAlignment="1">
      <alignment horizontal="center" vertical="center"/>
    </xf>
    <xf numFmtId="2" fontId="171" fillId="0" borderId="100" xfId="3108" applyNumberFormat="1" applyFont="1" applyFill="1" applyBorder="1" applyAlignment="1">
      <alignment horizontal="center" vertical="center"/>
    </xf>
    <xf numFmtId="2" fontId="171" fillId="0" borderId="101" xfId="3108" applyNumberFormat="1" applyFont="1" applyFill="1" applyBorder="1" applyAlignment="1">
      <alignment horizontal="center" vertical="center"/>
    </xf>
    <xf numFmtId="2" fontId="171" fillId="0" borderId="102" xfId="3108" applyNumberFormat="1" applyFont="1" applyFill="1" applyBorder="1" applyAlignment="1">
      <alignment horizontal="center" vertical="center"/>
    </xf>
    <xf numFmtId="0" fontId="103" fillId="0" borderId="0" xfId="0" applyFont="1"/>
    <xf numFmtId="2" fontId="103" fillId="0" borderId="0" xfId="0" applyNumberFormat="1" applyFont="1"/>
    <xf numFmtId="2" fontId="103" fillId="0" borderId="0" xfId="0" applyNumberFormat="1" applyFont="1" applyAlignment="1">
      <alignment horizontal="center"/>
    </xf>
    <xf numFmtId="2" fontId="103" fillId="0" borderId="0" xfId="0" applyNumberFormat="1" applyFont="1" applyAlignment="1">
      <alignment horizontal="left"/>
    </xf>
    <xf numFmtId="2" fontId="103" fillId="0" borderId="0" xfId="0" applyNumberFormat="1" applyFont="1" applyBorder="1"/>
    <xf numFmtId="2" fontId="103" fillId="0" borderId="0" xfId="0" applyNumberFormat="1" applyFont="1" applyBorder="1" applyAlignment="1">
      <alignment horizontal="center"/>
    </xf>
    <xf numFmtId="2" fontId="103" fillId="0" borderId="0" xfId="0" applyNumberFormat="1" applyFont="1" applyBorder="1" applyAlignment="1">
      <alignment horizontal="left"/>
    </xf>
    <xf numFmtId="0" fontId="173" fillId="0" borderId="0" xfId="0" applyFont="1"/>
    <xf numFmtId="2" fontId="111" fillId="58" borderId="82" xfId="3108" applyNumberFormat="1" applyFont="1" applyBorder="1" applyAlignment="1">
      <alignment horizontal="center" vertical="center"/>
    </xf>
    <xf numFmtId="2" fontId="111" fillId="58" borderId="84" xfId="3108" applyNumberFormat="1" applyFont="1" applyBorder="1" applyAlignment="1">
      <alignment horizontal="center" vertical="center"/>
    </xf>
    <xf numFmtId="2" fontId="111" fillId="58" borderId="85" xfId="3108" applyNumberFormat="1" applyBorder="1" applyAlignment="1">
      <alignment horizontal="left"/>
    </xf>
    <xf numFmtId="2" fontId="111" fillId="58" borderId="91" xfId="3108" applyNumberFormat="1" applyFont="1" applyBorder="1" applyAlignment="1">
      <alignment horizontal="center" vertical="center"/>
    </xf>
    <xf numFmtId="2" fontId="111" fillId="58" borderId="22" xfId="3108" applyNumberFormat="1" applyFont="1" applyBorder="1" applyAlignment="1">
      <alignment horizontal="center" vertical="center"/>
    </xf>
    <xf numFmtId="2" fontId="111" fillId="58" borderId="65" xfId="3108" applyNumberFormat="1" applyFont="1" applyBorder="1" applyAlignment="1">
      <alignment horizontal="center" vertical="center"/>
    </xf>
    <xf numFmtId="2" fontId="111" fillId="58" borderId="98" xfId="3108" applyNumberFormat="1" applyBorder="1" applyAlignment="1">
      <alignment horizontal="left" vertical="center"/>
    </xf>
    <xf numFmtId="2" fontId="111" fillId="58" borderId="100" xfId="3108" applyNumberFormat="1" applyFont="1" applyBorder="1" applyAlignment="1">
      <alignment horizontal="center" vertical="center"/>
    </xf>
    <xf numFmtId="2" fontId="111" fillId="58" borderId="110" xfId="3108" applyNumberFormat="1" applyFont="1" applyBorder="1" applyAlignment="1">
      <alignment horizontal="center" vertical="center"/>
    </xf>
    <xf numFmtId="2" fontId="111" fillId="58" borderId="80" xfId="3108" applyNumberFormat="1" applyFont="1" applyBorder="1" applyAlignment="1">
      <alignment horizontal="center" vertical="center"/>
    </xf>
    <xf numFmtId="2" fontId="111" fillId="58" borderId="16" xfId="3108" applyNumberFormat="1" applyFont="1" applyBorder="1" applyAlignment="1">
      <alignment horizontal="center" vertical="center"/>
    </xf>
    <xf numFmtId="2" fontId="111" fillId="58" borderId="4" xfId="3108" applyNumberFormat="1" applyFont="1" applyBorder="1" applyAlignment="1">
      <alignment horizontal="center" vertical="center"/>
    </xf>
    <xf numFmtId="2" fontId="111" fillId="58" borderId="34" xfId="3108" applyNumberFormat="1" applyFont="1" applyBorder="1" applyAlignment="1">
      <alignment horizontal="center" vertical="center"/>
    </xf>
    <xf numFmtId="2" fontId="111" fillId="58" borderId="95" xfId="3108" applyNumberFormat="1" applyFont="1" applyBorder="1" applyAlignment="1">
      <alignment horizontal="center" vertical="center"/>
    </xf>
    <xf numFmtId="0" fontId="169" fillId="2" borderId="0" xfId="0" applyFont="1" applyFill="1"/>
    <xf numFmtId="2" fontId="169" fillId="2" borderId="22" xfId="0" applyNumberFormat="1" applyFont="1" applyFill="1" applyBorder="1" applyAlignment="1">
      <alignment horizontal="left"/>
    </xf>
    <xf numFmtId="2" fontId="169" fillId="0" borderId="97" xfId="0" applyNumberFormat="1" applyFont="1" applyFill="1" applyBorder="1" applyAlignment="1">
      <alignment horizontal="center" vertical="center"/>
    </xf>
    <xf numFmtId="2" fontId="169" fillId="0" borderId="83" xfId="0" applyNumberFormat="1" applyFont="1" applyFill="1" applyBorder="1" applyAlignment="1">
      <alignment horizontal="center" vertical="center"/>
    </xf>
    <xf numFmtId="2" fontId="169" fillId="0" borderId="82" xfId="0" applyNumberFormat="1" applyFont="1" applyFill="1" applyBorder="1" applyAlignment="1">
      <alignment horizontal="center" vertical="center"/>
    </xf>
    <xf numFmtId="2" fontId="169" fillId="0" borderId="84" xfId="0" applyNumberFormat="1" applyFont="1" applyFill="1" applyBorder="1" applyAlignment="1">
      <alignment horizontal="center" vertical="center"/>
    </xf>
    <xf numFmtId="2" fontId="169" fillId="2" borderId="32" xfId="0" applyNumberFormat="1" applyFont="1" applyFill="1" applyBorder="1" applyAlignment="1">
      <alignment horizontal="left"/>
    </xf>
    <xf numFmtId="2" fontId="169" fillId="0" borderId="85" xfId="0" applyNumberFormat="1" applyFont="1" applyFill="1" applyBorder="1" applyAlignment="1">
      <alignment horizontal="center" vertical="center"/>
    </xf>
    <xf numFmtId="2" fontId="169" fillId="0" borderId="107" xfId="0" applyNumberFormat="1" applyFont="1" applyFill="1" applyBorder="1" applyAlignment="1">
      <alignment horizontal="center" vertical="center"/>
    </xf>
    <xf numFmtId="2" fontId="169" fillId="0" borderId="104" xfId="0" applyNumberFormat="1" applyFont="1" applyFill="1" applyBorder="1" applyAlignment="1">
      <alignment horizontal="center" vertical="center"/>
    </xf>
    <xf numFmtId="2" fontId="169" fillId="0" borderId="94" xfId="0" applyNumberFormat="1" applyFont="1" applyFill="1" applyBorder="1" applyAlignment="1">
      <alignment horizontal="center" vertical="center"/>
    </xf>
    <xf numFmtId="2" fontId="169" fillId="0" borderId="96" xfId="0" applyNumberFormat="1" applyFont="1" applyFill="1" applyBorder="1" applyAlignment="1">
      <alignment horizontal="center" vertical="center"/>
    </xf>
    <xf numFmtId="2" fontId="169" fillId="0" borderId="91" xfId="0" applyNumberFormat="1" applyFont="1" applyFill="1" applyBorder="1" applyAlignment="1">
      <alignment horizontal="center" vertical="center"/>
    </xf>
    <xf numFmtId="2" fontId="169" fillId="0" borderId="89" xfId="0" applyNumberFormat="1" applyFont="1" applyFill="1" applyBorder="1" applyAlignment="1">
      <alignment horizontal="center" vertical="center"/>
    </xf>
    <xf numFmtId="2" fontId="169" fillId="0" borderId="110" xfId="0" applyNumberFormat="1" applyFont="1" applyFill="1" applyBorder="1" applyAlignment="1">
      <alignment horizontal="left" vertical="center"/>
    </xf>
    <xf numFmtId="2" fontId="169" fillId="0" borderId="22" xfId="0" applyNumberFormat="1" applyFont="1" applyFill="1" applyBorder="1" applyAlignment="1">
      <alignment horizontal="left"/>
    </xf>
    <xf numFmtId="2" fontId="169" fillId="0" borderId="22" xfId="0" applyNumberFormat="1" applyFont="1" applyFill="1" applyBorder="1" applyAlignment="1">
      <alignment horizontal="center" vertical="center"/>
    </xf>
    <xf numFmtId="2" fontId="169" fillId="0" borderId="23" xfId="0" applyNumberFormat="1" applyFont="1" applyFill="1" applyBorder="1" applyAlignment="1">
      <alignment horizontal="center" vertical="center"/>
    </xf>
    <xf numFmtId="2" fontId="169" fillId="0" borderId="88" xfId="0" applyNumberFormat="1" applyFont="1" applyFill="1" applyBorder="1" applyAlignment="1">
      <alignment horizontal="center" vertical="center"/>
    </xf>
    <xf numFmtId="2" fontId="169" fillId="0" borderId="112" xfId="0" applyNumberFormat="1" applyFont="1" applyFill="1" applyBorder="1" applyAlignment="1">
      <alignment horizontal="center" vertical="center"/>
    </xf>
    <xf numFmtId="2" fontId="169" fillId="0" borderId="26" xfId="0" applyNumberFormat="1" applyFont="1" applyFill="1" applyBorder="1" applyAlignment="1">
      <alignment horizontal="left" vertical="center"/>
    </xf>
    <xf numFmtId="2" fontId="169" fillId="0" borderId="74" xfId="0" applyNumberFormat="1" applyFont="1" applyFill="1" applyBorder="1" applyAlignment="1">
      <alignment horizontal="center" vertical="center"/>
    </xf>
    <xf numFmtId="2" fontId="169" fillId="0" borderId="26" xfId="0" applyNumberFormat="1" applyFont="1" applyFill="1" applyBorder="1" applyAlignment="1">
      <alignment horizontal="center" vertical="center"/>
    </xf>
    <xf numFmtId="2" fontId="169" fillId="0" borderId="108" xfId="0" applyNumberFormat="1" applyFont="1" applyFill="1" applyBorder="1" applyAlignment="1">
      <alignment horizontal="center" vertical="center"/>
    </xf>
    <xf numFmtId="2" fontId="169" fillId="0" borderId="28" xfId="0" applyNumberFormat="1" applyFont="1" applyFill="1" applyBorder="1" applyAlignment="1">
      <alignment horizontal="center" vertical="center"/>
    </xf>
    <xf numFmtId="2" fontId="169" fillId="0" borderId="65" xfId="0" applyNumberFormat="1" applyFont="1" applyFill="1" applyBorder="1" applyAlignment="1">
      <alignment horizontal="left"/>
    </xf>
    <xf numFmtId="2" fontId="169" fillId="0" borderId="65" xfId="0" applyNumberFormat="1" applyFont="1" applyFill="1" applyBorder="1" applyAlignment="1">
      <alignment horizontal="center" vertical="center"/>
    </xf>
    <xf numFmtId="2" fontId="169" fillId="0" borderId="98" xfId="0" applyNumberFormat="1" applyFont="1" applyFill="1" applyBorder="1" applyAlignment="1">
      <alignment horizontal="center" vertical="center"/>
    </xf>
    <xf numFmtId="2" fontId="169" fillId="0" borderId="110" xfId="0" applyNumberFormat="1" applyFont="1" applyFill="1" applyBorder="1" applyAlignment="1">
      <alignment horizontal="center" vertical="center"/>
    </xf>
    <xf numFmtId="2" fontId="169" fillId="0" borderId="100" xfId="0" applyNumberFormat="1" applyFont="1" applyFill="1" applyBorder="1" applyAlignment="1">
      <alignment horizontal="center" vertical="center"/>
    </xf>
    <xf numFmtId="2" fontId="169" fillId="0" borderId="109" xfId="0" applyNumberFormat="1" applyFont="1" applyFill="1" applyBorder="1" applyAlignment="1">
      <alignment horizontal="center" vertical="center"/>
    </xf>
    <xf numFmtId="2" fontId="169" fillId="0" borderId="39" xfId="0" applyNumberFormat="1" applyFont="1" applyFill="1" applyBorder="1" applyAlignment="1">
      <alignment horizontal="left"/>
    </xf>
    <xf numFmtId="2" fontId="169" fillId="0" borderId="80" xfId="0" applyNumberFormat="1" applyFont="1" applyFill="1" applyBorder="1" applyAlignment="1">
      <alignment horizontal="center" vertical="center"/>
    </xf>
    <xf numFmtId="2" fontId="169" fillId="0" borderId="16" xfId="0" applyNumberFormat="1" applyFont="1" applyFill="1" applyBorder="1" applyAlignment="1">
      <alignment horizontal="center" vertical="center"/>
    </xf>
    <xf numFmtId="2" fontId="169" fillId="0" borderId="4" xfId="0" applyNumberFormat="1" applyFont="1" applyFill="1" applyBorder="1" applyAlignment="1">
      <alignment horizontal="center" vertical="center"/>
    </xf>
    <xf numFmtId="2" fontId="169" fillId="0" borderId="34" xfId="0" applyNumberFormat="1" applyFont="1" applyFill="1" applyBorder="1" applyAlignment="1">
      <alignment horizontal="center" vertical="center"/>
    </xf>
    <xf numFmtId="2" fontId="169" fillId="0" borderId="16" xfId="0" applyNumberFormat="1" applyFont="1" applyFill="1" applyBorder="1" applyAlignment="1">
      <alignment horizontal="left"/>
    </xf>
    <xf numFmtId="2" fontId="169" fillId="0" borderId="32" xfId="0" applyNumberFormat="1" applyFont="1" applyFill="1" applyBorder="1" applyAlignment="1">
      <alignment horizontal="left"/>
    </xf>
    <xf numFmtId="2" fontId="169" fillId="0" borderId="39" xfId="0" applyNumberFormat="1" applyFont="1" applyFill="1" applyBorder="1" applyAlignment="1">
      <alignment horizontal="left" vertical="center"/>
    </xf>
    <xf numFmtId="2" fontId="169" fillId="0" borderId="32" xfId="0" applyNumberFormat="1" applyFont="1" applyFill="1" applyBorder="1" applyAlignment="1">
      <alignment horizontal="center" vertical="center"/>
    </xf>
    <xf numFmtId="2" fontId="169" fillId="0" borderId="22" xfId="0" applyNumberFormat="1" applyFont="1" applyFill="1" applyBorder="1" applyAlignment="1">
      <alignment horizontal="left" vertical="center"/>
    </xf>
    <xf numFmtId="2" fontId="169" fillId="0" borderId="95" xfId="0" applyNumberFormat="1" applyFont="1" applyFill="1" applyBorder="1" applyAlignment="1">
      <alignment horizontal="center" vertical="center"/>
    </xf>
    <xf numFmtId="2" fontId="169" fillId="0" borderId="19" xfId="0" applyNumberFormat="1" applyFont="1" applyFill="1" applyBorder="1" applyAlignment="1">
      <alignment horizontal="center" vertical="center"/>
    </xf>
    <xf numFmtId="2" fontId="169" fillId="0" borderId="111" xfId="0" applyNumberFormat="1" applyFont="1" applyFill="1" applyBorder="1" applyAlignment="1">
      <alignment horizontal="center" vertical="center"/>
    </xf>
    <xf numFmtId="2" fontId="169" fillId="0" borderId="20" xfId="0" applyNumberFormat="1" applyFont="1" applyFill="1" applyBorder="1" applyAlignment="1">
      <alignment horizontal="center" vertical="center"/>
    </xf>
    <xf numFmtId="2" fontId="169" fillId="0" borderId="32" xfId="0" applyNumberFormat="1" applyFont="1" applyFill="1" applyBorder="1" applyAlignment="1">
      <alignment horizontal="left" vertical="center"/>
    </xf>
    <xf numFmtId="2" fontId="169" fillId="2" borderId="65" xfId="0" applyNumberFormat="1" applyFont="1" applyFill="1" applyBorder="1" applyAlignment="1">
      <alignment horizontal="left" vertical="center"/>
    </xf>
    <xf numFmtId="0" fontId="103" fillId="0" borderId="0" xfId="0" applyFont="1" applyAlignment="1">
      <alignment horizontal="center"/>
    </xf>
    <xf numFmtId="0" fontId="103" fillId="0" borderId="0" xfId="0" applyFont="1" applyAlignment="1">
      <alignment horizontal="left"/>
    </xf>
    <xf numFmtId="168" fontId="111" fillId="58" borderId="22" xfId="3108" applyNumberFormat="1" applyFont="1" applyBorder="1" applyAlignment="1">
      <alignment horizontal="center" vertical="center"/>
    </xf>
    <xf numFmtId="168" fontId="111" fillId="58" borderId="65" xfId="3108" applyNumberFormat="1" applyFont="1" applyBorder="1" applyAlignment="1">
      <alignment horizontal="center" vertical="center"/>
    </xf>
    <xf numFmtId="2" fontId="111" fillId="58" borderId="93" xfId="3108" applyNumberFormat="1" applyFont="1" applyBorder="1" applyAlignment="1">
      <alignment horizontal="center" vertical="center"/>
    </xf>
    <xf numFmtId="168" fontId="111" fillId="58" borderId="110" xfId="3108" applyNumberFormat="1" applyFont="1" applyBorder="1" applyAlignment="1">
      <alignment horizontal="center" vertical="center"/>
    </xf>
    <xf numFmtId="2" fontId="111" fillId="58" borderId="101" xfId="3108" applyNumberFormat="1" applyFont="1" applyBorder="1" applyAlignment="1">
      <alignment horizontal="center" vertical="center"/>
    </xf>
    <xf numFmtId="168" fontId="169" fillId="0" borderId="22" xfId="0" applyNumberFormat="1" applyFont="1" applyFill="1" applyBorder="1" applyAlignment="1">
      <alignment horizontal="center" vertical="center"/>
    </xf>
    <xf numFmtId="168" fontId="169" fillId="0" borderId="65" xfId="0" applyNumberFormat="1" applyFont="1" applyFill="1" applyBorder="1" applyAlignment="1">
      <alignment horizontal="center" vertical="center"/>
    </xf>
    <xf numFmtId="2" fontId="169" fillId="0" borderId="93" xfId="0" applyNumberFormat="1" applyFont="1" applyFill="1" applyBorder="1" applyAlignment="1">
      <alignment horizontal="center" vertical="center"/>
    </xf>
    <xf numFmtId="168" fontId="169" fillId="0" borderId="110" xfId="0" applyNumberFormat="1" applyFont="1" applyFill="1" applyBorder="1" applyAlignment="1">
      <alignment horizontal="center" vertical="center"/>
    </xf>
    <xf numFmtId="2" fontId="169" fillId="0" borderId="101" xfId="0" applyNumberFormat="1" applyFont="1" applyFill="1" applyBorder="1" applyAlignment="1">
      <alignment horizontal="center" vertical="center"/>
    </xf>
    <xf numFmtId="168" fontId="111" fillId="58" borderId="74" xfId="3108" applyNumberFormat="1" applyFont="1" applyBorder="1" applyAlignment="1">
      <alignment vertical="center"/>
    </xf>
    <xf numFmtId="0" fontId="1" fillId="45" borderId="91" xfId="3118" applyFont="1" applyBorder="1" applyAlignment="1">
      <alignment horizontal="center"/>
    </xf>
    <xf numFmtId="0" fontId="1" fillId="49" borderId="91" xfId="3126" applyFont="1" applyBorder="1"/>
    <xf numFmtId="168" fontId="103" fillId="0" borderId="0" xfId="0" applyNumberFormat="1" applyFont="1" applyFill="1" applyBorder="1" applyAlignment="1">
      <alignment horizontal="center" vertical="center"/>
    </xf>
    <xf numFmtId="168" fontId="169" fillId="0" borderId="0" xfId="0" applyNumberFormat="1" applyFont="1" applyFill="1" applyAlignment="1">
      <alignment horizontal="center" vertical="center"/>
    </xf>
    <xf numFmtId="2" fontId="169" fillId="0" borderId="0" xfId="0" applyNumberFormat="1" applyFont="1" applyBorder="1" applyAlignment="1"/>
    <xf numFmtId="0" fontId="172" fillId="0" borderId="0" xfId="0" applyFont="1"/>
    <xf numFmtId="0" fontId="0" fillId="0" borderId="0" xfId="0" applyFont="1"/>
    <xf numFmtId="0" fontId="170" fillId="25" borderId="0" xfId="40424" applyFont="1" applyFill="1"/>
    <xf numFmtId="0" fontId="175" fillId="25" borderId="0" xfId="40424" applyFill="1"/>
    <xf numFmtId="0" fontId="0" fillId="25" borderId="0" xfId="0" applyFill="1"/>
    <xf numFmtId="0" fontId="0" fillId="26" borderId="0" xfId="0" applyFill="1"/>
    <xf numFmtId="0" fontId="62" fillId="26" borderId="0" xfId="0" applyFont="1" applyFill="1"/>
    <xf numFmtId="0" fontId="74" fillId="26" borderId="0" xfId="0" applyFont="1" applyFill="1" applyBorder="1"/>
    <xf numFmtId="0" fontId="0" fillId="26" borderId="0" xfId="0" applyFill="1" applyBorder="1"/>
    <xf numFmtId="0" fontId="0" fillId="2" borderId="22" xfId="0" applyFill="1" applyBorder="1"/>
    <xf numFmtId="0" fontId="0" fillId="2" borderId="81" xfId="0" applyFill="1" applyBorder="1"/>
    <xf numFmtId="0" fontId="55" fillId="2" borderId="39" xfId="0" applyFont="1" applyFill="1" applyBorder="1"/>
    <xf numFmtId="0" fontId="55" fillId="2" borderId="23" xfId="0" applyFont="1" applyFill="1" applyBorder="1"/>
    <xf numFmtId="205" fontId="53" fillId="30" borderId="21" xfId="40425" applyNumberFormat="1" applyFont="1" applyFill="1" applyBorder="1" applyAlignment="1" applyProtection="1">
      <alignment horizontal="left"/>
    </xf>
    <xf numFmtId="205" fontId="53" fillId="30" borderId="35" xfId="40425" applyFont="1" applyFill="1" applyBorder="1" applyProtection="1"/>
    <xf numFmtId="206" fontId="53" fillId="30" borderId="0" xfId="40423" applyNumberFormat="1" applyFont="1" applyFill="1" applyBorder="1" applyAlignment="1" applyProtection="1">
      <alignment horizontal="center"/>
    </xf>
    <xf numFmtId="206" fontId="53" fillId="30" borderId="18" xfId="40423" applyNumberFormat="1" applyFont="1" applyFill="1" applyBorder="1" applyAlignment="1" applyProtection="1">
      <alignment horizontal="center"/>
    </xf>
    <xf numFmtId="206" fontId="74" fillId="30" borderId="0" xfId="40423" applyNumberFormat="1" applyFont="1" applyFill="1" applyBorder="1" applyAlignment="1" applyProtection="1">
      <alignment horizontal="center"/>
    </xf>
    <xf numFmtId="206" fontId="74" fillId="30" borderId="18" xfId="40423" applyNumberFormat="1" applyFont="1" applyFill="1" applyBorder="1" applyAlignment="1" applyProtection="1">
      <alignment horizontal="center"/>
    </xf>
    <xf numFmtId="205" fontId="53" fillId="30" borderId="32" xfId="40425" applyNumberFormat="1" applyFont="1" applyFill="1" applyBorder="1" applyAlignment="1" applyProtection="1">
      <alignment horizontal="left"/>
    </xf>
    <xf numFmtId="205" fontId="53" fillId="30" borderId="33" xfId="40425" applyFont="1" applyFill="1" applyBorder="1" applyProtection="1"/>
    <xf numFmtId="206" fontId="74" fillId="30" borderId="25" xfId="40423" applyNumberFormat="1" applyFont="1" applyFill="1" applyBorder="1" applyAlignment="1" applyProtection="1">
      <alignment horizontal="center"/>
    </xf>
    <xf numFmtId="206" fontId="74" fillId="30" borderId="16" xfId="40423" applyNumberFormat="1" applyFont="1" applyFill="1" applyBorder="1" applyAlignment="1" applyProtection="1">
      <alignment horizontal="center"/>
    </xf>
    <xf numFmtId="206" fontId="74" fillId="30" borderId="34" xfId="40423" applyNumberFormat="1" applyFont="1" applyFill="1" applyBorder="1" applyAlignment="1" applyProtection="1">
      <alignment horizontal="center"/>
    </xf>
    <xf numFmtId="205" fontId="53" fillId="30" borderId="19" xfId="40425" applyNumberFormat="1" applyFont="1" applyFill="1" applyBorder="1" applyAlignment="1" applyProtection="1">
      <alignment horizontal="left"/>
    </xf>
    <xf numFmtId="205" fontId="53" fillId="30" borderId="37" xfId="40425" applyFont="1" applyFill="1" applyBorder="1" applyProtection="1"/>
    <xf numFmtId="206" fontId="74" fillId="30" borderId="38" xfId="40423" applyNumberFormat="1" applyFont="1" applyFill="1" applyBorder="1" applyAlignment="1" applyProtection="1">
      <alignment horizontal="center"/>
    </xf>
    <xf numFmtId="206" fontId="74" fillId="30" borderId="29" xfId="40423" applyNumberFormat="1" applyFont="1" applyFill="1" applyBorder="1" applyAlignment="1" applyProtection="1">
      <alignment horizontal="center"/>
    </xf>
    <xf numFmtId="206" fontId="74" fillId="30" borderId="20" xfId="40423" applyNumberFormat="1" applyFont="1" applyFill="1" applyBorder="1" applyAlignment="1" applyProtection="1">
      <alignment horizontal="center"/>
    </xf>
    <xf numFmtId="0" fontId="176" fillId="26" borderId="0" xfId="0" applyFont="1" applyFill="1"/>
    <xf numFmtId="207" fontId="0" fillId="26" borderId="0" xfId="40423" applyNumberFormat="1" applyFont="1" applyFill="1"/>
    <xf numFmtId="165" fontId="0" fillId="26" borderId="0" xfId="0" applyNumberFormat="1" applyFill="1"/>
    <xf numFmtId="208" fontId="0" fillId="26" borderId="0" xfId="0" applyNumberFormat="1" applyFill="1"/>
    <xf numFmtId="209" fontId="11" fillId="26" borderId="0" xfId="0" applyNumberFormat="1" applyFont="1" applyFill="1"/>
    <xf numFmtId="0" fontId="11" fillId="26" borderId="0" xfId="0" applyFont="1" applyFill="1"/>
    <xf numFmtId="210" fontId="0" fillId="26" borderId="0" xfId="0" applyNumberFormat="1" applyFill="1"/>
    <xf numFmtId="0" fontId="41" fillId="26" borderId="0" xfId="0" applyFont="1" applyFill="1"/>
    <xf numFmtId="205" fontId="53" fillId="2" borderId="21" xfId="40425" applyNumberFormat="1" applyFont="1" applyFill="1" applyBorder="1" applyAlignment="1" applyProtection="1">
      <alignment horizontal="left"/>
    </xf>
    <xf numFmtId="205" fontId="53" fillId="2" borderId="35" xfId="40425" applyFont="1" applyFill="1" applyBorder="1" applyProtection="1"/>
    <xf numFmtId="206" fontId="74" fillId="2" borderId="0" xfId="40423" applyNumberFormat="1" applyFont="1" applyFill="1" applyBorder="1" applyAlignment="1" applyProtection="1">
      <alignment horizontal="center"/>
    </xf>
    <xf numFmtId="206" fontId="74" fillId="2" borderId="18" xfId="40423" applyNumberFormat="1" applyFont="1" applyFill="1" applyBorder="1" applyAlignment="1" applyProtection="1">
      <alignment horizontal="center"/>
    </xf>
    <xf numFmtId="205" fontId="53" fillId="2" borderId="19" xfId="40425" applyNumberFormat="1" applyFont="1" applyFill="1" applyBorder="1" applyAlignment="1" applyProtection="1">
      <alignment horizontal="left"/>
    </xf>
    <xf numFmtId="205" fontId="53" fillId="2" borderId="37" xfId="40425" applyFont="1" applyFill="1" applyBorder="1" applyProtection="1"/>
    <xf numFmtId="206" fontId="74" fillId="2" borderId="38" xfId="40423" applyNumberFormat="1" applyFont="1" applyFill="1" applyBorder="1" applyAlignment="1" applyProtection="1">
      <alignment horizontal="center"/>
    </xf>
    <xf numFmtId="206" fontId="74" fillId="2" borderId="29" xfId="40423" applyNumberFormat="1" applyFont="1" applyFill="1" applyBorder="1" applyAlignment="1" applyProtection="1">
      <alignment horizontal="center"/>
    </xf>
    <xf numFmtId="206" fontId="74" fillId="2" borderId="20" xfId="40423" applyNumberFormat="1" applyFont="1" applyFill="1" applyBorder="1" applyAlignment="1" applyProtection="1">
      <alignment horizontal="center"/>
    </xf>
    <xf numFmtId="206" fontId="53" fillId="2" borderId="0" xfId="40423" applyNumberFormat="1" applyFont="1" applyFill="1" applyBorder="1" applyAlignment="1" applyProtection="1">
      <alignment horizontal="center"/>
    </xf>
    <xf numFmtId="206" fontId="53" fillId="2" borderId="18" xfId="40423" applyNumberFormat="1" applyFont="1" applyFill="1" applyBorder="1" applyAlignment="1" applyProtection="1">
      <alignment horizontal="center"/>
    </xf>
    <xf numFmtId="205" fontId="53" fillId="2" borderId="33" xfId="40425" applyFont="1" applyFill="1" applyBorder="1" applyProtection="1"/>
    <xf numFmtId="206" fontId="74" fillId="2" borderId="25" xfId="40423" applyNumberFormat="1" applyFont="1" applyFill="1" applyBorder="1" applyAlignment="1" applyProtection="1">
      <alignment horizontal="center"/>
    </xf>
    <xf numFmtId="206" fontId="74" fillId="2" borderId="16" xfId="40423" applyNumberFormat="1" applyFont="1" applyFill="1" applyBorder="1" applyAlignment="1" applyProtection="1">
      <alignment horizontal="center"/>
    </xf>
    <xf numFmtId="206" fontId="74" fillId="2" borderId="34" xfId="40423" applyNumberFormat="1" applyFont="1" applyFill="1" applyBorder="1" applyAlignment="1" applyProtection="1">
      <alignment horizontal="center"/>
    </xf>
    <xf numFmtId="0" fontId="0" fillId="41" borderId="0" xfId="0" applyFill="1"/>
    <xf numFmtId="0" fontId="176" fillId="41" borderId="0" xfId="0" applyFont="1" applyFill="1"/>
    <xf numFmtId="168" fontId="0" fillId="0" borderId="29" xfId="0" applyNumberFormat="1" applyBorder="1"/>
    <xf numFmtId="168" fontId="169" fillId="0" borderId="75" xfId="0" applyNumberFormat="1" applyFont="1" applyBorder="1" applyAlignment="1">
      <alignment horizontal="center" vertical="center"/>
    </xf>
    <xf numFmtId="2" fontId="111" fillId="58" borderId="74" xfId="3108" applyNumberFormat="1" applyBorder="1" applyAlignment="1">
      <alignment vertical="center"/>
    </xf>
    <xf numFmtId="2" fontId="111" fillId="58" borderId="95" xfId="3108" applyNumberFormat="1" applyBorder="1" applyAlignment="1">
      <alignment vertical="center"/>
    </xf>
    <xf numFmtId="2" fontId="111" fillId="58" borderId="97" xfId="3108" applyNumberFormat="1" applyBorder="1" applyAlignment="1">
      <alignment horizontal="left" vertical="center"/>
    </xf>
    <xf numFmtId="2" fontId="111" fillId="58" borderId="85" xfId="3108" applyNumberFormat="1" applyBorder="1" applyAlignment="1">
      <alignment vertical="center"/>
    </xf>
    <xf numFmtId="1" fontId="169" fillId="0" borderId="73" xfId="0" applyNumberFormat="1" applyFont="1" applyBorder="1" applyAlignment="1">
      <alignment vertical="center"/>
    </xf>
    <xf numFmtId="2" fontId="171" fillId="0" borderId="0" xfId="3108" applyNumberFormat="1" applyFont="1" applyFill="1" applyBorder="1" applyAlignment="1">
      <alignment horizontal="center" vertical="center"/>
    </xf>
    <xf numFmtId="2" fontId="111" fillId="0" borderId="0" xfId="3108" applyNumberFormat="1" applyFill="1" applyBorder="1" applyAlignment="1">
      <alignment horizontal="center" vertical="center"/>
    </xf>
    <xf numFmtId="1" fontId="169" fillId="0" borderId="75" xfId="0" applyNumberFormat="1" applyFont="1" applyBorder="1" applyAlignment="1">
      <alignment vertical="center"/>
    </xf>
    <xf numFmtId="168" fontId="169" fillId="0" borderId="74" xfId="0" applyNumberFormat="1" applyFont="1" applyBorder="1" applyAlignment="1">
      <alignment horizontal="center" vertical="center"/>
    </xf>
    <xf numFmtId="168" fontId="169" fillId="0" borderId="113" xfId="0" applyNumberFormat="1" applyFont="1" applyBorder="1" applyAlignment="1">
      <alignment horizontal="center" vertical="center"/>
    </xf>
    <xf numFmtId="168" fontId="169" fillId="0" borderId="108" xfId="0" applyNumberFormat="1" applyFont="1" applyBorder="1" applyAlignment="1">
      <alignment horizontal="center" vertical="center"/>
    </xf>
    <xf numFmtId="168" fontId="169" fillId="0" borderId="31" xfId="0" applyNumberFormat="1" applyFont="1" applyBorder="1" applyAlignment="1">
      <alignment horizontal="center" vertical="center"/>
    </xf>
    <xf numFmtId="168" fontId="169" fillId="0" borderId="114" xfId="0" applyNumberFormat="1" applyFont="1" applyBorder="1" applyAlignment="1">
      <alignment horizontal="center" vertical="center"/>
    </xf>
    <xf numFmtId="168" fontId="169" fillId="0" borderId="74" xfId="0" applyNumberFormat="1" applyFont="1" applyFill="1" applyBorder="1" applyAlignment="1">
      <alignment vertical="center"/>
    </xf>
    <xf numFmtId="168" fontId="1" fillId="0" borderId="74" xfId="3108" applyNumberFormat="1" applyFont="1" applyFill="1" applyBorder="1" applyAlignment="1">
      <alignment vertical="center"/>
    </xf>
    <xf numFmtId="168" fontId="1" fillId="0" borderId="22" xfId="3108" applyNumberFormat="1" applyFont="1" applyFill="1" applyBorder="1" applyAlignment="1">
      <alignment horizontal="center" vertical="center"/>
    </xf>
    <xf numFmtId="2" fontId="1" fillId="0" borderId="22" xfId="3108" applyNumberFormat="1" applyFont="1" applyFill="1" applyBorder="1" applyAlignment="1">
      <alignment horizontal="center" vertical="center"/>
    </xf>
    <xf numFmtId="2" fontId="1" fillId="0" borderId="82" xfId="3108" applyNumberFormat="1" applyFont="1" applyFill="1" applyBorder="1" applyAlignment="1">
      <alignment horizontal="center" vertical="center"/>
    </xf>
    <xf numFmtId="2" fontId="1" fillId="0" borderId="84" xfId="3108" applyNumberFormat="1" applyFont="1" applyFill="1" applyBorder="1" applyAlignment="1">
      <alignment horizontal="center" vertical="center"/>
    </xf>
    <xf numFmtId="168" fontId="1" fillId="0" borderId="65" xfId="3108" applyNumberFormat="1" applyFont="1" applyFill="1" applyBorder="1" applyAlignment="1">
      <alignment horizontal="center" vertical="center"/>
    </xf>
    <xf numFmtId="2" fontId="1" fillId="0" borderId="65" xfId="3108" applyNumberFormat="1" applyFont="1" applyFill="1" applyBorder="1" applyAlignment="1">
      <alignment horizontal="center" vertical="center"/>
    </xf>
    <xf numFmtId="2" fontId="1" fillId="0" borderId="91" xfId="3108" applyNumberFormat="1" applyFont="1" applyFill="1" applyBorder="1" applyAlignment="1">
      <alignment horizontal="center" vertical="center"/>
    </xf>
    <xf numFmtId="2" fontId="1" fillId="0" borderId="93" xfId="3108" applyNumberFormat="1" applyFont="1" applyFill="1" applyBorder="1" applyAlignment="1">
      <alignment horizontal="center" vertical="center"/>
    </xf>
    <xf numFmtId="168" fontId="1" fillId="0" borderId="110" xfId="3108" applyNumberFormat="1" applyFont="1" applyFill="1" applyBorder="1" applyAlignment="1">
      <alignment horizontal="center" vertical="center"/>
    </xf>
    <xf numFmtId="2" fontId="1" fillId="0" borderId="110" xfId="3108" applyNumberFormat="1" applyFont="1" applyFill="1" applyBorder="1" applyAlignment="1">
      <alignment horizontal="center" vertical="center"/>
    </xf>
    <xf numFmtId="2" fontId="1" fillId="0" borderId="100" xfId="3108" applyNumberFormat="1" applyFont="1" applyFill="1" applyBorder="1" applyAlignment="1">
      <alignment horizontal="center" vertical="center"/>
    </xf>
    <xf numFmtId="2" fontId="1" fillId="0" borderId="101" xfId="3108" applyNumberFormat="1" applyFont="1" applyFill="1" applyBorder="1" applyAlignment="1">
      <alignment horizontal="center" vertical="center"/>
    </xf>
    <xf numFmtId="0" fontId="11" fillId="37" borderId="0" xfId="0" applyFont="1" applyFill="1" applyBorder="1"/>
    <xf numFmtId="167" fontId="177" fillId="0" borderId="0" xfId="0" applyNumberFormat="1" applyFont="1"/>
    <xf numFmtId="0" fontId="0" fillId="0" borderId="25" xfId="0" applyBorder="1"/>
    <xf numFmtId="0" fontId="0" fillId="0" borderId="33" xfId="0" applyBorder="1"/>
    <xf numFmtId="0" fontId="11" fillId="0" borderId="71" xfId="0" applyFont="1" applyBorder="1"/>
    <xf numFmtId="2" fontId="0" fillId="0" borderId="71" xfId="0" applyNumberFormat="1" applyBorder="1"/>
    <xf numFmtId="2" fontId="0" fillId="0" borderId="107" xfId="0" applyNumberFormat="1" applyBorder="1"/>
    <xf numFmtId="2" fontId="0" fillId="0" borderId="106" xfId="0" applyNumberFormat="1" applyBorder="1"/>
    <xf numFmtId="2" fontId="0" fillId="0" borderId="36" xfId="0" applyNumberFormat="1" applyBorder="1"/>
    <xf numFmtId="2" fontId="0" fillId="0" borderId="25" xfId="0" applyNumberFormat="1" applyBorder="1"/>
    <xf numFmtId="2" fontId="0" fillId="0" borderId="16" xfId="0" applyNumberFormat="1" applyBorder="1"/>
    <xf numFmtId="2" fontId="0" fillId="0" borderId="33" xfId="0" applyNumberFormat="1" applyBorder="1"/>
    <xf numFmtId="0" fontId="11" fillId="0" borderId="36" xfId="0" applyFont="1" applyBorder="1"/>
    <xf numFmtId="0" fontId="11" fillId="0" borderId="25" xfId="0" applyFont="1" applyBorder="1"/>
    <xf numFmtId="2" fontId="76" fillId="0" borderId="0" xfId="0" applyNumberFormat="1" applyFont="1" applyFill="1" applyBorder="1" applyAlignment="1">
      <alignment wrapText="1"/>
    </xf>
    <xf numFmtId="2" fontId="76" fillId="0" borderId="0" xfId="0" applyNumberFormat="1" applyFont="1" applyFill="1" applyBorder="1"/>
    <xf numFmtId="0" fontId="11" fillId="41" borderId="0" xfId="0" applyFont="1" applyFill="1" applyBorder="1"/>
    <xf numFmtId="179" fontId="74" fillId="30" borderId="0" xfId="0" applyNumberFormat="1" applyFont="1" applyFill="1" applyBorder="1"/>
    <xf numFmtId="0" fontId="11" fillId="0" borderId="29" xfId="0" applyFont="1" applyBorder="1"/>
    <xf numFmtId="0" fontId="30" fillId="29" borderId="0" xfId="0" applyFont="1" applyFill="1" applyBorder="1" applyAlignment="1">
      <alignment horizontal="left" vertical="top" wrapText="1"/>
    </xf>
    <xf numFmtId="0" fontId="29" fillId="36" borderId="104" xfId="0" applyFont="1" applyFill="1" applyBorder="1" applyAlignment="1">
      <alignment horizontal="left" vertical="center" wrapText="1"/>
    </xf>
    <xf numFmtId="0" fontId="30" fillId="29" borderId="100" xfId="0" applyFont="1" applyFill="1" applyBorder="1" applyAlignment="1">
      <alignment horizontal="left" vertical="top" wrapText="1"/>
    </xf>
    <xf numFmtId="2" fontId="0" fillId="0" borderId="51" xfId="0" applyNumberFormat="1" applyBorder="1"/>
    <xf numFmtId="2" fontId="0" fillId="0" borderId="111" xfId="0" applyNumberFormat="1" applyBorder="1"/>
    <xf numFmtId="0" fontId="0" fillId="0" borderId="51" xfId="0" applyBorder="1"/>
    <xf numFmtId="0" fontId="0" fillId="0" borderId="4" xfId="0" applyBorder="1"/>
    <xf numFmtId="0" fontId="0" fillId="0" borderId="111" xfId="0" applyBorder="1"/>
    <xf numFmtId="2" fontId="0" fillId="38" borderId="0" xfId="0" applyNumberFormat="1" applyFill="1"/>
    <xf numFmtId="0" fontId="0" fillId="38" borderId="51" xfId="0" applyFill="1" applyBorder="1"/>
    <xf numFmtId="0" fontId="11" fillId="0" borderId="0" xfId="0" applyNumberFormat="1" applyFont="1" applyFill="1" applyBorder="1" applyAlignment="1" applyProtection="1"/>
    <xf numFmtId="9" fontId="11" fillId="0" borderId="0" xfId="0" applyNumberFormat="1" applyFont="1" applyFill="1" applyBorder="1" applyAlignment="1" applyProtection="1"/>
    <xf numFmtId="168" fontId="11" fillId="0" borderId="0" xfId="0" applyNumberFormat="1" applyFont="1" applyFill="1" applyBorder="1" applyAlignment="1" applyProtection="1"/>
    <xf numFmtId="0" fontId="11" fillId="0" borderId="107" xfId="0" applyNumberFormat="1" applyFont="1" applyFill="1" applyBorder="1" applyAlignment="1" applyProtection="1"/>
    <xf numFmtId="0" fontId="11" fillId="0" borderId="106" xfId="0" applyNumberFormat="1" applyFont="1" applyFill="1" applyBorder="1" applyAlignment="1" applyProtection="1"/>
    <xf numFmtId="0" fontId="11" fillId="0" borderId="36" xfId="0" applyNumberFormat="1" applyFont="1" applyFill="1" applyBorder="1" applyAlignment="1" applyProtection="1"/>
    <xf numFmtId="0" fontId="11" fillId="0" borderId="35" xfId="0" applyNumberFormat="1" applyFont="1" applyFill="1" applyBorder="1" applyAlignment="1" applyProtection="1"/>
    <xf numFmtId="0" fontId="11" fillId="0" borderId="36" xfId="849" applyBorder="1"/>
    <xf numFmtId="0" fontId="11" fillId="0" borderId="35" xfId="849" applyBorder="1"/>
    <xf numFmtId="0" fontId="11" fillId="0" borderId="25" xfId="0" applyNumberFormat="1" applyFont="1" applyFill="1" applyBorder="1" applyAlignment="1" applyProtection="1"/>
    <xf numFmtId="0" fontId="11" fillId="0" borderId="16" xfId="0" applyNumberFormat="1" applyFont="1" applyFill="1" applyBorder="1" applyAlignment="1" applyProtection="1"/>
    <xf numFmtId="0" fontId="11" fillId="34" borderId="33" xfId="0" applyNumberFormat="1" applyFont="1" applyFill="1" applyBorder="1" applyAlignment="1" applyProtection="1"/>
    <xf numFmtId="0" fontId="11" fillId="0" borderId="71" xfId="0" applyNumberFormat="1" applyFont="1" applyFill="1" applyBorder="1" applyAlignment="1" applyProtection="1"/>
    <xf numFmtId="0" fontId="11" fillId="0" borderId="92" xfId="849" applyBorder="1"/>
    <xf numFmtId="0" fontId="11" fillId="0" borderId="96" xfId="849" applyBorder="1"/>
    <xf numFmtId="0" fontId="11" fillId="0" borderId="96" xfId="849" applyFont="1" applyBorder="1"/>
    <xf numFmtId="0" fontId="11" fillId="0" borderId="90" xfId="849" applyBorder="1"/>
    <xf numFmtId="0" fontId="11" fillId="38" borderId="0" xfId="849" applyFill="1"/>
    <xf numFmtId="1" fontId="11" fillId="0" borderId="0" xfId="0" applyNumberFormat="1" applyFont="1" applyFill="1" applyBorder="1" applyAlignment="1" applyProtection="1"/>
    <xf numFmtId="0" fontId="11" fillId="34" borderId="0" xfId="849" applyFill="1"/>
    <xf numFmtId="0" fontId="0" fillId="34" borderId="0" xfId="0" applyFill="1"/>
    <xf numFmtId="2" fontId="76" fillId="0" borderId="0" xfId="0" applyNumberFormat="1" applyFont="1" applyBorder="1"/>
    <xf numFmtId="2" fontId="76" fillId="0" borderId="17" xfId="0" applyNumberFormat="1" applyFont="1" applyBorder="1"/>
    <xf numFmtId="2" fontId="76" fillId="38" borderId="17" xfId="0" applyNumberFormat="1" applyFont="1" applyFill="1" applyBorder="1"/>
    <xf numFmtId="2" fontId="76" fillId="38" borderId="0" xfId="0" applyNumberFormat="1" applyFont="1" applyFill="1" applyBorder="1"/>
    <xf numFmtId="195" fontId="76" fillId="0" borderId="17" xfId="0" applyNumberFormat="1" applyFont="1" applyBorder="1"/>
    <xf numFmtId="195" fontId="76" fillId="0" borderId="0" xfId="0" applyNumberFormat="1" applyFont="1" applyBorder="1"/>
    <xf numFmtId="168" fontId="76" fillId="0" borderId="0" xfId="0" applyNumberFormat="1" applyFont="1"/>
    <xf numFmtId="0" fontId="76" fillId="0" borderId="0" xfId="0" applyFont="1" applyBorder="1"/>
    <xf numFmtId="0" fontId="76" fillId="0" borderId="0" xfId="0" applyFont="1"/>
    <xf numFmtId="0" fontId="76" fillId="0" borderId="0" xfId="0" applyFont="1" applyFill="1"/>
    <xf numFmtId="0" fontId="76" fillId="0" borderId="17" xfId="0" applyFont="1" applyBorder="1"/>
    <xf numFmtId="169" fontId="76" fillId="0" borderId="17" xfId="0" applyNumberFormat="1" applyFont="1" applyBorder="1"/>
    <xf numFmtId="1" fontId="76" fillId="0" borderId="17" xfId="0" applyNumberFormat="1" applyFont="1" applyBorder="1"/>
    <xf numFmtId="169" fontId="76" fillId="0" borderId="0" xfId="0" applyNumberFormat="1" applyFont="1"/>
    <xf numFmtId="169" fontId="76" fillId="0" borderId="0" xfId="0" applyNumberFormat="1" applyFont="1" applyBorder="1"/>
    <xf numFmtId="1" fontId="76" fillId="0" borderId="0" xfId="0" applyNumberFormat="1" applyFont="1" applyBorder="1"/>
    <xf numFmtId="0" fontId="76" fillId="0" borderId="16" xfId="0" applyFont="1" applyBorder="1"/>
    <xf numFmtId="169" fontId="76" fillId="0" borderId="16" xfId="0" applyNumberFormat="1" applyFont="1" applyBorder="1"/>
    <xf numFmtId="0" fontId="76" fillId="38" borderId="0" xfId="0" applyFont="1" applyFill="1" applyBorder="1"/>
    <xf numFmtId="0" fontId="76" fillId="38" borderId="0" xfId="0" applyFont="1" applyFill="1"/>
    <xf numFmtId="0" fontId="76" fillId="38" borderId="17" xfId="0" applyFont="1" applyFill="1" applyBorder="1"/>
    <xf numFmtId="169" fontId="76" fillId="38" borderId="17" xfId="0" applyNumberFormat="1" applyFont="1" applyFill="1" applyBorder="1"/>
    <xf numFmtId="169" fontId="76" fillId="38" borderId="0" xfId="0" applyNumberFormat="1" applyFont="1" applyFill="1" applyBorder="1"/>
    <xf numFmtId="1" fontId="76" fillId="38" borderId="0" xfId="0" applyNumberFormat="1" applyFont="1" applyFill="1" applyBorder="1"/>
    <xf numFmtId="181" fontId="76" fillId="0" borderId="0" xfId="0" applyNumberFormat="1" applyFont="1"/>
    <xf numFmtId="0" fontId="76" fillId="0" borderId="29" xfId="0" applyFont="1" applyBorder="1"/>
    <xf numFmtId="1" fontId="76" fillId="0" borderId="0" xfId="0" applyNumberFormat="1" applyFont="1"/>
    <xf numFmtId="176" fontId="76" fillId="0" borderId="0" xfId="0" applyNumberFormat="1" applyFont="1"/>
    <xf numFmtId="0" fontId="76" fillId="0" borderId="0" xfId="849" applyFont="1"/>
    <xf numFmtId="181" fontId="76" fillId="0" borderId="0" xfId="849" applyNumberFormat="1" applyFont="1"/>
    <xf numFmtId="0" fontId="76" fillId="0" borderId="0" xfId="849" applyFont="1" applyFill="1"/>
    <xf numFmtId="0" fontId="76" fillId="0" borderId="17" xfId="849" applyFont="1" applyBorder="1"/>
    <xf numFmtId="2" fontId="76" fillId="0" borderId="17" xfId="849" applyNumberFormat="1" applyFont="1" applyBorder="1"/>
    <xf numFmtId="0" fontId="76" fillId="0" borderId="0" xfId="849" applyFont="1" applyBorder="1"/>
    <xf numFmtId="2" fontId="76" fillId="0" borderId="0" xfId="849" applyNumberFormat="1" applyFont="1" applyBorder="1"/>
    <xf numFmtId="0" fontId="76" fillId="0" borderId="0" xfId="849" applyFont="1" applyFill="1" applyBorder="1"/>
    <xf numFmtId="4" fontId="129" fillId="0" borderId="0" xfId="0" applyNumberFormat="1" applyFont="1"/>
    <xf numFmtId="168" fontId="129" fillId="0" borderId="0" xfId="0" applyNumberFormat="1" applyFont="1"/>
    <xf numFmtId="190" fontId="29" fillId="30" borderId="0" xfId="2572" applyNumberFormat="1" applyFont="1" applyFill="1" applyBorder="1"/>
    <xf numFmtId="191" fontId="29" fillId="30" borderId="0" xfId="2572" applyNumberFormat="1" applyFont="1" applyFill="1" applyBorder="1"/>
    <xf numFmtId="176" fontId="76" fillId="0" borderId="0" xfId="0" applyNumberFormat="1" applyFont="1" applyBorder="1"/>
    <xf numFmtId="0" fontId="76" fillId="0" borderId="107" xfId="849" applyFont="1" applyBorder="1"/>
    <xf numFmtId="0" fontId="53" fillId="0" borderId="0" xfId="0" applyNumberFormat="1" applyFont="1" applyFill="1" applyBorder="1" applyAlignment="1" applyProtection="1"/>
    <xf numFmtId="0" fontId="29" fillId="90" borderId="0" xfId="0" applyNumberFormat="1" applyFont="1" applyFill="1" applyBorder="1" applyAlignment="1" applyProtection="1"/>
    <xf numFmtId="178" fontId="179" fillId="38" borderId="0" xfId="0" applyNumberFormat="1" applyFont="1" applyFill="1" applyBorder="1" applyAlignment="1" applyProtection="1"/>
    <xf numFmtId="2" fontId="179" fillId="38" borderId="0" xfId="0" applyNumberFormat="1" applyFont="1" applyFill="1" applyBorder="1" applyAlignment="1" applyProtection="1"/>
    <xf numFmtId="1" fontId="179" fillId="38" borderId="0" xfId="0" applyNumberFormat="1" applyFont="1" applyFill="1" applyBorder="1" applyAlignment="1" applyProtection="1"/>
    <xf numFmtId="186" fontId="30" fillId="90" borderId="0" xfId="0" applyNumberFormat="1" applyFont="1" applyFill="1" applyBorder="1" applyAlignment="1" applyProtection="1"/>
    <xf numFmtId="0" fontId="41" fillId="90" borderId="0" xfId="0" applyNumberFormat="1" applyFont="1" applyFill="1" applyBorder="1" applyAlignment="1" applyProtection="1"/>
    <xf numFmtId="0" fontId="54" fillId="57" borderId="117" xfId="0" applyNumberFormat="1" applyFont="1" applyFill="1" applyBorder="1" applyAlignment="1" applyProtection="1"/>
    <xf numFmtId="0" fontId="29" fillId="57" borderId="118" xfId="0" applyNumberFormat="1" applyFont="1" applyFill="1" applyBorder="1" applyAlignment="1" applyProtection="1"/>
    <xf numFmtId="0" fontId="29" fillId="57" borderId="119" xfId="0" applyNumberFormat="1" applyFont="1" applyFill="1" applyBorder="1" applyAlignment="1" applyProtection="1"/>
    <xf numFmtId="0" fontId="11" fillId="57" borderId="120" xfId="0" applyNumberFormat="1" applyFont="1" applyFill="1" applyBorder="1" applyAlignment="1" applyProtection="1"/>
    <xf numFmtId="0" fontId="29" fillId="57" borderId="0" xfId="0" applyNumberFormat="1" applyFont="1" applyFill="1" applyBorder="1" applyAlignment="1" applyProtection="1"/>
    <xf numFmtId="0" fontId="29" fillId="57" borderId="121" xfId="0" applyNumberFormat="1" applyFont="1" applyFill="1" applyBorder="1" applyAlignment="1" applyProtection="1"/>
    <xf numFmtId="0" fontId="29" fillId="57" borderId="120" xfId="0" applyNumberFormat="1" applyFont="1" applyFill="1" applyBorder="1" applyAlignment="1" applyProtection="1"/>
    <xf numFmtId="0" fontId="178" fillId="32" borderId="122" xfId="0" applyNumberFormat="1" applyFont="1" applyFill="1" applyBorder="1" applyAlignment="1" applyProtection="1"/>
    <xf numFmtId="0" fontId="54" fillId="57" borderId="120" xfId="0" applyNumberFormat="1" applyFont="1" applyFill="1" applyBorder="1" applyAlignment="1" applyProtection="1"/>
    <xf numFmtId="0" fontId="41" fillId="57" borderId="120" xfId="0" applyNumberFormat="1" applyFont="1" applyFill="1" applyBorder="1" applyAlignment="1" applyProtection="1"/>
    <xf numFmtId="0" fontId="29" fillId="57" borderId="123" xfId="0" applyNumberFormat="1" applyFont="1" applyFill="1" applyBorder="1" applyAlignment="1" applyProtection="1"/>
    <xf numFmtId="0" fontId="29" fillId="57" borderId="124" xfId="0" applyNumberFormat="1" applyFont="1" applyFill="1" applyBorder="1" applyAlignment="1" applyProtection="1"/>
    <xf numFmtId="0" fontId="29" fillId="57" borderId="125" xfId="0" applyNumberFormat="1" applyFont="1" applyFill="1" applyBorder="1" applyAlignment="1" applyProtection="1"/>
    <xf numFmtId="9" fontId="29" fillId="90" borderId="0" xfId="0" applyNumberFormat="1" applyFont="1" applyFill="1" applyBorder="1" applyAlignment="1" applyProtection="1"/>
    <xf numFmtId="0" fontId="29" fillId="57" borderId="117" xfId="0" applyNumberFormat="1" applyFont="1" applyFill="1" applyBorder="1" applyAlignment="1" applyProtection="1"/>
    <xf numFmtId="0" fontId="29" fillId="57" borderId="126" xfId="0" applyNumberFormat="1" applyFont="1" applyFill="1" applyBorder="1" applyAlignment="1" applyProtection="1"/>
    <xf numFmtId="0" fontId="29" fillId="57" borderId="127" xfId="0" applyNumberFormat="1" applyFont="1" applyFill="1" applyBorder="1" applyAlignment="1" applyProtection="1"/>
    <xf numFmtId="0" fontId="29" fillId="57" borderId="128" xfId="0" applyNumberFormat="1" applyFont="1" applyFill="1" applyBorder="1" applyAlignment="1" applyProtection="1"/>
    <xf numFmtId="0" fontId="55" fillId="57" borderId="129" xfId="0" applyNumberFormat="1" applyFont="1" applyFill="1" applyBorder="1" applyAlignment="1" applyProtection="1"/>
    <xf numFmtId="0" fontId="55" fillId="57" borderId="130" xfId="0" applyNumberFormat="1" applyFont="1" applyFill="1" applyBorder="1" applyAlignment="1" applyProtection="1"/>
    <xf numFmtId="0" fontId="55" fillId="57" borderId="131" xfId="0" applyNumberFormat="1" applyFont="1" applyFill="1" applyBorder="1" applyAlignment="1" applyProtection="1"/>
    <xf numFmtId="0" fontId="29" fillId="57" borderId="131" xfId="0" applyNumberFormat="1" applyFont="1" applyFill="1" applyBorder="1" applyAlignment="1" applyProtection="1"/>
    <xf numFmtId="0" fontId="29" fillId="57" borderId="132" xfId="0" applyNumberFormat="1" applyFont="1" applyFill="1" applyBorder="1" applyAlignment="1" applyProtection="1"/>
    <xf numFmtId="0" fontId="55" fillId="57" borderId="133" xfId="0" applyNumberFormat="1" applyFont="1" applyFill="1" applyBorder="1" applyAlignment="1" applyProtection="1"/>
    <xf numFmtId="0" fontId="55" fillId="57" borderId="134" xfId="0" applyNumberFormat="1" applyFont="1" applyFill="1" applyBorder="1" applyAlignment="1" applyProtection="1"/>
    <xf numFmtId="0" fontId="55" fillId="57" borderId="0" xfId="0" applyNumberFormat="1" applyFont="1" applyFill="1" applyBorder="1" applyAlignment="1" applyProtection="1"/>
    <xf numFmtId="0" fontId="53" fillId="57" borderId="120" xfId="0" applyNumberFormat="1" applyFont="1" applyFill="1" applyBorder="1" applyAlignment="1" applyProtection="1"/>
    <xf numFmtId="189" fontId="11" fillId="57" borderId="134" xfId="0" applyNumberFormat="1" applyFont="1" applyFill="1" applyBorder="1" applyAlignment="1" applyProtection="1">
      <protection locked="0"/>
    </xf>
    <xf numFmtId="189" fontId="11" fillId="57" borderId="0" xfId="0" applyNumberFormat="1" applyFont="1" applyFill="1" applyBorder="1" applyAlignment="1" applyProtection="1">
      <protection locked="0"/>
    </xf>
    <xf numFmtId="179" fontId="11" fillId="57" borderId="0" xfId="0" applyNumberFormat="1" applyFont="1" applyFill="1" applyBorder="1" applyAlignment="1" applyProtection="1">
      <protection locked="0"/>
    </xf>
    <xf numFmtId="0" fontId="58" fillId="57" borderId="0" xfId="0" applyNumberFormat="1" applyFont="1" applyFill="1" applyBorder="1" applyAlignment="1" applyProtection="1"/>
    <xf numFmtId="166" fontId="29" fillId="90" borderId="0" xfId="0" applyNumberFormat="1" applyFont="1" applyFill="1" applyBorder="1" applyAlignment="1" applyProtection="1"/>
    <xf numFmtId="43" fontId="29" fillId="57" borderId="134" xfId="0" applyNumberFormat="1" applyFont="1" applyFill="1" applyBorder="1" applyAlignment="1" applyProtection="1">
      <protection locked="0"/>
    </xf>
    <xf numFmtId="189" fontId="29" fillId="57" borderId="0" xfId="0" applyNumberFormat="1" applyFont="1" applyFill="1" applyBorder="1" applyAlignment="1" applyProtection="1">
      <protection locked="0"/>
    </xf>
    <xf numFmtId="43" fontId="181" fillId="57" borderId="134" xfId="0" applyNumberFormat="1" applyFont="1" applyFill="1" applyBorder="1" applyAlignment="1" applyProtection="1">
      <protection locked="0"/>
    </xf>
    <xf numFmtId="187" fontId="180" fillId="57" borderId="0" xfId="0" applyNumberFormat="1" applyFont="1" applyFill="1" applyBorder="1" applyAlignment="1" applyProtection="1">
      <protection locked="0"/>
    </xf>
    <xf numFmtId="0" fontId="11" fillId="57" borderId="0" xfId="0" applyNumberFormat="1" applyFont="1" applyFill="1" applyBorder="1" applyAlignment="1" applyProtection="1"/>
    <xf numFmtId="0" fontId="56" fillId="57" borderId="134" xfId="0" applyNumberFormat="1" applyFont="1" applyFill="1" applyBorder="1" applyAlignment="1" applyProtection="1">
      <protection locked="0"/>
    </xf>
    <xf numFmtId="0" fontId="56" fillId="57" borderId="0" xfId="0" applyNumberFormat="1" applyFont="1" applyFill="1" applyBorder="1" applyAlignment="1" applyProtection="1">
      <protection locked="0"/>
    </xf>
    <xf numFmtId="0" fontId="53" fillId="57" borderId="134" xfId="0" applyNumberFormat="1" applyFont="1" applyFill="1" applyBorder="1" applyAlignment="1" applyProtection="1">
      <protection locked="0"/>
    </xf>
    <xf numFmtId="0" fontId="53" fillId="57" borderId="0" xfId="0" applyNumberFormat="1" applyFont="1" applyFill="1" applyBorder="1" applyAlignment="1" applyProtection="1">
      <protection locked="0"/>
    </xf>
    <xf numFmtId="0" fontId="57" fillId="57" borderId="133" xfId="0" applyNumberFormat="1" applyFont="1" applyFill="1" applyBorder="1" applyAlignment="1" applyProtection="1"/>
    <xf numFmtId="0" fontId="56" fillId="57" borderId="134" xfId="0" applyNumberFormat="1" applyFont="1" applyFill="1" applyBorder="1" applyAlignment="1" applyProtection="1"/>
    <xf numFmtId="0" fontId="56" fillId="57" borderId="0" xfId="0" applyNumberFormat="1" applyFont="1" applyFill="1" applyBorder="1" applyAlignment="1" applyProtection="1"/>
    <xf numFmtId="3" fontId="186" fillId="57" borderId="0" xfId="0" applyNumberFormat="1" applyFont="1" applyFill="1" applyBorder="1" applyAlignment="1" applyProtection="1"/>
    <xf numFmtId="3" fontId="29" fillId="57" borderId="0" xfId="0" applyNumberFormat="1" applyFont="1" applyFill="1" applyBorder="1" applyAlignment="1" applyProtection="1"/>
    <xf numFmtId="0" fontId="29" fillId="57" borderId="120" xfId="0" applyNumberFormat="1" applyFont="1" applyFill="1" applyBorder="1" applyAlignment="1" applyProtection="1">
      <alignment horizontal="left" indent="1"/>
    </xf>
    <xf numFmtId="3" fontId="56" fillId="57" borderId="0" xfId="0" applyNumberFormat="1" applyFont="1" applyFill="1" applyBorder="1" applyAlignment="1" applyProtection="1"/>
    <xf numFmtId="1" fontId="56" fillId="57" borderId="0" xfId="0" applyNumberFormat="1" applyFont="1" applyFill="1" applyBorder="1" applyAlignment="1" applyProtection="1">
      <protection locked="0"/>
    </xf>
    <xf numFmtId="3" fontId="53" fillId="57" borderId="134" xfId="0" applyNumberFormat="1" applyFont="1" applyFill="1" applyBorder="1" applyAlignment="1" applyProtection="1"/>
    <xf numFmtId="3" fontId="53" fillId="57" borderId="0" xfId="0" applyNumberFormat="1" applyFont="1" applyFill="1" applyBorder="1" applyAlignment="1" applyProtection="1"/>
    <xf numFmtId="0" fontId="11" fillId="57" borderId="121" xfId="0" applyNumberFormat="1" applyFont="1" applyFill="1" applyBorder="1" applyAlignment="1" applyProtection="1"/>
    <xf numFmtId="0" fontId="11" fillId="57" borderId="0" xfId="0" applyNumberFormat="1" applyFont="1" applyFill="1" applyBorder="1" applyAlignment="1" applyProtection="1">
      <protection locked="0"/>
    </xf>
    <xf numFmtId="188" fontId="56" fillId="57" borderId="0" xfId="0" applyNumberFormat="1" applyFont="1" applyFill="1" applyBorder="1" applyAlignment="1" applyProtection="1">
      <protection locked="0"/>
    </xf>
    <xf numFmtId="0" fontId="55" fillId="57" borderId="120" xfId="0" applyNumberFormat="1" applyFont="1" applyFill="1" applyBorder="1" applyAlignment="1" applyProtection="1"/>
    <xf numFmtId="168" fontId="53" fillId="57" borderId="0" xfId="0" applyNumberFormat="1" applyFont="1" applyFill="1" applyBorder="1" applyAlignment="1" applyProtection="1"/>
    <xf numFmtId="168" fontId="53" fillId="91" borderId="134" xfId="0" applyNumberFormat="1" applyFont="1" applyFill="1" applyBorder="1" applyAlignment="1" applyProtection="1">
      <protection locked="0"/>
    </xf>
    <xf numFmtId="168" fontId="53" fillId="91" borderId="0" xfId="0" applyNumberFormat="1" applyFont="1" applyFill="1" applyBorder="1" applyAlignment="1" applyProtection="1">
      <protection locked="0"/>
    </xf>
    <xf numFmtId="169" fontId="53" fillId="57" borderId="0" xfId="0" applyNumberFormat="1" applyFont="1" applyFill="1" applyBorder="1" applyAlignment="1" applyProtection="1">
      <protection locked="0"/>
    </xf>
    <xf numFmtId="2" fontId="53" fillId="57" borderId="0" xfId="0" applyNumberFormat="1" applyFont="1" applyFill="1" applyBorder="1" applyAlignment="1" applyProtection="1">
      <protection locked="0"/>
    </xf>
    <xf numFmtId="0" fontId="59" fillId="57" borderId="0" xfId="0" applyNumberFormat="1" applyFont="1" applyFill="1" applyBorder="1" applyAlignment="1" applyProtection="1"/>
    <xf numFmtId="169" fontId="29" fillId="57" borderId="0" xfId="0" applyNumberFormat="1" applyFont="1" applyFill="1" applyBorder="1" applyAlignment="1" applyProtection="1">
      <protection locked="0"/>
    </xf>
    <xf numFmtId="0" fontId="59" fillId="57" borderId="123" xfId="0" applyNumberFormat="1" applyFont="1" applyFill="1" applyBorder="1" applyAlignment="1" applyProtection="1"/>
    <xf numFmtId="0" fontId="57" fillId="57" borderId="135" xfId="0" applyNumberFormat="1" applyFont="1" applyFill="1" applyBorder="1" applyAlignment="1" applyProtection="1"/>
    <xf numFmtId="0" fontId="56" fillId="57" borderId="124" xfId="0" applyNumberFormat="1" applyFont="1" applyFill="1" applyBorder="1" applyAlignment="1" applyProtection="1"/>
    <xf numFmtId="0" fontId="11" fillId="57" borderId="124" xfId="0" applyNumberFormat="1" applyFont="1" applyFill="1" applyBorder="1" applyAlignment="1" applyProtection="1"/>
    <xf numFmtId="0" fontId="60" fillId="90" borderId="0" xfId="0" applyNumberFormat="1" applyFont="1" applyFill="1" applyBorder="1" applyAlignment="1" applyProtection="1"/>
    <xf numFmtId="0" fontId="29" fillId="57" borderId="133" xfId="0" applyNumberFormat="1" applyFont="1" applyFill="1" applyBorder="1" applyAlignment="1" applyProtection="1"/>
    <xf numFmtId="4" fontId="29" fillId="57" borderId="0" xfId="0" applyNumberFormat="1" applyFont="1" applyFill="1" applyBorder="1" applyAlignment="1" applyProtection="1"/>
    <xf numFmtId="0" fontId="11" fillId="57" borderId="133" xfId="0" applyNumberFormat="1" applyFont="1" applyFill="1" applyBorder="1" applyAlignment="1" applyProtection="1"/>
    <xf numFmtId="174" fontId="56" fillId="57" borderId="0" xfId="0" applyNumberFormat="1" applyFont="1" applyFill="1" applyBorder="1" applyAlignment="1" applyProtection="1"/>
    <xf numFmtId="4" fontId="56" fillId="57" borderId="0" xfId="0" applyNumberFormat="1" applyFont="1" applyFill="1" applyBorder="1" applyAlignment="1" applyProtection="1"/>
    <xf numFmtId="4" fontId="11" fillId="57" borderId="0" xfId="0" applyNumberFormat="1" applyFont="1" applyFill="1" applyBorder="1" applyAlignment="1" applyProtection="1"/>
    <xf numFmtId="9" fontId="56" fillId="57" borderId="0" xfId="0" applyNumberFormat="1" applyFont="1" applyFill="1" applyBorder="1" applyAlignment="1" applyProtection="1"/>
    <xf numFmtId="0" fontId="11" fillId="57" borderId="123" xfId="0" applyNumberFormat="1" applyFont="1" applyFill="1" applyBorder="1" applyAlignment="1" applyProtection="1"/>
    <xf numFmtId="0" fontId="11" fillId="57" borderId="135" xfId="0" applyNumberFormat="1" applyFont="1" applyFill="1" applyBorder="1" applyAlignment="1" applyProtection="1"/>
    <xf numFmtId="195" fontId="56" fillId="57" borderId="124" xfId="0" applyNumberFormat="1" applyFont="1" applyFill="1" applyBorder="1" applyAlignment="1" applyProtection="1"/>
    <xf numFmtId="192" fontId="11" fillId="57" borderId="0" xfId="0" applyNumberFormat="1" applyFont="1" applyFill="1" applyBorder="1" applyAlignment="1" applyProtection="1"/>
    <xf numFmtId="179" fontId="56" fillId="57" borderId="0" xfId="0" applyNumberFormat="1" applyFont="1" applyFill="1" applyBorder="1" applyAlignment="1" applyProtection="1"/>
    <xf numFmtId="43" fontId="178" fillId="57" borderId="134" xfId="0" applyNumberFormat="1" applyFont="1" applyFill="1" applyBorder="1" applyAlignment="1" applyProtection="1">
      <protection locked="0"/>
    </xf>
    <xf numFmtId="43" fontId="178" fillId="57" borderId="0" xfId="0" applyNumberFormat="1" applyFont="1" applyFill="1" applyBorder="1" applyAlignment="1" applyProtection="1">
      <protection locked="0"/>
    </xf>
    <xf numFmtId="0" fontId="29" fillId="57" borderId="135" xfId="0" applyNumberFormat="1" applyFont="1" applyFill="1" applyBorder="1" applyAlignment="1" applyProtection="1"/>
    <xf numFmtId="192" fontId="56" fillId="57" borderId="124" xfId="0" applyNumberFormat="1" applyFont="1" applyFill="1" applyBorder="1" applyAlignment="1" applyProtection="1"/>
    <xf numFmtId="0" fontId="58" fillId="57" borderId="124" xfId="0" applyNumberFormat="1" applyFont="1" applyFill="1" applyBorder="1" applyAlignment="1" applyProtection="1"/>
    <xf numFmtId="193" fontId="29" fillId="90" borderId="0" xfId="0" applyNumberFormat="1" applyFont="1" applyFill="1" applyBorder="1" applyAlignment="1" applyProtection="1"/>
    <xf numFmtId="179" fontId="53" fillId="57" borderId="118" xfId="0" applyNumberFormat="1" applyFont="1" applyFill="1" applyBorder="1" applyAlignment="1" applyProtection="1">
      <protection locked="0"/>
    </xf>
    <xf numFmtId="0" fontId="53" fillId="57" borderId="0" xfId="0" applyNumberFormat="1" applyFont="1" applyFill="1" applyBorder="1" applyAlignment="1" applyProtection="1"/>
    <xf numFmtId="175" fontId="53" fillId="57" borderId="0" xfId="0" applyNumberFormat="1" applyFont="1" applyFill="1" applyBorder="1" applyAlignment="1" applyProtection="1"/>
    <xf numFmtId="0" fontId="53" fillId="57" borderId="124" xfId="0" applyNumberFormat="1" applyFont="1" applyFill="1" applyBorder="1" applyAlignment="1" applyProtection="1"/>
    <xf numFmtId="1" fontId="185" fillId="57" borderId="118" xfId="0" applyNumberFormat="1" applyFont="1" applyFill="1" applyBorder="1" applyAlignment="1" applyProtection="1">
      <alignment horizontal="right"/>
    </xf>
    <xf numFmtId="188" fontId="180" fillId="57" borderId="0" xfId="0" applyNumberFormat="1" applyFont="1" applyFill="1" applyBorder="1" applyAlignment="1" applyProtection="1"/>
    <xf numFmtId="43" fontId="180" fillId="57" borderId="0" xfId="0" applyNumberFormat="1" applyFont="1" applyFill="1" applyBorder="1" applyAlignment="1" applyProtection="1"/>
    <xf numFmtId="179" fontId="29" fillId="90" borderId="0" xfId="0" applyNumberFormat="1" applyFont="1" applyFill="1" applyBorder="1" applyAlignment="1" applyProtection="1"/>
    <xf numFmtId="43" fontId="180" fillId="57" borderId="124" xfId="0" applyNumberFormat="1" applyFont="1" applyFill="1" applyBorder="1" applyAlignment="1" applyProtection="1"/>
    <xf numFmtId="0" fontId="183" fillId="92" borderId="0" xfId="0" applyNumberFormat="1" applyFont="1" applyFill="1" applyBorder="1" applyAlignment="1" applyProtection="1"/>
    <xf numFmtId="0" fontId="30" fillId="92" borderId="0" xfId="0" applyNumberFormat="1" applyFont="1" applyFill="1" applyBorder="1" applyAlignment="1" applyProtection="1"/>
    <xf numFmtId="0" fontId="30" fillId="57" borderId="136" xfId="0" applyNumberFormat="1" applyFont="1" applyFill="1" applyBorder="1" applyAlignment="1" applyProtection="1"/>
    <xf numFmtId="0" fontId="184" fillId="57" borderId="136" xfId="0" applyNumberFormat="1" applyFont="1" applyFill="1" applyBorder="1" applyAlignment="1" applyProtection="1"/>
    <xf numFmtId="0" fontId="30" fillId="57" borderId="131" xfId="0" applyNumberFormat="1" applyFont="1" applyFill="1" applyBorder="1" applyAlignment="1" applyProtection="1"/>
    <xf numFmtId="0" fontId="183" fillId="57" borderId="131" xfId="0" applyNumberFormat="1" applyFont="1" applyFill="1" applyBorder="1" applyAlignment="1" applyProtection="1">
      <alignment horizontal="right"/>
    </xf>
    <xf numFmtId="179" fontId="182" fillId="57" borderId="136" xfId="0" applyNumberFormat="1" applyFont="1" applyFill="1" applyBorder="1" applyAlignment="1" applyProtection="1"/>
    <xf numFmtId="0" fontId="30" fillId="57" borderId="0" xfId="0" applyNumberFormat="1" applyFont="1" applyFill="1" applyBorder="1" applyAlignment="1" applyProtection="1"/>
    <xf numFmtId="194" fontId="182" fillId="57" borderId="0" xfId="0" applyNumberFormat="1" applyFont="1" applyFill="1" applyBorder="1" applyAlignment="1" applyProtection="1"/>
    <xf numFmtId="186" fontId="182" fillId="57" borderId="0" xfId="0" applyNumberFormat="1" applyFont="1" applyFill="1" applyBorder="1" applyAlignment="1" applyProtection="1"/>
    <xf numFmtId="186" fontId="182" fillId="57" borderId="131" xfId="0" applyNumberFormat="1" applyFont="1" applyFill="1" applyBorder="1" applyAlignment="1" applyProtection="1"/>
    <xf numFmtId="3" fontId="30" fillId="57" borderId="0" xfId="0" applyNumberFormat="1" applyFont="1" applyFill="1" applyBorder="1" applyAlignment="1" applyProtection="1"/>
    <xf numFmtId="175" fontId="30" fillId="57" borderId="0" xfId="0" applyNumberFormat="1" applyFont="1" applyFill="1" applyBorder="1" applyAlignment="1" applyProtection="1"/>
    <xf numFmtId="195" fontId="30" fillId="57" borderId="0" xfId="0" applyNumberFormat="1" applyFont="1" applyFill="1" applyBorder="1" applyAlignment="1" applyProtection="1"/>
    <xf numFmtId="175" fontId="30" fillId="57" borderId="131" xfId="0" applyNumberFormat="1" applyFont="1" applyFill="1" applyBorder="1" applyAlignment="1" applyProtection="1"/>
    <xf numFmtId="195" fontId="76" fillId="0" borderId="16" xfId="0" applyNumberFormat="1" applyFont="1" applyBorder="1"/>
    <xf numFmtId="176" fontId="76" fillId="0" borderId="16" xfId="0" applyNumberFormat="1" applyFont="1" applyBorder="1"/>
    <xf numFmtId="2" fontId="11" fillId="0" borderId="0" xfId="0" applyNumberFormat="1" applyFont="1" applyFill="1" applyBorder="1"/>
    <xf numFmtId="1" fontId="0" fillId="0" borderId="0" xfId="0" applyNumberFormat="1" applyFill="1"/>
    <xf numFmtId="178" fontId="29" fillId="30" borderId="120" xfId="2572" applyFill="1" applyBorder="1" applyAlignment="1">
      <alignment horizontal="left" indent="1"/>
    </xf>
    <xf numFmtId="178" fontId="55" fillId="30" borderId="133" xfId="2572" applyFont="1" applyFill="1" applyBorder="1"/>
    <xf numFmtId="178" fontId="29" fillId="2" borderId="121" xfId="2572" applyFill="1" applyBorder="1"/>
    <xf numFmtId="178" fontId="54" fillId="30" borderId="117" xfId="2572" applyFont="1" applyFill="1" applyBorder="1"/>
    <xf numFmtId="178" fontId="29" fillId="30" borderId="118" xfId="2572" applyFill="1" applyBorder="1"/>
    <xf numFmtId="178" fontId="29" fillId="30" borderId="119" xfId="2572" applyFill="1" applyBorder="1"/>
    <xf numFmtId="178" fontId="11" fillId="30" borderId="120" xfId="2572" applyFont="1" applyFill="1" applyBorder="1"/>
    <xf numFmtId="178" fontId="29" fillId="30" borderId="120" xfId="2572" applyFont="1" applyFill="1" applyBorder="1"/>
    <xf numFmtId="3" fontId="65" fillId="32" borderId="122" xfId="27" applyBorder="1"/>
    <xf numFmtId="178" fontId="41" fillId="30" borderId="120" xfId="2572" applyFont="1" applyFill="1" applyBorder="1"/>
    <xf numFmtId="178" fontId="54" fillId="30" borderId="120" xfId="2572" applyFont="1" applyFill="1" applyBorder="1"/>
    <xf numFmtId="178" fontId="29" fillId="2" borderId="123" xfId="2572" applyFill="1" applyBorder="1"/>
    <xf numFmtId="178" fontId="29" fillId="30" borderId="124" xfId="2572" applyFill="1" applyBorder="1"/>
    <xf numFmtId="178" fontId="29" fillId="2" borderId="125" xfId="2572" applyFill="1" applyBorder="1"/>
    <xf numFmtId="0" fontId="29" fillId="36" borderId="136" xfId="0" applyFont="1" applyFill="1" applyBorder="1" applyAlignment="1">
      <alignment horizontal="left" vertical="center" wrapText="1"/>
    </xf>
    <xf numFmtId="0" fontId="11" fillId="0" borderId="136" xfId="0" applyFont="1" applyBorder="1"/>
    <xf numFmtId="0" fontId="29" fillId="93" borderId="136" xfId="0" applyFont="1" applyFill="1" applyBorder="1" applyAlignment="1">
      <alignment horizontal="left" vertical="center" wrapText="1"/>
    </xf>
    <xf numFmtId="1" fontId="125" fillId="0" borderId="0" xfId="0" applyNumberFormat="1" applyFont="1" applyFill="1" applyBorder="1" applyAlignment="1" applyProtection="1"/>
    <xf numFmtId="185" fontId="125" fillId="0" borderId="0" xfId="0" applyNumberFormat="1" applyFont="1" applyFill="1" applyBorder="1" applyAlignment="1" applyProtection="1"/>
    <xf numFmtId="185" fontId="11" fillId="0" borderId="0" xfId="0" applyNumberFormat="1" applyFont="1" applyFill="1" applyBorder="1" applyAlignment="1" applyProtection="1"/>
    <xf numFmtId="185" fontId="11" fillId="0" borderId="138" xfId="0" applyNumberFormat="1" applyFont="1" applyFill="1" applyBorder="1" applyAlignment="1" applyProtection="1"/>
    <xf numFmtId="43" fontId="70" fillId="57" borderId="134" xfId="0" applyNumberFormat="1" applyFont="1" applyFill="1" applyBorder="1" applyAlignment="1" applyProtection="1">
      <protection locked="0"/>
    </xf>
    <xf numFmtId="164" fontId="56" fillId="2" borderId="0" xfId="2572" applyNumberFormat="1" applyFont="1" applyFill="1" applyBorder="1"/>
    <xf numFmtId="178" fontId="29" fillId="2" borderId="120" xfId="2572" applyFill="1" applyBorder="1"/>
    <xf numFmtId="178" fontId="58" fillId="2" borderId="118" xfId="2572" applyFont="1" applyFill="1" applyBorder="1" applyAlignment="1">
      <alignment horizontal="left"/>
    </xf>
    <xf numFmtId="178" fontId="56" fillId="2" borderId="118" xfId="2572" applyFont="1" applyFill="1" applyBorder="1" applyProtection="1">
      <protection locked="0"/>
    </xf>
    <xf numFmtId="178" fontId="29" fillId="30" borderId="117" xfId="2572" applyFill="1" applyBorder="1"/>
    <xf numFmtId="178" fontId="11" fillId="2" borderId="118" xfId="2572" applyFont="1" applyFill="1" applyBorder="1" applyProtection="1">
      <protection locked="0"/>
    </xf>
    <xf numFmtId="9" fontId="11" fillId="2" borderId="124" xfId="1300" applyFont="1" applyFill="1" applyBorder="1" applyProtection="1">
      <protection locked="0"/>
    </xf>
    <xf numFmtId="9" fontId="11" fillId="2" borderId="38" xfId="1300" applyFont="1" applyFill="1" applyBorder="1" applyProtection="1">
      <protection locked="0"/>
    </xf>
    <xf numFmtId="179" fontId="74" fillId="30" borderId="137" xfId="2572" applyNumberFormat="1" applyFont="1" applyFill="1" applyBorder="1"/>
    <xf numFmtId="178" fontId="29" fillId="30" borderId="133" xfId="2572" applyFill="1" applyBorder="1"/>
    <xf numFmtId="178" fontId="56" fillId="30" borderId="137" xfId="2572" applyFont="1" applyFill="1" applyBorder="1"/>
    <xf numFmtId="179" fontId="11" fillId="2" borderId="137" xfId="2572" applyNumberFormat="1" applyFont="1" applyFill="1" applyBorder="1" applyProtection="1">
      <protection locked="0"/>
    </xf>
    <xf numFmtId="190" fontId="11" fillId="2" borderId="137" xfId="2572" applyNumberFormat="1" applyFont="1" applyFill="1" applyBorder="1" applyProtection="1">
      <protection locked="0"/>
    </xf>
    <xf numFmtId="178" fontId="29" fillId="26" borderId="0" xfId="2572" applyNumberFormat="1" applyFill="1"/>
    <xf numFmtId="178" fontId="29" fillId="30" borderId="132" xfId="2572" applyFill="1" applyBorder="1"/>
    <xf numFmtId="178" fontId="29" fillId="30" borderId="138" xfId="2572" applyFill="1" applyBorder="1"/>
    <xf numFmtId="178" fontId="55" fillId="30" borderId="138" xfId="2572" applyFont="1" applyFill="1" applyBorder="1"/>
    <xf numFmtId="178" fontId="55" fillId="30" borderId="130" xfId="2572" applyFont="1" applyFill="1" applyBorder="1"/>
    <xf numFmtId="178" fontId="55" fillId="30" borderId="129" xfId="2572" applyFont="1" applyFill="1" applyBorder="1"/>
    <xf numFmtId="178" fontId="29" fillId="30" borderId="128" xfId="2572" applyFill="1" applyBorder="1"/>
    <xf numFmtId="178" fontId="29" fillId="30" borderId="127" xfId="2572" applyFill="1" applyBorder="1"/>
    <xf numFmtId="178" fontId="29" fillId="30" borderId="126" xfId="2572" applyFill="1" applyBorder="1"/>
    <xf numFmtId="178" fontId="58" fillId="2" borderId="124" xfId="2572" applyFont="1" applyFill="1" applyBorder="1"/>
    <xf numFmtId="178" fontId="57" fillId="30" borderId="135" xfId="2572" applyFont="1" applyFill="1" applyBorder="1"/>
    <xf numFmtId="178" fontId="59" fillId="2" borderId="123" xfId="2572" applyFont="1" applyFill="1" applyBorder="1"/>
    <xf numFmtId="169" fontId="29" fillId="2" borderId="137" xfId="2572" applyNumberFormat="1" applyFill="1" applyBorder="1" applyProtection="1">
      <protection locked="0"/>
    </xf>
    <xf numFmtId="178" fontId="11" fillId="2" borderId="121" xfId="2572" applyFont="1" applyFill="1" applyBorder="1"/>
    <xf numFmtId="2" fontId="53" fillId="39" borderId="137" xfId="2572" applyNumberFormat="1" applyFont="1" applyFill="1" applyBorder="1" applyProtection="1">
      <protection locked="0"/>
    </xf>
    <xf numFmtId="178" fontId="55" fillId="30" borderId="120" xfId="2572" applyFont="1" applyFill="1" applyBorder="1"/>
    <xf numFmtId="178" fontId="56" fillId="2" borderId="137" xfId="2572" applyFont="1" applyFill="1" applyBorder="1"/>
    <xf numFmtId="169" fontId="53" fillId="2" borderId="137" xfId="2572" applyNumberFormat="1" applyFont="1" applyFill="1" applyBorder="1" applyProtection="1">
      <protection locked="0"/>
    </xf>
    <xf numFmtId="189" fontId="67" fillId="30" borderId="0" xfId="365" applyNumberFormat="1" applyFill="1" applyBorder="1" applyAlignment="1" applyProtection="1">
      <protection locked="0"/>
    </xf>
    <xf numFmtId="178" fontId="56" fillId="30" borderId="137" xfId="2572" applyFont="1" applyFill="1" applyBorder="1" applyProtection="1">
      <protection locked="0"/>
    </xf>
    <xf numFmtId="169" fontId="53" fillId="30" borderId="137" xfId="2572" applyNumberFormat="1" applyFont="1" applyFill="1" applyBorder="1"/>
    <xf numFmtId="188" fontId="29" fillId="2" borderId="137" xfId="2572" applyNumberFormat="1" applyFill="1" applyBorder="1" applyProtection="1">
      <protection locked="0"/>
    </xf>
    <xf numFmtId="188" fontId="56" fillId="2" borderId="137" xfId="2572" applyNumberFormat="1" applyFont="1" applyFill="1" applyBorder="1" applyProtection="1">
      <protection locked="0"/>
    </xf>
    <xf numFmtId="178" fontId="57" fillId="30" borderId="133" xfId="2572" applyFont="1" applyFill="1" applyBorder="1"/>
    <xf numFmtId="178" fontId="53" fillId="2" borderId="137" xfId="2572" applyFont="1" applyFill="1" applyBorder="1" applyProtection="1">
      <protection locked="0"/>
    </xf>
    <xf numFmtId="178" fontId="29" fillId="2" borderId="121" xfId="2572" quotePrefix="1" applyFill="1" applyBorder="1"/>
    <xf numFmtId="164" fontId="29" fillId="2" borderId="137" xfId="2572" applyNumberFormat="1" applyFill="1" applyBorder="1" applyProtection="1">
      <protection locked="0"/>
    </xf>
    <xf numFmtId="178" fontId="53" fillId="2" borderId="120" xfId="2572" applyFont="1" applyFill="1" applyBorder="1"/>
    <xf numFmtId="178" fontId="55" fillId="30" borderId="137" xfId="2572" applyFont="1" applyFill="1" applyBorder="1"/>
    <xf numFmtId="178" fontId="66" fillId="38" borderId="0" xfId="362" applyNumberFormat="1" applyFill="1"/>
    <xf numFmtId="1" fontId="66" fillId="38" borderId="0" xfId="362" applyNumberFormat="1" applyFill="1"/>
    <xf numFmtId="2" fontId="66" fillId="38" borderId="0" xfId="362" applyNumberFormat="1" applyFill="1"/>
    <xf numFmtId="168" fontId="53" fillId="30" borderId="137" xfId="2572" applyNumberFormat="1" applyFont="1" applyFill="1" applyBorder="1"/>
    <xf numFmtId="191" fontId="29" fillId="26" borderId="0" xfId="2572" applyNumberFormat="1" applyFill="1"/>
    <xf numFmtId="1" fontId="65" fillId="30" borderId="0" xfId="365" applyNumberFormat="1" applyFont="1" applyFill="1" applyBorder="1" applyAlignment="1" applyProtection="1">
      <protection locked="0"/>
    </xf>
    <xf numFmtId="1" fontId="65" fillId="2" borderId="0" xfId="2572" applyNumberFormat="1" applyFont="1" applyFill="1" applyBorder="1" applyProtection="1">
      <protection locked="0"/>
    </xf>
    <xf numFmtId="1" fontId="74" fillId="30" borderId="0" xfId="2572" applyNumberFormat="1" applyFont="1" applyFill="1" applyBorder="1"/>
    <xf numFmtId="168" fontId="119" fillId="30" borderId="79" xfId="3108" applyNumberFormat="1" applyFont="1" applyFill="1" applyBorder="1" applyAlignment="1">
      <alignment vertical="center"/>
    </xf>
    <xf numFmtId="168" fontId="119" fillId="30" borderId="18" xfId="3108" applyNumberFormat="1" applyFont="1" applyFill="1" applyBorder="1" applyAlignment="1">
      <alignment horizontal="center" vertical="center"/>
    </xf>
    <xf numFmtId="168" fontId="119" fillId="30" borderId="80" xfId="3108" applyNumberFormat="1" applyFont="1" applyFill="1" applyBorder="1" applyAlignment="1">
      <alignment vertical="center"/>
    </xf>
    <xf numFmtId="168" fontId="119" fillId="30" borderId="23" xfId="3108" applyNumberFormat="1" applyFont="1" applyFill="1" applyBorder="1" applyAlignment="1">
      <alignment horizontal="center" vertical="center"/>
    </xf>
    <xf numFmtId="168" fontId="119" fillId="30" borderId="85" xfId="3108" applyNumberFormat="1" applyFont="1" applyFill="1" applyBorder="1" applyAlignment="1">
      <alignment vertical="center"/>
    </xf>
    <xf numFmtId="168" fontId="119" fillId="30" borderId="34" xfId="3108" applyNumberFormat="1" applyFont="1" applyFill="1" applyBorder="1" applyAlignment="1">
      <alignment horizontal="center" vertical="center"/>
    </xf>
    <xf numFmtId="168" fontId="119" fillId="0" borderId="89" xfId="0" applyNumberFormat="1" applyFont="1" applyFill="1" applyBorder="1" applyAlignment="1">
      <alignment horizontal="center" vertical="center"/>
    </xf>
    <xf numFmtId="168" fontId="187" fillId="58" borderId="79" xfId="3108" applyNumberFormat="1" applyFont="1" applyBorder="1" applyAlignment="1">
      <alignment vertical="center"/>
    </xf>
    <xf numFmtId="168" fontId="187" fillId="58" borderId="18" xfId="3108" applyNumberFormat="1" applyFont="1" applyBorder="1" applyAlignment="1">
      <alignment horizontal="center" vertical="center"/>
    </xf>
    <xf numFmtId="168" fontId="187" fillId="58" borderId="80" xfId="3108" applyNumberFormat="1" applyFont="1" applyBorder="1" applyAlignment="1">
      <alignment vertical="center"/>
    </xf>
    <xf numFmtId="168" fontId="187" fillId="58" borderId="23" xfId="3108" applyNumberFormat="1" applyFont="1" applyBorder="1" applyAlignment="1">
      <alignment horizontal="center" vertical="center"/>
    </xf>
    <xf numFmtId="168" fontId="187" fillId="58" borderId="85" xfId="3108" applyNumberFormat="1" applyFont="1" applyBorder="1" applyAlignment="1">
      <alignment vertical="center"/>
    </xf>
    <xf numFmtId="168" fontId="187" fillId="58" borderId="34" xfId="3108" applyNumberFormat="1" applyFont="1" applyBorder="1" applyAlignment="1">
      <alignment horizontal="center" vertical="center"/>
    </xf>
    <xf numFmtId="185" fontId="103" fillId="0" borderId="0" xfId="0" applyNumberFormat="1" applyFont="1" applyBorder="1" applyAlignment="1">
      <alignment horizontal="center" vertical="center"/>
    </xf>
    <xf numFmtId="0" fontId="0" fillId="0" borderId="0" xfId="0" applyNumberFormat="1"/>
    <xf numFmtId="0" fontId="125" fillId="0" borderId="0" xfId="0" applyNumberFormat="1" applyFont="1" applyFill="1" applyBorder="1" applyAlignment="1" applyProtection="1"/>
    <xf numFmtId="0" fontId="58" fillId="2" borderId="0" xfId="2572" applyNumberFormat="1" applyFont="1" applyFill="1" applyBorder="1"/>
    <xf numFmtId="0" fontId="0" fillId="0" borderId="138" xfId="0" applyBorder="1"/>
    <xf numFmtId="0" fontId="29" fillId="36" borderId="136" xfId="0" applyFont="1" applyFill="1" applyBorder="1" applyAlignment="1">
      <alignment horizontal="center" vertical="center" wrapText="1"/>
    </xf>
    <xf numFmtId="0" fontId="71" fillId="36" borderId="136" xfId="0" applyFont="1" applyFill="1" applyBorder="1" applyAlignment="1">
      <alignment horizontal="center" vertical="center" wrapText="1"/>
    </xf>
    <xf numFmtId="0" fontId="71" fillId="36" borderId="96" xfId="0" applyFont="1" applyFill="1" applyBorder="1" applyAlignment="1">
      <alignment horizontal="center" vertical="center" wrapText="1"/>
    </xf>
    <xf numFmtId="0" fontId="29" fillId="36" borderId="96" xfId="0" applyFont="1" applyFill="1" applyBorder="1" applyAlignment="1">
      <alignment horizontal="center" vertical="center" wrapText="1"/>
    </xf>
    <xf numFmtId="0" fontId="30" fillId="29" borderId="15" xfId="0" applyFont="1" applyFill="1" applyBorder="1" applyAlignment="1">
      <alignment horizontal="center" vertical="top" wrapText="1"/>
    </xf>
    <xf numFmtId="0" fontId="0" fillId="0" borderId="0" xfId="0" applyBorder="1" applyAlignment="1">
      <alignment horizontal="center"/>
    </xf>
    <xf numFmtId="0" fontId="0" fillId="0" borderId="0" xfId="0" applyNumberFormat="1" applyBorder="1" applyAlignment="1">
      <alignment horizontal="center"/>
    </xf>
    <xf numFmtId="1" fontId="0" fillId="0" borderId="0" xfId="0" applyNumberFormat="1" applyBorder="1" applyAlignment="1">
      <alignment horizontal="center"/>
    </xf>
    <xf numFmtId="0" fontId="0" fillId="0" borderId="0" xfId="0" applyNumberFormat="1" applyFill="1" applyBorder="1" applyAlignment="1">
      <alignment horizontal="center"/>
    </xf>
    <xf numFmtId="168" fontId="0" fillId="0" borderId="0" xfId="0" applyNumberFormat="1" applyBorder="1" applyAlignment="1">
      <alignment horizontal="center"/>
    </xf>
    <xf numFmtId="167" fontId="0" fillId="0" borderId="0" xfId="0" applyNumberFormat="1" applyBorder="1" applyAlignment="1">
      <alignment horizontal="center"/>
    </xf>
    <xf numFmtId="0" fontId="0" fillId="0" borderId="0" xfId="0" applyAlignment="1">
      <alignment horizontal="center"/>
    </xf>
    <xf numFmtId="0" fontId="11" fillId="0" borderId="0" xfId="0" applyFont="1" applyBorder="1" applyAlignment="1">
      <alignment horizontal="center"/>
    </xf>
    <xf numFmtId="0" fontId="0" fillId="0" borderId="0" xfId="0" applyFill="1" applyBorder="1" applyAlignment="1">
      <alignment horizontal="center"/>
    </xf>
    <xf numFmtId="0" fontId="35" fillId="0" borderId="138" xfId="0" applyFont="1" applyBorder="1"/>
    <xf numFmtId="0" fontId="11" fillId="0" borderId="138" xfId="0" applyFont="1" applyBorder="1"/>
    <xf numFmtId="0" fontId="11" fillId="0" borderId="138" xfId="0" applyFont="1" applyBorder="1" applyAlignment="1">
      <alignment horizontal="center"/>
    </xf>
    <xf numFmtId="0" fontId="0" fillId="0" borderId="138" xfId="0" applyBorder="1" applyAlignment="1">
      <alignment horizontal="center"/>
    </xf>
    <xf numFmtId="0" fontId="0" fillId="0" borderId="138" xfId="0" applyNumberFormat="1" applyBorder="1" applyAlignment="1">
      <alignment horizontal="center"/>
    </xf>
    <xf numFmtId="168" fontId="0" fillId="0" borderId="138" xfId="0" applyNumberFormat="1" applyBorder="1" applyAlignment="1">
      <alignment horizontal="center"/>
    </xf>
    <xf numFmtId="1" fontId="0" fillId="0" borderId="138" xfId="0" applyNumberFormat="1" applyBorder="1" applyAlignment="1">
      <alignment horizontal="center"/>
    </xf>
    <xf numFmtId="0" fontId="0" fillId="0" borderId="118" xfId="0" applyBorder="1"/>
    <xf numFmtId="0" fontId="35" fillId="0" borderId="118" xfId="0" applyFont="1" applyBorder="1"/>
    <xf numFmtId="0" fontId="11" fillId="0" borderId="118" xfId="0" applyFont="1" applyBorder="1"/>
    <xf numFmtId="0" fontId="0" fillId="0" borderId="118" xfId="0" applyBorder="1" applyAlignment="1">
      <alignment horizontal="center"/>
    </xf>
    <xf numFmtId="1" fontId="0" fillId="0" borderId="118" xfId="0" applyNumberFormat="1" applyBorder="1" applyAlignment="1">
      <alignment horizontal="center"/>
    </xf>
    <xf numFmtId="0" fontId="0" fillId="0" borderId="118" xfId="0" applyNumberFormat="1" applyBorder="1" applyAlignment="1">
      <alignment horizontal="center"/>
    </xf>
    <xf numFmtId="0" fontId="0" fillId="0" borderId="124" xfId="0" applyBorder="1"/>
    <xf numFmtId="0" fontId="35" fillId="0" borderId="124" xfId="0" applyFont="1" applyBorder="1"/>
    <xf numFmtId="0" fontId="11" fillId="0" borderId="124" xfId="0" applyFont="1" applyBorder="1"/>
    <xf numFmtId="0" fontId="0" fillId="0" borderId="124" xfId="0" applyBorder="1" applyAlignment="1">
      <alignment horizontal="center"/>
    </xf>
    <xf numFmtId="1" fontId="0" fillId="0" borderId="124" xfId="0" applyNumberFormat="1" applyBorder="1" applyAlignment="1">
      <alignment horizontal="center"/>
    </xf>
    <xf numFmtId="0" fontId="0" fillId="0" borderId="124" xfId="0" applyNumberFormat="1" applyBorder="1" applyAlignment="1">
      <alignment horizontal="center"/>
    </xf>
    <xf numFmtId="2" fontId="0" fillId="0" borderId="0" xfId="0" applyNumberFormat="1" applyBorder="1" applyAlignment="1">
      <alignment horizontal="center"/>
    </xf>
    <xf numFmtId="2" fontId="0" fillId="0" borderId="0" xfId="0" applyNumberFormat="1" applyFill="1" applyBorder="1" applyAlignment="1">
      <alignment horizontal="center"/>
    </xf>
    <xf numFmtId="181" fontId="29" fillId="36" borderId="136" xfId="0" applyNumberFormat="1" applyFont="1" applyFill="1" applyBorder="1" applyAlignment="1">
      <alignment horizontal="left" vertical="center" wrapText="1"/>
    </xf>
    <xf numFmtId="167" fontId="0" fillId="0" borderId="0" xfId="0" applyNumberFormat="1" applyFill="1" applyBorder="1" applyAlignment="1">
      <alignment horizontal="center"/>
    </xf>
    <xf numFmtId="0" fontId="11" fillId="0" borderId="138" xfId="0" applyFont="1" applyFill="1" applyBorder="1"/>
    <xf numFmtId="0" fontId="0" fillId="0" borderId="138" xfId="0" applyNumberFormat="1" applyFill="1" applyBorder="1" applyAlignment="1">
      <alignment horizontal="center"/>
    </xf>
    <xf numFmtId="167" fontId="0" fillId="0" borderId="138" xfId="0" applyNumberFormat="1" applyBorder="1" applyAlignment="1">
      <alignment horizontal="center"/>
    </xf>
    <xf numFmtId="0" fontId="0" fillId="0" borderId="136" xfId="0" applyBorder="1" applyAlignment="1">
      <alignment horizontal="center"/>
    </xf>
    <xf numFmtId="0" fontId="11" fillId="0" borderId="118" xfId="0" applyNumberFormat="1" applyFont="1" applyBorder="1" applyAlignment="1">
      <alignment horizontal="center"/>
    </xf>
    <xf numFmtId="0" fontId="0" fillId="0" borderId="0" xfId="0" applyFont="1" applyFill="1" applyBorder="1" applyAlignment="1">
      <alignment horizontal="center"/>
    </xf>
    <xf numFmtId="1" fontId="0" fillId="0" borderId="0" xfId="0" applyNumberFormat="1" applyFont="1" applyFill="1" applyBorder="1" applyAlignment="1">
      <alignment horizontal="center"/>
    </xf>
    <xf numFmtId="2" fontId="0" fillId="0" borderId="0" xfId="0" applyNumberFormat="1" applyFont="1" applyFill="1" applyBorder="1" applyAlignment="1">
      <alignment horizontal="center"/>
    </xf>
    <xf numFmtId="0" fontId="11" fillId="0" borderId="0" xfId="0" applyNumberFormat="1" applyFont="1" applyFill="1" applyBorder="1" applyAlignment="1">
      <alignment horizontal="center"/>
    </xf>
    <xf numFmtId="0" fontId="11" fillId="0" borderId="0" xfId="0" applyNumberFormat="1" applyFont="1" applyBorder="1" applyAlignment="1">
      <alignment horizontal="center"/>
    </xf>
    <xf numFmtId="0" fontId="11" fillId="0" borderId="138" xfId="0" applyNumberFormat="1" applyFont="1" applyBorder="1" applyAlignment="1">
      <alignment horizontal="center"/>
    </xf>
    <xf numFmtId="0" fontId="0" fillId="0" borderId="136" xfId="0" applyBorder="1"/>
    <xf numFmtId="0" fontId="11" fillId="0" borderId="0" xfId="7380" applyNumberFormat="1" applyFont="1" applyBorder="1" applyAlignment="1">
      <alignment horizontal="center"/>
    </xf>
    <xf numFmtId="0" fontId="0" fillId="0" borderId="136" xfId="0" applyFill="1" applyBorder="1" applyAlignment="1">
      <alignment horizontal="center"/>
    </xf>
    <xf numFmtId="0" fontId="11" fillId="0" borderId="0" xfId="0" applyNumberFormat="1" applyFont="1" applyBorder="1" applyAlignment="1">
      <alignment horizontal="right"/>
    </xf>
    <xf numFmtId="9" fontId="0" fillId="0" borderId="0" xfId="0" applyNumberFormat="1"/>
    <xf numFmtId="0" fontId="188" fillId="0" borderId="0" xfId="40426"/>
    <xf numFmtId="0" fontId="0" fillId="0" borderId="0" xfId="0" applyBorder="1" applyAlignment="1">
      <alignment horizontal="left" vertical="top"/>
    </xf>
    <xf numFmtId="168" fontId="0" fillId="0" borderId="0" xfId="0" applyNumberFormat="1" applyAlignment="1">
      <alignment horizontal="left" vertical="top"/>
    </xf>
    <xf numFmtId="176" fontId="0" fillId="0" borderId="0" xfId="0" applyNumberFormat="1" applyAlignment="1">
      <alignment horizontal="left" vertical="top"/>
    </xf>
    <xf numFmtId="1" fontId="35" fillId="0" borderId="0" xfId="0" applyNumberFormat="1" applyFont="1" applyFill="1" applyBorder="1"/>
    <xf numFmtId="0" fontId="0" fillId="0" borderId="0" xfId="0" applyNumberFormat="1" applyFont="1" applyFill="1" applyBorder="1" applyAlignment="1" applyProtection="1"/>
    <xf numFmtId="1" fontId="0" fillId="0" borderId="0" xfId="0" applyNumberFormat="1" applyFont="1" applyFill="1" applyBorder="1" applyAlignment="1" applyProtection="1"/>
    <xf numFmtId="10" fontId="0" fillId="0" borderId="0" xfId="0" applyNumberFormat="1" applyFont="1" applyFill="1" applyBorder="1" applyAlignment="1" applyProtection="1"/>
    <xf numFmtId="1" fontId="41" fillId="0" borderId="0" xfId="0" applyNumberFormat="1" applyFont="1" applyBorder="1" applyAlignment="1">
      <alignment horizontal="left" vertical="top"/>
    </xf>
    <xf numFmtId="0" fontId="41" fillId="0" borderId="0" xfId="0" applyNumberFormat="1" applyFont="1" applyFill="1" applyBorder="1" applyAlignment="1" applyProtection="1"/>
    <xf numFmtId="0" fontId="11" fillId="0" borderId="0" xfId="0" applyFont="1" applyBorder="1" applyAlignment="1">
      <alignment horizontal="left" vertical="top"/>
    </xf>
    <xf numFmtId="168" fontId="11" fillId="90" borderId="139" xfId="0" applyNumberFormat="1" applyFont="1" applyFill="1" applyBorder="1" applyAlignment="1" applyProtection="1">
      <alignment horizontal="center" vertical="distributed"/>
    </xf>
    <xf numFmtId="168" fontId="11" fillId="90" borderId="140" xfId="0" applyNumberFormat="1" applyFont="1" applyFill="1" applyBorder="1" applyAlignment="1" applyProtection="1">
      <alignment horizontal="center" vertical="distributed"/>
    </xf>
    <xf numFmtId="168" fontId="47" fillId="90" borderId="139" xfId="0" applyNumberFormat="1" applyFont="1" applyFill="1" applyBorder="1" applyAlignment="1" applyProtection="1">
      <alignment horizontal="center" vertical="distributed"/>
    </xf>
    <xf numFmtId="1" fontId="73" fillId="0" borderId="0" xfId="0" applyNumberFormat="1" applyFont="1"/>
    <xf numFmtId="168" fontId="11" fillId="90" borderId="141" xfId="0" applyNumberFormat="1" applyFont="1" applyFill="1" applyBorder="1" applyAlignment="1" applyProtection="1">
      <alignment horizontal="center" vertical="distributed"/>
    </xf>
    <xf numFmtId="168" fontId="11" fillId="90" borderId="142" xfId="0" applyNumberFormat="1" applyFont="1" applyFill="1" applyBorder="1" applyAlignment="1" applyProtection="1">
      <alignment horizontal="center" vertical="distributed"/>
    </xf>
    <xf numFmtId="168" fontId="47" fillId="90" borderId="141" xfId="0" applyNumberFormat="1" applyFont="1" applyFill="1" applyBorder="1" applyAlignment="1" applyProtection="1">
      <alignment horizontal="center" vertical="distributed"/>
    </xf>
    <xf numFmtId="168" fontId="189" fillId="90" borderId="140" xfId="0" applyNumberFormat="1" applyFont="1" applyFill="1" applyBorder="1" applyAlignment="1" applyProtection="1">
      <alignment horizontal="center" vertical="distributed"/>
    </xf>
    <xf numFmtId="0" fontId="11" fillId="0" borderId="119" xfId="0" applyFont="1" applyBorder="1"/>
    <xf numFmtId="168" fontId="0" fillId="0" borderId="0" xfId="0" applyNumberFormat="1" applyBorder="1"/>
    <xf numFmtId="168" fontId="0" fillId="0" borderId="121" xfId="0" applyNumberFormat="1" applyBorder="1"/>
    <xf numFmtId="1" fontId="0" fillId="0" borderId="124" xfId="0" applyNumberFormat="1" applyBorder="1"/>
    <xf numFmtId="168" fontId="0" fillId="0" borderId="124" xfId="0" applyNumberFormat="1" applyBorder="1"/>
    <xf numFmtId="168" fontId="0" fillId="0" borderId="125" xfId="0" applyNumberFormat="1" applyBorder="1"/>
    <xf numFmtId="0" fontId="11" fillId="0" borderId="132" xfId="0" applyFont="1" applyBorder="1"/>
    <xf numFmtId="0" fontId="0" fillId="0" borderId="113" xfId="0" applyBorder="1"/>
    <xf numFmtId="0" fontId="0" fillId="0" borderId="86" xfId="0" applyBorder="1"/>
    <xf numFmtId="0" fontId="0" fillId="0" borderId="115" xfId="0" applyBorder="1"/>
    <xf numFmtId="0" fontId="0" fillId="0" borderId="116" xfId="0" applyBorder="1"/>
    <xf numFmtId="0" fontId="0" fillId="0" borderId="108" xfId="0" applyBorder="1"/>
    <xf numFmtId="0" fontId="0" fillId="0" borderId="143" xfId="0" applyBorder="1"/>
    <xf numFmtId="0" fontId="0" fillId="0" borderId="141" xfId="0" applyBorder="1"/>
    <xf numFmtId="0" fontId="11" fillId="0" borderId="144" xfId="0" applyFont="1" applyBorder="1"/>
    <xf numFmtId="0" fontId="11" fillId="0" borderId="139" xfId="0" applyFont="1" applyBorder="1"/>
    <xf numFmtId="0" fontId="0" fillId="0" borderId="139" xfId="0" applyBorder="1"/>
    <xf numFmtId="168" fontId="11" fillId="90" borderId="145" xfId="0" applyNumberFormat="1" applyFont="1" applyFill="1" applyBorder="1" applyAlignment="1" applyProtection="1">
      <alignment horizontal="center" vertical="distributed"/>
    </xf>
    <xf numFmtId="168" fontId="11" fillId="90" borderId="146" xfId="0" applyNumberFormat="1" applyFont="1" applyFill="1" applyBorder="1" applyAlignment="1" applyProtection="1">
      <alignment horizontal="center" vertical="distributed"/>
    </xf>
    <xf numFmtId="168" fontId="11" fillId="90" borderId="147" xfId="0" applyNumberFormat="1" applyFont="1" applyFill="1" applyBorder="1" applyAlignment="1" applyProtection="1">
      <alignment horizontal="center" vertical="distributed"/>
    </xf>
    <xf numFmtId="168" fontId="11" fillId="90" borderId="148" xfId="0" applyNumberFormat="1" applyFont="1" applyFill="1" applyBorder="1" applyAlignment="1" applyProtection="1">
      <alignment horizontal="center" vertical="distributed"/>
    </xf>
    <xf numFmtId="168" fontId="47" fillId="90" borderId="145" xfId="0" applyNumberFormat="1" applyFont="1" applyFill="1" applyBorder="1" applyAlignment="1" applyProtection="1">
      <alignment horizontal="center" vertical="distributed"/>
    </xf>
    <xf numFmtId="168" fontId="47" fillId="90" borderId="146" xfId="0" applyNumberFormat="1" applyFont="1" applyFill="1" applyBorder="1" applyAlignment="1" applyProtection="1">
      <alignment horizontal="center" vertical="distributed"/>
    </xf>
    <xf numFmtId="168" fontId="73" fillId="90" borderId="145" xfId="0" applyNumberFormat="1" applyFont="1" applyFill="1" applyBorder="1" applyAlignment="1" applyProtection="1">
      <alignment horizontal="center" vertical="distributed"/>
    </xf>
    <xf numFmtId="168" fontId="73" fillId="90" borderId="146" xfId="0" applyNumberFormat="1" applyFont="1" applyFill="1" applyBorder="1" applyAlignment="1" applyProtection="1">
      <alignment horizontal="center" vertical="distributed"/>
    </xf>
    <xf numFmtId="0" fontId="0" fillId="0" borderId="149" xfId="0" applyBorder="1"/>
    <xf numFmtId="0" fontId="11" fillId="0" borderId="141" xfId="0" applyFont="1" applyBorder="1"/>
    <xf numFmtId="1" fontId="11" fillId="0" borderId="0" xfId="0" applyNumberFormat="1" applyFont="1" applyBorder="1"/>
    <xf numFmtId="2" fontId="73" fillId="0" borderId="0" xfId="0" applyNumberFormat="1" applyFont="1" applyBorder="1" applyAlignment="1">
      <alignment horizontal="center"/>
    </xf>
    <xf numFmtId="2" fontId="18" fillId="94" borderId="0" xfId="0" applyNumberFormat="1" applyFont="1" applyFill="1" applyBorder="1" applyAlignment="1" applyProtection="1">
      <alignment horizontal="left" vertical="center"/>
    </xf>
    <xf numFmtId="2" fontId="0" fillId="0" borderId="0" xfId="0" applyNumberFormat="1" applyFont="1" applyFill="1" applyBorder="1" applyAlignment="1" applyProtection="1"/>
    <xf numFmtId="0" fontId="11" fillId="96" borderId="0" xfId="0" applyNumberFormat="1" applyFont="1" applyFill="1" applyBorder="1" applyAlignment="1" applyProtection="1"/>
    <xf numFmtId="0" fontId="0" fillId="96" borderId="0" xfId="0" applyNumberFormat="1" applyFont="1" applyFill="1" applyBorder="1" applyAlignment="1" applyProtection="1"/>
    <xf numFmtId="0" fontId="11" fillId="92" borderId="0" xfId="0" applyNumberFormat="1" applyFont="1" applyFill="1" applyBorder="1" applyAlignment="1" applyProtection="1"/>
    <xf numFmtId="167" fontId="134" fillId="0" borderId="0" xfId="0" applyNumberFormat="1" applyFont="1" applyFill="1" applyBorder="1" applyAlignment="1" applyProtection="1"/>
    <xf numFmtId="0" fontId="0" fillId="92" borderId="0" xfId="0" applyNumberFormat="1" applyFont="1" applyFill="1" applyBorder="1" applyAlignment="1" applyProtection="1"/>
    <xf numFmtId="2" fontId="11" fillId="0" borderId="0" xfId="0" applyNumberFormat="1" applyFont="1" applyBorder="1" applyAlignment="1">
      <alignment horizontal="center"/>
    </xf>
    <xf numFmtId="1" fontId="11" fillId="0" borderId="0" xfId="0" applyNumberFormat="1" applyFont="1" applyBorder="1" applyAlignment="1">
      <alignment horizontal="center"/>
    </xf>
    <xf numFmtId="169" fontId="11" fillId="0" borderId="0" xfId="0" applyNumberFormat="1" applyFont="1" applyBorder="1" applyAlignment="1">
      <alignment horizontal="center"/>
    </xf>
    <xf numFmtId="167" fontId="11" fillId="0" borderId="0" xfId="0" applyNumberFormat="1" applyFont="1" applyBorder="1" applyAlignment="1">
      <alignment horizontal="center"/>
    </xf>
    <xf numFmtId="0" fontId="0" fillId="0" borderId="138" xfId="0" applyFont="1" applyFill="1" applyBorder="1" applyAlignment="1">
      <alignment horizontal="center"/>
    </xf>
    <xf numFmtId="2" fontId="11" fillId="0" borderId="138" xfId="0" applyNumberFormat="1" applyFont="1" applyBorder="1" applyAlignment="1">
      <alignment horizontal="center"/>
    </xf>
    <xf numFmtId="169" fontId="11" fillId="0" borderId="138" xfId="0" applyNumberFormat="1" applyFont="1" applyBorder="1" applyAlignment="1">
      <alignment horizontal="center"/>
    </xf>
    <xf numFmtId="0" fontId="73" fillId="0" borderId="138" xfId="0" applyFont="1" applyBorder="1"/>
    <xf numFmtId="169" fontId="0" fillId="0" borderId="0" xfId="0" applyNumberFormat="1" applyBorder="1" applyAlignment="1">
      <alignment horizontal="center"/>
    </xf>
    <xf numFmtId="169" fontId="0" fillId="0" borderId="0" xfId="0" applyNumberFormat="1" applyFill="1" applyBorder="1" applyAlignment="1">
      <alignment horizontal="center"/>
    </xf>
    <xf numFmtId="0" fontId="0" fillId="0" borderId="0" xfId="0" applyFont="1" applyFill="1" applyBorder="1"/>
    <xf numFmtId="169" fontId="0" fillId="0" borderId="138" xfId="0" applyNumberFormat="1" applyBorder="1" applyAlignment="1">
      <alignment horizontal="center"/>
    </xf>
    <xf numFmtId="0" fontId="11" fillId="0" borderId="124" xfId="0" applyFont="1" applyBorder="1" applyAlignment="1">
      <alignment horizontal="center"/>
    </xf>
    <xf numFmtId="0" fontId="11" fillId="0" borderId="118" xfId="0" applyFont="1" applyBorder="1" applyAlignment="1">
      <alignment horizontal="center"/>
    </xf>
    <xf numFmtId="2" fontId="11" fillId="0" borderId="118" xfId="0" applyNumberFormat="1" applyFont="1" applyBorder="1" applyAlignment="1">
      <alignment horizontal="center"/>
    </xf>
    <xf numFmtId="0" fontId="73" fillId="0" borderId="0" xfId="0" applyFont="1" applyBorder="1" applyAlignment="1">
      <alignment horizontal="center"/>
    </xf>
    <xf numFmtId="168" fontId="11" fillId="0" borderId="0" xfId="0" applyNumberFormat="1" applyFont="1"/>
    <xf numFmtId="2" fontId="11" fillId="0" borderId="0" xfId="0" applyNumberFormat="1" applyFont="1"/>
    <xf numFmtId="181" fontId="29" fillId="36" borderId="96" xfId="0" applyNumberFormat="1" applyFont="1" applyFill="1" applyBorder="1" applyAlignment="1">
      <alignment horizontal="left" vertical="center" wrapText="1"/>
    </xf>
    <xf numFmtId="181" fontId="0" fillId="0" borderId="118" xfId="0" applyNumberFormat="1" applyFill="1" applyBorder="1"/>
    <xf numFmtId="0" fontId="30" fillId="29" borderId="96" xfId="0" applyFont="1" applyFill="1" applyBorder="1" applyAlignment="1">
      <alignment horizontal="left" vertical="top" wrapText="1"/>
    </xf>
    <xf numFmtId="0" fontId="30" fillId="29" borderId="96" xfId="0" applyFont="1" applyFill="1" applyBorder="1" applyAlignment="1">
      <alignment horizontal="center" vertical="top" wrapText="1"/>
    </xf>
    <xf numFmtId="0" fontId="30" fillId="29" borderId="124" xfId="0" applyFont="1" applyFill="1" applyBorder="1" applyAlignment="1">
      <alignment horizontal="left" vertical="top" wrapText="1"/>
    </xf>
    <xf numFmtId="0" fontId="30" fillId="29" borderId="124" xfId="0" applyFont="1" applyFill="1" applyBorder="1" applyAlignment="1">
      <alignment horizontal="center" vertical="top" wrapText="1"/>
    </xf>
    <xf numFmtId="1" fontId="11" fillId="0" borderId="138" xfId="0" applyNumberFormat="1" applyFont="1" applyBorder="1" applyAlignment="1">
      <alignment horizontal="center"/>
    </xf>
    <xf numFmtId="0" fontId="73" fillId="0" borderId="138" xfId="0" applyNumberFormat="1" applyFont="1" applyBorder="1" applyAlignment="1">
      <alignment horizontal="center"/>
    </xf>
    <xf numFmtId="0" fontId="73" fillId="0" borderId="0" xfId="0" applyNumberFormat="1" applyFont="1" applyBorder="1" applyAlignment="1">
      <alignment horizontal="center"/>
    </xf>
    <xf numFmtId="2" fontId="11" fillId="0" borderId="0" xfId="0" applyNumberFormat="1" applyFont="1" applyAlignment="1">
      <alignment horizontal="center"/>
    </xf>
    <xf numFmtId="0" fontId="73" fillId="0" borderId="138" xfId="0" applyFont="1" applyBorder="1" applyAlignment="1">
      <alignment horizontal="center"/>
    </xf>
    <xf numFmtId="1" fontId="73" fillId="0" borderId="0" xfId="0" applyNumberFormat="1" applyFont="1" applyBorder="1" applyAlignment="1">
      <alignment horizontal="center"/>
    </xf>
    <xf numFmtId="0" fontId="35" fillId="0" borderId="0" xfId="0" applyFont="1" applyBorder="1" applyAlignment="1">
      <alignment horizontal="center"/>
    </xf>
    <xf numFmtId="2" fontId="35" fillId="0" borderId="0" xfId="0" applyNumberFormat="1" applyFont="1" applyBorder="1" applyAlignment="1">
      <alignment horizontal="center"/>
    </xf>
    <xf numFmtId="1" fontId="35" fillId="0" borderId="0" xfId="0" applyNumberFormat="1" applyFont="1" applyBorder="1" applyAlignment="1">
      <alignment horizontal="center"/>
    </xf>
    <xf numFmtId="0" fontId="35" fillId="0" borderId="0" xfId="0" applyNumberFormat="1" applyFont="1" applyBorder="1" applyAlignment="1">
      <alignment horizontal="center"/>
    </xf>
    <xf numFmtId="0" fontId="35" fillId="0" borderId="0" xfId="0" applyFont="1" applyFill="1" applyBorder="1" applyAlignment="1">
      <alignment horizontal="center"/>
    </xf>
    <xf numFmtId="0" fontId="35" fillId="0" borderId="0" xfId="0" applyFont="1" applyAlignment="1">
      <alignment horizontal="center"/>
    </xf>
    <xf numFmtId="0" fontId="35" fillId="0" borderId="138" xfId="0" applyFont="1" applyBorder="1" applyAlignment="1">
      <alignment horizontal="center"/>
    </xf>
    <xf numFmtId="2" fontId="35" fillId="0" borderId="138" xfId="0" applyNumberFormat="1" applyFont="1" applyBorder="1" applyAlignment="1">
      <alignment horizontal="center"/>
    </xf>
    <xf numFmtId="1" fontId="35" fillId="0" borderId="138" xfId="0" applyNumberFormat="1" applyFont="1" applyBorder="1" applyAlignment="1">
      <alignment horizontal="center"/>
    </xf>
    <xf numFmtId="0" fontId="35" fillId="0" borderId="138" xfId="0" applyNumberFormat="1" applyFont="1" applyBorder="1" applyAlignment="1">
      <alignment horizontal="center"/>
    </xf>
    <xf numFmtId="168" fontId="35" fillId="0" borderId="0" xfId="0" applyNumberFormat="1" applyFont="1" applyBorder="1" applyAlignment="1">
      <alignment horizontal="center"/>
    </xf>
    <xf numFmtId="168" fontId="35" fillId="0" borderId="138" xfId="0" applyNumberFormat="1" applyFont="1" applyBorder="1" applyAlignment="1">
      <alignment horizontal="center"/>
    </xf>
    <xf numFmtId="0" fontId="11" fillId="0" borderId="0" xfId="0" applyFont="1" applyAlignment="1">
      <alignment horizontal="center"/>
    </xf>
    <xf numFmtId="0" fontId="11" fillId="0" borderId="0" xfId="0" applyFont="1" applyFill="1" applyBorder="1" applyAlignment="1">
      <alignment horizontal="center"/>
    </xf>
    <xf numFmtId="168" fontId="73" fillId="0" borderId="138" xfId="0" applyNumberFormat="1" applyFont="1" applyBorder="1" applyAlignment="1">
      <alignment horizontal="center"/>
    </xf>
    <xf numFmtId="168" fontId="73" fillId="0" borderId="0" xfId="0" applyNumberFormat="1" applyFont="1" applyBorder="1" applyAlignment="1">
      <alignment horizontal="center"/>
    </xf>
    <xf numFmtId="167" fontId="0" fillId="0" borderId="0" xfId="0" applyNumberFormat="1"/>
    <xf numFmtId="0" fontId="0" fillId="0" borderId="138" xfId="0" applyFill="1" applyBorder="1" applyAlignment="1">
      <alignment horizontal="center"/>
    </xf>
    <xf numFmtId="0" fontId="11" fillId="0" borderId="136" xfId="0" applyFont="1" applyBorder="1" applyAlignment="1">
      <alignment horizontal="center"/>
    </xf>
    <xf numFmtId="0" fontId="0" fillId="0" borderId="136" xfId="0" applyNumberFormat="1" applyBorder="1" applyAlignment="1">
      <alignment horizontal="center"/>
    </xf>
    <xf numFmtId="1" fontId="11" fillId="0" borderId="151" xfId="0" applyNumberFormat="1" applyFont="1" applyFill="1" applyBorder="1" applyAlignment="1" applyProtection="1">
      <alignment horizontal="center"/>
    </xf>
    <xf numFmtId="0" fontId="11" fillId="0" borderId="151" xfId="0" applyNumberFormat="1" applyFont="1" applyFill="1" applyBorder="1" applyAlignment="1" applyProtection="1">
      <alignment horizontal="center"/>
    </xf>
    <xf numFmtId="1" fontId="11" fillId="0" borderId="0" xfId="0" applyNumberFormat="1" applyFont="1" applyFill="1" applyBorder="1" applyAlignment="1" applyProtection="1">
      <alignment horizontal="center"/>
    </xf>
    <xf numFmtId="0" fontId="11" fillId="0" borderId="0" xfId="0" applyNumberFormat="1" applyFont="1" applyFill="1" applyBorder="1" applyAlignment="1" applyProtection="1">
      <alignment horizontal="center"/>
    </xf>
    <xf numFmtId="1" fontId="11" fillId="0" borderId="152" xfId="0" applyNumberFormat="1" applyFont="1" applyFill="1" applyBorder="1" applyAlignment="1" applyProtection="1">
      <alignment horizontal="center"/>
    </xf>
    <xf numFmtId="0" fontId="11" fillId="0" borderId="152" xfId="0" applyNumberFormat="1" applyFont="1" applyFill="1" applyBorder="1" applyAlignment="1" applyProtection="1">
      <alignment horizontal="center"/>
    </xf>
    <xf numFmtId="0" fontId="125" fillId="0" borderId="0" xfId="0" applyNumberFormat="1" applyFont="1" applyFill="1" applyBorder="1" applyAlignment="1" applyProtection="1">
      <alignment horizontal="center"/>
    </xf>
    <xf numFmtId="1" fontId="125" fillId="0" borderId="152" xfId="0" applyNumberFormat="1" applyFont="1" applyFill="1" applyBorder="1" applyAlignment="1" applyProtection="1">
      <alignment horizontal="center"/>
    </xf>
    <xf numFmtId="0" fontId="125" fillId="0" borderId="152" xfId="0" applyNumberFormat="1" applyFont="1" applyFill="1" applyBorder="1" applyAlignment="1" applyProtection="1">
      <alignment horizontal="center"/>
    </xf>
    <xf numFmtId="2" fontId="35" fillId="0" borderId="0" xfId="0" applyNumberFormat="1" applyFont="1" applyFill="1" applyBorder="1" applyAlignment="1" applyProtection="1">
      <alignment horizontal="center"/>
    </xf>
    <xf numFmtId="1" fontId="35" fillId="0" borderId="0" xfId="0" applyNumberFormat="1" applyFont="1" applyFill="1" applyBorder="1" applyAlignment="1" applyProtection="1">
      <alignment horizontal="center"/>
    </xf>
    <xf numFmtId="0" fontId="35" fillId="0" borderId="0" xfId="0" applyNumberFormat="1" applyFont="1" applyFill="1" applyBorder="1" applyAlignment="1" applyProtection="1">
      <alignment horizontal="center"/>
    </xf>
    <xf numFmtId="2" fontId="35" fillId="0" borderId="152" xfId="0" applyNumberFormat="1" applyFont="1" applyFill="1" applyBorder="1" applyAlignment="1" applyProtection="1">
      <alignment horizontal="center"/>
    </xf>
    <xf numFmtId="0" fontId="35" fillId="0" borderId="152" xfId="0" applyNumberFormat="1" applyFont="1" applyFill="1" applyBorder="1" applyAlignment="1" applyProtection="1">
      <alignment horizontal="center"/>
    </xf>
    <xf numFmtId="2" fontId="11" fillId="0" borderId="0" xfId="0" applyNumberFormat="1" applyFont="1" applyFill="1" applyBorder="1" applyAlignment="1" applyProtection="1">
      <alignment horizontal="center"/>
    </xf>
    <xf numFmtId="168" fontId="11" fillId="0" borderId="0" xfId="0" applyNumberFormat="1" applyFont="1" applyFill="1" applyBorder="1" applyAlignment="1" applyProtection="1">
      <alignment horizontal="center"/>
    </xf>
    <xf numFmtId="2" fontId="11" fillId="0" borderId="152" xfId="0" applyNumberFormat="1" applyFont="1" applyFill="1" applyBorder="1" applyAlignment="1" applyProtection="1">
      <alignment horizontal="center"/>
    </xf>
    <xf numFmtId="169" fontId="11" fillId="0" borderId="0" xfId="0" applyNumberFormat="1" applyFont="1" applyFill="1" applyBorder="1" applyAlignment="1" applyProtection="1">
      <alignment horizontal="center"/>
    </xf>
    <xf numFmtId="168" fontId="125" fillId="0" borderId="152" xfId="0" applyNumberFormat="1" applyFont="1" applyFill="1" applyBorder="1" applyAlignment="1" applyProtection="1">
      <alignment horizontal="center"/>
    </xf>
    <xf numFmtId="0" fontId="11" fillId="0" borderId="152" xfId="0" applyFont="1" applyBorder="1"/>
    <xf numFmtId="0" fontId="55" fillId="57" borderId="153" xfId="0" applyNumberFormat="1" applyFont="1" applyFill="1" applyBorder="1" applyAlignment="1" applyProtection="1"/>
    <xf numFmtId="0" fontId="55" fillId="57" borderId="154" xfId="0" applyNumberFormat="1" applyFont="1" applyFill="1" applyBorder="1" applyAlignment="1" applyProtection="1"/>
    <xf numFmtId="0" fontId="29" fillId="57" borderId="154" xfId="0" applyNumberFormat="1" applyFont="1" applyFill="1" applyBorder="1" applyAlignment="1" applyProtection="1"/>
    <xf numFmtId="0" fontId="29" fillId="57" borderId="155" xfId="0" applyNumberFormat="1" applyFont="1" applyFill="1" applyBorder="1" applyAlignment="1" applyProtection="1"/>
    <xf numFmtId="0" fontId="55" fillId="57" borderId="156" xfId="0" applyNumberFormat="1" applyFont="1" applyFill="1" applyBorder="1" applyAlignment="1" applyProtection="1"/>
    <xf numFmtId="0" fontId="29" fillId="57" borderId="157" xfId="0" applyNumberFormat="1" applyFont="1" applyFill="1" applyBorder="1" applyAlignment="1" applyProtection="1"/>
    <xf numFmtId="189" fontId="11" fillId="57" borderId="156" xfId="0" applyNumberFormat="1" applyFont="1" applyFill="1" applyBorder="1" applyAlignment="1" applyProtection="1">
      <protection locked="0"/>
    </xf>
    <xf numFmtId="43" fontId="29" fillId="57" borderId="156" xfId="0" applyNumberFormat="1" applyFont="1" applyFill="1" applyBorder="1" applyAlignment="1" applyProtection="1">
      <protection locked="0"/>
    </xf>
    <xf numFmtId="43" fontId="186" fillId="57" borderId="156" xfId="0" applyNumberFormat="1" applyFont="1" applyFill="1" applyBorder="1" applyAlignment="1" applyProtection="1">
      <protection locked="0"/>
    </xf>
    <xf numFmtId="43" fontId="181" fillId="57" borderId="156" xfId="0" applyNumberFormat="1" applyFont="1" applyFill="1" applyBorder="1" applyAlignment="1" applyProtection="1">
      <protection locked="0"/>
    </xf>
    <xf numFmtId="182" fontId="0" fillId="0" borderId="0" xfId="0" applyNumberFormat="1" applyFont="1" applyFill="1" applyBorder="1" applyAlignment="1" applyProtection="1"/>
    <xf numFmtId="43" fontId="0" fillId="0" borderId="0" xfId="0" applyNumberFormat="1"/>
    <xf numFmtId="43" fontId="35" fillId="0" borderId="138" xfId="0" applyNumberFormat="1" applyFont="1" applyBorder="1" applyAlignment="1">
      <alignment horizontal="center"/>
    </xf>
    <xf numFmtId="0" fontId="35" fillId="0" borderId="0" xfId="0" quotePrefix="1" applyFont="1" applyBorder="1"/>
    <xf numFmtId="43" fontId="11" fillId="0" borderId="0" xfId="0" applyNumberFormat="1" applyFont="1" applyBorder="1" applyAlignment="1">
      <alignment horizontal="center"/>
    </xf>
    <xf numFmtId="0" fontId="29" fillId="30" borderId="0" xfId="2572" applyNumberFormat="1" applyFill="1" applyBorder="1"/>
    <xf numFmtId="2" fontId="190" fillId="97" borderId="0" xfId="0" applyNumberFormat="1" applyFont="1" applyFill="1" applyBorder="1" applyAlignment="1" applyProtection="1">
      <alignment horizontal="right"/>
    </xf>
    <xf numFmtId="2" fontId="190" fillId="97" borderId="154" xfId="0" applyNumberFormat="1" applyFont="1" applyFill="1" applyBorder="1" applyAlignment="1" applyProtection="1">
      <alignment horizontal="right"/>
    </xf>
    <xf numFmtId="0" fontId="0" fillId="0" borderId="154" xfId="0" applyBorder="1"/>
    <xf numFmtId="0" fontId="35" fillId="0" borderId="154" xfId="0" applyFont="1" applyBorder="1"/>
    <xf numFmtId="0" fontId="11" fillId="0" borderId="154" xfId="0" applyFont="1" applyBorder="1"/>
    <xf numFmtId="0" fontId="0" fillId="0" borderId="154" xfId="0" applyBorder="1" applyAlignment="1">
      <alignment horizontal="center"/>
    </xf>
    <xf numFmtId="0" fontId="11" fillId="0" borderId="154" xfId="0" applyFont="1" applyBorder="1" applyAlignment="1">
      <alignment horizontal="center"/>
    </xf>
    <xf numFmtId="2" fontId="11" fillId="0" borderId="154" xfId="0" applyNumberFormat="1" applyFont="1" applyBorder="1" applyAlignment="1">
      <alignment horizontal="center"/>
    </xf>
    <xf numFmtId="1" fontId="0" fillId="0" borderId="154" xfId="0" applyNumberFormat="1" applyBorder="1" applyAlignment="1">
      <alignment horizontal="center"/>
    </xf>
    <xf numFmtId="1" fontId="11" fillId="0" borderId="154" xfId="0" applyNumberFormat="1" applyFont="1" applyFill="1" applyBorder="1" applyAlignment="1" applyProtection="1">
      <alignment horizontal="center"/>
    </xf>
    <xf numFmtId="0" fontId="11" fillId="0" borderId="154" xfId="0" applyNumberFormat="1" applyFont="1" applyFill="1" applyBorder="1" applyAlignment="1" applyProtection="1">
      <alignment horizontal="center"/>
    </xf>
    <xf numFmtId="0" fontId="73" fillId="0" borderId="154" xfId="0" applyNumberFormat="1" applyFont="1" applyBorder="1" applyAlignment="1">
      <alignment horizontal="center"/>
    </xf>
    <xf numFmtId="2" fontId="11" fillId="0" borderId="124" xfId="0" applyNumberFormat="1" applyFont="1" applyBorder="1" applyAlignment="1">
      <alignment horizontal="center"/>
    </xf>
    <xf numFmtId="0" fontId="73" fillId="0" borderId="124" xfId="0" applyFont="1" applyBorder="1" applyAlignment="1">
      <alignment horizontal="center"/>
    </xf>
    <xf numFmtId="168" fontId="73" fillId="0" borderId="124" xfId="0" applyNumberFormat="1" applyFont="1" applyBorder="1" applyAlignment="1">
      <alignment horizontal="center"/>
    </xf>
    <xf numFmtId="0" fontId="11" fillId="0" borderId="124" xfId="0" applyNumberFormat="1" applyFont="1" applyBorder="1" applyAlignment="1">
      <alignment horizontal="center"/>
    </xf>
    <xf numFmtId="0" fontId="30" fillId="29" borderId="73" xfId="0" applyFont="1" applyFill="1" applyBorder="1" applyAlignment="1">
      <alignment horizontal="left" vertical="top" wrapText="1"/>
    </xf>
    <xf numFmtId="0" fontId="30" fillId="29" borderId="73" xfId="0" applyFont="1" applyFill="1" applyBorder="1" applyAlignment="1">
      <alignment horizontal="center" vertical="top" wrapText="1"/>
    </xf>
    <xf numFmtId="0" fontId="0" fillId="0" borderId="73" xfId="0" applyBorder="1"/>
    <xf numFmtId="168" fontId="0" fillId="0" borderId="154" xfId="0" applyNumberFormat="1" applyBorder="1" applyAlignment="1">
      <alignment horizontal="center"/>
    </xf>
    <xf numFmtId="0" fontId="11" fillId="0" borderId="154" xfId="0" applyNumberFormat="1" applyFont="1" applyBorder="1" applyAlignment="1">
      <alignment horizontal="center"/>
    </xf>
    <xf numFmtId="0" fontId="0" fillId="0" borderId="154" xfId="0" applyNumberFormat="1" applyFill="1" applyBorder="1" applyAlignment="1">
      <alignment horizontal="center"/>
    </xf>
    <xf numFmtId="2" fontId="0" fillId="0" borderId="154" xfId="0" applyNumberFormat="1" applyBorder="1" applyAlignment="1">
      <alignment horizontal="center"/>
    </xf>
    <xf numFmtId="0" fontId="0" fillId="0" borderId="154" xfId="0" applyNumberFormat="1" applyBorder="1"/>
    <xf numFmtId="0" fontId="11" fillId="0" borderId="154" xfId="0" applyFont="1" applyFill="1" applyBorder="1"/>
    <xf numFmtId="0" fontId="11" fillId="0" borderId="154" xfId="7380" applyNumberFormat="1" applyFont="1" applyBorder="1" applyAlignment="1">
      <alignment horizontal="center"/>
    </xf>
    <xf numFmtId="0" fontId="0" fillId="0" borderId="154" xfId="0" applyBorder="1" applyAlignment="1">
      <alignment horizontal="left" vertical="top"/>
    </xf>
    <xf numFmtId="1" fontId="35" fillId="0" borderId="154" xfId="0" applyNumberFormat="1" applyFont="1" applyBorder="1"/>
    <xf numFmtId="1" fontId="11" fillId="0" borderId="154" xfId="0" applyNumberFormat="1" applyFont="1" applyBorder="1"/>
    <xf numFmtId="2" fontId="73" fillId="0" borderId="154" xfId="0" applyNumberFormat="1" applyFont="1" applyBorder="1" applyAlignment="1">
      <alignment horizontal="center"/>
    </xf>
    <xf numFmtId="0" fontId="11" fillId="0" borderId="154" xfId="0" applyNumberFormat="1" applyFont="1" applyBorder="1" applyAlignment="1">
      <alignment horizontal="right"/>
    </xf>
    <xf numFmtId="0" fontId="168" fillId="0" borderId="0" xfId="0" applyFont="1" applyBorder="1"/>
    <xf numFmtId="0" fontId="0" fillId="0" borderId="154" xfId="0" applyFont="1" applyFill="1" applyBorder="1" applyAlignment="1">
      <alignment horizontal="center"/>
    </xf>
    <xf numFmtId="168" fontId="0" fillId="0" borderId="154" xfId="0" applyNumberFormat="1" applyBorder="1"/>
    <xf numFmtId="169" fontId="0" fillId="0" borderId="154" xfId="0" applyNumberFormat="1" applyBorder="1" applyAlignment="1">
      <alignment horizontal="center"/>
    </xf>
    <xf numFmtId="0" fontId="41" fillId="0" borderId="72" xfId="0" applyFont="1" applyBorder="1"/>
    <xf numFmtId="0" fontId="41" fillId="0" borderId="158" xfId="0" applyFont="1" applyBorder="1"/>
    <xf numFmtId="0" fontId="191" fillId="98" borderId="159" xfId="40427" applyFill="1" applyBorder="1" applyAlignment="1">
      <alignment horizontal="center"/>
    </xf>
    <xf numFmtId="0" fontId="191" fillId="0" borderId="160" xfId="40427" applyBorder="1" applyAlignment="1">
      <alignment horizontal="right" wrapText="1"/>
    </xf>
    <xf numFmtId="0" fontId="191" fillId="0" borderId="160" xfId="40427" applyBorder="1" applyAlignment="1">
      <alignment wrapText="1"/>
    </xf>
    <xf numFmtId="167" fontId="191" fillId="0" borderId="160" xfId="40427" applyNumberFormat="1" applyBorder="1" applyAlignment="1">
      <alignment horizontal="right" wrapText="1"/>
    </xf>
    <xf numFmtId="0" fontId="0" fillId="99" borderId="0" xfId="0" applyFill="1"/>
    <xf numFmtId="211" fontId="0" fillId="0" borderId="0" xfId="0" applyNumberFormat="1"/>
    <xf numFmtId="0" fontId="191" fillId="0" borderId="161" xfId="40427" applyBorder="1" applyAlignment="1">
      <alignment horizontal="right" wrapText="1"/>
    </xf>
    <xf numFmtId="0" fontId="191" fillId="0" borderId="161" xfId="40427" applyBorder="1" applyAlignment="1">
      <alignment wrapText="1"/>
    </xf>
    <xf numFmtId="167" fontId="191" fillId="0" borderId="161" xfId="40427" applyNumberFormat="1" applyBorder="1" applyAlignment="1">
      <alignment horizontal="right" wrapText="1"/>
    </xf>
    <xf numFmtId="0" fontId="191" fillId="0" borderId="162" xfId="40427" applyBorder="1" applyAlignment="1">
      <alignment horizontal="right" wrapText="1"/>
    </xf>
    <xf numFmtId="0" fontId="191" fillId="0" borderId="162" xfId="40427" applyBorder="1" applyAlignment="1">
      <alignment wrapText="1"/>
    </xf>
    <xf numFmtId="167" fontId="191" fillId="0" borderId="162" xfId="40427" applyNumberFormat="1" applyBorder="1" applyAlignment="1">
      <alignment horizontal="right" wrapText="1"/>
    </xf>
    <xf numFmtId="0" fontId="0" fillId="0" borderId="163" xfId="0" applyBorder="1"/>
    <xf numFmtId="0" fontId="191" fillId="0" borderId="0" xfId="40427" applyAlignment="1">
      <alignment horizontal="center"/>
    </xf>
    <xf numFmtId="0" fontId="191" fillId="0" borderId="0" xfId="40427" applyAlignment="1">
      <alignment horizontal="right" wrapText="1"/>
    </xf>
    <xf numFmtId="0" fontId="0" fillId="0" borderId="164" xfId="0" applyBorder="1"/>
    <xf numFmtId="0" fontId="191" fillId="0" borderId="0" xfId="40427" applyAlignment="1">
      <alignment wrapText="1"/>
    </xf>
    <xf numFmtId="185" fontId="191" fillId="0" borderId="0" xfId="40427" applyNumberFormat="1" applyAlignment="1">
      <alignment horizontal="right" wrapText="1"/>
    </xf>
    <xf numFmtId="167" fontId="191" fillId="0" borderId="165" xfId="40427" applyNumberFormat="1" applyBorder="1" applyAlignment="1">
      <alignment horizontal="right" wrapText="1"/>
    </xf>
    <xf numFmtId="167" fontId="191" fillId="0" borderId="0" xfId="40427" applyNumberFormat="1" applyAlignment="1">
      <alignment horizontal="right" wrapText="1"/>
    </xf>
    <xf numFmtId="0" fontId="191" fillId="100" borderId="0" xfId="40427" applyFill="1" applyAlignment="1">
      <alignment horizontal="right" wrapText="1"/>
    </xf>
    <xf numFmtId="0" fontId="191" fillId="100" borderId="0" xfId="40427" applyFill="1" applyAlignment="1">
      <alignment wrapText="1"/>
    </xf>
    <xf numFmtId="0" fontId="0" fillId="99" borderId="0" xfId="0" applyFill="1" applyAlignment="1">
      <alignment horizontal="center"/>
    </xf>
    <xf numFmtId="168" fontId="191" fillId="0" borderId="0" xfId="40427" applyNumberFormat="1" applyAlignment="1">
      <alignment horizontal="right" wrapText="1"/>
    </xf>
    <xf numFmtId="0" fontId="191" fillId="99" borderId="0" xfId="40427" applyFill="1" applyAlignment="1">
      <alignment horizontal="right" wrapText="1"/>
    </xf>
    <xf numFmtId="0" fontId="191" fillId="99" borderId="0" xfId="40427" applyFill="1" applyAlignment="1">
      <alignment wrapText="1"/>
    </xf>
    <xf numFmtId="167" fontId="191" fillId="100" borderId="0" xfId="40427" applyNumberFormat="1" applyFill="1" applyAlignment="1">
      <alignment horizontal="right" wrapText="1"/>
    </xf>
    <xf numFmtId="168" fontId="191" fillId="100" borderId="0" xfId="40427" applyNumberFormat="1" applyFill="1" applyAlignment="1">
      <alignment horizontal="right" wrapText="1"/>
    </xf>
    <xf numFmtId="167" fontId="0" fillId="99" borderId="0" xfId="0" applyNumberFormat="1" applyFill="1"/>
    <xf numFmtId="168" fontId="0" fillId="99" borderId="0" xfId="0" applyNumberFormat="1" applyFill="1" applyAlignment="1">
      <alignment horizontal="right"/>
    </xf>
    <xf numFmtId="168" fontId="0" fillId="99" borderId="0" xfId="0" applyNumberFormat="1" applyFill="1"/>
    <xf numFmtId="0" fontId="191" fillId="0" borderId="166" xfId="40427" applyBorder="1" applyAlignment="1">
      <alignment horizontal="right" wrapText="1"/>
    </xf>
    <xf numFmtId="0" fontId="0" fillId="0" borderId="163" xfId="0" applyBorder="1" applyAlignment="1">
      <alignment horizontal="center"/>
    </xf>
    <xf numFmtId="169" fontId="0" fillId="0" borderId="163" xfId="0" applyNumberFormat="1" applyBorder="1"/>
    <xf numFmtId="168" fontId="0" fillId="0" borderId="163" xfId="0" applyNumberFormat="1" applyBorder="1"/>
    <xf numFmtId="0" fontId="191" fillId="0" borderId="165" xfId="40427" applyBorder="1" applyAlignment="1">
      <alignment wrapText="1"/>
    </xf>
    <xf numFmtId="0" fontId="191" fillId="0" borderId="165" xfId="40427" applyBorder="1" applyAlignment="1">
      <alignment horizontal="right" wrapText="1"/>
    </xf>
    <xf numFmtId="0" fontId="191" fillId="98" borderId="159" xfId="40428" applyFill="1" applyBorder="1" applyAlignment="1">
      <alignment horizontal="center"/>
    </xf>
    <xf numFmtId="0" fontId="191" fillId="0" borderId="160" xfId="40428" applyBorder="1" applyAlignment="1">
      <alignment wrapText="1"/>
    </xf>
    <xf numFmtId="0" fontId="191" fillId="0" borderId="160" xfId="40428" applyBorder="1" applyAlignment="1">
      <alignment horizontal="right" wrapText="1"/>
    </xf>
    <xf numFmtId="1" fontId="191" fillId="0" borderId="160" xfId="40428" applyNumberFormat="1" applyBorder="1" applyAlignment="1">
      <alignment horizontal="right" wrapText="1"/>
    </xf>
    <xf numFmtId="167" fontId="191" fillId="0" borderId="160" xfId="40428" applyNumberFormat="1" applyBorder="1" applyAlignment="1">
      <alignment horizontal="right" wrapText="1"/>
    </xf>
    <xf numFmtId="0" fontId="191" fillId="0" borderId="167" xfId="40428" applyBorder="1" applyAlignment="1">
      <alignment wrapText="1"/>
    </xf>
    <xf numFmtId="167" fontId="191" fillId="0" borderId="160" xfId="40429" applyNumberFormat="1" applyBorder="1" applyAlignment="1">
      <alignment horizontal="right" wrapText="1"/>
    </xf>
    <xf numFmtId="1" fontId="191" fillId="0" borderId="160" xfId="40429" applyNumberFormat="1" applyBorder="1" applyAlignment="1">
      <alignment horizontal="right" wrapText="1"/>
    </xf>
    <xf numFmtId="0" fontId="191" fillId="0" borderId="0" xfId="40428" applyAlignment="1">
      <alignment wrapText="1"/>
    </xf>
    <xf numFmtId="0" fontId="191" fillId="0" borderId="0" xfId="40428" applyAlignment="1">
      <alignment horizontal="right" wrapText="1"/>
    </xf>
    <xf numFmtId="1" fontId="0" fillId="99" borderId="0" xfId="0" applyNumberFormat="1" applyFill="1"/>
    <xf numFmtId="0" fontId="191" fillId="100" borderId="0" xfId="40428" applyFill="1" applyAlignment="1">
      <alignment wrapText="1"/>
    </xf>
    <xf numFmtId="0" fontId="191" fillId="100" borderId="0" xfId="40428" applyFill="1" applyAlignment="1">
      <alignment horizontal="right" wrapText="1"/>
    </xf>
    <xf numFmtId="0" fontId="191" fillId="98" borderId="0" xfId="40430" applyFill="1" applyAlignment="1">
      <alignment horizontal="center"/>
    </xf>
    <xf numFmtId="0" fontId="53" fillId="98" borderId="0" xfId="40430" applyFont="1" applyFill="1" applyAlignment="1">
      <alignment horizontal="center"/>
    </xf>
    <xf numFmtId="0" fontId="191" fillId="0" borderId="0" xfId="40430" applyAlignment="1">
      <alignment horizontal="right" wrapText="1"/>
    </xf>
    <xf numFmtId="0" fontId="191" fillId="0" borderId="0" xfId="40430" applyAlignment="1">
      <alignment wrapText="1"/>
    </xf>
    <xf numFmtId="1" fontId="191" fillId="0" borderId="0" xfId="40430" applyNumberFormat="1" applyAlignment="1">
      <alignment horizontal="right" wrapText="1"/>
    </xf>
    <xf numFmtId="168" fontId="191" fillId="0" borderId="0" xfId="40430" applyNumberFormat="1" applyAlignment="1">
      <alignment horizontal="right" wrapText="1"/>
    </xf>
    <xf numFmtId="0" fontId="73" fillId="0" borderId="0" xfId="40427" applyFont="1" applyAlignment="1">
      <alignment horizontal="right" wrapText="1"/>
    </xf>
    <xf numFmtId="0" fontId="73" fillId="0" borderId="0" xfId="40427" applyFont="1" applyAlignment="1">
      <alignment wrapText="1"/>
    </xf>
    <xf numFmtId="0" fontId="73" fillId="34" borderId="0" xfId="0" applyFont="1" applyFill="1"/>
    <xf numFmtId="0" fontId="11" fillId="34" borderId="0" xfId="0" applyFont="1" applyFill="1"/>
    <xf numFmtId="0" fontId="191" fillId="0" borderId="167" xfId="40427" applyBorder="1" applyAlignment="1">
      <alignment horizontal="right" wrapText="1"/>
    </xf>
    <xf numFmtId="0" fontId="53" fillId="0" borderId="167" xfId="40427" applyFont="1" applyBorder="1" applyAlignment="1">
      <alignment wrapText="1"/>
    </xf>
    <xf numFmtId="0" fontId="53" fillId="98" borderId="159" xfId="40428" applyFont="1" applyFill="1" applyBorder="1" applyAlignment="1">
      <alignment horizontal="center"/>
    </xf>
    <xf numFmtId="0" fontId="53" fillId="98" borderId="159" xfId="40427" applyFont="1" applyFill="1" applyBorder="1" applyAlignment="1">
      <alignment horizontal="center"/>
    </xf>
    <xf numFmtId="0" fontId="191" fillId="98" borderId="0" xfId="40427" applyFill="1" applyBorder="1" applyAlignment="1">
      <alignment horizontal="center"/>
    </xf>
    <xf numFmtId="0" fontId="53" fillId="98" borderId="0" xfId="40427" applyFont="1" applyFill="1" applyBorder="1" applyAlignment="1">
      <alignment horizontal="center"/>
    </xf>
    <xf numFmtId="0" fontId="73" fillId="0" borderId="160" xfId="40428" applyFont="1" applyBorder="1" applyAlignment="1">
      <alignment horizontal="right" wrapText="1"/>
    </xf>
    <xf numFmtId="1" fontId="11" fillId="0" borderId="0" xfId="0" applyNumberFormat="1" applyFont="1" applyFill="1" applyBorder="1"/>
    <xf numFmtId="0" fontId="53" fillId="0" borderId="160" xfId="40427" applyFont="1" applyBorder="1" applyAlignment="1">
      <alignment wrapText="1"/>
    </xf>
    <xf numFmtId="0" fontId="53" fillId="0" borderId="161" xfId="40427" applyFont="1" applyBorder="1" applyAlignment="1">
      <alignment wrapText="1"/>
    </xf>
    <xf numFmtId="0" fontId="53" fillId="0" borderId="162" xfId="40427" applyFont="1" applyBorder="1" applyAlignment="1">
      <alignment wrapText="1"/>
    </xf>
    <xf numFmtId="0" fontId="53" fillId="0" borderId="0" xfId="40427" applyFont="1" applyFill="1" applyBorder="1" applyAlignment="1">
      <alignment wrapText="1"/>
    </xf>
    <xf numFmtId="0" fontId="73" fillId="0" borderId="160" xfId="40428" applyFont="1" applyBorder="1" applyAlignment="1">
      <alignment wrapText="1"/>
    </xf>
    <xf numFmtId="1" fontId="73" fillId="0" borderId="160" xfId="40428" applyNumberFormat="1" applyFont="1" applyBorder="1" applyAlignment="1">
      <alignment horizontal="right" wrapText="1"/>
    </xf>
    <xf numFmtId="0" fontId="73" fillId="0" borderId="0" xfId="40427" applyFont="1" applyFill="1" applyBorder="1" applyAlignment="1">
      <alignment wrapText="1"/>
    </xf>
    <xf numFmtId="0" fontId="29" fillId="0" borderId="0" xfId="0" applyFont="1" applyFill="1" applyBorder="1" applyAlignment="1">
      <alignment horizontal="left" vertical="center" wrapText="1"/>
    </xf>
    <xf numFmtId="0" fontId="73" fillId="0" borderId="162" xfId="40427" applyFont="1" applyBorder="1" applyAlignment="1">
      <alignment horizontal="right" wrapText="1"/>
    </xf>
    <xf numFmtId="0" fontId="73" fillId="0" borderId="162" xfId="40427" applyFont="1" applyBorder="1" applyAlignment="1">
      <alignment wrapText="1"/>
    </xf>
    <xf numFmtId="0" fontId="73" fillId="0" borderId="160" xfId="40427" applyFont="1" applyBorder="1" applyAlignment="1">
      <alignment horizontal="right" wrapText="1"/>
    </xf>
    <xf numFmtId="0" fontId="73" fillId="0" borderId="163" xfId="0" applyFont="1" applyBorder="1"/>
    <xf numFmtId="0" fontId="73" fillId="0" borderId="161" xfId="40427" applyFont="1" applyBorder="1" applyAlignment="1">
      <alignment horizontal="right" wrapText="1"/>
    </xf>
    <xf numFmtId="0" fontId="11" fillId="37" borderId="90" xfId="0" applyFont="1" applyFill="1" applyBorder="1"/>
    <xf numFmtId="0" fontId="11" fillId="0" borderId="163" xfId="849" applyBorder="1"/>
    <xf numFmtId="0" fontId="29" fillId="36" borderId="168" xfId="849" applyFont="1" applyFill="1" applyBorder="1" applyAlignment="1">
      <alignment horizontal="left" vertical="center" wrapText="1"/>
    </xf>
    <xf numFmtId="181" fontId="29" fillId="36" borderId="168" xfId="849" applyNumberFormat="1" applyFont="1" applyFill="1" applyBorder="1" applyAlignment="1">
      <alignment horizontal="left" vertical="center" wrapText="1"/>
    </xf>
    <xf numFmtId="0" fontId="71" fillId="36" borderId="168" xfId="849" applyFont="1" applyFill="1" applyBorder="1" applyAlignment="1">
      <alignment horizontal="center" vertical="center" wrapText="1"/>
    </xf>
    <xf numFmtId="0" fontId="29" fillId="36" borderId="0" xfId="849" applyFont="1" applyFill="1" applyAlignment="1">
      <alignment horizontal="left" vertical="center" wrapText="1"/>
    </xf>
    <xf numFmtId="0" fontId="30" fillId="29" borderId="0" xfId="849" applyFont="1" applyFill="1" applyAlignment="1">
      <alignment horizontal="left" vertical="top" wrapText="1"/>
    </xf>
    <xf numFmtId="1" fontId="11" fillId="0" borderId="0" xfId="849" applyNumberFormat="1" applyAlignment="1">
      <alignment horizontal="right"/>
    </xf>
    <xf numFmtId="198" fontId="11" fillId="0" borderId="0" xfId="849" applyNumberFormat="1"/>
    <xf numFmtId="1" fontId="73" fillId="0" borderId="0" xfId="849" applyNumberFormat="1" applyFont="1"/>
    <xf numFmtId="167" fontId="11" fillId="0" borderId="0" xfId="849" applyNumberFormat="1"/>
    <xf numFmtId="0" fontId="35" fillId="37" borderId="172" xfId="849" applyFont="1" applyFill="1" applyBorder="1" applyAlignment="1">
      <alignment horizontal="right"/>
    </xf>
    <xf numFmtId="0" fontId="11" fillId="37" borderId="163" xfId="849" applyFill="1" applyBorder="1"/>
    <xf numFmtId="0" fontId="11" fillId="37" borderId="173" xfId="849" applyFill="1" applyBorder="1"/>
    <xf numFmtId="0" fontId="11" fillId="0" borderId="174" xfId="849" applyBorder="1"/>
    <xf numFmtId="0" fontId="11" fillId="0" borderId="175" xfId="849" applyBorder="1"/>
    <xf numFmtId="0" fontId="11" fillId="0" borderId="176" xfId="849" applyBorder="1"/>
    <xf numFmtId="2" fontId="11" fillId="0" borderId="133" xfId="849" applyNumberFormat="1" applyBorder="1"/>
    <xf numFmtId="0" fontId="11" fillId="0" borderId="172" xfId="849" applyBorder="1"/>
    <xf numFmtId="2" fontId="11" fillId="0" borderId="173" xfId="849" applyNumberFormat="1" applyBorder="1"/>
    <xf numFmtId="43" fontId="11" fillId="0" borderId="0" xfId="849" applyNumberFormat="1"/>
    <xf numFmtId="0" fontId="10" fillId="0" borderId="0" xfId="849" applyFont="1" applyAlignment="1">
      <alignment horizontal="right"/>
    </xf>
    <xf numFmtId="0" fontId="10" fillId="0" borderId="0" xfId="849" applyFont="1"/>
    <xf numFmtId="0" fontId="47" fillId="74" borderId="15" xfId="849" applyFont="1" applyFill="1" applyBorder="1" applyAlignment="1">
      <alignment horizontal="center" wrapText="1"/>
    </xf>
    <xf numFmtId="0" fontId="47" fillId="74" borderId="102" xfId="849" applyFont="1" applyFill="1" applyBorder="1" applyAlignment="1">
      <alignment horizontal="center" wrapText="1"/>
    </xf>
    <xf numFmtId="0" fontId="42" fillId="74" borderId="100" xfId="849" applyFont="1" applyFill="1" applyBorder="1" applyAlignment="1">
      <alignment horizontal="center" wrapText="1"/>
    </xf>
    <xf numFmtId="0" fontId="42" fillId="74" borderId="15" xfId="849" applyFont="1" applyFill="1" applyBorder="1" applyAlignment="1">
      <alignment horizontal="center" wrapText="1"/>
    </xf>
    <xf numFmtId="0" fontId="42" fillId="74" borderId="102" xfId="849" applyFont="1" applyFill="1" applyBorder="1" applyAlignment="1">
      <alignment horizontal="center" wrapText="1"/>
    </xf>
    <xf numFmtId="0" fontId="42" fillId="74" borderId="177" xfId="849" applyFont="1" applyFill="1" applyBorder="1" applyAlignment="1">
      <alignment horizontal="center" wrapText="1"/>
    </xf>
    <xf numFmtId="0" fontId="11" fillId="74" borderId="0" xfId="849" applyFill="1"/>
    <xf numFmtId="0" fontId="11" fillId="74" borderId="0" xfId="849" applyFill="1" applyAlignment="1">
      <alignment horizontal="center"/>
    </xf>
    <xf numFmtId="168" fontId="11" fillId="74" borderId="0" xfId="849" applyNumberFormat="1" applyFill="1"/>
    <xf numFmtId="0" fontId="11" fillId="74" borderId="176" xfId="849" applyFill="1" applyBorder="1"/>
    <xf numFmtId="0" fontId="41" fillId="34" borderId="0" xfId="849" applyFont="1" applyFill="1"/>
    <xf numFmtId="0" fontId="11" fillId="0" borderId="168" xfId="849" applyBorder="1"/>
    <xf numFmtId="1" fontId="11" fillId="0" borderId="168" xfId="849" applyNumberFormat="1" applyBorder="1"/>
    <xf numFmtId="178" fontId="54" fillId="30" borderId="117" xfId="2572" applyFont="1" applyBorder="1"/>
    <xf numFmtId="178" fontId="29" fillId="30" borderId="151" xfId="2572" applyBorder="1"/>
    <xf numFmtId="178" fontId="29" fillId="30" borderId="119" xfId="2572" applyBorder="1"/>
    <xf numFmtId="178" fontId="11" fillId="30" borderId="120" xfId="2572" applyFont="1" applyBorder="1"/>
    <xf numFmtId="178" fontId="29" fillId="30" borderId="0" xfId="2572" applyBorder="1"/>
    <xf numFmtId="178" fontId="29" fillId="2" borderId="157" xfId="2572" applyFill="1" applyBorder="1"/>
    <xf numFmtId="178" fontId="41" fillId="30" borderId="120" xfId="2572" applyFont="1" applyBorder="1"/>
    <xf numFmtId="178" fontId="29" fillId="30" borderId="120" xfId="2572" applyBorder="1"/>
    <xf numFmtId="3" fontId="65" fillId="32" borderId="178" xfId="27" applyBorder="1"/>
    <xf numFmtId="178" fontId="54" fillId="30" borderId="120" xfId="2572" applyFont="1" applyBorder="1"/>
    <xf numFmtId="178" fontId="77" fillId="30" borderId="120" xfId="2572" applyFont="1" applyBorder="1"/>
    <xf numFmtId="178" fontId="29" fillId="30" borderId="124" xfId="2572" applyBorder="1"/>
    <xf numFmtId="178" fontId="29" fillId="30" borderId="117" xfId="2572" applyBorder="1"/>
    <xf numFmtId="178" fontId="29" fillId="30" borderId="126" xfId="2572" applyBorder="1"/>
    <xf numFmtId="178" fontId="29" fillId="30" borderId="127" xfId="2572" applyBorder="1"/>
    <xf numFmtId="178" fontId="29" fillId="30" borderId="179" xfId="2572" applyBorder="1"/>
    <xf numFmtId="178" fontId="55" fillId="30" borderId="173" xfId="2572" applyFont="1" applyBorder="1"/>
    <xf numFmtId="178" fontId="55" fillId="30" borderId="172" xfId="2572" applyFont="1" applyBorder="1"/>
    <xf numFmtId="178" fontId="55" fillId="30" borderId="163" xfId="2572" applyFont="1" applyBorder="1"/>
    <xf numFmtId="178" fontId="29" fillId="30" borderId="163" xfId="2572" applyBorder="1"/>
    <xf numFmtId="178" fontId="29" fillId="30" borderId="180" xfId="2572" applyBorder="1"/>
    <xf numFmtId="178" fontId="55" fillId="30" borderId="133" xfId="2572" applyFont="1" applyBorder="1"/>
    <xf numFmtId="178" fontId="55" fillId="30" borderId="176" xfId="2572" applyFont="1" applyBorder="1"/>
    <xf numFmtId="178" fontId="55" fillId="30" borderId="0" xfId="2572" applyFont="1" applyBorder="1"/>
    <xf numFmtId="190" fontId="74" fillId="2" borderId="176" xfId="2572" applyNumberFormat="1" applyFont="1" applyFill="1" applyBorder="1" applyProtection="1">
      <protection locked="0"/>
    </xf>
    <xf numFmtId="179" fontId="11" fillId="30" borderId="0" xfId="2572" applyNumberFormat="1" applyFont="1" applyBorder="1" applyProtection="1">
      <protection locked="0"/>
    </xf>
    <xf numFmtId="178" fontId="29" fillId="2" borderId="157" xfId="2572" quotePrefix="1" applyFill="1" applyBorder="1"/>
    <xf numFmtId="178" fontId="192" fillId="2" borderId="120" xfId="2572" applyFont="1" applyFill="1" applyBorder="1"/>
    <xf numFmtId="190" fontId="193" fillId="2" borderId="176" xfId="2572" applyNumberFormat="1" applyFont="1" applyFill="1" applyBorder="1" applyProtection="1">
      <protection locked="0"/>
    </xf>
    <xf numFmtId="43" fontId="29" fillId="2" borderId="176" xfId="2572" applyNumberFormat="1" applyFill="1" applyBorder="1" applyProtection="1">
      <protection locked="0"/>
    </xf>
    <xf numFmtId="187" fontId="75" fillId="30" borderId="0" xfId="2572" applyNumberFormat="1" applyFont="1" applyBorder="1" applyProtection="1">
      <protection locked="0"/>
    </xf>
    <xf numFmtId="178" fontId="62" fillId="30" borderId="133" xfId="2572" applyFont="1" applyBorder="1"/>
    <xf numFmtId="190" fontId="194" fillId="26" borderId="0" xfId="2572" applyNumberFormat="1" applyFont="1" applyFill="1"/>
    <xf numFmtId="178" fontId="56" fillId="30" borderId="176" xfId="2572" applyFont="1" applyBorder="1" applyProtection="1">
      <protection locked="0"/>
    </xf>
    <xf numFmtId="178" fontId="56" fillId="30" borderId="0" xfId="2572" applyFont="1" applyBorder="1" applyProtection="1">
      <protection locked="0"/>
    </xf>
    <xf numFmtId="178" fontId="53" fillId="2" borderId="176" xfId="2572" applyFont="1" applyFill="1" applyBorder="1" applyProtection="1">
      <protection locked="0"/>
    </xf>
    <xf numFmtId="178" fontId="53" fillId="30" borderId="0" xfId="2572" applyFont="1" applyBorder="1" applyProtection="1">
      <protection locked="0"/>
    </xf>
    <xf numFmtId="178" fontId="57" fillId="30" borderId="133" xfId="2572" applyFont="1" applyBorder="1"/>
    <xf numFmtId="178" fontId="56" fillId="30" borderId="176" xfId="2572" applyFont="1" applyBorder="1"/>
    <xf numFmtId="178" fontId="56" fillId="30" borderId="0" xfId="2572" applyFont="1" applyBorder="1"/>
    <xf numFmtId="3" fontId="29" fillId="30" borderId="0" xfId="2572" applyNumberFormat="1" applyBorder="1"/>
    <xf numFmtId="178" fontId="11" fillId="30" borderId="0" xfId="2572" applyFont="1" applyBorder="1"/>
    <xf numFmtId="178" fontId="29" fillId="30" borderId="120" xfId="2572" applyBorder="1" applyAlignment="1">
      <alignment horizontal="left" indent="1"/>
    </xf>
    <xf numFmtId="188" fontId="56" fillId="2" borderId="176" xfId="2572" applyNumberFormat="1" applyFont="1" applyFill="1" applyBorder="1" applyProtection="1">
      <protection locked="0"/>
    </xf>
    <xf numFmtId="1" fontId="74" fillId="30" borderId="0" xfId="2572" applyNumberFormat="1" applyFont="1" applyBorder="1" applyProtection="1">
      <protection locked="0"/>
    </xf>
    <xf numFmtId="2" fontId="53" fillId="30" borderId="176" xfId="2572" applyNumberFormat="1" applyFont="1" applyBorder="1"/>
    <xf numFmtId="2" fontId="53" fillId="30" borderId="0" xfId="2572" applyNumberFormat="1" applyFont="1" applyBorder="1"/>
    <xf numFmtId="168" fontId="53" fillId="30" borderId="176" xfId="2572" applyNumberFormat="1" applyFont="1" applyBorder="1"/>
    <xf numFmtId="168" fontId="53" fillId="30" borderId="0" xfId="2572" applyNumberFormat="1" applyFont="1" applyBorder="1"/>
    <xf numFmtId="2" fontId="53" fillId="2" borderId="176" xfId="2572" applyNumberFormat="1" applyFont="1" applyFill="1" applyBorder="1" applyProtection="1">
      <protection locked="0"/>
    </xf>
    <xf numFmtId="188" fontId="56" fillId="30" borderId="0" xfId="2572" applyNumberFormat="1" applyFont="1" applyBorder="1" applyProtection="1">
      <protection locked="0"/>
    </xf>
    <xf numFmtId="178" fontId="55" fillId="30" borderId="120" xfId="2572" applyFont="1" applyBorder="1"/>
    <xf numFmtId="2" fontId="53" fillId="39" borderId="176" xfId="2572" applyNumberFormat="1" applyFont="1" applyFill="1" applyBorder="1" applyProtection="1">
      <protection locked="0"/>
    </xf>
    <xf numFmtId="178" fontId="11" fillId="2" borderId="157" xfId="2572" applyFont="1" applyFill="1" applyBorder="1"/>
    <xf numFmtId="2" fontId="53" fillId="30" borderId="0" xfId="2572" applyNumberFormat="1" applyFont="1" applyBorder="1" applyProtection="1">
      <protection locked="0"/>
    </xf>
    <xf numFmtId="178" fontId="56" fillId="2" borderId="176" xfId="2572" applyFont="1" applyFill="1" applyBorder="1"/>
    <xf numFmtId="169" fontId="53" fillId="30" borderId="0" xfId="2572" applyNumberFormat="1" applyFont="1" applyBorder="1" applyProtection="1">
      <protection locked="0"/>
    </xf>
    <xf numFmtId="169" fontId="29" fillId="2" borderId="176" xfId="2572" applyNumberFormat="1" applyFill="1" applyBorder="1" applyProtection="1">
      <protection locked="0"/>
    </xf>
    <xf numFmtId="178" fontId="57" fillId="30" borderId="135" xfId="2572" applyFont="1" applyBorder="1"/>
    <xf numFmtId="178" fontId="56" fillId="2" borderId="149" xfId="2572" applyFont="1" applyFill="1" applyBorder="1"/>
    <xf numFmtId="178" fontId="29" fillId="30" borderId="133" xfId="2572" applyBorder="1"/>
    <xf numFmtId="190" fontId="11" fillId="2" borderId="176" xfId="2572" applyNumberFormat="1" applyFont="1" applyFill="1" applyBorder="1" applyProtection="1">
      <protection locked="0"/>
    </xf>
    <xf numFmtId="190" fontId="29" fillId="2" borderId="0" xfId="2572" applyNumberFormat="1" applyFill="1" applyBorder="1"/>
    <xf numFmtId="178" fontId="29" fillId="2" borderId="0" xfId="2572" applyFill="1" applyBorder="1"/>
    <xf numFmtId="194" fontId="11" fillId="2" borderId="176" xfId="2572" applyNumberFormat="1" applyFont="1" applyFill="1" applyBorder="1" applyProtection="1">
      <protection locked="0"/>
    </xf>
    <xf numFmtId="178" fontId="29" fillId="57" borderId="120" xfId="2572" applyFill="1" applyBorder="1" applyAlignment="1">
      <alignment vertical="center"/>
    </xf>
    <xf numFmtId="178" fontId="29" fillId="57" borderId="157" xfId="2572" applyFill="1" applyBorder="1" applyAlignment="1">
      <alignment vertical="center"/>
    </xf>
    <xf numFmtId="178" fontId="29" fillId="57" borderId="0" xfId="2572" applyFill="1" applyAlignment="1">
      <alignment vertical="center"/>
    </xf>
    <xf numFmtId="178" fontId="74" fillId="57" borderId="120" xfId="2572" applyFont="1" applyFill="1" applyBorder="1" applyAlignment="1">
      <alignment vertical="center"/>
    </xf>
    <xf numFmtId="178" fontId="29" fillId="36" borderId="120" xfId="2572" applyFill="1" applyBorder="1" applyAlignment="1">
      <alignment vertical="center"/>
    </xf>
    <xf numFmtId="178" fontId="29" fillId="57" borderId="123" xfId="2572" applyFill="1" applyBorder="1" applyAlignment="1">
      <alignment vertical="center"/>
    </xf>
    <xf numFmtId="178" fontId="29" fillId="57" borderId="125" xfId="2572" applyFill="1" applyBorder="1" applyAlignment="1">
      <alignment vertical="center"/>
    </xf>
    <xf numFmtId="178" fontId="74" fillId="57" borderId="124" xfId="2572" applyFont="1" applyFill="1" applyBorder="1" applyAlignment="1">
      <alignment vertical="center"/>
    </xf>
    <xf numFmtId="179" fontId="11" fillId="2" borderId="151" xfId="2572" applyNumberFormat="1" applyFont="1" applyFill="1" applyBorder="1" applyProtection="1">
      <protection locked="0"/>
    </xf>
    <xf numFmtId="178" fontId="11" fillId="2" borderId="151" xfId="2572" applyFont="1" applyFill="1" applyBorder="1" applyProtection="1">
      <protection locked="0"/>
    </xf>
    <xf numFmtId="178" fontId="58" fillId="2" borderId="151" xfId="2572" applyFont="1" applyFill="1" applyBorder="1" applyAlignment="1">
      <alignment horizontal="left"/>
    </xf>
    <xf numFmtId="0" fontId="11" fillId="0" borderId="71" xfId="0" applyFont="1" applyBorder="1" applyAlignment="1">
      <alignment horizontal="center" wrapText="1"/>
    </xf>
    <xf numFmtId="0" fontId="11" fillId="0" borderId="107" xfId="0" applyFont="1" applyBorder="1" applyAlignment="1">
      <alignment horizontal="center" wrapText="1"/>
    </xf>
    <xf numFmtId="0" fontId="11" fillId="0" borderId="106" xfId="0" applyFont="1" applyBorder="1" applyAlignment="1">
      <alignment horizontal="center" wrapText="1"/>
    </xf>
    <xf numFmtId="0" fontId="11" fillId="0" borderId="36" xfId="0" applyFont="1" applyBorder="1" applyAlignment="1">
      <alignment horizontal="center" wrapText="1"/>
    </xf>
    <xf numFmtId="0" fontId="11" fillId="0" borderId="0" xfId="0" applyFont="1" applyBorder="1" applyAlignment="1">
      <alignment horizontal="center" wrapText="1"/>
    </xf>
    <xf numFmtId="0" fontId="11" fillId="0" borderId="35" xfId="0" applyFont="1" applyBorder="1" applyAlignment="1">
      <alignment horizontal="center" wrapText="1"/>
    </xf>
    <xf numFmtId="0" fontId="0" fillId="43" borderId="41" xfId="0" applyFill="1" applyBorder="1" applyAlignment="1">
      <alignment horizontal="left"/>
    </xf>
    <xf numFmtId="0" fontId="0" fillId="43" borderId="24" xfId="0" applyFill="1" applyBorder="1" applyAlignment="1">
      <alignment horizontal="left"/>
    </xf>
    <xf numFmtId="0" fontId="0" fillId="43" borderId="42" xfId="0" applyFill="1" applyBorder="1" applyAlignment="1">
      <alignment horizontal="left"/>
    </xf>
    <xf numFmtId="0" fontId="11" fillId="43" borderId="92" xfId="0" applyFont="1" applyFill="1" applyBorder="1" applyAlignment="1">
      <alignment horizontal="center"/>
    </xf>
    <xf numFmtId="0" fontId="0" fillId="43" borderId="90" xfId="0" applyFill="1" applyBorder="1" applyAlignment="1">
      <alignment horizontal="center"/>
    </xf>
    <xf numFmtId="0" fontId="11" fillId="43" borderId="36" xfId="0" applyFont="1" applyFill="1" applyBorder="1" applyAlignment="1">
      <alignment horizontal="center"/>
    </xf>
    <xf numFmtId="0" fontId="11" fillId="43" borderId="0" xfId="0" applyFont="1" applyFill="1" applyBorder="1" applyAlignment="1">
      <alignment horizontal="center"/>
    </xf>
    <xf numFmtId="168" fontId="172" fillId="0" borderId="72" xfId="0" applyNumberFormat="1" applyFont="1" applyBorder="1" applyAlignment="1">
      <alignment horizontal="center" vertical="center"/>
    </xf>
    <xf numFmtId="168" fontId="172" fillId="0" borderId="73" xfId="0" applyNumberFormat="1" applyFont="1" applyBorder="1" applyAlignment="1">
      <alignment horizontal="center" vertical="center"/>
    </xf>
    <xf numFmtId="168" fontId="111" fillId="58" borderId="74" xfId="3108" applyNumberFormat="1" applyFont="1" applyBorder="1" applyAlignment="1">
      <alignment horizontal="center" vertical="center"/>
    </xf>
    <xf numFmtId="168" fontId="111" fillId="58" borderId="79" xfId="3108" applyNumberFormat="1" applyFont="1" applyBorder="1" applyAlignment="1">
      <alignment horizontal="center" vertical="center"/>
    </xf>
    <xf numFmtId="168" fontId="111" fillId="58" borderId="95" xfId="3108" applyNumberFormat="1" applyFont="1" applyBorder="1" applyAlignment="1">
      <alignment horizontal="center" vertical="center"/>
    </xf>
    <xf numFmtId="168" fontId="169" fillId="0" borderId="74" xfId="0" applyNumberFormat="1" applyFont="1" applyFill="1" applyBorder="1" applyAlignment="1">
      <alignment horizontal="center" vertical="center"/>
    </xf>
    <xf numFmtId="168" fontId="169" fillId="0" borderId="79" xfId="0" applyNumberFormat="1" applyFont="1" applyFill="1" applyBorder="1" applyAlignment="1">
      <alignment horizontal="center" vertical="center"/>
    </xf>
    <xf numFmtId="168" fontId="169" fillId="0" borderId="95" xfId="0" applyNumberFormat="1" applyFont="1" applyFill="1" applyBorder="1" applyAlignment="1">
      <alignment horizontal="center" vertical="center"/>
    </xf>
    <xf numFmtId="168" fontId="1" fillId="0" borderId="74" xfId="3108" applyNumberFormat="1" applyFont="1" applyFill="1" applyBorder="1" applyAlignment="1">
      <alignment horizontal="center" vertical="center"/>
    </xf>
    <xf numFmtId="168" fontId="1" fillId="0" borderId="79" xfId="3108" applyNumberFormat="1" applyFont="1" applyFill="1" applyBorder="1" applyAlignment="1">
      <alignment horizontal="center" vertical="center"/>
    </xf>
    <xf numFmtId="168" fontId="1" fillId="0" borderId="95" xfId="3108" applyNumberFormat="1" applyFont="1" applyFill="1" applyBorder="1" applyAlignment="1">
      <alignment horizontal="center" vertical="center"/>
    </xf>
    <xf numFmtId="0" fontId="169" fillId="49" borderId="91" xfId="3126" applyFont="1" applyBorder="1" applyAlignment="1">
      <alignment horizontal="center"/>
    </xf>
    <xf numFmtId="0" fontId="174" fillId="0" borderId="0" xfId="3115" applyFont="1" applyBorder="1" applyAlignment="1">
      <alignment horizontal="center"/>
    </xf>
    <xf numFmtId="0" fontId="1" fillId="45" borderId="91" xfId="3118" applyFont="1" applyBorder="1" applyAlignment="1">
      <alignment horizontal="center"/>
    </xf>
    <xf numFmtId="1" fontId="169" fillId="0" borderId="26" xfId="0" applyNumberFormat="1" applyFont="1" applyBorder="1" applyAlignment="1">
      <alignment horizontal="center" vertical="center"/>
    </xf>
    <xf numFmtId="1" fontId="169" fillId="0" borderId="27" xfId="0" applyNumberFormat="1" applyFont="1" applyBorder="1" applyAlignment="1">
      <alignment horizontal="center" vertical="center"/>
    </xf>
    <xf numFmtId="1" fontId="169" fillId="0" borderId="28" xfId="0" applyNumberFormat="1" applyFont="1" applyBorder="1" applyAlignment="1">
      <alignment horizontal="center" vertical="center"/>
    </xf>
    <xf numFmtId="0" fontId="11" fillId="95" borderId="150" xfId="0" applyNumberFormat="1" applyFont="1" applyFill="1" applyBorder="1" applyAlignment="1" applyProtection="1">
      <alignment horizontal="center"/>
    </xf>
    <xf numFmtId="0" fontId="11" fillId="95" borderId="0" xfId="0" applyNumberFormat="1" applyFont="1" applyFill="1" applyBorder="1" applyAlignment="1" applyProtection="1">
      <alignment horizontal="center"/>
    </xf>
    <xf numFmtId="168" fontId="169" fillId="2" borderId="74" xfId="0" applyNumberFormat="1" applyFont="1" applyFill="1" applyBorder="1" applyAlignment="1">
      <alignment horizontal="center" vertical="center"/>
    </xf>
    <xf numFmtId="168" fontId="169" fillId="2" borderId="79" xfId="0" applyNumberFormat="1" applyFont="1" applyFill="1" applyBorder="1" applyAlignment="1">
      <alignment horizontal="center" vertical="center"/>
    </xf>
    <xf numFmtId="168" fontId="169" fillId="2" borderId="95" xfId="0" applyNumberFormat="1" applyFont="1" applyFill="1" applyBorder="1" applyAlignment="1">
      <alignment horizontal="center" vertical="center"/>
    </xf>
    <xf numFmtId="2" fontId="169" fillId="2" borderId="74" xfId="0" applyNumberFormat="1" applyFont="1" applyFill="1" applyBorder="1" applyAlignment="1">
      <alignment horizontal="center" vertical="center"/>
    </xf>
    <xf numFmtId="2" fontId="169" fillId="2" borderId="79" xfId="0" applyNumberFormat="1" applyFont="1" applyFill="1" applyBorder="1" applyAlignment="1">
      <alignment horizontal="center" vertical="center"/>
    </xf>
    <xf numFmtId="2" fontId="169" fillId="2" borderId="26" xfId="0" applyNumberFormat="1" applyFont="1" applyFill="1" applyBorder="1" applyAlignment="1">
      <alignment horizontal="center" vertical="center"/>
    </xf>
    <xf numFmtId="2" fontId="169" fillId="2" borderId="21" xfId="0" applyNumberFormat="1" applyFont="1" applyFill="1" applyBorder="1" applyAlignment="1">
      <alignment horizontal="center" vertical="center"/>
    </xf>
    <xf numFmtId="2" fontId="169" fillId="2" borderId="19" xfId="0" applyNumberFormat="1" applyFont="1" applyFill="1" applyBorder="1" applyAlignment="1">
      <alignment horizontal="center" vertical="center"/>
    </xf>
    <xf numFmtId="2" fontId="169" fillId="2" borderId="95" xfId="0" applyNumberFormat="1" applyFont="1" applyFill="1" applyBorder="1" applyAlignment="1">
      <alignment horizontal="center" vertical="center"/>
    </xf>
    <xf numFmtId="2" fontId="111" fillId="58" borderId="97" xfId="3108" applyNumberFormat="1" applyBorder="1" applyAlignment="1">
      <alignment horizontal="center" vertical="center"/>
    </xf>
    <xf numFmtId="2" fontId="111" fillId="58" borderId="79" xfId="3108" applyNumberFormat="1" applyBorder="1" applyAlignment="1">
      <alignment horizontal="center" vertical="center"/>
    </xf>
    <xf numFmtId="2" fontId="111" fillId="58" borderId="98" xfId="3108" applyNumberFormat="1" applyBorder="1" applyAlignment="1">
      <alignment horizontal="center" vertical="center"/>
    </xf>
    <xf numFmtId="2" fontId="111" fillId="58" borderId="74" xfId="3108" applyNumberFormat="1" applyBorder="1" applyAlignment="1">
      <alignment horizontal="center" vertical="center"/>
    </xf>
    <xf numFmtId="2" fontId="111" fillId="58" borderId="95" xfId="3108" applyNumberFormat="1" applyBorder="1" applyAlignment="1">
      <alignment horizontal="center" vertical="center"/>
    </xf>
    <xf numFmtId="2" fontId="111" fillId="58" borderId="26" xfId="3108" applyNumberFormat="1" applyBorder="1" applyAlignment="1">
      <alignment horizontal="center" vertical="center"/>
    </xf>
    <xf numFmtId="2" fontId="111" fillId="58" borderId="19" xfId="3108" applyNumberFormat="1" applyBorder="1" applyAlignment="1">
      <alignment horizontal="center" vertical="center"/>
    </xf>
    <xf numFmtId="2" fontId="111" fillId="58" borderId="113" xfId="3108" applyNumberFormat="1" applyBorder="1" applyAlignment="1">
      <alignment horizontal="center" vertical="center"/>
    </xf>
    <xf numFmtId="2" fontId="111" fillId="58" borderId="115" xfId="3108" applyNumberFormat="1" applyBorder="1" applyAlignment="1">
      <alignment horizontal="center" vertical="center"/>
    </xf>
    <xf numFmtId="2" fontId="111" fillId="58" borderId="27" xfId="3108" applyNumberFormat="1" applyBorder="1" applyAlignment="1">
      <alignment horizontal="center" vertical="center"/>
    </xf>
    <xf numFmtId="2" fontId="111" fillId="58" borderId="0" xfId="3108" applyNumberFormat="1" applyBorder="1" applyAlignment="1">
      <alignment horizontal="center" vertical="center"/>
    </xf>
    <xf numFmtId="2" fontId="111" fillId="58" borderId="30" xfId="3108" applyNumberFormat="1" applyBorder="1" applyAlignment="1">
      <alignment horizontal="center" vertical="center"/>
    </xf>
    <xf numFmtId="2" fontId="111" fillId="58" borderId="35" xfId="3108" applyNumberFormat="1" applyBorder="1" applyAlignment="1">
      <alignment horizontal="center" vertical="center"/>
    </xf>
    <xf numFmtId="2" fontId="111" fillId="58" borderId="28" xfId="3108" applyNumberFormat="1" applyBorder="1" applyAlignment="1">
      <alignment horizontal="center" vertical="center"/>
    </xf>
    <xf numFmtId="2" fontId="111" fillId="58" borderId="20" xfId="3108" applyNumberFormat="1" applyBorder="1" applyAlignment="1">
      <alignment horizontal="center" vertical="center"/>
    </xf>
    <xf numFmtId="2" fontId="111" fillId="30" borderId="35" xfId="3108" applyNumberFormat="1" applyFill="1" applyBorder="1" applyAlignment="1">
      <alignment horizontal="center" vertical="center"/>
    </xf>
    <xf numFmtId="2" fontId="111" fillId="30" borderId="0" xfId="3108" applyNumberFormat="1" applyFill="1" applyBorder="1" applyAlignment="1">
      <alignment horizontal="center" vertical="center"/>
    </xf>
    <xf numFmtId="2" fontId="111" fillId="30" borderId="18" xfId="3108" applyNumberFormat="1" applyFill="1" applyBorder="1" applyAlignment="1">
      <alignment horizontal="center" vertical="center"/>
    </xf>
    <xf numFmtId="2" fontId="169" fillId="0" borderId="97" xfId="3108" applyNumberFormat="1" applyFont="1" applyFill="1" applyBorder="1" applyAlignment="1">
      <alignment horizontal="center" vertical="center"/>
    </xf>
    <xf numFmtId="2" fontId="169" fillId="0" borderId="79" xfId="3108" applyNumberFormat="1" applyFont="1" applyFill="1" applyBorder="1" applyAlignment="1">
      <alignment horizontal="center" vertical="center"/>
    </xf>
    <xf numFmtId="2" fontId="169" fillId="0" borderId="98" xfId="3108" applyNumberFormat="1" applyFont="1" applyFill="1" applyBorder="1" applyAlignment="1">
      <alignment horizontal="center" vertical="center"/>
    </xf>
    <xf numFmtId="2" fontId="169" fillId="0" borderId="74" xfId="3108" applyNumberFormat="1" applyFont="1" applyFill="1" applyBorder="1" applyAlignment="1">
      <alignment horizontal="center" vertical="center"/>
    </xf>
    <xf numFmtId="2" fontId="169" fillId="0" borderId="95" xfId="3108" applyNumberFormat="1" applyFont="1" applyFill="1" applyBorder="1" applyAlignment="1">
      <alignment horizontal="center" vertical="center"/>
    </xf>
    <xf numFmtId="2" fontId="111" fillId="58" borderId="18" xfId="3108" applyNumberFormat="1" applyBorder="1" applyAlignment="1">
      <alignment horizontal="center" vertical="center"/>
    </xf>
    <xf numFmtId="2" fontId="171" fillId="0" borderId="74" xfId="3108" applyNumberFormat="1" applyFont="1" applyFill="1" applyBorder="1" applyAlignment="1">
      <alignment horizontal="center" vertical="center"/>
    </xf>
    <xf numFmtId="2" fontId="171" fillId="0" borderId="95" xfId="3108" applyNumberFormat="1" applyFont="1" applyFill="1" applyBorder="1" applyAlignment="1">
      <alignment horizontal="center" vertical="center"/>
    </xf>
    <xf numFmtId="2" fontId="171" fillId="0" borderId="26" xfId="3108" applyNumberFormat="1" applyFont="1" applyFill="1" applyBorder="1" applyAlignment="1">
      <alignment horizontal="center" vertical="center"/>
    </xf>
    <xf numFmtId="2" fontId="171" fillId="0" borderId="28" xfId="3108" applyNumberFormat="1" applyFont="1" applyFill="1" applyBorder="1" applyAlignment="1">
      <alignment horizontal="center" vertical="center"/>
    </xf>
    <xf numFmtId="2" fontId="171" fillId="0" borderId="19" xfId="3108" applyNumberFormat="1" applyFont="1" applyFill="1" applyBorder="1" applyAlignment="1">
      <alignment horizontal="center" vertical="center"/>
    </xf>
    <xf numFmtId="2" fontId="171" fillId="0" borderId="20" xfId="3108" applyNumberFormat="1" applyFont="1" applyFill="1" applyBorder="1" applyAlignment="1">
      <alignment horizontal="center" vertical="center"/>
    </xf>
    <xf numFmtId="2" fontId="111" fillId="30" borderId="115" xfId="3108" applyNumberFormat="1" applyFill="1" applyBorder="1" applyAlignment="1">
      <alignment horizontal="center" vertical="center"/>
    </xf>
    <xf numFmtId="2" fontId="111" fillId="58" borderId="21" xfId="3108" applyNumberFormat="1" applyBorder="1" applyAlignment="1">
      <alignment horizontal="center" vertical="center"/>
    </xf>
    <xf numFmtId="2" fontId="171" fillId="0" borderId="97" xfId="3108" applyNumberFormat="1" applyFont="1" applyFill="1" applyBorder="1" applyAlignment="1">
      <alignment horizontal="center" vertical="center"/>
    </xf>
    <xf numFmtId="2" fontId="171" fillId="0" borderId="98" xfId="3108" applyNumberFormat="1" applyFont="1" applyFill="1" applyBorder="1" applyAlignment="1">
      <alignment horizontal="center" vertical="center"/>
    </xf>
    <xf numFmtId="2" fontId="171" fillId="0" borderId="22" xfId="3108" applyNumberFormat="1" applyFont="1" applyFill="1" applyBorder="1" applyAlignment="1">
      <alignment horizontal="center" vertical="center"/>
    </xf>
    <xf numFmtId="2" fontId="171" fillId="0" borderId="110" xfId="3108" applyNumberFormat="1" applyFont="1" applyFill="1" applyBorder="1" applyAlignment="1">
      <alignment horizontal="center" vertical="center"/>
    </xf>
    <xf numFmtId="2" fontId="111" fillId="30" borderId="116" xfId="3108" applyNumberFormat="1" applyFill="1" applyBorder="1" applyAlignment="1">
      <alignment horizontal="center" vertical="center"/>
    </xf>
    <xf numFmtId="2" fontId="111" fillId="30" borderId="29" xfId="3108" applyNumberFormat="1" applyFill="1" applyBorder="1" applyAlignment="1">
      <alignment horizontal="center" vertical="center"/>
    </xf>
    <xf numFmtId="2" fontId="111" fillId="30" borderId="37" xfId="3108" applyNumberFormat="1" applyFill="1" applyBorder="1" applyAlignment="1">
      <alignment horizontal="center" vertical="center"/>
    </xf>
    <xf numFmtId="2" fontId="111" fillId="30" borderId="20" xfId="3108" applyNumberFormat="1" applyFill="1" applyBorder="1" applyAlignment="1">
      <alignment horizontal="center" vertical="center"/>
    </xf>
    <xf numFmtId="0" fontId="11" fillId="26" borderId="0" xfId="0" applyFont="1" applyFill="1" applyBorder="1" applyAlignment="1">
      <alignment horizontal="left" vertical="top" wrapText="1"/>
    </xf>
    <xf numFmtId="0" fontId="0" fillId="26" borderId="0" xfId="0" applyFill="1" applyBorder="1" applyAlignment="1">
      <alignment horizontal="left" vertical="top" wrapText="1"/>
    </xf>
    <xf numFmtId="0" fontId="11" fillId="43" borderId="41" xfId="849" applyFill="1" applyBorder="1" applyAlignment="1">
      <alignment horizontal="center"/>
    </xf>
    <xf numFmtId="0" fontId="11" fillId="43" borderId="24" xfId="849" applyFill="1" applyBorder="1" applyAlignment="1">
      <alignment horizontal="center"/>
    </xf>
    <xf numFmtId="0" fontId="11" fillId="43" borderId="42" xfId="849" applyFill="1" applyBorder="1" applyAlignment="1">
      <alignment horizontal="center"/>
    </xf>
    <xf numFmtId="0" fontId="11" fillId="43" borderId="41" xfId="849" applyFill="1" applyBorder="1" applyAlignment="1">
      <alignment horizontal="left"/>
    </xf>
    <xf numFmtId="0" fontId="11" fillId="43" borderId="24" xfId="849" applyFill="1" applyBorder="1" applyAlignment="1">
      <alignment horizontal="left"/>
    </xf>
    <xf numFmtId="0" fontId="11" fillId="43" borderId="42" xfId="849" applyFill="1" applyBorder="1" applyAlignment="1">
      <alignment horizontal="left"/>
    </xf>
    <xf numFmtId="49" fontId="11" fillId="30" borderId="21" xfId="2572" applyNumberFormat="1" applyFont="1" applyFill="1" applyBorder="1" applyAlignment="1">
      <alignment horizontal="left" vertical="top" wrapText="1"/>
    </xf>
    <xf numFmtId="49" fontId="11" fillId="30" borderId="0" xfId="2572" applyNumberFormat="1" applyFont="1" applyFill="1" applyBorder="1" applyAlignment="1">
      <alignment horizontal="left" vertical="top" wrapText="1"/>
    </xf>
    <xf numFmtId="49" fontId="11" fillId="30" borderId="18" xfId="2572" applyNumberFormat="1" applyFont="1" applyFill="1" applyBorder="1" applyAlignment="1">
      <alignment horizontal="left" vertical="top" wrapText="1"/>
    </xf>
    <xf numFmtId="49" fontId="11" fillId="30" borderId="19" xfId="2572" applyNumberFormat="1" applyFont="1" applyFill="1" applyBorder="1" applyAlignment="1">
      <alignment horizontal="left" vertical="top" wrapText="1"/>
    </xf>
    <xf numFmtId="49" fontId="11" fillId="30" borderId="29" xfId="2572" applyNumberFormat="1" applyFont="1" applyFill="1" applyBorder="1" applyAlignment="1">
      <alignment horizontal="left" vertical="top" wrapText="1"/>
    </xf>
    <xf numFmtId="49" fontId="11" fillId="30" borderId="20" xfId="2572" applyNumberFormat="1" applyFont="1" applyFill="1" applyBorder="1" applyAlignment="1">
      <alignment horizontal="left" vertical="top" wrapText="1"/>
    </xf>
    <xf numFmtId="49" fontId="29" fillId="41" borderId="0" xfId="2572" applyNumberFormat="1" applyFill="1" applyBorder="1" applyAlignment="1">
      <alignment horizontal="left" vertical="top" wrapText="1"/>
    </xf>
    <xf numFmtId="178" fontId="11" fillId="30" borderId="21" xfId="2572" applyFont="1" applyFill="1" applyBorder="1" applyAlignment="1">
      <alignment horizontal="left" wrapText="1"/>
    </xf>
    <xf numFmtId="178" fontId="11" fillId="30" borderId="0" xfId="2572" applyFont="1" applyFill="1" applyBorder="1" applyAlignment="1">
      <alignment horizontal="left" wrapText="1"/>
    </xf>
    <xf numFmtId="178" fontId="11" fillId="30" borderId="18" xfId="2572" applyFont="1" applyFill="1" applyBorder="1" applyAlignment="1">
      <alignment horizontal="left" wrapText="1"/>
    </xf>
    <xf numFmtId="178" fontId="11" fillId="30" borderId="21" xfId="2572" applyFont="1" applyFill="1" applyBorder="1" applyAlignment="1">
      <alignment horizontal="left" vertical="top" wrapText="1"/>
    </xf>
    <xf numFmtId="178" fontId="11" fillId="30" borderId="0" xfId="2572" applyFont="1" applyFill="1" applyBorder="1" applyAlignment="1">
      <alignment horizontal="left" vertical="top" wrapText="1"/>
    </xf>
    <xf numFmtId="178" fontId="11" fillId="30" borderId="18" xfId="2572" applyFont="1" applyFill="1" applyBorder="1" applyAlignment="1">
      <alignment horizontal="left" vertical="top" wrapText="1"/>
    </xf>
    <xf numFmtId="178" fontId="29" fillId="2" borderId="18" xfId="2572" applyFill="1" applyBorder="1" applyAlignment="1">
      <alignment horizontal="left" wrapText="1"/>
    </xf>
    <xf numFmtId="49" fontId="29" fillId="30" borderId="21" xfId="2572" applyNumberFormat="1" applyFill="1" applyBorder="1" applyAlignment="1">
      <alignment horizontal="left" vertical="top" wrapText="1"/>
    </xf>
    <xf numFmtId="49" fontId="29" fillId="30" borderId="0" xfId="2572" applyNumberFormat="1" applyFill="1" applyBorder="1" applyAlignment="1">
      <alignment horizontal="left" vertical="top" wrapText="1"/>
    </xf>
    <xf numFmtId="49" fontId="29" fillId="30" borderId="18" xfId="2572" applyNumberFormat="1" applyFill="1" applyBorder="1" applyAlignment="1">
      <alignment horizontal="left" vertical="top" wrapText="1"/>
    </xf>
    <xf numFmtId="0" fontId="11" fillId="43" borderId="169" xfId="849" applyFill="1" applyBorder="1" applyAlignment="1">
      <alignment horizontal="left"/>
    </xf>
    <xf numFmtId="0" fontId="11" fillId="43" borderId="170" xfId="849" applyFill="1" applyBorder="1" applyAlignment="1">
      <alignment horizontal="left"/>
    </xf>
    <xf numFmtId="0" fontId="11" fillId="43" borderId="171" xfId="849" applyFill="1" applyBorder="1" applyAlignment="1">
      <alignment horizontal="left"/>
    </xf>
    <xf numFmtId="0" fontId="0" fillId="0" borderId="0" xfId="0" quotePrefix="1" applyAlignment="1">
      <alignment horizontal="center"/>
    </xf>
  </cellXfs>
  <cellStyles count="40431">
    <cellStyle name="_x000a_shell=progma 2" xfId="1" xr:uid="{00000000-0005-0000-0000-000000000000}"/>
    <cellStyle name="_x000a_shell=progma 2 2" xfId="20234" xr:uid="{00000000-0005-0000-0000-000001000000}"/>
    <cellStyle name="1.000" xfId="2" xr:uid="{00000000-0005-0000-0000-000002000000}"/>
    <cellStyle name="1.000 2" xfId="20235" xr:uid="{00000000-0005-0000-0000-000003000000}"/>
    <cellStyle name="20 % - Markeringsfarve1 10" xfId="3828" xr:uid="{00000000-0005-0000-0000-000004000000}"/>
    <cellStyle name="20 % - Markeringsfarve1 10 2" xfId="3829" xr:uid="{00000000-0005-0000-0000-000005000000}"/>
    <cellStyle name="20 % - Markeringsfarve1 10 2 2" xfId="9716" xr:uid="{00000000-0005-0000-0000-000006000000}"/>
    <cellStyle name="20 % - Markeringsfarve1 10 2 2 2" xfId="17617" xr:uid="{00000000-0005-0000-0000-000007000000}"/>
    <cellStyle name="20 % - Markeringsfarve1 10 2 2 2 2" xfId="35777" xr:uid="{00000000-0005-0000-0000-000008000000}"/>
    <cellStyle name="20 % - Markeringsfarve1 10 2 2 3" xfId="28776" xr:uid="{00000000-0005-0000-0000-000009000000}"/>
    <cellStyle name="20 % - Markeringsfarve1 10 2 3" xfId="12383" xr:uid="{00000000-0005-0000-0000-00000A000000}"/>
    <cellStyle name="20 % - Markeringsfarve1 10 2 3 2" xfId="30550" xr:uid="{00000000-0005-0000-0000-00000B000000}"/>
    <cellStyle name="20 % - Markeringsfarve1 10 2 4" xfId="23548" xr:uid="{00000000-0005-0000-0000-00000C000000}"/>
    <cellStyle name="20 % - Markeringsfarve1 10 3" xfId="3830" xr:uid="{00000000-0005-0000-0000-00000D000000}"/>
    <cellStyle name="20 % - Markeringsfarve1 10 3 2" xfId="9335" xr:uid="{00000000-0005-0000-0000-00000E000000}"/>
    <cellStyle name="20 % - Markeringsfarve1 10 3 2 2" xfId="17245" xr:uid="{00000000-0005-0000-0000-00000F000000}"/>
    <cellStyle name="20 % - Markeringsfarve1 10 3 2 2 2" xfId="35405" xr:uid="{00000000-0005-0000-0000-000010000000}"/>
    <cellStyle name="20 % - Markeringsfarve1 10 3 2 3" xfId="28404" xr:uid="{00000000-0005-0000-0000-000011000000}"/>
    <cellStyle name="20 % - Markeringsfarve1 10 3 3" xfId="12384" xr:uid="{00000000-0005-0000-0000-000012000000}"/>
    <cellStyle name="20 % - Markeringsfarve1 10 3 3 2" xfId="30551" xr:uid="{00000000-0005-0000-0000-000013000000}"/>
    <cellStyle name="20 % - Markeringsfarve1 10 3 4" xfId="23549" xr:uid="{00000000-0005-0000-0000-000014000000}"/>
    <cellStyle name="20 % - Markeringsfarve1 10 4" xfId="7635" xr:uid="{00000000-0005-0000-0000-000015000000}"/>
    <cellStyle name="20 % - Markeringsfarve1 10 4 2" xfId="15553" xr:uid="{00000000-0005-0000-0000-000016000000}"/>
    <cellStyle name="20 % - Markeringsfarve1 10 4 2 2" xfId="33713" xr:uid="{00000000-0005-0000-0000-000017000000}"/>
    <cellStyle name="20 % - Markeringsfarve1 10 4 3" xfId="26712" xr:uid="{00000000-0005-0000-0000-000018000000}"/>
    <cellStyle name="20 % - Markeringsfarve1 10 5" xfId="12382" xr:uid="{00000000-0005-0000-0000-000019000000}"/>
    <cellStyle name="20 % - Markeringsfarve1 10 5 2" xfId="30549" xr:uid="{00000000-0005-0000-0000-00001A000000}"/>
    <cellStyle name="20 % - Markeringsfarve1 10 6" xfId="23547" xr:uid="{00000000-0005-0000-0000-00001B000000}"/>
    <cellStyle name="20 % - Markeringsfarve1 11" xfId="3831" xr:uid="{00000000-0005-0000-0000-00001C000000}"/>
    <cellStyle name="20 % - Markeringsfarve1 11 2" xfId="3832" xr:uid="{00000000-0005-0000-0000-00001D000000}"/>
    <cellStyle name="20 % - Markeringsfarve1 11 2 2" xfId="10753" xr:uid="{00000000-0005-0000-0000-00001E000000}"/>
    <cellStyle name="20 % - Markeringsfarve1 11 2 2 2" xfId="18642" xr:uid="{00000000-0005-0000-0000-00001F000000}"/>
    <cellStyle name="20 % - Markeringsfarve1 11 2 2 2 2" xfId="36802" xr:uid="{00000000-0005-0000-0000-000020000000}"/>
    <cellStyle name="20 % - Markeringsfarve1 11 2 2 3" xfId="29801" xr:uid="{00000000-0005-0000-0000-000021000000}"/>
    <cellStyle name="20 % - Markeringsfarve1 11 2 3" xfId="12386" xr:uid="{00000000-0005-0000-0000-000022000000}"/>
    <cellStyle name="20 % - Markeringsfarve1 11 2 3 2" xfId="30553" xr:uid="{00000000-0005-0000-0000-000023000000}"/>
    <cellStyle name="20 % - Markeringsfarve1 11 2 4" xfId="23551" xr:uid="{00000000-0005-0000-0000-000024000000}"/>
    <cellStyle name="20 % - Markeringsfarve1 11 3" xfId="7636" xr:uid="{00000000-0005-0000-0000-000025000000}"/>
    <cellStyle name="20 % - Markeringsfarve1 11 3 2" xfId="15554" xr:uid="{00000000-0005-0000-0000-000026000000}"/>
    <cellStyle name="20 % - Markeringsfarve1 11 3 2 2" xfId="33714" xr:uid="{00000000-0005-0000-0000-000027000000}"/>
    <cellStyle name="20 % - Markeringsfarve1 11 3 3" xfId="26713" xr:uid="{00000000-0005-0000-0000-000028000000}"/>
    <cellStyle name="20 % - Markeringsfarve1 11 4" xfId="12385" xr:uid="{00000000-0005-0000-0000-000029000000}"/>
    <cellStyle name="20 % - Markeringsfarve1 11 4 2" xfId="30552" xr:uid="{00000000-0005-0000-0000-00002A000000}"/>
    <cellStyle name="20 % - Markeringsfarve1 11 5" xfId="23550" xr:uid="{00000000-0005-0000-0000-00002B000000}"/>
    <cellStyle name="20 % - Markeringsfarve1 12" xfId="3833" xr:uid="{00000000-0005-0000-0000-00002C000000}"/>
    <cellStyle name="20 % - Markeringsfarve1 12 2" xfId="3834" xr:uid="{00000000-0005-0000-0000-00002D000000}"/>
    <cellStyle name="20 % - Markeringsfarve1 12 2 2" xfId="9327" xr:uid="{00000000-0005-0000-0000-00002E000000}"/>
    <cellStyle name="20 % - Markeringsfarve1 12 2 2 2" xfId="17237" xr:uid="{00000000-0005-0000-0000-00002F000000}"/>
    <cellStyle name="20 % - Markeringsfarve1 12 2 2 2 2" xfId="35397" xr:uid="{00000000-0005-0000-0000-000030000000}"/>
    <cellStyle name="20 % - Markeringsfarve1 12 2 2 3" xfId="28396" xr:uid="{00000000-0005-0000-0000-000031000000}"/>
    <cellStyle name="20 % - Markeringsfarve1 12 2 3" xfId="12388" xr:uid="{00000000-0005-0000-0000-000032000000}"/>
    <cellStyle name="20 % - Markeringsfarve1 12 2 3 2" xfId="30555" xr:uid="{00000000-0005-0000-0000-000033000000}"/>
    <cellStyle name="20 % - Markeringsfarve1 12 2 4" xfId="23553" xr:uid="{00000000-0005-0000-0000-000034000000}"/>
    <cellStyle name="20 % - Markeringsfarve1 12 3" xfId="7637" xr:uid="{00000000-0005-0000-0000-000035000000}"/>
    <cellStyle name="20 % - Markeringsfarve1 12 3 2" xfId="15555" xr:uid="{00000000-0005-0000-0000-000036000000}"/>
    <cellStyle name="20 % - Markeringsfarve1 12 3 2 2" xfId="33715" xr:uid="{00000000-0005-0000-0000-000037000000}"/>
    <cellStyle name="20 % - Markeringsfarve1 12 3 3" xfId="26714" xr:uid="{00000000-0005-0000-0000-000038000000}"/>
    <cellStyle name="20 % - Markeringsfarve1 12 4" xfId="12387" xr:uid="{00000000-0005-0000-0000-000039000000}"/>
    <cellStyle name="20 % - Markeringsfarve1 12 4 2" xfId="30554" xr:uid="{00000000-0005-0000-0000-00003A000000}"/>
    <cellStyle name="20 % - Markeringsfarve1 12 5" xfId="23552" xr:uid="{00000000-0005-0000-0000-00003B000000}"/>
    <cellStyle name="20 % - Markeringsfarve1 13" xfId="3835" xr:uid="{00000000-0005-0000-0000-00003C000000}"/>
    <cellStyle name="20 % - Markeringsfarve1 13 2" xfId="3836" xr:uid="{00000000-0005-0000-0000-00003D000000}"/>
    <cellStyle name="20 % - Markeringsfarve1 13 2 2" xfId="10632" xr:uid="{00000000-0005-0000-0000-00003E000000}"/>
    <cellStyle name="20 % - Markeringsfarve1 13 2 2 2" xfId="18525" xr:uid="{00000000-0005-0000-0000-00003F000000}"/>
    <cellStyle name="20 % - Markeringsfarve1 13 2 2 2 2" xfId="36685" xr:uid="{00000000-0005-0000-0000-000040000000}"/>
    <cellStyle name="20 % - Markeringsfarve1 13 2 2 3" xfId="29684" xr:uid="{00000000-0005-0000-0000-000041000000}"/>
    <cellStyle name="20 % - Markeringsfarve1 13 2 3" xfId="12390" xr:uid="{00000000-0005-0000-0000-000042000000}"/>
    <cellStyle name="20 % - Markeringsfarve1 13 2 3 2" xfId="30557" xr:uid="{00000000-0005-0000-0000-000043000000}"/>
    <cellStyle name="20 % - Markeringsfarve1 13 2 4" xfId="23555" xr:uid="{00000000-0005-0000-0000-000044000000}"/>
    <cellStyle name="20 % - Markeringsfarve1 13 3" xfId="7634" xr:uid="{00000000-0005-0000-0000-000045000000}"/>
    <cellStyle name="20 % - Markeringsfarve1 13 3 2" xfId="15552" xr:uid="{00000000-0005-0000-0000-000046000000}"/>
    <cellStyle name="20 % - Markeringsfarve1 13 3 2 2" xfId="33712" xr:uid="{00000000-0005-0000-0000-000047000000}"/>
    <cellStyle name="20 % - Markeringsfarve1 13 3 3" xfId="26711" xr:uid="{00000000-0005-0000-0000-000048000000}"/>
    <cellStyle name="20 % - Markeringsfarve1 13 4" xfId="12389" xr:uid="{00000000-0005-0000-0000-000049000000}"/>
    <cellStyle name="20 % - Markeringsfarve1 13 4 2" xfId="30556" xr:uid="{00000000-0005-0000-0000-00004A000000}"/>
    <cellStyle name="20 % - Markeringsfarve1 13 5" xfId="23554" xr:uid="{00000000-0005-0000-0000-00004B000000}"/>
    <cellStyle name="20 % - Markeringsfarve1 14" xfId="3837" xr:uid="{00000000-0005-0000-0000-00004C000000}"/>
    <cellStyle name="20 % - Markeringsfarve1 14 2" xfId="8937" xr:uid="{00000000-0005-0000-0000-00004D000000}"/>
    <cellStyle name="20 % - Markeringsfarve1 14 2 2" xfId="16850" xr:uid="{00000000-0005-0000-0000-00004E000000}"/>
    <cellStyle name="20 % - Markeringsfarve1 14 2 2 2" xfId="35010" xr:uid="{00000000-0005-0000-0000-00004F000000}"/>
    <cellStyle name="20 % - Markeringsfarve1 14 2 3" xfId="28009" xr:uid="{00000000-0005-0000-0000-000050000000}"/>
    <cellStyle name="20 % - Markeringsfarve1 14 3" xfId="12391" xr:uid="{00000000-0005-0000-0000-000051000000}"/>
    <cellStyle name="20 % - Markeringsfarve1 14 3 2" xfId="30558" xr:uid="{00000000-0005-0000-0000-000052000000}"/>
    <cellStyle name="20 % - Markeringsfarve1 14 4" xfId="23556" xr:uid="{00000000-0005-0000-0000-000053000000}"/>
    <cellStyle name="20 % - Markeringsfarve1 15" xfId="3838" xr:uid="{00000000-0005-0000-0000-000054000000}"/>
    <cellStyle name="20 % - Markeringsfarve1 15 2" xfId="10802" xr:uid="{00000000-0005-0000-0000-000055000000}"/>
    <cellStyle name="20 % - Markeringsfarve1 15 2 2" xfId="18689" xr:uid="{00000000-0005-0000-0000-000056000000}"/>
    <cellStyle name="20 % - Markeringsfarve1 15 2 2 2" xfId="36849" xr:uid="{00000000-0005-0000-0000-000057000000}"/>
    <cellStyle name="20 % - Markeringsfarve1 15 2 3" xfId="29848" xr:uid="{00000000-0005-0000-0000-000058000000}"/>
    <cellStyle name="20 % - Markeringsfarve1 15 3" xfId="12392" xr:uid="{00000000-0005-0000-0000-000059000000}"/>
    <cellStyle name="20 % - Markeringsfarve1 15 3 2" xfId="30559" xr:uid="{00000000-0005-0000-0000-00005A000000}"/>
    <cellStyle name="20 % - Markeringsfarve1 15 4" xfId="23557" xr:uid="{00000000-0005-0000-0000-00005B000000}"/>
    <cellStyle name="20 % - Markeringsfarve1 16" xfId="3839" xr:uid="{00000000-0005-0000-0000-00005C000000}"/>
    <cellStyle name="20 % - Markeringsfarve1 16 2" xfId="9343" xr:uid="{00000000-0005-0000-0000-00005D000000}"/>
    <cellStyle name="20 % - Markeringsfarve1 16 2 2" xfId="17253" xr:uid="{00000000-0005-0000-0000-00005E000000}"/>
    <cellStyle name="20 % - Markeringsfarve1 16 2 2 2" xfId="35413" xr:uid="{00000000-0005-0000-0000-00005F000000}"/>
    <cellStyle name="20 % - Markeringsfarve1 16 2 3" xfId="28412" xr:uid="{00000000-0005-0000-0000-000060000000}"/>
    <cellStyle name="20 % - Markeringsfarve1 16 3" xfId="12393" xr:uid="{00000000-0005-0000-0000-000061000000}"/>
    <cellStyle name="20 % - Markeringsfarve1 16 3 2" xfId="30560" xr:uid="{00000000-0005-0000-0000-000062000000}"/>
    <cellStyle name="20 % - Markeringsfarve1 16 4" xfId="23558" xr:uid="{00000000-0005-0000-0000-000063000000}"/>
    <cellStyle name="20 % - Markeringsfarve1 17" xfId="7612" xr:uid="{00000000-0005-0000-0000-000064000000}"/>
    <cellStyle name="20 % - Markeringsfarve1 17 2" xfId="15540" xr:uid="{00000000-0005-0000-0000-000065000000}"/>
    <cellStyle name="20 % - Markeringsfarve1 17 2 2" xfId="33700" xr:uid="{00000000-0005-0000-0000-000066000000}"/>
    <cellStyle name="20 % - Markeringsfarve1 17 3" xfId="26699" xr:uid="{00000000-0005-0000-0000-000067000000}"/>
    <cellStyle name="20 % - Markeringsfarve1 18" xfId="3827" xr:uid="{00000000-0005-0000-0000-000068000000}"/>
    <cellStyle name="20 % - Markeringsfarve1 18 2" xfId="12381" xr:uid="{00000000-0005-0000-0000-000069000000}"/>
    <cellStyle name="20 % - Markeringsfarve1 18 2 2" xfId="30548" xr:uid="{00000000-0005-0000-0000-00006A000000}"/>
    <cellStyle name="20 % - Markeringsfarve1 18 3" xfId="23546" xr:uid="{00000000-0005-0000-0000-00006B000000}"/>
    <cellStyle name="20 % - Markeringsfarve1 2" xfId="1767" xr:uid="{00000000-0005-0000-0000-00006C000000}"/>
    <cellStyle name="20 % - Markeringsfarve1 2 10" xfId="3841" xr:uid="{00000000-0005-0000-0000-00006D000000}"/>
    <cellStyle name="20 % - Markeringsfarve1 2 10 2" xfId="8970" xr:uid="{00000000-0005-0000-0000-00006E000000}"/>
    <cellStyle name="20 % - Markeringsfarve1 2 10 2 2" xfId="16881" xr:uid="{00000000-0005-0000-0000-00006F000000}"/>
    <cellStyle name="20 % - Markeringsfarve1 2 10 2 2 2" xfId="35041" xr:uid="{00000000-0005-0000-0000-000070000000}"/>
    <cellStyle name="20 % - Markeringsfarve1 2 10 2 3" xfId="28040" xr:uid="{00000000-0005-0000-0000-000071000000}"/>
    <cellStyle name="20 % - Markeringsfarve1 2 10 3" xfId="12395" xr:uid="{00000000-0005-0000-0000-000072000000}"/>
    <cellStyle name="20 % - Markeringsfarve1 2 10 3 2" xfId="30562" xr:uid="{00000000-0005-0000-0000-000073000000}"/>
    <cellStyle name="20 % - Markeringsfarve1 2 10 4" xfId="23560" xr:uid="{00000000-0005-0000-0000-000074000000}"/>
    <cellStyle name="20 % - Markeringsfarve1 2 11" xfId="3842" xr:uid="{00000000-0005-0000-0000-000075000000}"/>
    <cellStyle name="20 % - Markeringsfarve1 2 11 2" xfId="9341" xr:uid="{00000000-0005-0000-0000-000076000000}"/>
    <cellStyle name="20 % - Markeringsfarve1 2 11 2 2" xfId="17251" xr:uid="{00000000-0005-0000-0000-000077000000}"/>
    <cellStyle name="20 % - Markeringsfarve1 2 11 2 2 2" xfId="35411" xr:uid="{00000000-0005-0000-0000-000078000000}"/>
    <cellStyle name="20 % - Markeringsfarve1 2 11 2 3" xfId="28410" xr:uid="{00000000-0005-0000-0000-000079000000}"/>
    <cellStyle name="20 % - Markeringsfarve1 2 11 3" xfId="12396" xr:uid="{00000000-0005-0000-0000-00007A000000}"/>
    <cellStyle name="20 % - Markeringsfarve1 2 11 3 2" xfId="30563" xr:uid="{00000000-0005-0000-0000-00007B000000}"/>
    <cellStyle name="20 % - Markeringsfarve1 2 11 4" xfId="23561" xr:uid="{00000000-0005-0000-0000-00007C000000}"/>
    <cellStyle name="20 % - Markeringsfarve1 2 12" xfId="7638" xr:uid="{00000000-0005-0000-0000-00007D000000}"/>
    <cellStyle name="20 % - Markeringsfarve1 2 12 2" xfId="15556" xr:uid="{00000000-0005-0000-0000-00007E000000}"/>
    <cellStyle name="20 % - Markeringsfarve1 2 12 2 2" xfId="33716" xr:uid="{00000000-0005-0000-0000-00007F000000}"/>
    <cellStyle name="20 % - Markeringsfarve1 2 12 3" xfId="26715" xr:uid="{00000000-0005-0000-0000-000080000000}"/>
    <cellStyle name="20 % - Markeringsfarve1 2 13" xfId="12394" xr:uid="{00000000-0005-0000-0000-000081000000}"/>
    <cellStyle name="20 % - Markeringsfarve1 2 13 2" xfId="30561" xr:uid="{00000000-0005-0000-0000-000082000000}"/>
    <cellStyle name="20 % - Markeringsfarve1 2 14" xfId="3840" xr:uid="{00000000-0005-0000-0000-000083000000}"/>
    <cellStyle name="20 % - Markeringsfarve1 2 14 2" xfId="23559" xr:uid="{00000000-0005-0000-0000-000084000000}"/>
    <cellStyle name="20 % - Markeringsfarve1 2 15" xfId="21891" xr:uid="{00000000-0005-0000-0000-000085000000}"/>
    <cellStyle name="20 % - Markeringsfarve1 2 2" xfId="1768" xr:uid="{00000000-0005-0000-0000-000086000000}"/>
    <cellStyle name="20 % - Markeringsfarve1 2 2 10" xfId="7639" xr:uid="{00000000-0005-0000-0000-000087000000}"/>
    <cellStyle name="20 % - Markeringsfarve1 2 2 10 2" xfId="15557" xr:uid="{00000000-0005-0000-0000-000088000000}"/>
    <cellStyle name="20 % - Markeringsfarve1 2 2 10 2 2" xfId="33717" xr:uid="{00000000-0005-0000-0000-000089000000}"/>
    <cellStyle name="20 % - Markeringsfarve1 2 2 10 3" xfId="26716" xr:uid="{00000000-0005-0000-0000-00008A000000}"/>
    <cellStyle name="20 % - Markeringsfarve1 2 2 11" xfId="12397" xr:uid="{00000000-0005-0000-0000-00008B000000}"/>
    <cellStyle name="20 % - Markeringsfarve1 2 2 11 2" xfId="30564" xr:uid="{00000000-0005-0000-0000-00008C000000}"/>
    <cellStyle name="20 % - Markeringsfarve1 2 2 12" xfId="3843" xr:uid="{00000000-0005-0000-0000-00008D000000}"/>
    <cellStyle name="20 % - Markeringsfarve1 2 2 12 2" xfId="23562" xr:uid="{00000000-0005-0000-0000-00008E000000}"/>
    <cellStyle name="20 % - Markeringsfarve1 2 2 13" xfId="21892" xr:uid="{00000000-0005-0000-0000-00008F000000}"/>
    <cellStyle name="20 % - Markeringsfarve1 2 2 2" xfId="1769" xr:uid="{00000000-0005-0000-0000-000090000000}"/>
    <cellStyle name="20 % - Markeringsfarve1 2 2 2 2" xfId="3845" xr:uid="{00000000-0005-0000-0000-000091000000}"/>
    <cellStyle name="20 % - Markeringsfarve1 2 2 2 2 2" xfId="3846" xr:uid="{00000000-0005-0000-0000-000092000000}"/>
    <cellStyle name="20 % - Markeringsfarve1 2 2 2 2 2 2" xfId="9901" xr:uid="{00000000-0005-0000-0000-000093000000}"/>
    <cellStyle name="20 % - Markeringsfarve1 2 2 2 2 2 2 2" xfId="17802" xr:uid="{00000000-0005-0000-0000-000094000000}"/>
    <cellStyle name="20 % - Markeringsfarve1 2 2 2 2 2 2 2 2" xfId="35962" xr:uid="{00000000-0005-0000-0000-000095000000}"/>
    <cellStyle name="20 % - Markeringsfarve1 2 2 2 2 2 2 3" xfId="28961" xr:uid="{00000000-0005-0000-0000-000096000000}"/>
    <cellStyle name="20 % - Markeringsfarve1 2 2 2 2 2 3" xfId="12400" xr:uid="{00000000-0005-0000-0000-000097000000}"/>
    <cellStyle name="20 % - Markeringsfarve1 2 2 2 2 2 3 2" xfId="30567" xr:uid="{00000000-0005-0000-0000-000098000000}"/>
    <cellStyle name="20 % - Markeringsfarve1 2 2 2 2 2 4" xfId="23565" xr:uid="{00000000-0005-0000-0000-000099000000}"/>
    <cellStyle name="20 % - Markeringsfarve1 2 2 2 2 3" xfId="8474" xr:uid="{00000000-0005-0000-0000-00009A000000}"/>
    <cellStyle name="20 % - Markeringsfarve1 2 2 2 2 3 2" xfId="16391" xr:uid="{00000000-0005-0000-0000-00009B000000}"/>
    <cellStyle name="20 % - Markeringsfarve1 2 2 2 2 3 2 2" xfId="34551" xr:uid="{00000000-0005-0000-0000-00009C000000}"/>
    <cellStyle name="20 % - Markeringsfarve1 2 2 2 2 3 3" xfId="27550" xr:uid="{00000000-0005-0000-0000-00009D000000}"/>
    <cellStyle name="20 % - Markeringsfarve1 2 2 2 2 4" xfId="12399" xr:uid="{00000000-0005-0000-0000-00009E000000}"/>
    <cellStyle name="20 % - Markeringsfarve1 2 2 2 2 4 2" xfId="30566" xr:uid="{00000000-0005-0000-0000-00009F000000}"/>
    <cellStyle name="20 % - Markeringsfarve1 2 2 2 2 5" xfId="23564" xr:uid="{00000000-0005-0000-0000-0000A0000000}"/>
    <cellStyle name="20 % - Markeringsfarve1 2 2 2 3" xfId="3847" xr:uid="{00000000-0005-0000-0000-0000A1000000}"/>
    <cellStyle name="20 % - Markeringsfarve1 2 2 2 3 2" xfId="9131" xr:uid="{00000000-0005-0000-0000-0000A2000000}"/>
    <cellStyle name="20 % - Markeringsfarve1 2 2 2 3 2 2" xfId="17042" xr:uid="{00000000-0005-0000-0000-0000A3000000}"/>
    <cellStyle name="20 % - Markeringsfarve1 2 2 2 3 2 2 2" xfId="35202" xr:uid="{00000000-0005-0000-0000-0000A4000000}"/>
    <cellStyle name="20 % - Markeringsfarve1 2 2 2 3 2 3" xfId="28201" xr:uid="{00000000-0005-0000-0000-0000A5000000}"/>
    <cellStyle name="20 % - Markeringsfarve1 2 2 2 3 3" xfId="12401" xr:uid="{00000000-0005-0000-0000-0000A6000000}"/>
    <cellStyle name="20 % - Markeringsfarve1 2 2 2 3 3 2" xfId="30568" xr:uid="{00000000-0005-0000-0000-0000A7000000}"/>
    <cellStyle name="20 % - Markeringsfarve1 2 2 2 3 4" xfId="23566" xr:uid="{00000000-0005-0000-0000-0000A8000000}"/>
    <cellStyle name="20 % - Markeringsfarve1 2 2 2 4" xfId="3848" xr:uid="{00000000-0005-0000-0000-0000A9000000}"/>
    <cellStyle name="20 % - Markeringsfarve1 2 2 2 4 2" xfId="10609" xr:uid="{00000000-0005-0000-0000-0000AA000000}"/>
    <cellStyle name="20 % - Markeringsfarve1 2 2 2 4 2 2" xfId="18503" xr:uid="{00000000-0005-0000-0000-0000AB000000}"/>
    <cellStyle name="20 % - Markeringsfarve1 2 2 2 4 2 2 2" xfId="36663" xr:uid="{00000000-0005-0000-0000-0000AC000000}"/>
    <cellStyle name="20 % - Markeringsfarve1 2 2 2 4 2 3" xfId="29662" xr:uid="{00000000-0005-0000-0000-0000AD000000}"/>
    <cellStyle name="20 % - Markeringsfarve1 2 2 2 4 3" xfId="12402" xr:uid="{00000000-0005-0000-0000-0000AE000000}"/>
    <cellStyle name="20 % - Markeringsfarve1 2 2 2 4 3 2" xfId="30569" xr:uid="{00000000-0005-0000-0000-0000AF000000}"/>
    <cellStyle name="20 % - Markeringsfarve1 2 2 2 4 4" xfId="23567" xr:uid="{00000000-0005-0000-0000-0000B0000000}"/>
    <cellStyle name="20 % - Markeringsfarve1 2 2 2 5" xfId="7640" xr:uid="{00000000-0005-0000-0000-0000B1000000}"/>
    <cellStyle name="20 % - Markeringsfarve1 2 2 2 5 2" xfId="15558" xr:uid="{00000000-0005-0000-0000-0000B2000000}"/>
    <cellStyle name="20 % - Markeringsfarve1 2 2 2 5 2 2" xfId="33718" xr:uid="{00000000-0005-0000-0000-0000B3000000}"/>
    <cellStyle name="20 % - Markeringsfarve1 2 2 2 5 3" xfId="26717" xr:uid="{00000000-0005-0000-0000-0000B4000000}"/>
    <cellStyle name="20 % - Markeringsfarve1 2 2 2 6" xfId="12398" xr:uid="{00000000-0005-0000-0000-0000B5000000}"/>
    <cellStyle name="20 % - Markeringsfarve1 2 2 2 6 2" xfId="30565" xr:uid="{00000000-0005-0000-0000-0000B6000000}"/>
    <cellStyle name="20 % - Markeringsfarve1 2 2 2 7" xfId="3844" xr:uid="{00000000-0005-0000-0000-0000B7000000}"/>
    <cellStyle name="20 % - Markeringsfarve1 2 2 2 7 2" xfId="23563" xr:uid="{00000000-0005-0000-0000-0000B8000000}"/>
    <cellStyle name="20 % - Markeringsfarve1 2 2 2 8" xfId="21893" xr:uid="{00000000-0005-0000-0000-0000B9000000}"/>
    <cellStyle name="20 % - Markeringsfarve1 2 2 3" xfId="3849" xr:uid="{00000000-0005-0000-0000-0000BA000000}"/>
    <cellStyle name="20 % - Markeringsfarve1 2 2 3 2" xfId="3850" xr:uid="{00000000-0005-0000-0000-0000BB000000}"/>
    <cellStyle name="20 % - Markeringsfarve1 2 2 3 2 2" xfId="3851" xr:uid="{00000000-0005-0000-0000-0000BC000000}"/>
    <cellStyle name="20 % - Markeringsfarve1 2 2 3 2 2 2" xfId="9955" xr:uid="{00000000-0005-0000-0000-0000BD000000}"/>
    <cellStyle name="20 % - Markeringsfarve1 2 2 3 2 2 2 2" xfId="17856" xr:uid="{00000000-0005-0000-0000-0000BE000000}"/>
    <cellStyle name="20 % - Markeringsfarve1 2 2 3 2 2 2 2 2" xfId="36016" xr:uid="{00000000-0005-0000-0000-0000BF000000}"/>
    <cellStyle name="20 % - Markeringsfarve1 2 2 3 2 2 2 3" xfId="29015" xr:uid="{00000000-0005-0000-0000-0000C0000000}"/>
    <cellStyle name="20 % - Markeringsfarve1 2 2 3 2 2 3" xfId="12405" xr:uid="{00000000-0005-0000-0000-0000C1000000}"/>
    <cellStyle name="20 % - Markeringsfarve1 2 2 3 2 2 3 2" xfId="30572" xr:uid="{00000000-0005-0000-0000-0000C2000000}"/>
    <cellStyle name="20 % - Markeringsfarve1 2 2 3 2 2 4" xfId="23570" xr:uid="{00000000-0005-0000-0000-0000C3000000}"/>
    <cellStyle name="20 % - Markeringsfarve1 2 2 3 2 3" xfId="8519" xr:uid="{00000000-0005-0000-0000-0000C4000000}"/>
    <cellStyle name="20 % - Markeringsfarve1 2 2 3 2 3 2" xfId="16436" xr:uid="{00000000-0005-0000-0000-0000C5000000}"/>
    <cellStyle name="20 % - Markeringsfarve1 2 2 3 2 3 2 2" xfId="34596" xr:uid="{00000000-0005-0000-0000-0000C6000000}"/>
    <cellStyle name="20 % - Markeringsfarve1 2 2 3 2 3 3" xfId="27595" xr:uid="{00000000-0005-0000-0000-0000C7000000}"/>
    <cellStyle name="20 % - Markeringsfarve1 2 2 3 2 4" xfId="12404" xr:uid="{00000000-0005-0000-0000-0000C8000000}"/>
    <cellStyle name="20 % - Markeringsfarve1 2 2 3 2 4 2" xfId="30571" xr:uid="{00000000-0005-0000-0000-0000C9000000}"/>
    <cellStyle name="20 % - Markeringsfarve1 2 2 3 2 5" xfId="23569" xr:uid="{00000000-0005-0000-0000-0000CA000000}"/>
    <cellStyle name="20 % - Markeringsfarve1 2 2 3 3" xfId="3852" xr:uid="{00000000-0005-0000-0000-0000CB000000}"/>
    <cellStyle name="20 % - Markeringsfarve1 2 2 3 3 2" xfId="9185" xr:uid="{00000000-0005-0000-0000-0000CC000000}"/>
    <cellStyle name="20 % - Markeringsfarve1 2 2 3 3 2 2" xfId="17096" xr:uid="{00000000-0005-0000-0000-0000CD000000}"/>
    <cellStyle name="20 % - Markeringsfarve1 2 2 3 3 2 2 2" xfId="35256" xr:uid="{00000000-0005-0000-0000-0000CE000000}"/>
    <cellStyle name="20 % - Markeringsfarve1 2 2 3 3 2 3" xfId="28255" xr:uid="{00000000-0005-0000-0000-0000CF000000}"/>
    <cellStyle name="20 % - Markeringsfarve1 2 2 3 3 3" xfId="12406" xr:uid="{00000000-0005-0000-0000-0000D0000000}"/>
    <cellStyle name="20 % - Markeringsfarve1 2 2 3 3 3 2" xfId="30573" xr:uid="{00000000-0005-0000-0000-0000D1000000}"/>
    <cellStyle name="20 % - Markeringsfarve1 2 2 3 3 4" xfId="23571" xr:uid="{00000000-0005-0000-0000-0000D2000000}"/>
    <cellStyle name="20 % - Markeringsfarve1 2 2 3 4" xfId="3853" xr:uid="{00000000-0005-0000-0000-0000D3000000}"/>
    <cellStyle name="20 % - Markeringsfarve1 2 2 3 4 2" xfId="10608" xr:uid="{00000000-0005-0000-0000-0000D4000000}"/>
    <cellStyle name="20 % - Markeringsfarve1 2 2 3 4 2 2" xfId="18502" xr:uid="{00000000-0005-0000-0000-0000D5000000}"/>
    <cellStyle name="20 % - Markeringsfarve1 2 2 3 4 2 2 2" xfId="36662" xr:uid="{00000000-0005-0000-0000-0000D6000000}"/>
    <cellStyle name="20 % - Markeringsfarve1 2 2 3 4 2 3" xfId="29661" xr:uid="{00000000-0005-0000-0000-0000D7000000}"/>
    <cellStyle name="20 % - Markeringsfarve1 2 2 3 4 3" xfId="12407" xr:uid="{00000000-0005-0000-0000-0000D8000000}"/>
    <cellStyle name="20 % - Markeringsfarve1 2 2 3 4 3 2" xfId="30574" xr:uid="{00000000-0005-0000-0000-0000D9000000}"/>
    <cellStyle name="20 % - Markeringsfarve1 2 2 3 4 4" xfId="23572" xr:uid="{00000000-0005-0000-0000-0000DA000000}"/>
    <cellStyle name="20 % - Markeringsfarve1 2 2 3 5" xfId="7641" xr:uid="{00000000-0005-0000-0000-0000DB000000}"/>
    <cellStyle name="20 % - Markeringsfarve1 2 2 3 5 2" xfId="15559" xr:uid="{00000000-0005-0000-0000-0000DC000000}"/>
    <cellStyle name="20 % - Markeringsfarve1 2 2 3 5 2 2" xfId="33719" xr:uid="{00000000-0005-0000-0000-0000DD000000}"/>
    <cellStyle name="20 % - Markeringsfarve1 2 2 3 5 3" xfId="26718" xr:uid="{00000000-0005-0000-0000-0000DE000000}"/>
    <cellStyle name="20 % - Markeringsfarve1 2 2 3 6" xfId="12403" xr:uid="{00000000-0005-0000-0000-0000DF000000}"/>
    <cellStyle name="20 % - Markeringsfarve1 2 2 3 6 2" xfId="30570" xr:uid="{00000000-0005-0000-0000-0000E0000000}"/>
    <cellStyle name="20 % - Markeringsfarve1 2 2 3 7" xfId="23568" xr:uid="{00000000-0005-0000-0000-0000E1000000}"/>
    <cellStyle name="20 % - Markeringsfarve1 2 2 4" xfId="3854" xr:uid="{00000000-0005-0000-0000-0000E2000000}"/>
    <cellStyle name="20 % - Markeringsfarve1 2 2 4 2" xfId="3855" xr:uid="{00000000-0005-0000-0000-0000E3000000}"/>
    <cellStyle name="20 % - Markeringsfarve1 2 2 4 2 2" xfId="3856" xr:uid="{00000000-0005-0000-0000-0000E4000000}"/>
    <cellStyle name="20 % - Markeringsfarve1 2 2 4 2 2 2" xfId="10139" xr:uid="{00000000-0005-0000-0000-0000E5000000}"/>
    <cellStyle name="20 % - Markeringsfarve1 2 2 4 2 2 2 2" xfId="18040" xr:uid="{00000000-0005-0000-0000-0000E6000000}"/>
    <cellStyle name="20 % - Markeringsfarve1 2 2 4 2 2 2 2 2" xfId="36200" xr:uid="{00000000-0005-0000-0000-0000E7000000}"/>
    <cellStyle name="20 % - Markeringsfarve1 2 2 4 2 2 2 3" xfId="29199" xr:uid="{00000000-0005-0000-0000-0000E8000000}"/>
    <cellStyle name="20 % - Markeringsfarve1 2 2 4 2 2 3" xfId="12410" xr:uid="{00000000-0005-0000-0000-0000E9000000}"/>
    <cellStyle name="20 % - Markeringsfarve1 2 2 4 2 2 3 2" xfId="30577" xr:uid="{00000000-0005-0000-0000-0000EA000000}"/>
    <cellStyle name="20 % - Markeringsfarve1 2 2 4 2 2 4" xfId="23575" xr:uid="{00000000-0005-0000-0000-0000EB000000}"/>
    <cellStyle name="20 % - Markeringsfarve1 2 2 4 2 3" xfId="8676" xr:uid="{00000000-0005-0000-0000-0000EC000000}"/>
    <cellStyle name="20 % - Markeringsfarve1 2 2 4 2 3 2" xfId="16590" xr:uid="{00000000-0005-0000-0000-0000ED000000}"/>
    <cellStyle name="20 % - Markeringsfarve1 2 2 4 2 3 2 2" xfId="34750" xr:uid="{00000000-0005-0000-0000-0000EE000000}"/>
    <cellStyle name="20 % - Markeringsfarve1 2 2 4 2 3 3" xfId="27749" xr:uid="{00000000-0005-0000-0000-0000EF000000}"/>
    <cellStyle name="20 % - Markeringsfarve1 2 2 4 2 4" xfId="12409" xr:uid="{00000000-0005-0000-0000-0000F0000000}"/>
    <cellStyle name="20 % - Markeringsfarve1 2 2 4 2 4 2" xfId="30576" xr:uid="{00000000-0005-0000-0000-0000F1000000}"/>
    <cellStyle name="20 % - Markeringsfarve1 2 2 4 2 5" xfId="23574" xr:uid="{00000000-0005-0000-0000-0000F2000000}"/>
    <cellStyle name="20 % - Markeringsfarve1 2 2 4 3" xfId="3857" xr:uid="{00000000-0005-0000-0000-0000F3000000}"/>
    <cellStyle name="20 % - Markeringsfarve1 2 2 4 3 2" xfId="9415" xr:uid="{00000000-0005-0000-0000-0000F4000000}"/>
    <cellStyle name="20 % - Markeringsfarve1 2 2 4 3 2 2" xfId="17325" xr:uid="{00000000-0005-0000-0000-0000F5000000}"/>
    <cellStyle name="20 % - Markeringsfarve1 2 2 4 3 2 2 2" xfId="35485" xr:uid="{00000000-0005-0000-0000-0000F6000000}"/>
    <cellStyle name="20 % - Markeringsfarve1 2 2 4 3 2 3" xfId="28484" xr:uid="{00000000-0005-0000-0000-0000F7000000}"/>
    <cellStyle name="20 % - Markeringsfarve1 2 2 4 3 3" xfId="12411" xr:uid="{00000000-0005-0000-0000-0000F8000000}"/>
    <cellStyle name="20 % - Markeringsfarve1 2 2 4 3 3 2" xfId="30578" xr:uid="{00000000-0005-0000-0000-0000F9000000}"/>
    <cellStyle name="20 % - Markeringsfarve1 2 2 4 3 4" xfId="23576" xr:uid="{00000000-0005-0000-0000-0000FA000000}"/>
    <cellStyle name="20 % - Markeringsfarve1 2 2 4 4" xfId="3858" xr:uid="{00000000-0005-0000-0000-0000FB000000}"/>
    <cellStyle name="20 % - Markeringsfarve1 2 2 4 4 2" xfId="10607" xr:uid="{00000000-0005-0000-0000-0000FC000000}"/>
    <cellStyle name="20 % - Markeringsfarve1 2 2 4 4 2 2" xfId="18501" xr:uid="{00000000-0005-0000-0000-0000FD000000}"/>
    <cellStyle name="20 % - Markeringsfarve1 2 2 4 4 2 2 2" xfId="36661" xr:uid="{00000000-0005-0000-0000-0000FE000000}"/>
    <cellStyle name="20 % - Markeringsfarve1 2 2 4 4 2 3" xfId="29660" xr:uid="{00000000-0005-0000-0000-0000FF000000}"/>
    <cellStyle name="20 % - Markeringsfarve1 2 2 4 4 3" xfId="12412" xr:uid="{00000000-0005-0000-0000-000000010000}"/>
    <cellStyle name="20 % - Markeringsfarve1 2 2 4 4 3 2" xfId="30579" xr:uid="{00000000-0005-0000-0000-000001010000}"/>
    <cellStyle name="20 % - Markeringsfarve1 2 2 4 4 4" xfId="23577" xr:uid="{00000000-0005-0000-0000-000002010000}"/>
    <cellStyle name="20 % - Markeringsfarve1 2 2 4 5" xfId="7642" xr:uid="{00000000-0005-0000-0000-000003010000}"/>
    <cellStyle name="20 % - Markeringsfarve1 2 2 4 5 2" xfId="15560" xr:uid="{00000000-0005-0000-0000-000004010000}"/>
    <cellStyle name="20 % - Markeringsfarve1 2 2 4 5 2 2" xfId="33720" xr:uid="{00000000-0005-0000-0000-000005010000}"/>
    <cellStyle name="20 % - Markeringsfarve1 2 2 4 5 3" xfId="26719" xr:uid="{00000000-0005-0000-0000-000006010000}"/>
    <cellStyle name="20 % - Markeringsfarve1 2 2 4 6" xfId="12408" xr:uid="{00000000-0005-0000-0000-000007010000}"/>
    <cellStyle name="20 % - Markeringsfarve1 2 2 4 6 2" xfId="30575" xr:uid="{00000000-0005-0000-0000-000008010000}"/>
    <cellStyle name="20 % - Markeringsfarve1 2 2 4 7" xfId="23573" xr:uid="{00000000-0005-0000-0000-000009010000}"/>
    <cellStyle name="20 % - Markeringsfarve1 2 2 5" xfId="3859" xr:uid="{00000000-0005-0000-0000-00000A010000}"/>
    <cellStyle name="20 % - Markeringsfarve1 2 2 5 2" xfId="3860" xr:uid="{00000000-0005-0000-0000-00000B010000}"/>
    <cellStyle name="20 % - Markeringsfarve1 2 2 5 2 2" xfId="3861" xr:uid="{00000000-0005-0000-0000-00000C010000}"/>
    <cellStyle name="20 % - Markeringsfarve1 2 2 5 2 2 2" xfId="10256" xr:uid="{00000000-0005-0000-0000-00000D010000}"/>
    <cellStyle name="20 % - Markeringsfarve1 2 2 5 2 2 2 2" xfId="18157" xr:uid="{00000000-0005-0000-0000-00000E010000}"/>
    <cellStyle name="20 % - Markeringsfarve1 2 2 5 2 2 2 2 2" xfId="36317" xr:uid="{00000000-0005-0000-0000-00000F010000}"/>
    <cellStyle name="20 % - Markeringsfarve1 2 2 5 2 2 2 3" xfId="29316" xr:uid="{00000000-0005-0000-0000-000010010000}"/>
    <cellStyle name="20 % - Markeringsfarve1 2 2 5 2 2 3" xfId="12415" xr:uid="{00000000-0005-0000-0000-000011010000}"/>
    <cellStyle name="20 % - Markeringsfarve1 2 2 5 2 2 3 2" xfId="30582" xr:uid="{00000000-0005-0000-0000-000012010000}"/>
    <cellStyle name="20 % - Markeringsfarve1 2 2 5 2 2 4" xfId="23580" xr:uid="{00000000-0005-0000-0000-000013010000}"/>
    <cellStyle name="20 % - Markeringsfarve1 2 2 5 2 3" xfId="8775" xr:uid="{00000000-0005-0000-0000-000014010000}"/>
    <cellStyle name="20 % - Markeringsfarve1 2 2 5 2 3 2" xfId="16689" xr:uid="{00000000-0005-0000-0000-000015010000}"/>
    <cellStyle name="20 % - Markeringsfarve1 2 2 5 2 3 2 2" xfId="34849" xr:uid="{00000000-0005-0000-0000-000016010000}"/>
    <cellStyle name="20 % - Markeringsfarve1 2 2 5 2 3 3" xfId="27848" xr:uid="{00000000-0005-0000-0000-000017010000}"/>
    <cellStyle name="20 % - Markeringsfarve1 2 2 5 2 4" xfId="12414" xr:uid="{00000000-0005-0000-0000-000018010000}"/>
    <cellStyle name="20 % - Markeringsfarve1 2 2 5 2 4 2" xfId="30581" xr:uid="{00000000-0005-0000-0000-000019010000}"/>
    <cellStyle name="20 % - Markeringsfarve1 2 2 5 2 5" xfId="23579" xr:uid="{00000000-0005-0000-0000-00001A010000}"/>
    <cellStyle name="20 % - Markeringsfarve1 2 2 5 3" xfId="3862" xr:uid="{00000000-0005-0000-0000-00001B010000}"/>
    <cellStyle name="20 % - Markeringsfarve1 2 2 5 3 2" xfId="9532" xr:uid="{00000000-0005-0000-0000-00001C010000}"/>
    <cellStyle name="20 % - Markeringsfarve1 2 2 5 3 2 2" xfId="17442" xr:uid="{00000000-0005-0000-0000-00001D010000}"/>
    <cellStyle name="20 % - Markeringsfarve1 2 2 5 3 2 2 2" xfId="35602" xr:uid="{00000000-0005-0000-0000-00001E010000}"/>
    <cellStyle name="20 % - Markeringsfarve1 2 2 5 3 2 3" xfId="28601" xr:uid="{00000000-0005-0000-0000-00001F010000}"/>
    <cellStyle name="20 % - Markeringsfarve1 2 2 5 3 3" xfId="12416" xr:uid="{00000000-0005-0000-0000-000020010000}"/>
    <cellStyle name="20 % - Markeringsfarve1 2 2 5 3 3 2" xfId="30583" xr:uid="{00000000-0005-0000-0000-000021010000}"/>
    <cellStyle name="20 % - Markeringsfarve1 2 2 5 3 4" xfId="23581" xr:uid="{00000000-0005-0000-0000-000022010000}"/>
    <cellStyle name="20 % - Markeringsfarve1 2 2 5 4" xfId="3863" xr:uid="{00000000-0005-0000-0000-000023010000}"/>
    <cellStyle name="20 % - Markeringsfarve1 2 2 5 4 2" xfId="10606" xr:uid="{00000000-0005-0000-0000-000024010000}"/>
    <cellStyle name="20 % - Markeringsfarve1 2 2 5 4 2 2" xfId="18500" xr:uid="{00000000-0005-0000-0000-000025010000}"/>
    <cellStyle name="20 % - Markeringsfarve1 2 2 5 4 2 2 2" xfId="36660" xr:uid="{00000000-0005-0000-0000-000026010000}"/>
    <cellStyle name="20 % - Markeringsfarve1 2 2 5 4 2 3" xfId="29659" xr:uid="{00000000-0005-0000-0000-000027010000}"/>
    <cellStyle name="20 % - Markeringsfarve1 2 2 5 4 3" xfId="12417" xr:uid="{00000000-0005-0000-0000-000028010000}"/>
    <cellStyle name="20 % - Markeringsfarve1 2 2 5 4 3 2" xfId="30584" xr:uid="{00000000-0005-0000-0000-000029010000}"/>
    <cellStyle name="20 % - Markeringsfarve1 2 2 5 4 4" xfId="23582" xr:uid="{00000000-0005-0000-0000-00002A010000}"/>
    <cellStyle name="20 % - Markeringsfarve1 2 2 5 5" xfId="7643" xr:uid="{00000000-0005-0000-0000-00002B010000}"/>
    <cellStyle name="20 % - Markeringsfarve1 2 2 5 5 2" xfId="15561" xr:uid="{00000000-0005-0000-0000-00002C010000}"/>
    <cellStyle name="20 % - Markeringsfarve1 2 2 5 5 2 2" xfId="33721" xr:uid="{00000000-0005-0000-0000-00002D010000}"/>
    <cellStyle name="20 % - Markeringsfarve1 2 2 5 5 3" xfId="26720" xr:uid="{00000000-0005-0000-0000-00002E010000}"/>
    <cellStyle name="20 % - Markeringsfarve1 2 2 5 6" xfId="12413" xr:uid="{00000000-0005-0000-0000-00002F010000}"/>
    <cellStyle name="20 % - Markeringsfarve1 2 2 5 6 2" xfId="30580" xr:uid="{00000000-0005-0000-0000-000030010000}"/>
    <cellStyle name="20 % - Markeringsfarve1 2 2 5 7" xfId="23578" xr:uid="{00000000-0005-0000-0000-000031010000}"/>
    <cellStyle name="20 % - Markeringsfarve1 2 2 6" xfId="3864" xr:uid="{00000000-0005-0000-0000-000032010000}"/>
    <cellStyle name="20 % - Markeringsfarve1 2 2 6 2" xfId="3865" xr:uid="{00000000-0005-0000-0000-000033010000}"/>
    <cellStyle name="20 % - Markeringsfarve1 2 2 6 2 2" xfId="3866" xr:uid="{00000000-0005-0000-0000-000034010000}"/>
    <cellStyle name="20 % - Markeringsfarve1 2 2 6 2 2 2" xfId="10310" xr:uid="{00000000-0005-0000-0000-000035010000}"/>
    <cellStyle name="20 % - Markeringsfarve1 2 2 6 2 2 2 2" xfId="18211" xr:uid="{00000000-0005-0000-0000-000036010000}"/>
    <cellStyle name="20 % - Markeringsfarve1 2 2 6 2 2 2 2 2" xfId="36371" xr:uid="{00000000-0005-0000-0000-000037010000}"/>
    <cellStyle name="20 % - Markeringsfarve1 2 2 6 2 2 2 3" xfId="29370" xr:uid="{00000000-0005-0000-0000-000038010000}"/>
    <cellStyle name="20 % - Markeringsfarve1 2 2 6 2 2 3" xfId="12420" xr:uid="{00000000-0005-0000-0000-000039010000}"/>
    <cellStyle name="20 % - Markeringsfarve1 2 2 6 2 2 3 2" xfId="30587" xr:uid="{00000000-0005-0000-0000-00003A010000}"/>
    <cellStyle name="20 % - Markeringsfarve1 2 2 6 2 2 4" xfId="23585" xr:uid="{00000000-0005-0000-0000-00003B010000}"/>
    <cellStyle name="20 % - Markeringsfarve1 2 2 6 2 3" xfId="8821" xr:uid="{00000000-0005-0000-0000-00003C010000}"/>
    <cellStyle name="20 % - Markeringsfarve1 2 2 6 2 3 2" xfId="16735" xr:uid="{00000000-0005-0000-0000-00003D010000}"/>
    <cellStyle name="20 % - Markeringsfarve1 2 2 6 2 3 2 2" xfId="34895" xr:uid="{00000000-0005-0000-0000-00003E010000}"/>
    <cellStyle name="20 % - Markeringsfarve1 2 2 6 2 3 3" xfId="27894" xr:uid="{00000000-0005-0000-0000-00003F010000}"/>
    <cellStyle name="20 % - Markeringsfarve1 2 2 6 2 4" xfId="12419" xr:uid="{00000000-0005-0000-0000-000040010000}"/>
    <cellStyle name="20 % - Markeringsfarve1 2 2 6 2 4 2" xfId="30586" xr:uid="{00000000-0005-0000-0000-000041010000}"/>
    <cellStyle name="20 % - Markeringsfarve1 2 2 6 2 5" xfId="23584" xr:uid="{00000000-0005-0000-0000-000042010000}"/>
    <cellStyle name="20 % - Markeringsfarve1 2 2 6 3" xfId="3867" xr:uid="{00000000-0005-0000-0000-000043010000}"/>
    <cellStyle name="20 % - Markeringsfarve1 2 2 6 3 2" xfId="9587" xr:uid="{00000000-0005-0000-0000-000044010000}"/>
    <cellStyle name="20 % - Markeringsfarve1 2 2 6 3 2 2" xfId="17497" xr:uid="{00000000-0005-0000-0000-000045010000}"/>
    <cellStyle name="20 % - Markeringsfarve1 2 2 6 3 2 2 2" xfId="35657" xr:uid="{00000000-0005-0000-0000-000046010000}"/>
    <cellStyle name="20 % - Markeringsfarve1 2 2 6 3 2 3" xfId="28656" xr:uid="{00000000-0005-0000-0000-000047010000}"/>
    <cellStyle name="20 % - Markeringsfarve1 2 2 6 3 3" xfId="12421" xr:uid="{00000000-0005-0000-0000-000048010000}"/>
    <cellStyle name="20 % - Markeringsfarve1 2 2 6 3 3 2" xfId="30588" xr:uid="{00000000-0005-0000-0000-000049010000}"/>
    <cellStyle name="20 % - Markeringsfarve1 2 2 6 3 4" xfId="23586" xr:uid="{00000000-0005-0000-0000-00004A010000}"/>
    <cellStyle name="20 % - Markeringsfarve1 2 2 6 4" xfId="3868" xr:uid="{00000000-0005-0000-0000-00004B010000}"/>
    <cellStyle name="20 % - Markeringsfarve1 2 2 6 4 2" xfId="10605" xr:uid="{00000000-0005-0000-0000-00004C010000}"/>
    <cellStyle name="20 % - Markeringsfarve1 2 2 6 4 2 2" xfId="18499" xr:uid="{00000000-0005-0000-0000-00004D010000}"/>
    <cellStyle name="20 % - Markeringsfarve1 2 2 6 4 2 2 2" xfId="36659" xr:uid="{00000000-0005-0000-0000-00004E010000}"/>
    <cellStyle name="20 % - Markeringsfarve1 2 2 6 4 2 3" xfId="29658" xr:uid="{00000000-0005-0000-0000-00004F010000}"/>
    <cellStyle name="20 % - Markeringsfarve1 2 2 6 4 3" xfId="12422" xr:uid="{00000000-0005-0000-0000-000050010000}"/>
    <cellStyle name="20 % - Markeringsfarve1 2 2 6 4 3 2" xfId="30589" xr:uid="{00000000-0005-0000-0000-000051010000}"/>
    <cellStyle name="20 % - Markeringsfarve1 2 2 6 4 4" xfId="23587" xr:uid="{00000000-0005-0000-0000-000052010000}"/>
    <cellStyle name="20 % - Markeringsfarve1 2 2 6 5" xfId="7644" xr:uid="{00000000-0005-0000-0000-000053010000}"/>
    <cellStyle name="20 % - Markeringsfarve1 2 2 6 5 2" xfId="15562" xr:uid="{00000000-0005-0000-0000-000054010000}"/>
    <cellStyle name="20 % - Markeringsfarve1 2 2 6 5 2 2" xfId="33722" xr:uid="{00000000-0005-0000-0000-000055010000}"/>
    <cellStyle name="20 % - Markeringsfarve1 2 2 6 5 3" xfId="26721" xr:uid="{00000000-0005-0000-0000-000056010000}"/>
    <cellStyle name="20 % - Markeringsfarve1 2 2 6 6" xfId="12418" xr:uid="{00000000-0005-0000-0000-000057010000}"/>
    <cellStyle name="20 % - Markeringsfarve1 2 2 6 6 2" xfId="30585" xr:uid="{00000000-0005-0000-0000-000058010000}"/>
    <cellStyle name="20 % - Markeringsfarve1 2 2 6 7" xfId="23583" xr:uid="{00000000-0005-0000-0000-000059010000}"/>
    <cellStyle name="20 % - Markeringsfarve1 2 2 7" xfId="3869" xr:uid="{00000000-0005-0000-0000-00005A010000}"/>
    <cellStyle name="20 % - Markeringsfarve1 2 2 7 2" xfId="3870" xr:uid="{00000000-0005-0000-0000-00005B010000}"/>
    <cellStyle name="20 % - Markeringsfarve1 2 2 7 2 2" xfId="9782" xr:uid="{00000000-0005-0000-0000-00005C010000}"/>
    <cellStyle name="20 % - Markeringsfarve1 2 2 7 2 2 2" xfId="17683" xr:uid="{00000000-0005-0000-0000-00005D010000}"/>
    <cellStyle name="20 % - Markeringsfarve1 2 2 7 2 2 2 2" xfId="35843" xr:uid="{00000000-0005-0000-0000-00005E010000}"/>
    <cellStyle name="20 % - Markeringsfarve1 2 2 7 2 2 3" xfId="28842" xr:uid="{00000000-0005-0000-0000-00005F010000}"/>
    <cellStyle name="20 % - Markeringsfarve1 2 2 7 2 3" xfId="12424" xr:uid="{00000000-0005-0000-0000-000060010000}"/>
    <cellStyle name="20 % - Markeringsfarve1 2 2 7 2 3 2" xfId="30591" xr:uid="{00000000-0005-0000-0000-000061010000}"/>
    <cellStyle name="20 % - Markeringsfarve1 2 2 7 2 4" xfId="23589" xr:uid="{00000000-0005-0000-0000-000062010000}"/>
    <cellStyle name="20 % - Markeringsfarve1 2 2 7 3" xfId="8375" xr:uid="{00000000-0005-0000-0000-000063010000}"/>
    <cellStyle name="20 % - Markeringsfarve1 2 2 7 3 2" xfId="16292" xr:uid="{00000000-0005-0000-0000-000064010000}"/>
    <cellStyle name="20 % - Markeringsfarve1 2 2 7 3 2 2" xfId="34452" xr:uid="{00000000-0005-0000-0000-000065010000}"/>
    <cellStyle name="20 % - Markeringsfarve1 2 2 7 3 3" xfId="27451" xr:uid="{00000000-0005-0000-0000-000066010000}"/>
    <cellStyle name="20 % - Markeringsfarve1 2 2 7 4" xfId="12423" xr:uid="{00000000-0005-0000-0000-000067010000}"/>
    <cellStyle name="20 % - Markeringsfarve1 2 2 7 4 2" xfId="30590" xr:uid="{00000000-0005-0000-0000-000068010000}"/>
    <cellStyle name="20 % - Markeringsfarve1 2 2 7 5" xfId="23588" xr:uid="{00000000-0005-0000-0000-000069010000}"/>
    <cellStyle name="20 % - Markeringsfarve1 2 2 8" xfId="3871" xr:uid="{00000000-0005-0000-0000-00006A010000}"/>
    <cellStyle name="20 % - Markeringsfarve1 2 2 8 2" xfId="9010" xr:uid="{00000000-0005-0000-0000-00006B010000}"/>
    <cellStyle name="20 % - Markeringsfarve1 2 2 8 2 2" xfId="16921" xr:uid="{00000000-0005-0000-0000-00006C010000}"/>
    <cellStyle name="20 % - Markeringsfarve1 2 2 8 2 2 2" xfId="35081" xr:uid="{00000000-0005-0000-0000-00006D010000}"/>
    <cellStyle name="20 % - Markeringsfarve1 2 2 8 2 3" xfId="28080" xr:uid="{00000000-0005-0000-0000-00006E010000}"/>
    <cellStyle name="20 % - Markeringsfarve1 2 2 8 3" xfId="12425" xr:uid="{00000000-0005-0000-0000-00006F010000}"/>
    <cellStyle name="20 % - Markeringsfarve1 2 2 8 3 2" xfId="30592" xr:uid="{00000000-0005-0000-0000-000070010000}"/>
    <cellStyle name="20 % - Markeringsfarve1 2 2 8 4" xfId="23590" xr:uid="{00000000-0005-0000-0000-000071010000}"/>
    <cellStyle name="20 % - Markeringsfarve1 2 2 9" xfId="3872" xr:uid="{00000000-0005-0000-0000-000072010000}"/>
    <cellStyle name="20 % - Markeringsfarve1 2 2 9 2" xfId="10610" xr:uid="{00000000-0005-0000-0000-000073010000}"/>
    <cellStyle name="20 % - Markeringsfarve1 2 2 9 2 2" xfId="18504" xr:uid="{00000000-0005-0000-0000-000074010000}"/>
    <cellStyle name="20 % - Markeringsfarve1 2 2 9 2 2 2" xfId="36664" xr:uid="{00000000-0005-0000-0000-000075010000}"/>
    <cellStyle name="20 % - Markeringsfarve1 2 2 9 2 3" xfId="29663" xr:uid="{00000000-0005-0000-0000-000076010000}"/>
    <cellStyle name="20 % - Markeringsfarve1 2 2 9 3" xfId="12426" xr:uid="{00000000-0005-0000-0000-000077010000}"/>
    <cellStyle name="20 % - Markeringsfarve1 2 2 9 3 2" xfId="30593" xr:uid="{00000000-0005-0000-0000-000078010000}"/>
    <cellStyle name="20 % - Markeringsfarve1 2 2 9 4" xfId="23591" xr:uid="{00000000-0005-0000-0000-000079010000}"/>
    <cellStyle name="20 % - Markeringsfarve1 2 3" xfId="1770" xr:uid="{00000000-0005-0000-0000-00007A010000}"/>
    <cellStyle name="20 % - Markeringsfarve1 2 3 10" xfId="7645" xr:uid="{00000000-0005-0000-0000-00007B010000}"/>
    <cellStyle name="20 % - Markeringsfarve1 2 3 10 2" xfId="15563" xr:uid="{00000000-0005-0000-0000-00007C010000}"/>
    <cellStyle name="20 % - Markeringsfarve1 2 3 10 2 2" xfId="33723" xr:uid="{00000000-0005-0000-0000-00007D010000}"/>
    <cellStyle name="20 % - Markeringsfarve1 2 3 10 3" xfId="26722" xr:uid="{00000000-0005-0000-0000-00007E010000}"/>
    <cellStyle name="20 % - Markeringsfarve1 2 3 11" xfId="12427" xr:uid="{00000000-0005-0000-0000-00007F010000}"/>
    <cellStyle name="20 % - Markeringsfarve1 2 3 11 2" xfId="30594" xr:uid="{00000000-0005-0000-0000-000080010000}"/>
    <cellStyle name="20 % - Markeringsfarve1 2 3 12" xfId="3873" xr:uid="{00000000-0005-0000-0000-000081010000}"/>
    <cellStyle name="20 % - Markeringsfarve1 2 3 12 2" xfId="23592" xr:uid="{00000000-0005-0000-0000-000082010000}"/>
    <cellStyle name="20 % - Markeringsfarve1 2 3 13" xfId="21894" xr:uid="{00000000-0005-0000-0000-000083010000}"/>
    <cellStyle name="20 % - Markeringsfarve1 2 3 2" xfId="1771" xr:uid="{00000000-0005-0000-0000-000084010000}"/>
    <cellStyle name="20 % - Markeringsfarve1 2 3 2 2" xfId="3875" xr:uid="{00000000-0005-0000-0000-000085010000}"/>
    <cellStyle name="20 % - Markeringsfarve1 2 3 2 2 2" xfId="3876" xr:uid="{00000000-0005-0000-0000-000086010000}"/>
    <cellStyle name="20 % - Markeringsfarve1 2 3 2 2 2 2" xfId="9940" xr:uid="{00000000-0005-0000-0000-000087010000}"/>
    <cellStyle name="20 % - Markeringsfarve1 2 3 2 2 2 2 2" xfId="17841" xr:uid="{00000000-0005-0000-0000-000088010000}"/>
    <cellStyle name="20 % - Markeringsfarve1 2 3 2 2 2 2 2 2" xfId="36001" xr:uid="{00000000-0005-0000-0000-000089010000}"/>
    <cellStyle name="20 % - Markeringsfarve1 2 3 2 2 2 2 3" xfId="29000" xr:uid="{00000000-0005-0000-0000-00008A010000}"/>
    <cellStyle name="20 % - Markeringsfarve1 2 3 2 2 2 3" xfId="12430" xr:uid="{00000000-0005-0000-0000-00008B010000}"/>
    <cellStyle name="20 % - Markeringsfarve1 2 3 2 2 2 3 2" xfId="30597" xr:uid="{00000000-0005-0000-0000-00008C010000}"/>
    <cellStyle name="20 % - Markeringsfarve1 2 3 2 2 2 4" xfId="23595" xr:uid="{00000000-0005-0000-0000-00008D010000}"/>
    <cellStyle name="20 % - Markeringsfarve1 2 3 2 2 3" xfId="8507" xr:uid="{00000000-0005-0000-0000-00008E010000}"/>
    <cellStyle name="20 % - Markeringsfarve1 2 3 2 2 3 2" xfId="16424" xr:uid="{00000000-0005-0000-0000-00008F010000}"/>
    <cellStyle name="20 % - Markeringsfarve1 2 3 2 2 3 2 2" xfId="34584" xr:uid="{00000000-0005-0000-0000-000090010000}"/>
    <cellStyle name="20 % - Markeringsfarve1 2 3 2 2 3 3" xfId="27583" xr:uid="{00000000-0005-0000-0000-000091010000}"/>
    <cellStyle name="20 % - Markeringsfarve1 2 3 2 2 4" xfId="12429" xr:uid="{00000000-0005-0000-0000-000092010000}"/>
    <cellStyle name="20 % - Markeringsfarve1 2 3 2 2 4 2" xfId="30596" xr:uid="{00000000-0005-0000-0000-000093010000}"/>
    <cellStyle name="20 % - Markeringsfarve1 2 3 2 2 5" xfId="23594" xr:uid="{00000000-0005-0000-0000-000094010000}"/>
    <cellStyle name="20 % - Markeringsfarve1 2 3 2 3" xfId="3877" xr:uid="{00000000-0005-0000-0000-000095010000}"/>
    <cellStyle name="20 % - Markeringsfarve1 2 3 2 3 2" xfId="9170" xr:uid="{00000000-0005-0000-0000-000096010000}"/>
    <cellStyle name="20 % - Markeringsfarve1 2 3 2 3 2 2" xfId="17081" xr:uid="{00000000-0005-0000-0000-000097010000}"/>
    <cellStyle name="20 % - Markeringsfarve1 2 3 2 3 2 2 2" xfId="35241" xr:uid="{00000000-0005-0000-0000-000098010000}"/>
    <cellStyle name="20 % - Markeringsfarve1 2 3 2 3 2 3" xfId="28240" xr:uid="{00000000-0005-0000-0000-000099010000}"/>
    <cellStyle name="20 % - Markeringsfarve1 2 3 2 3 3" xfId="12431" xr:uid="{00000000-0005-0000-0000-00009A010000}"/>
    <cellStyle name="20 % - Markeringsfarve1 2 3 2 3 3 2" xfId="30598" xr:uid="{00000000-0005-0000-0000-00009B010000}"/>
    <cellStyle name="20 % - Markeringsfarve1 2 3 2 3 4" xfId="23596" xr:uid="{00000000-0005-0000-0000-00009C010000}"/>
    <cellStyle name="20 % - Markeringsfarve1 2 3 2 4" xfId="3878" xr:uid="{00000000-0005-0000-0000-00009D010000}"/>
    <cellStyle name="20 % - Markeringsfarve1 2 3 2 4 2" xfId="10603" xr:uid="{00000000-0005-0000-0000-00009E010000}"/>
    <cellStyle name="20 % - Markeringsfarve1 2 3 2 4 2 2" xfId="18497" xr:uid="{00000000-0005-0000-0000-00009F010000}"/>
    <cellStyle name="20 % - Markeringsfarve1 2 3 2 4 2 2 2" xfId="36657" xr:uid="{00000000-0005-0000-0000-0000A0010000}"/>
    <cellStyle name="20 % - Markeringsfarve1 2 3 2 4 2 3" xfId="29656" xr:uid="{00000000-0005-0000-0000-0000A1010000}"/>
    <cellStyle name="20 % - Markeringsfarve1 2 3 2 4 3" xfId="12432" xr:uid="{00000000-0005-0000-0000-0000A2010000}"/>
    <cellStyle name="20 % - Markeringsfarve1 2 3 2 4 3 2" xfId="30599" xr:uid="{00000000-0005-0000-0000-0000A3010000}"/>
    <cellStyle name="20 % - Markeringsfarve1 2 3 2 4 4" xfId="23597" xr:uid="{00000000-0005-0000-0000-0000A4010000}"/>
    <cellStyle name="20 % - Markeringsfarve1 2 3 2 5" xfId="7646" xr:uid="{00000000-0005-0000-0000-0000A5010000}"/>
    <cellStyle name="20 % - Markeringsfarve1 2 3 2 5 2" xfId="15564" xr:uid="{00000000-0005-0000-0000-0000A6010000}"/>
    <cellStyle name="20 % - Markeringsfarve1 2 3 2 5 2 2" xfId="33724" xr:uid="{00000000-0005-0000-0000-0000A7010000}"/>
    <cellStyle name="20 % - Markeringsfarve1 2 3 2 5 3" xfId="26723" xr:uid="{00000000-0005-0000-0000-0000A8010000}"/>
    <cellStyle name="20 % - Markeringsfarve1 2 3 2 6" xfId="12428" xr:uid="{00000000-0005-0000-0000-0000A9010000}"/>
    <cellStyle name="20 % - Markeringsfarve1 2 3 2 6 2" xfId="30595" xr:uid="{00000000-0005-0000-0000-0000AA010000}"/>
    <cellStyle name="20 % - Markeringsfarve1 2 3 2 7" xfId="3874" xr:uid="{00000000-0005-0000-0000-0000AB010000}"/>
    <cellStyle name="20 % - Markeringsfarve1 2 3 2 7 2" xfId="23593" xr:uid="{00000000-0005-0000-0000-0000AC010000}"/>
    <cellStyle name="20 % - Markeringsfarve1 2 3 2 8" xfId="21895" xr:uid="{00000000-0005-0000-0000-0000AD010000}"/>
    <cellStyle name="20 % - Markeringsfarve1 2 3 3" xfId="3879" xr:uid="{00000000-0005-0000-0000-0000AE010000}"/>
    <cellStyle name="20 % - Markeringsfarve1 2 3 3 2" xfId="3880" xr:uid="{00000000-0005-0000-0000-0000AF010000}"/>
    <cellStyle name="20 % - Markeringsfarve1 2 3 3 2 2" xfId="3881" xr:uid="{00000000-0005-0000-0000-0000B0010000}"/>
    <cellStyle name="20 % - Markeringsfarve1 2 3 3 2 2 2" xfId="9956" xr:uid="{00000000-0005-0000-0000-0000B1010000}"/>
    <cellStyle name="20 % - Markeringsfarve1 2 3 3 2 2 2 2" xfId="17857" xr:uid="{00000000-0005-0000-0000-0000B2010000}"/>
    <cellStyle name="20 % - Markeringsfarve1 2 3 3 2 2 2 2 2" xfId="36017" xr:uid="{00000000-0005-0000-0000-0000B3010000}"/>
    <cellStyle name="20 % - Markeringsfarve1 2 3 3 2 2 2 3" xfId="29016" xr:uid="{00000000-0005-0000-0000-0000B4010000}"/>
    <cellStyle name="20 % - Markeringsfarve1 2 3 3 2 2 3" xfId="12435" xr:uid="{00000000-0005-0000-0000-0000B5010000}"/>
    <cellStyle name="20 % - Markeringsfarve1 2 3 3 2 2 3 2" xfId="30602" xr:uid="{00000000-0005-0000-0000-0000B6010000}"/>
    <cellStyle name="20 % - Markeringsfarve1 2 3 3 2 2 4" xfId="23600" xr:uid="{00000000-0005-0000-0000-0000B7010000}"/>
    <cellStyle name="20 % - Markeringsfarve1 2 3 3 2 3" xfId="8520" xr:uid="{00000000-0005-0000-0000-0000B8010000}"/>
    <cellStyle name="20 % - Markeringsfarve1 2 3 3 2 3 2" xfId="16437" xr:uid="{00000000-0005-0000-0000-0000B9010000}"/>
    <cellStyle name="20 % - Markeringsfarve1 2 3 3 2 3 2 2" xfId="34597" xr:uid="{00000000-0005-0000-0000-0000BA010000}"/>
    <cellStyle name="20 % - Markeringsfarve1 2 3 3 2 3 3" xfId="27596" xr:uid="{00000000-0005-0000-0000-0000BB010000}"/>
    <cellStyle name="20 % - Markeringsfarve1 2 3 3 2 4" xfId="12434" xr:uid="{00000000-0005-0000-0000-0000BC010000}"/>
    <cellStyle name="20 % - Markeringsfarve1 2 3 3 2 4 2" xfId="30601" xr:uid="{00000000-0005-0000-0000-0000BD010000}"/>
    <cellStyle name="20 % - Markeringsfarve1 2 3 3 2 5" xfId="23599" xr:uid="{00000000-0005-0000-0000-0000BE010000}"/>
    <cellStyle name="20 % - Markeringsfarve1 2 3 3 3" xfId="3882" xr:uid="{00000000-0005-0000-0000-0000BF010000}"/>
    <cellStyle name="20 % - Markeringsfarve1 2 3 3 3 2" xfId="9186" xr:uid="{00000000-0005-0000-0000-0000C0010000}"/>
    <cellStyle name="20 % - Markeringsfarve1 2 3 3 3 2 2" xfId="17097" xr:uid="{00000000-0005-0000-0000-0000C1010000}"/>
    <cellStyle name="20 % - Markeringsfarve1 2 3 3 3 2 2 2" xfId="35257" xr:uid="{00000000-0005-0000-0000-0000C2010000}"/>
    <cellStyle name="20 % - Markeringsfarve1 2 3 3 3 2 3" xfId="28256" xr:uid="{00000000-0005-0000-0000-0000C3010000}"/>
    <cellStyle name="20 % - Markeringsfarve1 2 3 3 3 3" xfId="12436" xr:uid="{00000000-0005-0000-0000-0000C4010000}"/>
    <cellStyle name="20 % - Markeringsfarve1 2 3 3 3 3 2" xfId="30603" xr:uid="{00000000-0005-0000-0000-0000C5010000}"/>
    <cellStyle name="20 % - Markeringsfarve1 2 3 3 3 4" xfId="23601" xr:uid="{00000000-0005-0000-0000-0000C6010000}"/>
    <cellStyle name="20 % - Markeringsfarve1 2 3 3 4" xfId="3883" xr:uid="{00000000-0005-0000-0000-0000C7010000}"/>
    <cellStyle name="20 % - Markeringsfarve1 2 3 3 4 2" xfId="10602" xr:uid="{00000000-0005-0000-0000-0000C8010000}"/>
    <cellStyle name="20 % - Markeringsfarve1 2 3 3 4 2 2" xfId="18496" xr:uid="{00000000-0005-0000-0000-0000C9010000}"/>
    <cellStyle name="20 % - Markeringsfarve1 2 3 3 4 2 2 2" xfId="36656" xr:uid="{00000000-0005-0000-0000-0000CA010000}"/>
    <cellStyle name="20 % - Markeringsfarve1 2 3 3 4 2 3" xfId="29655" xr:uid="{00000000-0005-0000-0000-0000CB010000}"/>
    <cellStyle name="20 % - Markeringsfarve1 2 3 3 4 3" xfId="12437" xr:uid="{00000000-0005-0000-0000-0000CC010000}"/>
    <cellStyle name="20 % - Markeringsfarve1 2 3 3 4 3 2" xfId="30604" xr:uid="{00000000-0005-0000-0000-0000CD010000}"/>
    <cellStyle name="20 % - Markeringsfarve1 2 3 3 4 4" xfId="23602" xr:uid="{00000000-0005-0000-0000-0000CE010000}"/>
    <cellStyle name="20 % - Markeringsfarve1 2 3 3 5" xfId="7647" xr:uid="{00000000-0005-0000-0000-0000CF010000}"/>
    <cellStyle name="20 % - Markeringsfarve1 2 3 3 5 2" xfId="15565" xr:uid="{00000000-0005-0000-0000-0000D0010000}"/>
    <cellStyle name="20 % - Markeringsfarve1 2 3 3 5 2 2" xfId="33725" xr:uid="{00000000-0005-0000-0000-0000D1010000}"/>
    <cellStyle name="20 % - Markeringsfarve1 2 3 3 5 3" xfId="26724" xr:uid="{00000000-0005-0000-0000-0000D2010000}"/>
    <cellStyle name="20 % - Markeringsfarve1 2 3 3 6" xfId="12433" xr:uid="{00000000-0005-0000-0000-0000D3010000}"/>
    <cellStyle name="20 % - Markeringsfarve1 2 3 3 6 2" xfId="30600" xr:uid="{00000000-0005-0000-0000-0000D4010000}"/>
    <cellStyle name="20 % - Markeringsfarve1 2 3 3 7" xfId="23598" xr:uid="{00000000-0005-0000-0000-0000D5010000}"/>
    <cellStyle name="20 % - Markeringsfarve1 2 3 4" xfId="3884" xr:uid="{00000000-0005-0000-0000-0000D6010000}"/>
    <cellStyle name="20 % - Markeringsfarve1 2 3 4 2" xfId="3885" xr:uid="{00000000-0005-0000-0000-0000D7010000}"/>
    <cellStyle name="20 % - Markeringsfarve1 2 3 4 2 2" xfId="3886" xr:uid="{00000000-0005-0000-0000-0000D8010000}"/>
    <cellStyle name="20 % - Markeringsfarve1 2 3 4 2 2 2" xfId="10178" xr:uid="{00000000-0005-0000-0000-0000D9010000}"/>
    <cellStyle name="20 % - Markeringsfarve1 2 3 4 2 2 2 2" xfId="18079" xr:uid="{00000000-0005-0000-0000-0000DA010000}"/>
    <cellStyle name="20 % - Markeringsfarve1 2 3 4 2 2 2 2 2" xfId="36239" xr:uid="{00000000-0005-0000-0000-0000DB010000}"/>
    <cellStyle name="20 % - Markeringsfarve1 2 3 4 2 2 2 3" xfId="29238" xr:uid="{00000000-0005-0000-0000-0000DC010000}"/>
    <cellStyle name="20 % - Markeringsfarve1 2 3 4 2 2 3" xfId="12440" xr:uid="{00000000-0005-0000-0000-0000DD010000}"/>
    <cellStyle name="20 % - Markeringsfarve1 2 3 4 2 2 3 2" xfId="30607" xr:uid="{00000000-0005-0000-0000-0000DE010000}"/>
    <cellStyle name="20 % - Markeringsfarve1 2 3 4 2 2 4" xfId="23605" xr:uid="{00000000-0005-0000-0000-0000DF010000}"/>
    <cellStyle name="20 % - Markeringsfarve1 2 3 4 2 3" xfId="8709" xr:uid="{00000000-0005-0000-0000-0000E0010000}"/>
    <cellStyle name="20 % - Markeringsfarve1 2 3 4 2 3 2" xfId="16623" xr:uid="{00000000-0005-0000-0000-0000E1010000}"/>
    <cellStyle name="20 % - Markeringsfarve1 2 3 4 2 3 2 2" xfId="34783" xr:uid="{00000000-0005-0000-0000-0000E2010000}"/>
    <cellStyle name="20 % - Markeringsfarve1 2 3 4 2 3 3" xfId="27782" xr:uid="{00000000-0005-0000-0000-0000E3010000}"/>
    <cellStyle name="20 % - Markeringsfarve1 2 3 4 2 4" xfId="12439" xr:uid="{00000000-0005-0000-0000-0000E4010000}"/>
    <cellStyle name="20 % - Markeringsfarve1 2 3 4 2 4 2" xfId="30606" xr:uid="{00000000-0005-0000-0000-0000E5010000}"/>
    <cellStyle name="20 % - Markeringsfarve1 2 3 4 2 5" xfId="23604" xr:uid="{00000000-0005-0000-0000-0000E6010000}"/>
    <cellStyle name="20 % - Markeringsfarve1 2 3 4 3" xfId="3887" xr:uid="{00000000-0005-0000-0000-0000E7010000}"/>
    <cellStyle name="20 % - Markeringsfarve1 2 3 4 3 2" xfId="9454" xr:uid="{00000000-0005-0000-0000-0000E8010000}"/>
    <cellStyle name="20 % - Markeringsfarve1 2 3 4 3 2 2" xfId="17364" xr:uid="{00000000-0005-0000-0000-0000E9010000}"/>
    <cellStyle name="20 % - Markeringsfarve1 2 3 4 3 2 2 2" xfId="35524" xr:uid="{00000000-0005-0000-0000-0000EA010000}"/>
    <cellStyle name="20 % - Markeringsfarve1 2 3 4 3 2 3" xfId="28523" xr:uid="{00000000-0005-0000-0000-0000EB010000}"/>
    <cellStyle name="20 % - Markeringsfarve1 2 3 4 3 3" xfId="12441" xr:uid="{00000000-0005-0000-0000-0000EC010000}"/>
    <cellStyle name="20 % - Markeringsfarve1 2 3 4 3 3 2" xfId="30608" xr:uid="{00000000-0005-0000-0000-0000ED010000}"/>
    <cellStyle name="20 % - Markeringsfarve1 2 3 4 3 4" xfId="23606" xr:uid="{00000000-0005-0000-0000-0000EE010000}"/>
    <cellStyle name="20 % - Markeringsfarve1 2 3 4 4" xfId="3888" xr:uid="{00000000-0005-0000-0000-0000EF010000}"/>
    <cellStyle name="20 % - Markeringsfarve1 2 3 4 4 2" xfId="10601" xr:uid="{00000000-0005-0000-0000-0000F0010000}"/>
    <cellStyle name="20 % - Markeringsfarve1 2 3 4 4 2 2" xfId="18495" xr:uid="{00000000-0005-0000-0000-0000F1010000}"/>
    <cellStyle name="20 % - Markeringsfarve1 2 3 4 4 2 2 2" xfId="36655" xr:uid="{00000000-0005-0000-0000-0000F2010000}"/>
    <cellStyle name="20 % - Markeringsfarve1 2 3 4 4 2 3" xfId="29654" xr:uid="{00000000-0005-0000-0000-0000F3010000}"/>
    <cellStyle name="20 % - Markeringsfarve1 2 3 4 4 3" xfId="12442" xr:uid="{00000000-0005-0000-0000-0000F4010000}"/>
    <cellStyle name="20 % - Markeringsfarve1 2 3 4 4 3 2" xfId="30609" xr:uid="{00000000-0005-0000-0000-0000F5010000}"/>
    <cellStyle name="20 % - Markeringsfarve1 2 3 4 4 4" xfId="23607" xr:uid="{00000000-0005-0000-0000-0000F6010000}"/>
    <cellStyle name="20 % - Markeringsfarve1 2 3 4 5" xfId="7648" xr:uid="{00000000-0005-0000-0000-0000F7010000}"/>
    <cellStyle name="20 % - Markeringsfarve1 2 3 4 5 2" xfId="15566" xr:uid="{00000000-0005-0000-0000-0000F8010000}"/>
    <cellStyle name="20 % - Markeringsfarve1 2 3 4 5 2 2" xfId="33726" xr:uid="{00000000-0005-0000-0000-0000F9010000}"/>
    <cellStyle name="20 % - Markeringsfarve1 2 3 4 5 3" xfId="26725" xr:uid="{00000000-0005-0000-0000-0000FA010000}"/>
    <cellStyle name="20 % - Markeringsfarve1 2 3 4 6" xfId="12438" xr:uid="{00000000-0005-0000-0000-0000FB010000}"/>
    <cellStyle name="20 % - Markeringsfarve1 2 3 4 6 2" xfId="30605" xr:uid="{00000000-0005-0000-0000-0000FC010000}"/>
    <cellStyle name="20 % - Markeringsfarve1 2 3 4 7" xfId="23603" xr:uid="{00000000-0005-0000-0000-0000FD010000}"/>
    <cellStyle name="20 % - Markeringsfarve1 2 3 5" xfId="3889" xr:uid="{00000000-0005-0000-0000-0000FE010000}"/>
    <cellStyle name="20 % - Markeringsfarve1 2 3 5 2" xfId="3890" xr:uid="{00000000-0005-0000-0000-0000FF010000}"/>
    <cellStyle name="20 % - Markeringsfarve1 2 3 5 2 2" xfId="3891" xr:uid="{00000000-0005-0000-0000-000000020000}"/>
    <cellStyle name="20 % - Markeringsfarve1 2 3 5 2 2 2" xfId="10295" xr:uid="{00000000-0005-0000-0000-000001020000}"/>
    <cellStyle name="20 % - Markeringsfarve1 2 3 5 2 2 2 2" xfId="18196" xr:uid="{00000000-0005-0000-0000-000002020000}"/>
    <cellStyle name="20 % - Markeringsfarve1 2 3 5 2 2 2 2 2" xfId="36356" xr:uid="{00000000-0005-0000-0000-000003020000}"/>
    <cellStyle name="20 % - Markeringsfarve1 2 3 5 2 2 2 3" xfId="29355" xr:uid="{00000000-0005-0000-0000-000004020000}"/>
    <cellStyle name="20 % - Markeringsfarve1 2 3 5 2 2 3" xfId="12445" xr:uid="{00000000-0005-0000-0000-000005020000}"/>
    <cellStyle name="20 % - Markeringsfarve1 2 3 5 2 2 3 2" xfId="30612" xr:uid="{00000000-0005-0000-0000-000006020000}"/>
    <cellStyle name="20 % - Markeringsfarve1 2 3 5 2 2 4" xfId="23610" xr:uid="{00000000-0005-0000-0000-000007020000}"/>
    <cellStyle name="20 % - Markeringsfarve1 2 3 5 2 3" xfId="8808" xr:uid="{00000000-0005-0000-0000-000008020000}"/>
    <cellStyle name="20 % - Markeringsfarve1 2 3 5 2 3 2" xfId="16722" xr:uid="{00000000-0005-0000-0000-000009020000}"/>
    <cellStyle name="20 % - Markeringsfarve1 2 3 5 2 3 2 2" xfId="34882" xr:uid="{00000000-0005-0000-0000-00000A020000}"/>
    <cellStyle name="20 % - Markeringsfarve1 2 3 5 2 3 3" xfId="27881" xr:uid="{00000000-0005-0000-0000-00000B020000}"/>
    <cellStyle name="20 % - Markeringsfarve1 2 3 5 2 4" xfId="12444" xr:uid="{00000000-0005-0000-0000-00000C020000}"/>
    <cellStyle name="20 % - Markeringsfarve1 2 3 5 2 4 2" xfId="30611" xr:uid="{00000000-0005-0000-0000-00000D020000}"/>
    <cellStyle name="20 % - Markeringsfarve1 2 3 5 2 5" xfId="23609" xr:uid="{00000000-0005-0000-0000-00000E020000}"/>
    <cellStyle name="20 % - Markeringsfarve1 2 3 5 3" xfId="3892" xr:uid="{00000000-0005-0000-0000-00000F020000}"/>
    <cellStyle name="20 % - Markeringsfarve1 2 3 5 3 2" xfId="9571" xr:uid="{00000000-0005-0000-0000-000010020000}"/>
    <cellStyle name="20 % - Markeringsfarve1 2 3 5 3 2 2" xfId="17481" xr:uid="{00000000-0005-0000-0000-000011020000}"/>
    <cellStyle name="20 % - Markeringsfarve1 2 3 5 3 2 2 2" xfId="35641" xr:uid="{00000000-0005-0000-0000-000012020000}"/>
    <cellStyle name="20 % - Markeringsfarve1 2 3 5 3 2 3" xfId="28640" xr:uid="{00000000-0005-0000-0000-000013020000}"/>
    <cellStyle name="20 % - Markeringsfarve1 2 3 5 3 3" xfId="12446" xr:uid="{00000000-0005-0000-0000-000014020000}"/>
    <cellStyle name="20 % - Markeringsfarve1 2 3 5 3 3 2" xfId="30613" xr:uid="{00000000-0005-0000-0000-000015020000}"/>
    <cellStyle name="20 % - Markeringsfarve1 2 3 5 3 4" xfId="23611" xr:uid="{00000000-0005-0000-0000-000016020000}"/>
    <cellStyle name="20 % - Markeringsfarve1 2 3 5 4" xfId="3893" xr:uid="{00000000-0005-0000-0000-000017020000}"/>
    <cellStyle name="20 % - Markeringsfarve1 2 3 5 4 2" xfId="10600" xr:uid="{00000000-0005-0000-0000-000018020000}"/>
    <cellStyle name="20 % - Markeringsfarve1 2 3 5 4 2 2" xfId="18494" xr:uid="{00000000-0005-0000-0000-000019020000}"/>
    <cellStyle name="20 % - Markeringsfarve1 2 3 5 4 2 2 2" xfId="36654" xr:uid="{00000000-0005-0000-0000-00001A020000}"/>
    <cellStyle name="20 % - Markeringsfarve1 2 3 5 4 2 3" xfId="29653" xr:uid="{00000000-0005-0000-0000-00001B020000}"/>
    <cellStyle name="20 % - Markeringsfarve1 2 3 5 4 3" xfId="12447" xr:uid="{00000000-0005-0000-0000-00001C020000}"/>
    <cellStyle name="20 % - Markeringsfarve1 2 3 5 4 3 2" xfId="30614" xr:uid="{00000000-0005-0000-0000-00001D020000}"/>
    <cellStyle name="20 % - Markeringsfarve1 2 3 5 4 4" xfId="23612" xr:uid="{00000000-0005-0000-0000-00001E020000}"/>
    <cellStyle name="20 % - Markeringsfarve1 2 3 5 5" xfId="7649" xr:uid="{00000000-0005-0000-0000-00001F020000}"/>
    <cellStyle name="20 % - Markeringsfarve1 2 3 5 5 2" xfId="15567" xr:uid="{00000000-0005-0000-0000-000020020000}"/>
    <cellStyle name="20 % - Markeringsfarve1 2 3 5 5 2 2" xfId="33727" xr:uid="{00000000-0005-0000-0000-000021020000}"/>
    <cellStyle name="20 % - Markeringsfarve1 2 3 5 5 3" xfId="26726" xr:uid="{00000000-0005-0000-0000-000022020000}"/>
    <cellStyle name="20 % - Markeringsfarve1 2 3 5 6" xfId="12443" xr:uid="{00000000-0005-0000-0000-000023020000}"/>
    <cellStyle name="20 % - Markeringsfarve1 2 3 5 6 2" xfId="30610" xr:uid="{00000000-0005-0000-0000-000024020000}"/>
    <cellStyle name="20 % - Markeringsfarve1 2 3 5 7" xfId="23608" xr:uid="{00000000-0005-0000-0000-000025020000}"/>
    <cellStyle name="20 % - Markeringsfarve1 2 3 6" xfId="3894" xr:uid="{00000000-0005-0000-0000-000026020000}"/>
    <cellStyle name="20 % - Markeringsfarve1 2 3 6 2" xfId="3895" xr:uid="{00000000-0005-0000-0000-000027020000}"/>
    <cellStyle name="20 % - Markeringsfarve1 2 3 6 2 2" xfId="3896" xr:uid="{00000000-0005-0000-0000-000028020000}"/>
    <cellStyle name="20 % - Markeringsfarve1 2 3 6 2 2 2" xfId="10311" xr:uid="{00000000-0005-0000-0000-000029020000}"/>
    <cellStyle name="20 % - Markeringsfarve1 2 3 6 2 2 2 2" xfId="18212" xr:uid="{00000000-0005-0000-0000-00002A020000}"/>
    <cellStyle name="20 % - Markeringsfarve1 2 3 6 2 2 2 2 2" xfId="36372" xr:uid="{00000000-0005-0000-0000-00002B020000}"/>
    <cellStyle name="20 % - Markeringsfarve1 2 3 6 2 2 2 3" xfId="29371" xr:uid="{00000000-0005-0000-0000-00002C020000}"/>
    <cellStyle name="20 % - Markeringsfarve1 2 3 6 2 2 3" xfId="12450" xr:uid="{00000000-0005-0000-0000-00002D020000}"/>
    <cellStyle name="20 % - Markeringsfarve1 2 3 6 2 2 3 2" xfId="30617" xr:uid="{00000000-0005-0000-0000-00002E020000}"/>
    <cellStyle name="20 % - Markeringsfarve1 2 3 6 2 2 4" xfId="23615" xr:uid="{00000000-0005-0000-0000-00002F020000}"/>
    <cellStyle name="20 % - Markeringsfarve1 2 3 6 2 3" xfId="8822" xr:uid="{00000000-0005-0000-0000-000030020000}"/>
    <cellStyle name="20 % - Markeringsfarve1 2 3 6 2 3 2" xfId="16736" xr:uid="{00000000-0005-0000-0000-000031020000}"/>
    <cellStyle name="20 % - Markeringsfarve1 2 3 6 2 3 2 2" xfId="34896" xr:uid="{00000000-0005-0000-0000-000032020000}"/>
    <cellStyle name="20 % - Markeringsfarve1 2 3 6 2 3 3" xfId="27895" xr:uid="{00000000-0005-0000-0000-000033020000}"/>
    <cellStyle name="20 % - Markeringsfarve1 2 3 6 2 4" xfId="12449" xr:uid="{00000000-0005-0000-0000-000034020000}"/>
    <cellStyle name="20 % - Markeringsfarve1 2 3 6 2 4 2" xfId="30616" xr:uid="{00000000-0005-0000-0000-000035020000}"/>
    <cellStyle name="20 % - Markeringsfarve1 2 3 6 2 5" xfId="23614" xr:uid="{00000000-0005-0000-0000-000036020000}"/>
    <cellStyle name="20 % - Markeringsfarve1 2 3 6 3" xfId="3897" xr:uid="{00000000-0005-0000-0000-000037020000}"/>
    <cellStyle name="20 % - Markeringsfarve1 2 3 6 3 2" xfId="9588" xr:uid="{00000000-0005-0000-0000-000038020000}"/>
    <cellStyle name="20 % - Markeringsfarve1 2 3 6 3 2 2" xfId="17498" xr:uid="{00000000-0005-0000-0000-000039020000}"/>
    <cellStyle name="20 % - Markeringsfarve1 2 3 6 3 2 2 2" xfId="35658" xr:uid="{00000000-0005-0000-0000-00003A020000}"/>
    <cellStyle name="20 % - Markeringsfarve1 2 3 6 3 2 3" xfId="28657" xr:uid="{00000000-0005-0000-0000-00003B020000}"/>
    <cellStyle name="20 % - Markeringsfarve1 2 3 6 3 3" xfId="12451" xr:uid="{00000000-0005-0000-0000-00003C020000}"/>
    <cellStyle name="20 % - Markeringsfarve1 2 3 6 3 3 2" xfId="30618" xr:uid="{00000000-0005-0000-0000-00003D020000}"/>
    <cellStyle name="20 % - Markeringsfarve1 2 3 6 3 4" xfId="23616" xr:uid="{00000000-0005-0000-0000-00003E020000}"/>
    <cellStyle name="20 % - Markeringsfarve1 2 3 6 4" xfId="3898" xr:uid="{00000000-0005-0000-0000-00003F020000}"/>
    <cellStyle name="20 % - Markeringsfarve1 2 3 6 4 2" xfId="10599" xr:uid="{00000000-0005-0000-0000-000040020000}"/>
    <cellStyle name="20 % - Markeringsfarve1 2 3 6 4 2 2" xfId="18493" xr:uid="{00000000-0005-0000-0000-000041020000}"/>
    <cellStyle name="20 % - Markeringsfarve1 2 3 6 4 2 2 2" xfId="36653" xr:uid="{00000000-0005-0000-0000-000042020000}"/>
    <cellStyle name="20 % - Markeringsfarve1 2 3 6 4 2 3" xfId="29652" xr:uid="{00000000-0005-0000-0000-000043020000}"/>
    <cellStyle name="20 % - Markeringsfarve1 2 3 6 4 3" xfId="12452" xr:uid="{00000000-0005-0000-0000-000044020000}"/>
    <cellStyle name="20 % - Markeringsfarve1 2 3 6 4 3 2" xfId="30619" xr:uid="{00000000-0005-0000-0000-000045020000}"/>
    <cellStyle name="20 % - Markeringsfarve1 2 3 6 4 4" xfId="23617" xr:uid="{00000000-0005-0000-0000-000046020000}"/>
    <cellStyle name="20 % - Markeringsfarve1 2 3 6 5" xfId="7650" xr:uid="{00000000-0005-0000-0000-000047020000}"/>
    <cellStyle name="20 % - Markeringsfarve1 2 3 6 5 2" xfId="15568" xr:uid="{00000000-0005-0000-0000-000048020000}"/>
    <cellStyle name="20 % - Markeringsfarve1 2 3 6 5 2 2" xfId="33728" xr:uid="{00000000-0005-0000-0000-000049020000}"/>
    <cellStyle name="20 % - Markeringsfarve1 2 3 6 5 3" xfId="26727" xr:uid="{00000000-0005-0000-0000-00004A020000}"/>
    <cellStyle name="20 % - Markeringsfarve1 2 3 6 6" xfId="12448" xr:uid="{00000000-0005-0000-0000-00004B020000}"/>
    <cellStyle name="20 % - Markeringsfarve1 2 3 6 6 2" xfId="30615" xr:uid="{00000000-0005-0000-0000-00004C020000}"/>
    <cellStyle name="20 % - Markeringsfarve1 2 3 6 7" xfId="23613" xr:uid="{00000000-0005-0000-0000-00004D020000}"/>
    <cellStyle name="20 % - Markeringsfarve1 2 3 7" xfId="3899" xr:uid="{00000000-0005-0000-0000-00004E020000}"/>
    <cellStyle name="20 % - Markeringsfarve1 2 3 7 2" xfId="3900" xr:uid="{00000000-0005-0000-0000-00004F020000}"/>
    <cellStyle name="20 % - Markeringsfarve1 2 3 7 2 2" xfId="9821" xr:uid="{00000000-0005-0000-0000-000050020000}"/>
    <cellStyle name="20 % - Markeringsfarve1 2 3 7 2 2 2" xfId="17722" xr:uid="{00000000-0005-0000-0000-000051020000}"/>
    <cellStyle name="20 % - Markeringsfarve1 2 3 7 2 2 2 2" xfId="35882" xr:uid="{00000000-0005-0000-0000-000052020000}"/>
    <cellStyle name="20 % - Markeringsfarve1 2 3 7 2 2 3" xfId="28881" xr:uid="{00000000-0005-0000-0000-000053020000}"/>
    <cellStyle name="20 % - Markeringsfarve1 2 3 7 2 3" xfId="12454" xr:uid="{00000000-0005-0000-0000-000054020000}"/>
    <cellStyle name="20 % - Markeringsfarve1 2 3 7 2 3 2" xfId="30621" xr:uid="{00000000-0005-0000-0000-000055020000}"/>
    <cellStyle name="20 % - Markeringsfarve1 2 3 7 2 4" xfId="23619" xr:uid="{00000000-0005-0000-0000-000056020000}"/>
    <cellStyle name="20 % - Markeringsfarve1 2 3 7 3" xfId="8408" xr:uid="{00000000-0005-0000-0000-000057020000}"/>
    <cellStyle name="20 % - Markeringsfarve1 2 3 7 3 2" xfId="16325" xr:uid="{00000000-0005-0000-0000-000058020000}"/>
    <cellStyle name="20 % - Markeringsfarve1 2 3 7 3 2 2" xfId="34485" xr:uid="{00000000-0005-0000-0000-000059020000}"/>
    <cellStyle name="20 % - Markeringsfarve1 2 3 7 3 3" xfId="27484" xr:uid="{00000000-0005-0000-0000-00005A020000}"/>
    <cellStyle name="20 % - Markeringsfarve1 2 3 7 4" xfId="12453" xr:uid="{00000000-0005-0000-0000-00005B020000}"/>
    <cellStyle name="20 % - Markeringsfarve1 2 3 7 4 2" xfId="30620" xr:uid="{00000000-0005-0000-0000-00005C020000}"/>
    <cellStyle name="20 % - Markeringsfarve1 2 3 7 5" xfId="23618" xr:uid="{00000000-0005-0000-0000-00005D020000}"/>
    <cellStyle name="20 % - Markeringsfarve1 2 3 8" xfId="3901" xr:uid="{00000000-0005-0000-0000-00005E020000}"/>
    <cellStyle name="20 % - Markeringsfarve1 2 3 8 2" xfId="9049" xr:uid="{00000000-0005-0000-0000-00005F020000}"/>
    <cellStyle name="20 % - Markeringsfarve1 2 3 8 2 2" xfId="16960" xr:uid="{00000000-0005-0000-0000-000060020000}"/>
    <cellStyle name="20 % - Markeringsfarve1 2 3 8 2 2 2" xfId="35120" xr:uid="{00000000-0005-0000-0000-000061020000}"/>
    <cellStyle name="20 % - Markeringsfarve1 2 3 8 2 3" xfId="28119" xr:uid="{00000000-0005-0000-0000-000062020000}"/>
    <cellStyle name="20 % - Markeringsfarve1 2 3 8 3" xfId="12455" xr:uid="{00000000-0005-0000-0000-000063020000}"/>
    <cellStyle name="20 % - Markeringsfarve1 2 3 8 3 2" xfId="30622" xr:uid="{00000000-0005-0000-0000-000064020000}"/>
    <cellStyle name="20 % - Markeringsfarve1 2 3 8 4" xfId="23620" xr:uid="{00000000-0005-0000-0000-000065020000}"/>
    <cellStyle name="20 % - Markeringsfarve1 2 3 9" xfId="3902" xr:uid="{00000000-0005-0000-0000-000066020000}"/>
    <cellStyle name="20 % - Markeringsfarve1 2 3 9 2" xfId="10604" xr:uid="{00000000-0005-0000-0000-000067020000}"/>
    <cellStyle name="20 % - Markeringsfarve1 2 3 9 2 2" xfId="18498" xr:uid="{00000000-0005-0000-0000-000068020000}"/>
    <cellStyle name="20 % - Markeringsfarve1 2 3 9 2 2 2" xfId="36658" xr:uid="{00000000-0005-0000-0000-000069020000}"/>
    <cellStyle name="20 % - Markeringsfarve1 2 3 9 2 3" xfId="29657" xr:uid="{00000000-0005-0000-0000-00006A020000}"/>
    <cellStyle name="20 % - Markeringsfarve1 2 3 9 3" xfId="12456" xr:uid="{00000000-0005-0000-0000-00006B020000}"/>
    <cellStyle name="20 % - Markeringsfarve1 2 3 9 3 2" xfId="30623" xr:uid="{00000000-0005-0000-0000-00006C020000}"/>
    <cellStyle name="20 % - Markeringsfarve1 2 3 9 4" xfId="23621" xr:uid="{00000000-0005-0000-0000-00006D020000}"/>
    <cellStyle name="20 % - Markeringsfarve1 2 4" xfId="1772" xr:uid="{00000000-0005-0000-0000-00006E020000}"/>
    <cellStyle name="20 % - Markeringsfarve1 2 4 2" xfId="3904" xr:uid="{00000000-0005-0000-0000-00006F020000}"/>
    <cellStyle name="20 % - Markeringsfarve1 2 4 2 2" xfId="3905" xr:uid="{00000000-0005-0000-0000-000070020000}"/>
    <cellStyle name="20 % - Markeringsfarve1 2 4 2 2 2" xfId="9862" xr:uid="{00000000-0005-0000-0000-000071020000}"/>
    <cellStyle name="20 % - Markeringsfarve1 2 4 2 2 2 2" xfId="17763" xr:uid="{00000000-0005-0000-0000-000072020000}"/>
    <cellStyle name="20 % - Markeringsfarve1 2 4 2 2 2 2 2" xfId="35923" xr:uid="{00000000-0005-0000-0000-000073020000}"/>
    <cellStyle name="20 % - Markeringsfarve1 2 4 2 2 2 3" xfId="28922" xr:uid="{00000000-0005-0000-0000-000074020000}"/>
    <cellStyle name="20 % - Markeringsfarve1 2 4 2 2 3" xfId="12459" xr:uid="{00000000-0005-0000-0000-000075020000}"/>
    <cellStyle name="20 % - Markeringsfarve1 2 4 2 2 3 2" xfId="30626" xr:uid="{00000000-0005-0000-0000-000076020000}"/>
    <cellStyle name="20 % - Markeringsfarve1 2 4 2 2 4" xfId="23624" xr:uid="{00000000-0005-0000-0000-000077020000}"/>
    <cellStyle name="20 % - Markeringsfarve1 2 4 2 3" xfId="8441" xr:uid="{00000000-0005-0000-0000-000078020000}"/>
    <cellStyle name="20 % - Markeringsfarve1 2 4 2 3 2" xfId="16358" xr:uid="{00000000-0005-0000-0000-000079020000}"/>
    <cellStyle name="20 % - Markeringsfarve1 2 4 2 3 2 2" xfId="34518" xr:uid="{00000000-0005-0000-0000-00007A020000}"/>
    <cellStyle name="20 % - Markeringsfarve1 2 4 2 3 3" xfId="27517" xr:uid="{00000000-0005-0000-0000-00007B020000}"/>
    <cellStyle name="20 % - Markeringsfarve1 2 4 2 4" xfId="12458" xr:uid="{00000000-0005-0000-0000-00007C020000}"/>
    <cellStyle name="20 % - Markeringsfarve1 2 4 2 4 2" xfId="30625" xr:uid="{00000000-0005-0000-0000-00007D020000}"/>
    <cellStyle name="20 % - Markeringsfarve1 2 4 2 5" xfId="23623" xr:uid="{00000000-0005-0000-0000-00007E020000}"/>
    <cellStyle name="20 % - Markeringsfarve1 2 4 3" xfId="3906" xr:uid="{00000000-0005-0000-0000-00007F020000}"/>
    <cellStyle name="20 % - Markeringsfarve1 2 4 3 2" xfId="9092" xr:uid="{00000000-0005-0000-0000-000080020000}"/>
    <cellStyle name="20 % - Markeringsfarve1 2 4 3 2 2" xfId="17003" xr:uid="{00000000-0005-0000-0000-000081020000}"/>
    <cellStyle name="20 % - Markeringsfarve1 2 4 3 2 2 2" xfId="35163" xr:uid="{00000000-0005-0000-0000-000082020000}"/>
    <cellStyle name="20 % - Markeringsfarve1 2 4 3 2 3" xfId="28162" xr:uid="{00000000-0005-0000-0000-000083020000}"/>
    <cellStyle name="20 % - Markeringsfarve1 2 4 3 3" xfId="12460" xr:uid="{00000000-0005-0000-0000-000084020000}"/>
    <cellStyle name="20 % - Markeringsfarve1 2 4 3 3 2" xfId="30627" xr:uid="{00000000-0005-0000-0000-000085020000}"/>
    <cellStyle name="20 % - Markeringsfarve1 2 4 3 4" xfId="23625" xr:uid="{00000000-0005-0000-0000-000086020000}"/>
    <cellStyle name="20 % - Markeringsfarve1 2 4 4" xfId="3907" xr:uid="{00000000-0005-0000-0000-000087020000}"/>
    <cellStyle name="20 % - Markeringsfarve1 2 4 4 2" xfId="10598" xr:uid="{00000000-0005-0000-0000-000088020000}"/>
    <cellStyle name="20 % - Markeringsfarve1 2 4 4 2 2" xfId="18492" xr:uid="{00000000-0005-0000-0000-000089020000}"/>
    <cellStyle name="20 % - Markeringsfarve1 2 4 4 2 2 2" xfId="36652" xr:uid="{00000000-0005-0000-0000-00008A020000}"/>
    <cellStyle name="20 % - Markeringsfarve1 2 4 4 2 3" xfId="29651" xr:uid="{00000000-0005-0000-0000-00008B020000}"/>
    <cellStyle name="20 % - Markeringsfarve1 2 4 4 3" xfId="12461" xr:uid="{00000000-0005-0000-0000-00008C020000}"/>
    <cellStyle name="20 % - Markeringsfarve1 2 4 4 3 2" xfId="30628" xr:uid="{00000000-0005-0000-0000-00008D020000}"/>
    <cellStyle name="20 % - Markeringsfarve1 2 4 4 4" xfId="23626" xr:uid="{00000000-0005-0000-0000-00008E020000}"/>
    <cellStyle name="20 % - Markeringsfarve1 2 4 5" xfId="7651" xr:uid="{00000000-0005-0000-0000-00008F020000}"/>
    <cellStyle name="20 % - Markeringsfarve1 2 4 5 2" xfId="15569" xr:uid="{00000000-0005-0000-0000-000090020000}"/>
    <cellStyle name="20 % - Markeringsfarve1 2 4 5 2 2" xfId="33729" xr:uid="{00000000-0005-0000-0000-000091020000}"/>
    <cellStyle name="20 % - Markeringsfarve1 2 4 5 3" xfId="26728" xr:uid="{00000000-0005-0000-0000-000092020000}"/>
    <cellStyle name="20 % - Markeringsfarve1 2 4 6" xfId="12457" xr:uid="{00000000-0005-0000-0000-000093020000}"/>
    <cellStyle name="20 % - Markeringsfarve1 2 4 6 2" xfId="30624" xr:uid="{00000000-0005-0000-0000-000094020000}"/>
    <cellStyle name="20 % - Markeringsfarve1 2 4 7" xfId="3903" xr:uid="{00000000-0005-0000-0000-000095020000}"/>
    <cellStyle name="20 % - Markeringsfarve1 2 4 7 2" xfId="23622" xr:uid="{00000000-0005-0000-0000-000096020000}"/>
    <cellStyle name="20 % - Markeringsfarve1 2 4 8" xfId="21896" xr:uid="{00000000-0005-0000-0000-000097020000}"/>
    <cellStyle name="20 % - Markeringsfarve1 2 5" xfId="3908" xr:uid="{00000000-0005-0000-0000-000098020000}"/>
    <cellStyle name="20 % - Markeringsfarve1 2 5 2" xfId="3909" xr:uid="{00000000-0005-0000-0000-000099020000}"/>
    <cellStyle name="20 % - Markeringsfarve1 2 5 2 2" xfId="3910" xr:uid="{00000000-0005-0000-0000-00009A020000}"/>
    <cellStyle name="20 % - Markeringsfarve1 2 5 2 2 2" xfId="9954" xr:uid="{00000000-0005-0000-0000-00009B020000}"/>
    <cellStyle name="20 % - Markeringsfarve1 2 5 2 2 2 2" xfId="17855" xr:uid="{00000000-0005-0000-0000-00009C020000}"/>
    <cellStyle name="20 % - Markeringsfarve1 2 5 2 2 2 2 2" xfId="36015" xr:uid="{00000000-0005-0000-0000-00009D020000}"/>
    <cellStyle name="20 % - Markeringsfarve1 2 5 2 2 2 3" xfId="29014" xr:uid="{00000000-0005-0000-0000-00009E020000}"/>
    <cellStyle name="20 % - Markeringsfarve1 2 5 2 2 3" xfId="12464" xr:uid="{00000000-0005-0000-0000-00009F020000}"/>
    <cellStyle name="20 % - Markeringsfarve1 2 5 2 2 3 2" xfId="30631" xr:uid="{00000000-0005-0000-0000-0000A0020000}"/>
    <cellStyle name="20 % - Markeringsfarve1 2 5 2 2 4" xfId="23629" xr:uid="{00000000-0005-0000-0000-0000A1020000}"/>
    <cellStyle name="20 % - Markeringsfarve1 2 5 2 3" xfId="8518" xr:uid="{00000000-0005-0000-0000-0000A2020000}"/>
    <cellStyle name="20 % - Markeringsfarve1 2 5 2 3 2" xfId="16435" xr:uid="{00000000-0005-0000-0000-0000A3020000}"/>
    <cellStyle name="20 % - Markeringsfarve1 2 5 2 3 2 2" xfId="34595" xr:uid="{00000000-0005-0000-0000-0000A4020000}"/>
    <cellStyle name="20 % - Markeringsfarve1 2 5 2 3 3" xfId="27594" xr:uid="{00000000-0005-0000-0000-0000A5020000}"/>
    <cellStyle name="20 % - Markeringsfarve1 2 5 2 4" xfId="12463" xr:uid="{00000000-0005-0000-0000-0000A6020000}"/>
    <cellStyle name="20 % - Markeringsfarve1 2 5 2 4 2" xfId="30630" xr:uid="{00000000-0005-0000-0000-0000A7020000}"/>
    <cellStyle name="20 % - Markeringsfarve1 2 5 2 5" xfId="23628" xr:uid="{00000000-0005-0000-0000-0000A8020000}"/>
    <cellStyle name="20 % - Markeringsfarve1 2 5 3" xfId="3911" xr:uid="{00000000-0005-0000-0000-0000A9020000}"/>
    <cellStyle name="20 % - Markeringsfarve1 2 5 3 2" xfId="9184" xr:uid="{00000000-0005-0000-0000-0000AA020000}"/>
    <cellStyle name="20 % - Markeringsfarve1 2 5 3 2 2" xfId="17095" xr:uid="{00000000-0005-0000-0000-0000AB020000}"/>
    <cellStyle name="20 % - Markeringsfarve1 2 5 3 2 2 2" xfId="35255" xr:uid="{00000000-0005-0000-0000-0000AC020000}"/>
    <cellStyle name="20 % - Markeringsfarve1 2 5 3 2 3" xfId="28254" xr:uid="{00000000-0005-0000-0000-0000AD020000}"/>
    <cellStyle name="20 % - Markeringsfarve1 2 5 3 3" xfId="12465" xr:uid="{00000000-0005-0000-0000-0000AE020000}"/>
    <cellStyle name="20 % - Markeringsfarve1 2 5 3 3 2" xfId="30632" xr:uid="{00000000-0005-0000-0000-0000AF020000}"/>
    <cellStyle name="20 % - Markeringsfarve1 2 5 3 4" xfId="23630" xr:uid="{00000000-0005-0000-0000-0000B0020000}"/>
    <cellStyle name="20 % - Markeringsfarve1 2 5 4" xfId="3912" xr:uid="{00000000-0005-0000-0000-0000B1020000}"/>
    <cellStyle name="20 % - Markeringsfarve1 2 5 4 2" xfId="10597" xr:uid="{00000000-0005-0000-0000-0000B2020000}"/>
    <cellStyle name="20 % - Markeringsfarve1 2 5 4 2 2" xfId="18491" xr:uid="{00000000-0005-0000-0000-0000B3020000}"/>
    <cellStyle name="20 % - Markeringsfarve1 2 5 4 2 2 2" xfId="36651" xr:uid="{00000000-0005-0000-0000-0000B4020000}"/>
    <cellStyle name="20 % - Markeringsfarve1 2 5 4 2 3" xfId="29650" xr:uid="{00000000-0005-0000-0000-0000B5020000}"/>
    <cellStyle name="20 % - Markeringsfarve1 2 5 4 3" xfId="12466" xr:uid="{00000000-0005-0000-0000-0000B6020000}"/>
    <cellStyle name="20 % - Markeringsfarve1 2 5 4 3 2" xfId="30633" xr:uid="{00000000-0005-0000-0000-0000B7020000}"/>
    <cellStyle name="20 % - Markeringsfarve1 2 5 4 4" xfId="23631" xr:uid="{00000000-0005-0000-0000-0000B8020000}"/>
    <cellStyle name="20 % - Markeringsfarve1 2 5 5" xfId="7652" xr:uid="{00000000-0005-0000-0000-0000B9020000}"/>
    <cellStyle name="20 % - Markeringsfarve1 2 5 5 2" xfId="15570" xr:uid="{00000000-0005-0000-0000-0000BA020000}"/>
    <cellStyle name="20 % - Markeringsfarve1 2 5 5 2 2" xfId="33730" xr:uid="{00000000-0005-0000-0000-0000BB020000}"/>
    <cellStyle name="20 % - Markeringsfarve1 2 5 5 3" xfId="26729" xr:uid="{00000000-0005-0000-0000-0000BC020000}"/>
    <cellStyle name="20 % - Markeringsfarve1 2 5 6" xfId="12462" xr:uid="{00000000-0005-0000-0000-0000BD020000}"/>
    <cellStyle name="20 % - Markeringsfarve1 2 5 6 2" xfId="30629" xr:uid="{00000000-0005-0000-0000-0000BE020000}"/>
    <cellStyle name="20 % - Markeringsfarve1 2 5 7" xfId="23627" xr:uid="{00000000-0005-0000-0000-0000BF020000}"/>
    <cellStyle name="20 % - Markeringsfarve1 2 6" xfId="3913" xr:uid="{00000000-0005-0000-0000-0000C0020000}"/>
    <cellStyle name="20 % - Markeringsfarve1 2 6 2" xfId="3914" xr:uid="{00000000-0005-0000-0000-0000C1020000}"/>
    <cellStyle name="20 % - Markeringsfarve1 2 6 2 2" xfId="3915" xr:uid="{00000000-0005-0000-0000-0000C2020000}"/>
    <cellStyle name="20 % - Markeringsfarve1 2 6 2 2 2" xfId="10100" xr:uid="{00000000-0005-0000-0000-0000C3020000}"/>
    <cellStyle name="20 % - Markeringsfarve1 2 6 2 2 2 2" xfId="18001" xr:uid="{00000000-0005-0000-0000-0000C4020000}"/>
    <cellStyle name="20 % - Markeringsfarve1 2 6 2 2 2 2 2" xfId="36161" xr:uid="{00000000-0005-0000-0000-0000C5020000}"/>
    <cellStyle name="20 % - Markeringsfarve1 2 6 2 2 2 3" xfId="29160" xr:uid="{00000000-0005-0000-0000-0000C6020000}"/>
    <cellStyle name="20 % - Markeringsfarve1 2 6 2 2 3" xfId="12469" xr:uid="{00000000-0005-0000-0000-0000C7020000}"/>
    <cellStyle name="20 % - Markeringsfarve1 2 6 2 2 3 2" xfId="30636" xr:uid="{00000000-0005-0000-0000-0000C8020000}"/>
    <cellStyle name="20 % - Markeringsfarve1 2 6 2 2 4" xfId="23634" xr:uid="{00000000-0005-0000-0000-0000C9020000}"/>
    <cellStyle name="20 % - Markeringsfarve1 2 6 2 3" xfId="8643" xr:uid="{00000000-0005-0000-0000-0000CA020000}"/>
    <cellStyle name="20 % - Markeringsfarve1 2 6 2 3 2" xfId="16557" xr:uid="{00000000-0005-0000-0000-0000CB020000}"/>
    <cellStyle name="20 % - Markeringsfarve1 2 6 2 3 2 2" xfId="34717" xr:uid="{00000000-0005-0000-0000-0000CC020000}"/>
    <cellStyle name="20 % - Markeringsfarve1 2 6 2 3 3" xfId="27716" xr:uid="{00000000-0005-0000-0000-0000CD020000}"/>
    <cellStyle name="20 % - Markeringsfarve1 2 6 2 4" xfId="12468" xr:uid="{00000000-0005-0000-0000-0000CE020000}"/>
    <cellStyle name="20 % - Markeringsfarve1 2 6 2 4 2" xfId="30635" xr:uid="{00000000-0005-0000-0000-0000CF020000}"/>
    <cellStyle name="20 % - Markeringsfarve1 2 6 2 5" xfId="23633" xr:uid="{00000000-0005-0000-0000-0000D0020000}"/>
    <cellStyle name="20 % - Markeringsfarve1 2 6 3" xfId="3916" xr:uid="{00000000-0005-0000-0000-0000D1020000}"/>
    <cellStyle name="20 % - Markeringsfarve1 2 6 3 2" xfId="9376" xr:uid="{00000000-0005-0000-0000-0000D2020000}"/>
    <cellStyle name="20 % - Markeringsfarve1 2 6 3 2 2" xfId="17286" xr:uid="{00000000-0005-0000-0000-0000D3020000}"/>
    <cellStyle name="20 % - Markeringsfarve1 2 6 3 2 2 2" xfId="35446" xr:uid="{00000000-0005-0000-0000-0000D4020000}"/>
    <cellStyle name="20 % - Markeringsfarve1 2 6 3 2 3" xfId="28445" xr:uid="{00000000-0005-0000-0000-0000D5020000}"/>
    <cellStyle name="20 % - Markeringsfarve1 2 6 3 3" xfId="12470" xr:uid="{00000000-0005-0000-0000-0000D6020000}"/>
    <cellStyle name="20 % - Markeringsfarve1 2 6 3 3 2" xfId="30637" xr:uid="{00000000-0005-0000-0000-0000D7020000}"/>
    <cellStyle name="20 % - Markeringsfarve1 2 6 3 4" xfId="23635" xr:uid="{00000000-0005-0000-0000-0000D8020000}"/>
    <cellStyle name="20 % - Markeringsfarve1 2 6 4" xfId="3917" xr:uid="{00000000-0005-0000-0000-0000D9020000}"/>
    <cellStyle name="20 % - Markeringsfarve1 2 6 4 2" xfId="10596" xr:uid="{00000000-0005-0000-0000-0000DA020000}"/>
    <cellStyle name="20 % - Markeringsfarve1 2 6 4 2 2" xfId="18490" xr:uid="{00000000-0005-0000-0000-0000DB020000}"/>
    <cellStyle name="20 % - Markeringsfarve1 2 6 4 2 2 2" xfId="36650" xr:uid="{00000000-0005-0000-0000-0000DC020000}"/>
    <cellStyle name="20 % - Markeringsfarve1 2 6 4 2 3" xfId="29649" xr:uid="{00000000-0005-0000-0000-0000DD020000}"/>
    <cellStyle name="20 % - Markeringsfarve1 2 6 4 3" xfId="12471" xr:uid="{00000000-0005-0000-0000-0000DE020000}"/>
    <cellStyle name="20 % - Markeringsfarve1 2 6 4 3 2" xfId="30638" xr:uid="{00000000-0005-0000-0000-0000DF020000}"/>
    <cellStyle name="20 % - Markeringsfarve1 2 6 4 4" xfId="23636" xr:uid="{00000000-0005-0000-0000-0000E0020000}"/>
    <cellStyle name="20 % - Markeringsfarve1 2 6 5" xfId="7653" xr:uid="{00000000-0005-0000-0000-0000E1020000}"/>
    <cellStyle name="20 % - Markeringsfarve1 2 6 5 2" xfId="15571" xr:uid="{00000000-0005-0000-0000-0000E2020000}"/>
    <cellStyle name="20 % - Markeringsfarve1 2 6 5 2 2" xfId="33731" xr:uid="{00000000-0005-0000-0000-0000E3020000}"/>
    <cellStyle name="20 % - Markeringsfarve1 2 6 5 3" xfId="26730" xr:uid="{00000000-0005-0000-0000-0000E4020000}"/>
    <cellStyle name="20 % - Markeringsfarve1 2 6 6" xfId="12467" xr:uid="{00000000-0005-0000-0000-0000E5020000}"/>
    <cellStyle name="20 % - Markeringsfarve1 2 6 6 2" xfId="30634" xr:uid="{00000000-0005-0000-0000-0000E6020000}"/>
    <cellStyle name="20 % - Markeringsfarve1 2 6 7" xfId="23632" xr:uid="{00000000-0005-0000-0000-0000E7020000}"/>
    <cellStyle name="20 % - Markeringsfarve1 2 7" xfId="3918" xr:uid="{00000000-0005-0000-0000-0000E8020000}"/>
    <cellStyle name="20 % - Markeringsfarve1 2 7 2" xfId="3919" xr:uid="{00000000-0005-0000-0000-0000E9020000}"/>
    <cellStyle name="20 % - Markeringsfarve1 2 7 2 2" xfId="3920" xr:uid="{00000000-0005-0000-0000-0000EA020000}"/>
    <cellStyle name="20 % - Markeringsfarve1 2 7 2 2 2" xfId="10217" xr:uid="{00000000-0005-0000-0000-0000EB020000}"/>
    <cellStyle name="20 % - Markeringsfarve1 2 7 2 2 2 2" xfId="18118" xr:uid="{00000000-0005-0000-0000-0000EC020000}"/>
    <cellStyle name="20 % - Markeringsfarve1 2 7 2 2 2 2 2" xfId="36278" xr:uid="{00000000-0005-0000-0000-0000ED020000}"/>
    <cellStyle name="20 % - Markeringsfarve1 2 7 2 2 2 3" xfId="29277" xr:uid="{00000000-0005-0000-0000-0000EE020000}"/>
    <cellStyle name="20 % - Markeringsfarve1 2 7 2 2 3" xfId="12474" xr:uid="{00000000-0005-0000-0000-0000EF020000}"/>
    <cellStyle name="20 % - Markeringsfarve1 2 7 2 2 3 2" xfId="30641" xr:uid="{00000000-0005-0000-0000-0000F0020000}"/>
    <cellStyle name="20 % - Markeringsfarve1 2 7 2 2 4" xfId="23639" xr:uid="{00000000-0005-0000-0000-0000F1020000}"/>
    <cellStyle name="20 % - Markeringsfarve1 2 7 2 3" xfId="8742" xr:uid="{00000000-0005-0000-0000-0000F2020000}"/>
    <cellStyle name="20 % - Markeringsfarve1 2 7 2 3 2" xfId="16656" xr:uid="{00000000-0005-0000-0000-0000F3020000}"/>
    <cellStyle name="20 % - Markeringsfarve1 2 7 2 3 2 2" xfId="34816" xr:uid="{00000000-0005-0000-0000-0000F4020000}"/>
    <cellStyle name="20 % - Markeringsfarve1 2 7 2 3 3" xfId="27815" xr:uid="{00000000-0005-0000-0000-0000F5020000}"/>
    <cellStyle name="20 % - Markeringsfarve1 2 7 2 4" xfId="12473" xr:uid="{00000000-0005-0000-0000-0000F6020000}"/>
    <cellStyle name="20 % - Markeringsfarve1 2 7 2 4 2" xfId="30640" xr:uid="{00000000-0005-0000-0000-0000F7020000}"/>
    <cellStyle name="20 % - Markeringsfarve1 2 7 2 5" xfId="23638" xr:uid="{00000000-0005-0000-0000-0000F8020000}"/>
    <cellStyle name="20 % - Markeringsfarve1 2 7 3" xfId="3921" xr:uid="{00000000-0005-0000-0000-0000F9020000}"/>
    <cellStyle name="20 % - Markeringsfarve1 2 7 3 2" xfId="9493" xr:uid="{00000000-0005-0000-0000-0000FA020000}"/>
    <cellStyle name="20 % - Markeringsfarve1 2 7 3 2 2" xfId="17403" xr:uid="{00000000-0005-0000-0000-0000FB020000}"/>
    <cellStyle name="20 % - Markeringsfarve1 2 7 3 2 2 2" xfId="35563" xr:uid="{00000000-0005-0000-0000-0000FC020000}"/>
    <cellStyle name="20 % - Markeringsfarve1 2 7 3 2 3" xfId="28562" xr:uid="{00000000-0005-0000-0000-0000FD020000}"/>
    <cellStyle name="20 % - Markeringsfarve1 2 7 3 3" xfId="12475" xr:uid="{00000000-0005-0000-0000-0000FE020000}"/>
    <cellStyle name="20 % - Markeringsfarve1 2 7 3 3 2" xfId="30642" xr:uid="{00000000-0005-0000-0000-0000FF020000}"/>
    <cellStyle name="20 % - Markeringsfarve1 2 7 3 4" xfId="23640" xr:uid="{00000000-0005-0000-0000-000000030000}"/>
    <cellStyle name="20 % - Markeringsfarve1 2 7 4" xfId="3922" xr:uid="{00000000-0005-0000-0000-000001030000}"/>
    <cellStyle name="20 % - Markeringsfarve1 2 7 4 2" xfId="10595" xr:uid="{00000000-0005-0000-0000-000002030000}"/>
    <cellStyle name="20 % - Markeringsfarve1 2 7 4 2 2" xfId="18489" xr:uid="{00000000-0005-0000-0000-000003030000}"/>
    <cellStyle name="20 % - Markeringsfarve1 2 7 4 2 2 2" xfId="36649" xr:uid="{00000000-0005-0000-0000-000004030000}"/>
    <cellStyle name="20 % - Markeringsfarve1 2 7 4 2 3" xfId="29648" xr:uid="{00000000-0005-0000-0000-000005030000}"/>
    <cellStyle name="20 % - Markeringsfarve1 2 7 4 3" xfId="12476" xr:uid="{00000000-0005-0000-0000-000006030000}"/>
    <cellStyle name="20 % - Markeringsfarve1 2 7 4 3 2" xfId="30643" xr:uid="{00000000-0005-0000-0000-000007030000}"/>
    <cellStyle name="20 % - Markeringsfarve1 2 7 4 4" xfId="23641" xr:uid="{00000000-0005-0000-0000-000008030000}"/>
    <cellStyle name="20 % - Markeringsfarve1 2 7 5" xfId="7654" xr:uid="{00000000-0005-0000-0000-000009030000}"/>
    <cellStyle name="20 % - Markeringsfarve1 2 7 5 2" xfId="15572" xr:uid="{00000000-0005-0000-0000-00000A030000}"/>
    <cellStyle name="20 % - Markeringsfarve1 2 7 5 2 2" xfId="33732" xr:uid="{00000000-0005-0000-0000-00000B030000}"/>
    <cellStyle name="20 % - Markeringsfarve1 2 7 5 3" xfId="26731" xr:uid="{00000000-0005-0000-0000-00000C030000}"/>
    <cellStyle name="20 % - Markeringsfarve1 2 7 6" xfId="12472" xr:uid="{00000000-0005-0000-0000-00000D030000}"/>
    <cellStyle name="20 % - Markeringsfarve1 2 7 6 2" xfId="30639" xr:uid="{00000000-0005-0000-0000-00000E030000}"/>
    <cellStyle name="20 % - Markeringsfarve1 2 7 7" xfId="23637" xr:uid="{00000000-0005-0000-0000-00000F030000}"/>
    <cellStyle name="20 % - Markeringsfarve1 2 8" xfId="3923" xr:uid="{00000000-0005-0000-0000-000010030000}"/>
    <cellStyle name="20 % - Markeringsfarve1 2 8 2" xfId="3924" xr:uid="{00000000-0005-0000-0000-000011030000}"/>
    <cellStyle name="20 % - Markeringsfarve1 2 8 2 2" xfId="3925" xr:uid="{00000000-0005-0000-0000-000012030000}"/>
    <cellStyle name="20 % - Markeringsfarve1 2 8 2 2 2" xfId="10309" xr:uid="{00000000-0005-0000-0000-000013030000}"/>
    <cellStyle name="20 % - Markeringsfarve1 2 8 2 2 2 2" xfId="18210" xr:uid="{00000000-0005-0000-0000-000014030000}"/>
    <cellStyle name="20 % - Markeringsfarve1 2 8 2 2 2 2 2" xfId="36370" xr:uid="{00000000-0005-0000-0000-000015030000}"/>
    <cellStyle name="20 % - Markeringsfarve1 2 8 2 2 2 3" xfId="29369" xr:uid="{00000000-0005-0000-0000-000016030000}"/>
    <cellStyle name="20 % - Markeringsfarve1 2 8 2 2 3" xfId="12479" xr:uid="{00000000-0005-0000-0000-000017030000}"/>
    <cellStyle name="20 % - Markeringsfarve1 2 8 2 2 3 2" xfId="30646" xr:uid="{00000000-0005-0000-0000-000018030000}"/>
    <cellStyle name="20 % - Markeringsfarve1 2 8 2 2 4" xfId="23644" xr:uid="{00000000-0005-0000-0000-000019030000}"/>
    <cellStyle name="20 % - Markeringsfarve1 2 8 2 3" xfId="8820" xr:uid="{00000000-0005-0000-0000-00001A030000}"/>
    <cellStyle name="20 % - Markeringsfarve1 2 8 2 3 2" xfId="16734" xr:uid="{00000000-0005-0000-0000-00001B030000}"/>
    <cellStyle name="20 % - Markeringsfarve1 2 8 2 3 2 2" xfId="34894" xr:uid="{00000000-0005-0000-0000-00001C030000}"/>
    <cellStyle name="20 % - Markeringsfarve1 2 8 2 3 3" xfId="27893" xr:uid="{00000000-0005-0000-0000-00001D030000}"/>
    <cellStyle name="20 % - Markeringsfarve1 2 8 2 4" xfId="12478" xr:uid="{00000000-0005-0000-0000-00001E030000}"/>
    <cellStyle name="20 % - Markeringsfarve1 2 8 2 4 2" xfId="30645" xr:uid="{00000000-0005-0000-0000-00001F030000}"/>
    <cellStyle name="20 % - Markeringsfarve1 2 8 2 5" xfId="23643" xr:uid="{00000000-0005-0000-0000-000020030000}"/>
    <cellStyle name="20 % - Markeringsfarve1 2 8 3" xfId="3926" xr:uid="{00000000-0005-0000-0000-000021030000}"/>
    <cellStyle name="20 % - Markeringsfarve1 2 8 3 2" xfId="9586" xr:uid="{00000000-0005-0000-0000-000022030000}"/>
    <cellStyle name="20 % - Markeringsfarve1 2 8 3 2 2" xfId="17496" xr:uid="{00000000-0005-0000-0000-000023030000}"/>
    <cellStyle name="20 % - Markeringsfarve1 2 8 3 2 2 2" xfId="35656" xr:uid="{00000000-0005-0000-0000-000024030000}"/>
    <cellStyle name="20 % - Markeringsfarve1 2 8 3 2 3" xfId="28655" xr:uid="{00000000-0005-0000-0000-000025030000}"/>
    <cellStyle name="20 % - Markeringsfarve1 2 8 3 3" xfId="12480" xr:uid="{00000000-0005-0000-0000-000026030000}"/>
    <cellStyle name="20 % - Markeringsfarve1 2 8 3 3 2" xfId="30647" xr:uid="{00000000-0005-0000-0000-000027030000}"/>
    <cellStyle name="20 % - Markeringsfarve1 2 8 3 4" xfId="23645" xr:uid="{00000000-0005-0000-0000-000028030000}"/>
    <cellStyle name="20 % - Markeringsfarve1 2 8 4" xfId="3927" xr:uid="{00000000-0005-0000-0000-000029030000}"/>
    <cellStyle name="20 % - Markeringsfarve1 2 8 4 2" xfId="10594" xr:uid="{00000000-0005-0000-0000-00002A030000}"/>
    <cellStyle name="20 % - Markeringsfarve1 2 8 4 2 2" xfId="18488" xr:uid="{00000000-0005-0000-0000-00002B030000}"/>
    <cellStyle name="20 % - Markeringsfarve1 2 8 4 2 2 2" xfId="36648" xr:uid="{00000000-0005-0000-0000-00002C030000}"/>
    <cellStyle name="20 % - Markeringsfarve1 2 8 4 2 3" xfId="29647" xr:uid="{00000000-0005-0000-0000-00002D030000}"/>
    <cellStyle name="20 % - Markeringsfarve1 2 8 4 3" xfId="12481" xr:uid="{00000000-0005-0000-0000-00002E030000}"/>
    <cellStyle name="20 % - Markeringsfarve1 2 8 4 3 2" xfId="30648" xr:uid="{00000000-0005-0000-0000-00002F030000}"/>
    <cellStyle name="20 % - Markeringsfarve1 2 8 4 4" xfId="23646" xr:uid="{00000000-0005-0000-0000-000030030000}"/>
    <cellStyle name="20 % - Markeringsfarve1 2 8 5" xfId="7655" xr:uid="{00000000-0005-0000-0000-000031030000}"/>
    <cellStyle name="20 % - Markeringsfarve1 2 8 5 2" xfId="15573" xr:uid="{00000000-0005-0000-0000-000032030000}"/>
    <cellStyle name="20 % - Markeringsfarve1 2 8 5 2 2" xfId="33733" xr:uid="{00000000-0005-0000-0000-000033030000}"/>
    <cellStyle name="20 % - Markeringsfarve1 2 8 5 3" xfId="26732" xr:uid="{00000000-0005-0000-0000-000034030000}"/>
    <cellStyle name="20 % - Markeringsfarve1 2 8 6" xfId="12477" xr:uid="{00000000-0005-0000-0000-000035030000}"/>
    <cellStyle name="20 % - Markeringsfarve1 2 8 6 2" xfId="30644" xr:uid="{00000000-0005-0000-0000-000036030000}"/>
    <cellStyle name="20 % - Markeringsfarve1 2 8 7" xfId="23642" xr:uid="{00000000-0005-0000-0000-000037030000}"/>
    <cellStyle name="20 % - Markeringsfarve1 2 9" xfId="3928" xr:uid="{00000000-0005-0000-0000-000038030000}"/>
    <cellStyle name="20 % - Markeringsfarve1 2 9 2" xfId="3929" xr:uid="{00000000-0005-0000-0000-000039030000}"/>
    <cellStyle name="20 % - Markeringsfarve1 2 9 2 2" xfId="9743" xr:uid="{00000000-0005-0000-0000-00003A030000}"/>
    <cellStyle name="20 % - Markeringsfarve1 2 9 2 2 2" xfId="17644" xr:uid="{00000000-0005-0000-0000-00003B030000}"/>
    <cellStyle name="20 % - Markeringsfarve1 2 9 2 2 2 2" xfId="35804" xr:uid="{00000000-0005-0000-0000-00003C030000}"/>
    <cellStyle name="20 % - Markeringsfarve1 2 9 2 2 3" xfId="28803" xr:uid="{00000000-0005-0000-0000-00003D030000}"/>
    <cellStyle name="20 % - Markeringsfarve1 2 9 2 3" xfId="12483" xr:uid="{00000000-0005-0000-0000-00003E030000}"/>
    <cellStyle name="20 % - Markeringsfarve1 2 9 2 3 2" xfId="30650" xr:uid="{00000000-0005-0000-0000-00003F030000}"/>
    <cellStyle name="20 % - Markeringsfarve1 2 9 2 4" xfId="23648" xr:uid="{00000000-0005-0000-0000-000040030000}"/>
    <cellStyle name="20 % - Markeringsfarve1 2 9 3" xfId="8342" xr:uid="{00000000-0005-0000-0000-000041030000}"/>
    <cellStyle name="20 % - Markeringsfarve1 2 9 3 2" xfId="16259" xr:uid="{00000000-0005-0000-0000-000042030000}"/>
    <cellStyle name="20 % - Markeringsfarve1 2 9 3 2 2" xfId="34419" xr:uid="{00000000-0005-0000-0000-000043030000}"/>
    <cellStyle name="20 % - Markeringsfarve1 2 9 3 3" xfId="27418" xr:uid="{00000000-0005-0000-0000-000044030000}"/>
    <cellStyle name="20 % - Markeringsfarve1 2 9 4" xfId="12482" xr:uid="{00000000-0005-0000-0000-000045030000}"/>
    <cellStyle name="20 % - Markeringsfarve1 2 9 4 2" xfId="30649" xr:uid="{00000000-0005-0000-0000-000046030000}"/>
    <cellStyle name="20 % - Markeringsfarve1 2 9 5" xfId="23647" xr:uid="{00000000-0005-0000-0000-000047030000}"/>
    <cellStyle name="20 % - Markeringsfarve1 3" xfId="1773" xr:uid="{00000000-0005-0000-0000-000048030000}"/>
    <cellStyle name="20 % - Markeringsfarve1 3 10" xfId="3931" xr:uid="{00000000-0005-0000-0000-000049030000}"/>
    <cellStyle name="20 % - Markeringsfarve1 3 10 2" xfId="8956" xr:uid="{00000000-0005-0000-0000-00004A030000}"/>
    <cellStyle name="20 % - Markeringsfarve1 3 10 2 2" xfId="16868" xr:uid="{00000000-0005-0000-0000-00004B030000}"/>
    <cellStyle name="20 % - Markeringsfarve1 3 10 2 2 2" xfId="35028" xr:uid="{00000000-0005-0000-0000-00004C030000}"/>
    <cellStyle name="20 % - Markeringsfarve1 3 10 2 3" xfId="28027" xr:uid="{00000000-0005-0000-0000-00004D030000}"/>
    <cellStyle name="20 % - Markeringsfarve1 3 10 3" xfId="12485" xr:uid="{00000000-0005-0000-0000-00004E030000}"/>
    <cellStyle name="20 % - Markeringsfarve1 3 10 3 2" xfId="30652" xr:uid="{00000000-0005-0000-0000-00004F030000}"/>
    <cellStyle name="20 % - Markeringsfarve1 3 10 4" xfId="23650" xr:uid="{00000000-0005-0000-0000-000050030000}"/>
    <cellStyle name="20 % - Markeringsfarve1 3 11" xfId="3932" xr:uid="{00000000-0005-0000-0000-000051030000}"/>
    <cellStyle name="20 % - Markeringsfarve1 3 11 2" xfId="10593" xr:uid="{00000000-0005-0000-0000-000052030000}"/>
    <cellStyle name="20 % - Markeringsfarve1 3 11 2 2" xfId="18487" xr:uid="{00000000-0005-0000-0000-000053030000}"/>
    <cellStyle name="20 % - Markeringsfarve1 3 11 2 2 2" xfId="36647" xr:uid="{00000000-0005-0000-0000-000054030000}"/>
    <cellStyle name="20 % - Markeringsfarve1 3 11 2 3" xfId="29646" xr:uid="{00000000-0005-0000-0000-000055030000}"/>
    <cellStyle name="20 % - Markeringsfarve1 3 11 3" xfId="12486" xr:uid="{00000000-0005-0000-0000-000056030000}"/>
    <cellStyle name="20 % - Markeringsfarve1 3 11 3 2" xfId="30653" xr:uid="{00000000-0005-0000-0000-000057030000}"/>
    <cellStyle name="20 % - Markeringsfarve1 3 11 4" xfId="23651" xr:uid="{00000000-0005-0000-0000-000058030000}"/>
    <cellStyle name="20 % - Markeringsfarve1 3 12" xfId="7656" xr:uid="{00000000-0005-0000-0000-000059030000}"/>
    <cellStyle name="20 % - Markeringsfarve1 3 12 2" xfId="15574" xr:uid="{00000000-0005-0000-0000-00005A030000}"/>
    <cellStyle name="20 % - Markeringsfarve1 3 12 2 2" xfId="33734" xr:uid="{00000000-0005-0000-0000-00005B030000}"/>
    <cellStyle name="20 % - Markeringsfarve1 3 12 3" xfId="26733" xr:uid="{00000000-0005-0000-0000-00005C030000}"/>
    <cellStyle name="20 % - Markeringsfarve1 3 13" xfId="12484" xr:uid="{00000000-0005-0000-0000-00005D030000}"/>
    <cellStyle name="20 % - Markeringsfarve1 3 13 2" xfId="30651" xr:uid="{00000000-0005-0000-0000-00005E030000}"/>
    <cellStyle name="20 % - Markeringsfarve1 3 14" xfId="3930" xr:uid="{00000000-0005-0000-0000-00005F030000}"/>
    <cellStyle name="20 % - Markeringsfarve1 3 14 2" xfId="23649" xr:uid="{00000000-0005-0000-0000-000060030000}"/>
    <cellStyle name="20 % - Markeringsfarve1 3 15" xfId="21897" xr:uid="{00000000-0005-0000-0000-000061030000}"/>
    <cellStyle name="20 % - Markeringsfarve1 3 2" xfId="1774" xr:uid="{00000000-0005-0000-0000-000062030000}"/>
    <cellStyle name="20 % - Markeringsfarve1 3 2 10" xfId="7657" xr:uid="{00000000-0005-0000-0000-000063030000}"/>
    <cellStyle name="20 % - Markeringsfarve1 3 2 10 2" xfId="15575" xr:uid="{00000000-0005-0000-0000-000064030000}"/>
    <cellStyle name="20 % - Markeringsfarve1 3 2 10 2 2" xfId="33735" xr:uid="{00000000-0005-0000-0000-000065030000}"/>
    <cellStyle name="20 % - Markeringsfarve1 3 2 10 3" xfId="26734" xr:uid="{00000000-0005-0000-0000-000066030000}"/>
    <cellStyle name="20 % - Markeringsfarve1 3 2 11" xfId="12487" xr:uid="{00000000-0005-0000-0000-000067030000}"/>
    <cellStyle name="20 % - Markeringsfarve1 3 2 11 2" xfId="30654" xr:uid="{00000000-0005-0000-0000-000068030000}"/>
    <cellStyle name="20 % - Markeringsfarve1 3 2 12" xfId="3933" xr:uid="{00000000-0005-0000-0000-000069030000}"/>
    <cellStyle name="20 % - Markeringsfarve1 3 2 12 2" xfId="23652" xr:uid="{00000000-0005-0000-0000-00006A030000}"/>
    <cellStyle name="20 % - Markeringsfarve1 3 2 13" xfId="21898" xr:uid="{00000000-0005-0000-0000-00006B030000}"/>
    <cellStyle name="20 % - Markeringsfarve1 3 2 2" xfId="1775" xr:uid="{00000000-0005-0000-0000-00006C030000}"/>
    <cellStyle name="20 % - Markeringsfarve1 3 2 2 2" xfId="3935" xr:uid="{00000000-0005-0000-0000-00006D030000}"/>
    <cellStyle name="20 % - Markeringsfarve1 3 2 2 2 2" xfId="3936" xr:uid="{00000000-0005-0000-0000-00006E030000}"/>
    <cellStyle name="20 % - Markeringsfarve1 3 2 2 2 2 2" xfId="9889" xr:uid="{00000000-0005-0000-0000-00006F030000}"/>
    <cellStyle name="20 % - Markeringsfarve1 3 2 2 2 2 2 2" xfId="17790" xr:uid="{00000000-0005-0000-0000-000070030000}"/>
    <cellStyle name="20 % - Markeringsfarve1 3 2 2 2 2 2 2 2" xfId="35950" xr:uid="{00000000-0005-0000-0000-000071030000}"/>
    <cellStyle name="20 % - Markeringsfarve1 3 2 2 2 2 2 3" xfId="28949" xr:uid="{00000000-0005-0000-0000-000072030000}"/>
    <cellStyle name="20 % - Markeringsfarve1 3 2 2 2 2 3" xfId="12490" xr:uid="{00000000-0005-0000-0000-000073030000}"/>
    <cellStyle name="20 % - Markeringsfarve1 3 2 2 2 2 3 2" xfId="30657" xr:uid="{00000000-0005-0000-0000-000074030000}"/>
    <cellStyle name="20 % - Markeringsfarve1 3 2 2 2 2 4" xfId="23655" xr:uid="{00000000-0005-0000-0000-000075030000}"/>
    <cellStyle name="20 % - Markeringsfarve1 3 2 2 2 3" xfId="8464" xr:uid="{00000000-0005-0000-0000-000076030000}"/>
    <cellStyle name="20 % - Markeringsfarve1 3 2 2 2 3 2" xfId="16381" xr:uid="{00000000-0005-0000-0000-000077030000}"/>
    <cellStyle name="20 % - Markeringsfarve1 3 2 2 2 3 2 2" xfId="34541" xr:uid="{00000000-0005-0000-0000-000078030000}"/>
    <cellStyle name="20 % - Markeringsfarve1 3 2 2 2 3 3" xfId="27540" xr:uid="{00000000-0005-0000-0000-000079030000}"/>
    <cellStyle name="20 % - Markeringsfarve1 3 2 2 2 4" xfId="12489" xr:uid="{00000000-0005-0000-0000-00007A030000}"/>
    <cellStyle name="20 % - Markeringsfarve1 3 2 2 2 4 2" xfId="30656" xr:uid="{00000000-0005-0000-0000-00007B030000}"/>
    <cellStyle name="20 % - Markeringsfarve1 3 2 2 2 5" xfId="23654" xr:uid="{00000000-0005-0000-0000-00007C030000}"/>
    <cellStyle name="20 % - Markeringsfarve1 3 2 2 3" xfId="3937" xr:uid="{00000000-0005-0000-0000-00007D030000}"/>
    <cellStyle name="20 % - Markeringsfarve1 3 2 2 3 2" xfId="9119" xr:uid="{00000000-0005-0000-0000-00007E030000}"/>
    <cellStyle name="20 % - Markeringsfarve1 3 2 2 3 2 2" xfId="17030" xr:uid="{00000000-0005-0000-0000-00007F030000}"/>
    <cellStyle name="20 % - Markeringsfarve1 3 2 2 3 2 2 2" xfId="35190" xr:uid="{00000000-0005-0000-0000-000080030000}"/>
    <cellStyle name="20 % - Markeringsfarve1 3 2 2 3 2 3" xfId="28189" xr:uid="{00000000-0005-0000-0000-000081030000}"/>
    <cellStyle name="20 % - Markeringsfarve1 3 2 2 3 3" xfId="12491" xr:uid="{00000000-0005-0000-0000-000082030000}"/>
    <cellStyle name="20 % - Markeringsfarve1 3 2 2 3 3 2" xfId="30658" xr:uid="{00000000-0005-0000-0000-000083030000}"/>
    <cellStyle name="20 % - Markeringsfarve1 3 2 2 3 4" xfId="23656" xr:uid="{00000000-0005-0000-0000-000084030000}"/>
    <cellStyle name="20 % - Markeringsfarve1 3 2 2 4" xfId="3938" xr:uid="{00000000-0005-0000-0000-000085030000}"/>
    <cellStyle name="20 % - Markeringsfarve1 3 2 2 4 2" xfId="10591" xr:uid="{00000000-0005-0000-0000-000086030000}"/>
    <cellStyle name="20 % - Markeringsfarve1 3 2 2 4 2 2" xfId="18485" xr:uid="{00000000-0005-0000-0000-000087030000}"/>
    <cellStyle name="20 % - Markeringsfarve1 3 2 2 4 2 2 2" xfId="36645" xr:uid="{00000000-0005-0000-0000-000088030000}"/>
    <cellStyle name="20 % - Markeringsfarve1 3 2 2 4 2 3" xfId="29644" xr:uid="{00000000-0005-0000-0000-000089030000}"/>
    <cellStyle name="20 % - Markeringsfarve1 3 2 2 4 3" xfId="12492" xr:uid="{00000000-0005-0000-0000-00008A030000}"/>
    <cellStyle name="20 % - Markeringsfarve1 3 2 2 4 3 2" xfId="30659" xr:uid="{00000000-0005-0000-0000-00008B030000}"/>
    <cellStyle name="20 % - Markeringsfarve1 3 2 2 4 4" xfId="23657" xr:uid="{00000000-0005-0000-0000-00008C030000}"/>
    <cellStyle name="20 % - Markeringsfarve1 3 2 2 5" xfId="7658" xr:uid="{00000000-0005-0000-0000-00008D030000}"/>
    <cellStyle name="20 % - Markeringsfarve1 3 2 2 5 2" xfId="15576" xr:uid="{00000000-0005-0000-0000-00008E030000}"/>
    <cellStyle name="20 % - Markeringsfarve1 3 2 2 5 2 2" xfId="33736" xr:uid="{00000000-0005-0000-0000-00008F030000}"/>
    <cellStyle name="20 % - Markeringsfarve1 3 2 2 5 3" xfId="26735" xr:uid="{00000000-0005-0000-0000-000090030000}"/>
    <cellStyle name="20 % - Markeringsfarve1 3 2 2 6" xfId="12488" xr:uid="{00000000-0005-0000-0000-000091030000}"/>
    <cellStyle name="20 % - Markeringsfarve1 3 2 2 6 2" xfId="30655" xr:uid="{00000000-0005-0000-0000-000092030000}"/>
    <cellStyle name="20 % - Markeringsfarve1 3 2 2 7" xfId="3934" xr:uid="{00000000-0005-0000-0000-000093030000}"/>
    <cellStyle name="20 % - Markeringsfarve1 3 2 2 7 2" xfId="23653" xr:uid="{00000000-0005-0000-0000-000094030000}"/>
    <cellStyle name="20 % - Markeringsfarve1 3 2 2 8" xfId="21899" xr:uid="{00000000-0005-0000-0000-000095030000}"/>
    <cellStyle name="20 % - Markeringsfarve1 3 2 3" xfId="3939" xr:uid="{00000000-0005-0000-0000-000096030000}"/>
    <cellStyle name="20 % - Markeringsfarve1 3 2 3 2" xfId="3940" xr:uid="{00000000-0005-0000-0000-000097030000}"/>
    <cellStyle name="20 % - Markeringsfarve1 3 2 3 2 2" xfId="3941" xr:uid="{00000000-0005-0000-0000-000098030000}"/>
    <cellStyle name="20 % - Markeringsfarve1 3 2 3 2 2 2" xfId="9958" xr:uid="{00000000-0005-0000-0000-000099030000}"/>
    <cellStyle name="20 % - Markeringsfarve1 3 2 3 2 2 2 2" xfId="17859" xr:uid="{00000000-0005-0000-0000-00009A030000}"/>
    <cellStyle name="20 % - Markeringsfarve1 3 2 3 2 2 2 2 2" xfId="36019" xr:uid="{00000000-0005-0000-0000-00009B030000}"/>
    <cellStyle name="20 % - Markeringsfarve1 3 2 3 2 2 2 3" xfId="29018" xr:uid="{00000000-0005-0000-0000-00009C030000}"/>
    <cellStyle name="20 % - Markeringsfarve1 3 2 3 2 2 3" xfId="12495" xr:uid="{00000000-0005-0000-0000-00009D030000}"/>
    <cellStyle name="20 % - Markeringsfarve1 3 2 3 2 2 3 2" xfId="30662" xr:uid="{00000000-0005-0000-0000-00009E030000}"/>
    <cellStyle name="20 % - Markeringsfarve1 3 2 3 2 2 4" xfId="23660" xr:uid="{00000000-0005-0000-0000-00009F030000}"/>
    <cellStyle name="20 % - Markeringsfarve1 3 2 3 2 3" xfId="8522" xr:uid="{00000000-0005-0000-0000-0000A0030000}"/>
    <cellStyle name="20 % - Markeringsfarve1 3 2 3 2 3 2" xfId="16439" xr:uid="{00000000-0005-0000-0000-0000A1030000}"/>
    <cellStyle name="20 % - Markeringsfarve1 3 2 3 2 3 2 2" xfId="34599" xr:uid="{00000000-0005-0000-0000-0000A2030000}"/>
    <cellStyle name="20 % - Markeringsfarve1 3 2 3 2 3 3" xfId="27598" xr:uid="{00000000-0005-0000-0000-0000A3030000}"/>
    <cellStyle name="20 % - Markeringsfarve1 3 2 3 2 4" xfId="12494" xr:uid="{00000000-0005-0000-0000-0000A4030000}"/>
    <cellStyle name="20 % - Markeringsfarve1 3 2 3 2 4 2" xfId="30661" xr:uid="{00000000-0005-0000-0000-0000A5030000}"/>
    <cellStyle name="20 % - Markeringsfarve1 3 2 3 2 5" xfId="23659" xr:uid="{00000000-0005-0000-0000-0000A6030000}"/>
    <cellStyle name="20 % - Markeringsfarve1 3 2 3 3" xfId="3942" xr:uid="{00000000-0005-0000-0000-0000A7030000}"/>
    <cellStyle name="20 % - Markeringsfarve1 3 2 3 3 2" xfId="9188" xr:uid="{00000000-0005-0000-0000-0000A8030000}"/>
    <cellStyle name="20 % - Markeringsfarve1 3 2 3 3 2 2" xfId="17099" xr:uid="{00000000-0005-0000-0000-0000A9030000}"/>
    <cellStyle name="20 % - Markeringsfarve1 3 2 3 3 2 2 2" xfId="35259" xr:uid="{00000000-0005-0000-0000-0000AA030000}"/>
    <cellStyle name="20 % - Markeringsfarve1 3 2 3 3 2 3" xfId="28258" xr:uid="{00000000-0005-0000-0000-0000AB030000}"/>
    <cellStyle name="20 % - Markeringsfarve1 3 2 3 3 3" xfId="12496" xr:uid="{00000000-0005-0000-0000-0000AC030000}"/>
    <cellStyle name="20 % - Markeringsfarve1 3 2 3 3 3 2" xfId="30663" xr:uid="{00000000-0005-0000-0000-0000AD030000}"/>
    <cellStyle name="20 % - Markeringsfarve1 3 2 3 3 4" xfId="23661" xr:uid="{00000000-0005-0000-0000-0000AE030000}"/>
    <cellStyle name="20 % - Markeringsfarve1 3 2 3 4" xfId="3943" xr:uid="{00000000-0005-0000-0000-0000AF030000}"/>
    <cellStyle name="20 % - Markeringsfarve1 3 2 3 4 2" xfId="10590" xr:uid="{00000000-0005-0000-0000-0000B0030000}"/>
    <cellStyle name="20 % - Markeringsfarve1 3 2 3 4 2 2" xfId="18484" xr:uid="{00000000-0005-0000-0000-0000B1030000}"/>
    <cellStyle name="20 % - Markeringsfarve1 3 2 3 4 2 2 2" xfId="36644" xr:uid="{00000000-0005-0000-0000-0000B2030000}"/>
    <cellStyle name="20 % - Markeringsfarve1 3 2 3 4 2 3" xfId="29643" xr:uid="{00000000-0005-0000-0000-0000B3030000}"/>
    <cellStyle name="20 % - Markeringsfarve1 3 2 3 4 3" xfId="12497" xr:uid="{00000000-0005-0000-0000-0000B4030000}"/>
    <cellStyle name="20 % - Markeringsfarve1 3 2 3 4 3 2" xfId="30664" xr:uid="{00000000-0005-0000-0000-0000B5030000}"/>
    <cellStyle name="20 % - Markeringsfarve1 3 2 3 4 4" xfId="23662" xr:uid="{00000000-0005-0000-0000-0000B6030000}"/>
    <cellStyle name="20 % - Markeringsfarve1 3 2 3 5" xfId="7659" xr:uid="{00000000-0005-0000-0000-0000B7030000}"/>
    <cellStyle name="20 % - Markeringsfarve1 3 2 3 5 2" xfId="15577" xr:uid="{00000000-0005-0000-0000-0000B8030000}"/>
    <cellStyle name="20 % - Markeringsfarve1 3 2 3 5 2 2" xfId="33737" xr:uid="{00000000-0005-0000-0000-0000B9030000}"/>
    <cellStyle name="20 % - Markeringsfarve1 3 2 3 5 3" xfId="26736" xr:uid="{00000000-0005-0000-0000-0000BA030000}"/>
    <cellStyle name="20 % - Markeringsfarve1 3 2 3 6" xfId="12493" xr:uid="{00000000-0005-0000-0000-0000BB030000}"/>
    <cellStyle name="20 % - Markeringsfarve1 3 2 3 6 2" xfId="30660" xr:uid="{00000000-0005-0000-0000-0000BC030000}"/>
    <cellStyle name="20 % - Markeringsfarve1 3 2 3 7" xfId="23658" xr:uid="{00000000-0005-0000-0000-0000BD030000}"/>
    <cellStyle name="20 % - Markeringsfarve1 3 2 4" xfId="3944" xr:uid="{00000000-0005-0000-0000-0000BE030000}"/>
    <cellStyle name="20 % - Markeringsfarve1 3 2 4 2" xfId="3945" xr:uid="{00000000-0005-0000-0000-0000BF030000}"/>
    <cellStyle name="20 % - Markeringsfarve1 3 2 4 2 2" xfId="3946" xr:uid="{00000000-0005-0000-0000-0000C0030000}"/>
    <cellStyle name="20 % - Markeringsfarve1 3 2 4 2 2 2" xfId="10127" xr:uid="{00000000-0005-0000-0000-0000C1030000}"/>
    <cellStyle name="20 % - Markeringsfarve1 3 2 4 2 2 2 2" xfId="18028" xr:uid="{00000000-0005-0000-0000-0000C2030000}"/>
    <cellStyle name="20 % - Markeringsfarve1 3 2 4 2 2 2 2 2" xfId="36188" xr:uid="{00000000-0005-0000-0000-0000C3030000}"/>
    <cellStyle name="20 % - Markeringsfarve1 3 2 4 2 2 2 3" xfId="29187" xr:uid="{00000000-0005-0000-0000-0000C4030000}"/>
    <cellStyle name="20 % - Markeringsfarve1 3 2 4 2 2 3" xfId="12500" xr:uid="{00000000-0005-0000-0000-0000C5030000}"/>
    <cellStyle name="20 % - Markeringsfarve1 3 2 4 2 2 3 2" xfId="30667" xr:uid="{00000000-0005-0000-0000-0000C6030000}"/>
    <cellStyle name="20 % - Markeringsfarve1 3 2 4 2 2 4" xfId="23665" xr:uid="{00000000-0005-0000-0000-0000C7030000}"/>
    <cellStyle name="20 % - Markeringsfarve1 3 2 4 2 3" xfId="8666" xr:uid="{00000000-0005-0000-0000-0000C8030000}"/>
    <cellStyle name="20 % - Markeringsfarve1 3 2 4 2 3 2" xfId="16580" xr:uid="{00000000-0005-0000-0000-0000C9030000}"/>
    <cellStyle name="20 % - Markeringsfarve1 3 2 4 2 3 2 2" xfId="34740" xr:uid="{00000000-0005-0000-0000-0000CA030000}"/>
    <cellStyle name="20 % - Markeringsfarve1 3 2 4 2 3 3" xfId="27739" xr:uid="{00000000-0005-0000-0000-0000CB030000}"/>
    <cellStyle name="20 % - Markeringsfarve1 3 2 4 2 4" xfId="12499" xr:uid="{00000000-0005-0000-0000-0000CC030000}"/>
    <cellStyle name="20 % - Markeringsfarve1 3 2 4 2 4 2" xfId="30666" xr:uid="{00000000-0005-0000-0000-0000CD030000}"/>
    <cellStyle name="20 % - Markeringsfarve1 3 2 4 2 5" xfId="23664" xr:uid="{00000000-0005-0000-0000-0000CE030000}"/>
    <cellStyle name="20 % - Markeringsfarve1 3 2 4 3" xfId="3947" xr:uid="{00000000-0005-0000-0000-0000CF030000}"/>
    <cellStyle name="20 % - Markeringsfarve1 3 2 4 3 2" xfId="9403" xr:uid="{00000000-0005-0000-0000-0000D0030000}"/>
    <cellStyle name="20 % - Markeringsfarve1 3 2 4 3 2 2" xfId="17313" xr:uid="{00000000-0005-0000-0000-0000D1030000}"/>
    <cellStyle name="20 % - Markeringsfarve1 3 2 4 3 2 2 2" xfId="35473" xr:uid="{00000000-0005-0000-0000-0000D2030000}"/>
    <cellStyle name="20 % - Markeringsfarve1 3 2 4 3 2 3" xfId="28472" xr:uid="{00000000-0005-0000-0000-0000D3030000}"/>
    <cellStyle name="20 % - Markeringsfarve1 3 2 4 3 3" xfId="12501" xr:uid="{00000000-0005-0000-0000-0000D4030000}"/>
    <cellStyle name="20 % - Markeringsfarve1 3 2 4 3 3 2" xfId="30668" xr:uid="{00000000-0005-0000-0000-0000D5030000}"/>
    <cellStyle name="20 % - Markeringsfarve1 3 2 4 3 4" xfId="23666" xr:uid="{00000000-0005-0000-0000-0000D6030000}"/>
    <cellStyle name="20 % - Markeringsfarve1 3 2 4 4" xfId="3948" xr:uid="{00000000-0005-0000-0000-0000D7030000}"/>
    <cellStyle name="20 % - Markeringsfarve1 3 2 4 4 2" xfId="10589" xr:uid="{00000000-0005-0000-0000-0000D8030000}"/>
    <cellStyle name="20 % - Markeringsfarve1 3 2 4 4 2 2" xfId="18483" xr:uid="{00000000-0005-0000-0000-0000D9030000}"/>
    <cellStyle name="20 % - Markeringsfarve1 3 2 4 4 2 2 2" xfId="36643" xr:uid="{00000000-0005-0000-0000-0000DA030000}"/>
    <cellStyle name="20 % - Markeringsfarve1 3 2 4 4 2 3" xfId="29642" xr:uid="{00000000-0005-0000-0000-0000DB030000}"/>
    <cellStyle name="20 % - Markeringsfarve1 3 2 4 4 3" xfId="12502" xr:uid="{00000000-0005-0000-0000-0000DC030000}"/>
    <cellStyle name="20 % - Markeringsfarve1 3 2 4 4 3 2" xfId="30669" xr:uid="{00000000-0005-0000-0000-0000DD030000}"/>
    <cellStyle name="20 % - Markeringsfarve1 3 2 4 4 4" xfId="23667" xr:uid="{00000000-0005-0000-0000-0000DE030000}"/>
    <cellStyle name="20 % - Markeringsfarve1 3 2 4 5" xfId="7660" xr:uid="{00000000-0005-0000-0000-0000DF030000}"/>
    <cellStyle name="20 % - Markeringsfarve1 3 2 4 5 2" xfId="15578" xr:uid="{00000000-0005-0000-0000-0000E0030000}"/>
    <cellStyle name="20 % - Markeringsfarve1 3 2 4 5 2 2" xfId="33738" xr:uid="{00000000-0005-0000-0000-0000E1030000}"/>
    <cellStyle name="20 % - Markeringsfarve1 3 2 4 5 3" xfId="26737" xr:uid="{00000000-0005-0000-0000-0000E2030000}"/>
    <cellStyle name="20 % - Markeringsfarve1 3 2 4 6" xfId="12498" xr:uid="{00000000-0005-0000-0000-0000E3030000}"/>
    <cellStyle name="20 % - Markeringsfarve1 3 2 4 6 2" xfId="30665" xr:uid="{00000000-0005-0000-0000-0000E4030000}"/>
    <cellStyle name="20 % - Markeringsfarve1 3 2 4 7" xfId="23663" xr:uid="{00000000-0005-0000-0000-0000E5030000}"/>
    <cellStyle name="20 % - Markeringsfarve1 3 2 5" xfId="3949" xr:uid="{00000000-0005-0000-0000-0000E6030000}"/>
    <cellStyle name="20 % - Markeringsfarve1 3 2 5 2" xfId="3950" xr:uid="{00000000-0005-0000-0000-0000E7030000}"/>
    <cellStyle name="20 % - Markeringsfarve1 3 2 5 2 2" xfId="3951" xr:uid="{00000000-0005-0000-0000-0000E8030000}"/>
    <cellStyle name="20 % - Markeringsfarve1 3 2 5 2 2 2" xfId="10244" xr:uid="{00000000-0005-0000-0000-0000E9030000}"/>
    <cellStyle name="20 % - Markeringsfarve1 3 2 5 2 2 2 2" xfId="18145" xr:uid="{00000000-0005-0000-0000-0000EA030000}"/>
    <cellStyle name="20 % - Markeringsfarve1 3 2 5 2 2 2 2 2" xfId="36305" xr:uid="{00000000-0005-0000-0000-0000EB030000}"/>
    <cellStyle name="20 % - Markeringsfarve1 3 2 5 2 2 2 3" xfId="29304" xr:uid="{00000000-0005-0000-0000-0000EC030000}"/>
    <cellStyle name="20 % - Markeringsfarve1 3 2 5 2 2 3" xfId="12505" xr:uid="{00000000-0005-0000-0000-0000ED030000}"/>
    <cellStyle name="20 % - Markeringsfarve1 3 2 5 2 2 3 2" xfId="30672" xr:uid="{00000000-0005-0000-0000-0000EE030000}"/>
    <cellStyle name="20 % - Markeringsfarve1 3 2 5 2 2 4" xfId="23670" xr:uid="{00000000-0005-0000-0000-0000EF030000}"/>
    <cellStyle name="20 % - Markeringsfarve1 3 2 5 2 3" xfId="8765" xr:uid="{00000000-0005-0000-0000-0000F0030000}"/>
    <cellStyle name="20 % - Markeringsfarve1 3 2 5 2 3 2" xfId="16679" xr:uid="{00000000-0005-0000-0000-0000F1030000}"/>
    <cellStyle name="20 % - Markeringsfarve1 3 2 5 2 3 2 2" xfId="34839" xr:uid="{00000000-0005-0000-0000-0000F2030000}"/>
    <cellStyle name="20 % - Markeringsfarve1 3 2 5 2 3 3" xfId="27838" xr:uid="{00000000-0005-0000-0000-0000F3030000}"/>
    <cellStyle name="20 % - Markeringsfarve1 3 2 5 2 4" xfId="12504" xr:uid="{00000000-0005-0000-0000-0000F4030000}"/>
    <cellStyle name="20 % - Markeringsfarve1 3 2 5 2 4 2" xfId="30671" xr:uid="{00000000-0005-0000-0000-0000F5030000}"/>
    <cellStyle name="20 % - Markeringsfarve1 3 2 5 2 5" xfId="23669" xr:uid="{00000000-0005-0000-0000-0000F6030000}"/>
    <cellStyle name="20 % - Markeringsfarve1 3 2 5 3" xfId="3952" xr:uid="{00000000-0005-0000-0000-0000F7030000}"/>
    <cellStyle name="20 % - Markeringsfarve1 3 2 5 3 2" xfId="9520" xr:uid="{00000000-0005-0000-0000-0000F8030000}"/>
    <cellStyle name="20 % - Markeringsfarve1 3 2 5 3 2 2" xfId="17430" xr:uid="{00000000-0005-0000-0000-0000F9030000}"/>
    <cellStyle name="20 % - Markeringsfarve1 3 2 5 3 2 2 2" xfId="35590" xr:uid="{00000000-0005-0000-0000-0000FA030000}"/>
    <cellStyle name="20 % - Markeringsfarve1 3 2 5 3 2 3" xfId="28589" xr:uid="{00000000-0005-0000-0000-0000FB030000}"/>
    <cellStyle name="20 % - Markeringsfarve1 3 2 5 3 3" xfId="12506" xr:uid="{00000000-0005-0000-0000-0000FC030000}"/>
    <cellStyle name="20 % - Markeringsfarve1 3 2 5 3 3 2" xfId="30673" xr:uid="{00000000-0005-0000-0000-0000FD030000}"/>
    <cellStyle name="20 % - Markeringsfarve1 3 2 5 3 4" xfId="23671" xr:uid="{00000000-0005-0000-0000-0000FE030000}"/>
    <cellStyle name="20 % - Markeringsfarve1 3 2 5 4" xfId="3953" xr:uid="{00000000-0005-0000-0000-0000FF030000}"/>
    <cellStyle name="20 % - Markeringsfarve1 3 2 5 4 2" xfId="10588" xr:uid="{00000000-0005-0000-0000-000000040000}"/>
    <cellStyle name="20 % - Markeringsfarve1 3 2 5 4 2 2" xfId="18482" xr:uid="{00000000-0005-0000-0000-000001040000}"/>
    <cellStyle name="20 % - Markeringsfarve1 3 2 5 4 2 2 2" xfId="36642" xr:uid="{00000000-0005-0000-0000-000002040000}"/>
    <cellStyle name="20 % - Markeringsfarve1 3 2 5 4 2 3" xfId="29641" xr:uid="{00000000-0005-0000-0000-000003040000}"/>
    <cellStyle name="20 % - Markeringsfarve1 3 2 5 4 3" xfId="12507" xr:uid="{00000000-0005-0000-0000-000004040000}"/>
    <cellStyle name="20 % - Markeringsfarve1 3 2 5 4 3 2" xfId="30674" xr:uid="{00000000-0005-0000-0000-000005040000}"/>
    <cellStyle name="20 % - Markeringsfarve1 3 2 5 4 4" xfId="23672" xr:uid="{00000000-0005-0000-0000-000006040000}"/>
    <cellStyle name="20 % - Markeringsfarve1 3 2 5 5" xfId="7661" xr:uid="{00000000-0005-0000-0000-000007040000}"/>
    <cellStyle name="20 % - Markeringsfarve1 3 2 5 5 2" xfId="15579" xr:uid="{00000000-0005-0000-0000-000008040000}"/>
    <cellStyle name="20 % - Markeringsfarve1 3 2 5 5 2 2" xfId="33739" xr:uid="{00000000-0005-0000-0000-000009040000}"/>
    <cellStyle name="20 % - Markeringsfarve1 3 2 5 5 3" xfId="26738" xr:uid="{00000000-0005-0000-0000-00000A040000}"/>
    <cellStyle name="20 % - Markeringsfarve1 3 2 5 6" xfId="12503" xr:uid="{00000000-0005-0000-0000-00000B040000}"/>
    <cellStyle name="20 % - Markeringsfarve1 3 2 5 6 2" xfId="30670" xr:uid="{00000000-0005-0000-0000-00000C040000}"/>
    <cellStyle name="20 % - Markeringsfarve1 3 2 5 7" xfId="23668" xr:uid="{00000000-0005-0000-0000-00000D040000}"/>
    <cellStyle name="20 % - Markeringsfarve1 3 2 6" xfId="3954" xr:uid="{00000000-0005-0000-0000-00000E040000}"/>
    <cellStyle name="20 % - Markeringsfarve1 3 2 6 2" xfId="3955" xr:uid="{00000000-0005-0000-0000-00000F040000}"/>
    <cellStyle name="20 % - Markeringsfarve1 3 2 6 2 2" xfId="3956" xr:uid="{00000000-0005-0000-0000-000010040000}"/>
    <cellStyle name="20 % - Markeringsfarve1 3 2 6 2 2 2" xfId="10313" xr:uid="{00000000-0005-0000-0000-000011040000}"/>
    <cellStyle name="20 % - Markeringsfarve1 3 2 6 2 2 2 2" xfId="18214" xr:uid="{00000000-0005-0000-0000-000012040000}"/>
    <cellStyle name="20 % - Markeringsfarve1 3 2 6 2 2 2 2 2" xfId="36374" xr:uid="{00000000-0005-0000-0000-000013040000}"/>
    <cellStyle name="20 % - Markeringsfarve1 3 2 6 2 2 2 3" xfId="29373" xr:uid="{00000000-0005-0000-0000-000014040000}"/>
    <cellStyle name="20 % - Markeringsfarve1 3 2 6 2 2 3" xfId="12510" xr:uid="{00000000-0005-0000-0000-000015040000}"/>
    <cellStyle name="20 % - Markeringsfarve1 3 2 6 2 2 3 2" xfId="30677" xr:uid="{00000000-0005-0000-0000-000016040000}"/>
    <cellStyle name="20 % - Markeringsfarve1 3 2 6 2 2 4" xfId="23675" xr:uid="{00000000-0005-0000-0000-000017040000}"/>
    <cellStyle name="20 % - Markeringsfarve1 3 2 6 2 3" xfId="8824" xr:uid="{00000000-0005-0000-0000-000018040000}"/>
    <cellStyle name="20 % - Markeringsfarve1 3 2 6 2 3 2" xfId="16738" xr:uid="{00000000-0005-0000-0000-000019040000}"/>
    <cellStyle name="20 % - Markeringsfarve1 3 2 6 2 3 2 2" xfId="34898" xr:uid="{00000000-0005-0000-0000-00001A040000}"/>
    <cellStyle name="20 % - Markeringsfarve1 3 2 6 2 3 3" xfId="27897" xr:uid="{00000000-0005-0000-0000-00001B040000}"/>
    <cellStyle name="20 % - Markeringsfarve1 3 2 6 2 4" xfId="12509" xr:uid="{00000000-0005-0000-0000-00001C040000}"/>
    <cellStyle name="20 % - Markeringsfarve1 3 2 6 2 4 2" xfId="30676" xr:uid="{00000000-0005-0000-0000-00001D040000}"/>
    <cellStyle name="20 % - Markeringsfarve1 3 2 6 2 5" xfId="23674" xr:uid="{00000000-0005-0000-0000-00001E040000}"/>
    <cellStyle name="20 % - Markeringsfarve1 3 2 6 3" xfId="3957" xr:uid="{00000000-0005-0000-0000-00001F040000}"/>
    <cellStyle name="20 % - Markeringsfarve1 3 2 6 3 2" xfId="9590" xr:uid="{00000000-0005-0000-0000-000020040000}"/>
    <cellStyle name="20 % - Markeringsfarve1 3 2 6 3 2 2" xfId="17500" xr:uid="{00000000-0005-0000-0000-000021040000}"/>
    <cellStyle name="20 % - Markeringsfarve1 3 2 6 3 2 2 2" xfId="35660" xr:uid="{00000000-0005-0000-0000-000022040000}"/>
    <cellStyle name="20 % - Markeringsfarve1 3 2 6 3 2 3" xfId="28659" xr:uid="{00000000-0005-0000-0000-000023040000}"/>
    <cellStyle name="20 % - Markeringsfarve1 3 2 6 3 3" xfId="12511" xr:uid="{00000000-0005-0000-0000-000024040000}"/>
    <cellStyle name="20 % - Markeringsfarve1 3 2 6 3 3 2" xfId="30678" xr:uid="{00000000-0005-0000-0000-000025040000}"/>
    <cellStyle name="20 % - Markeringsfarve1 3 2 6 3 4" xfId="23676" xr:uid="{00000000-0005-0000-0000-000026040000}"/>
    <cellStyle name="20 % - Markeringsfarve1 3 2 6 4" xfId="3958" xr:uid="{00000000-0005-0000-0000-000027040000}"/>
    <cellStyle name="20 % - Markeringsfarve1 3 2 6 4 2" xfId="10587" xr:uid="{00000000-0005-0000-0000-000028040000}"/>
    <cellStyle name="20 % - Markeringsfarve1 3 2 6 4 2 2" xfId="18481" xr:uid="{00000000-0005-0000-0000-000029040000}"/>
    <cellStyle name="20 % - Markeringsfarve1 3 2 6 4 2 2 2" xfId="36641" xr:uid="{00000000-0005-0000-0000-00002A040000}"/>
    <cellStyle name="20 % - Markeringsfarve1 3 2 6 4 2 3" xfId="29640" xr:uid="{00000000-0005-0000-0000-00002B040000}"/>
    <cellStyle name="20 % - Markeringsfarve1 3 2 6 4 3" xfId="12512" xr:uid="{00000000-0005-0000-0000-00002C040000}"/>
    <cellStyle name="20 % - Markeringsfarve1 3 2 6 4 3 2" xfId="30679" xr:uid="{00000000-0005-0000-0000-00002D040000}"/>
    <cellStyle name="20 % - Markeringsfarve1 3 2 6 4 4" xfId="23677" xr:uid="{00000000-0005-0000-0000-00002E040000}"/>
    <cellStyle name="20 % - Markeringsfarve1 3 2 6 5" xfId="7662" xr:uid="{00000000-0005-0000-0000-00002F040000}"/>
    <cellStyle name="20 % - Markeringsfarve1 3 2 6 5 2" xfId="15580" xr:uid="{00000000-0005-0000-0000-000030040000}"/>
    <cellStyle name="20 % - Markeringsfarve1 3 2 6 5 2 2" xfId="33740" xr:uid="{00000000-0005-0000-0000-000031040000}"/>
    <cellStyle name="20 % - Markeringsfarve1 3 2 6 5 3" xfId="26739" xr:uid="{00000000-0005-0000-0000-000032040000}"/>
    <cellStyle name="20 % - Markeringsfarve1 3 2 6 6" xfId="12508" xr:uid="{00000000-0005-0000-0000-000033040000}"/>
    <cellStyle name="20 % - Markeringsfarve1 3 2 6 6 2" xfId="30675" xr:uid="{00000000-0005-0000-0000-000034040000}"/>
    <cellStyle name="20 % - Markeringsfarve1 3 2 6 7" xfId="23673" xr:uid="{00000000-0005-0000-0000-000035040000}"/>
    <cellStyle name="20 % - Markeringsfarve1 3 2 7" xfId="3959" xr:uid="{00000000-0005-0000-0000-000036040000}"/>
    <cellStyle name="20 % - Markeringsfarve1 3 2 7 2" xfId="3960" xr:uid="{00000000-0005-0000-0000-000037040000}"/>
    <cellStyle name="20 % - Markeringsfarve1 3 2 7 2 2" xfId="9770" xr:uid="{00000000-0005-0000-0000-000038040000}"/>
    <cellStyle name="20 % - Markeringsfarve1 3 2 7 2 2 2" xfId="17671" xr:uid="{00000000-0005-0000-0000-000039040000}"/>
    <cellStyle name="20 % - Markeringsfarve1 3 2 7 2 2 2 2" xfId="35831" xr:uid="{00000000-0005-0000-0000-00003A040000}"/>
    <cellStyle name="20 % - Markeringsfarve1 3 2 7 2 2 3" xfId="28830" xr:uid="{00000000-0005-0000-0000-00003B040000}"/>
    <cellStyle name="20 % - Markeringsfarve1 3 2 7 2 3" xfId="12514" xr:uid="{00000000-0005-0000-0000-00003C040000}"/>
    <cellStyle name="20 % - Markeringsfarve1 3 2 7 2 3 2" xfId="30681" xr:uid="{00000000-0005-0000-0000-00003D040000}"/>
    <cellStyle name="20 % - Markeringsfarve1 3 2 7 2 4" xfId="23679" xr:uid="{00000000-0005-0000-0000-00003E040000}"/>
    <cellStyle name="20 % - Markeringsfarve1 3 2 7 3" xfId="8365" xr:uid="{00000000-0005-0000-0000-00003F040000}"/>
    <cellStyle name="20 % - Markeringsfarve1 3 2 7 3 2" xfId="16282" xr:uid="{00000000-0005-0000-0000-000040040000}"/>
    <cellStyle name="20 % - Markeringsfarve1 3 2 7 3 2 2" xfId="34442" xr:uid="{00000000-0005-0000-0000-000041040000}"/>
    <cellStyle name="20 % - Markeringsfarve1 3 2 7 3 3" xfId="27441" xr:uid="{00000000-0005-0000-0000-000042040000}"/>
    <cellStyle name="20 % - Markeringsfarve1 3 2 7 4" xfId="12513" xr:uid="{00000000-0005-0000-0000-000043040000}"/>
    <cellStyle name="20 % - Markeringsfarve1 3 2 7 4 2" xfId="30680" xr:uid="{00000000-0005-0000-0000-000044040000}"/>
    <cellStyle name="20 % - Markeringsfarve1 3 2 7 5" xfId="23678" xr:uid="{00000000-0005-0000-0000-000045040000}"/>
    <cellStyle name="20 % - Markeringsfarve1 3 2 8" xfId="3961" xr:uid="{00000000-0005-0000-0000-000046040000}"/>
    <cellStyle name="20 % - Markeringsfarve1 3 2 8 2" xfId="8998" xr:uid="{00000000-0005-0000-0000-000047040000}"/>
    <cellStyle name="20 % - Markeringsfarve1 3 2 8 2 2" xfId="16909" xr:uid="{00000000-0005-0000-0000-000048040000}"/>
    <cellStyle name="20 % - Markeringsfarve1 3 2 8 2 2 2" xfId="35069" xr:uid="{00000000-0005-0000-0000-000049040000}"/>
    <cellStyle name="20 % - Markeringsfarve1 3 2 8 2 3" xfId="28068" xr:uid="{00000000-0005-0000-0000-00004A040000}"/>
    <cellStyle name="20 % - Markeringsfarve1 3 2 8 3" xfId="12515" xr:uid="{00000000-0005-0000-0000-00004B040000}"/>
    <cellStyle name="20 % - Markeringsfarve1 3 2 8 3 2" xfId="30682" xr:uid="{00000000-0005-0000-0000-00004C040000}"/>
    <cellStyle name="20 % - Markeringsfarve1 3 2 8 4" xfId="23680" xr:uid="{00000000-0005-0000-0000-00004D040000}"/>
    <cellStyle name="20 % - Markeringsfarve1 3 2 9" xfId="3962" xr:uid="{00000000-0005-0000-0000-00004E040000}"/>
    <cellStyle name="20 % - Markeringsfarve1 3 2 9 2" xfId="10592" xr:uid="{00000000-0005-0000-0000-00004F040000}"/>
    <cellStyle name="20 % - Markeringsfarve1 3 2 9 2 2" xfId="18486" xr:uid="{00000000-0005-0000-0000-000050040000}"/>
    <cellStyle name="20 % - Markeringsfarve1 3 2 9 2 2 2" xfId="36646" xr:uid="{00000000-0005-0000-0000-000051040000}"/>
    <cellStyle name="20 % - Markeringsfarve1 3 2 9 2 3" xfId="29645" xr:uid="{00000000-0005-0000-0000-000052040000}"/>
    <cellStyle name="20 % - Markeringsfarve1 3 2 9 3" xfId="12516" xr:uid="{00000000-0005-0000-0000-000053040000}"/>
    <cellStyle name="20 % - Markeringsfarve1 3 2 9 3 2" xfId="30683" xr:uid="{00000000-0005-0000-0000-000054040000}"/>
    <cellStyle name="20 % - Markeringsfarve1 3 2 9 4" xfId="23681" xr:uid="{00000000-0005-0000-0000-000055040000}"/>
    <cellStyle name="20 % - Markeringsfarve1 3 3" xfId="1776" xr:uid="{00000000-0005-0000-0000-000056040000}"/>
    <cellStyle name="20 % - Markeringsfarve1 3 3 10" xfId="7663" xr:uid="{00000000-0005-0000-0000-000057040000}"/>
    <cellStyle name="20 % - Markeringsfarve1 3 3 10 2" xfId="15581" xr:uid="{00000000-0005-0000-0000-000058040000}"/>
    <cellStyle name="20 % - Markeringsfarve1 3 3 10 2 2" xfId="33741" xr:uid="{00000000-0005-0000-0000-000059040000}"/>
    <cellStyle name="20 % - Markeringsfarve1 3 3 10 3" xfId="26740" xr:uid="{00000000-0005-0000-0000-00005A040000}"/>
    <cellStyle name="20 % - Markeringsfarve1 3 3 11" xfId="12517" xr:uid="{00000000-0005-0000-0000-00005B040000}"/>
    <cellStyle name="20 % - Markeringsfarve1 3 3 11 2" xfId="30684" xr:uid="{00000000-0005-0000-0000-00005C040000}"/>
    <cellStyle name="20 % - Markeringsfarve1 3 3 12" xfId="3963" xr:uid="{00000000-0005-0000-0000-00005D040000}"/>
    <cellStyle name="20 % - Markeringsfarve1 3 3 12 2" xfId="23682" xr:uid="{00000000-0005-0000-0000-00005E040000}"/>
    <cellStyle name="20 % - Markeringsfarve1 3 3 13" xfId="21900" xr:uid="{00000000-0005-0000-0000-00005F040000}"/>
    <cellStyle name="20 % - Markeringsfarve1 3 3 2" xfId="3964" xr:uid="{00000000-0005-0000-0000-000060040000}"/>
    <cellStyle name="20 % - Markeringsfarve1 3 3 2 2" xfId="3965" xr:uid="{00000000-0005-0000-0000-000061040000}"/>
    <cellStyle name="20 % - Markeringsfarve1 3 3 2 2 2" xfId="3966" xr:uid="{00000000-0005-0000-0000-000062040000}"/>
    <cellStyle name="20 % - Markeringsfarve1 3 3 2 2 2 2" xfId="9928" xr:uid="{00000000-0005-0000-0000-000063040000}"/>
    <cellStyle name="20 % - Markeringsfarve1 3 3 2 2 2 2 2" xfId="17829" xr:uid="{00000000-0005-0000-0000-000064040000}"/>
    <cellStyle name="20 % - Markeringsfarve1 3 3 2 2 2 2 2 2" xfId="35989" xr:uid="{00000000-0005-0000-0000-000065040000}"/>
    <cellStyle name="20 % - Markeringsfarve1 3 3 2 2 2 2 3" xfId="28988" xr:uid="{00000000-0005-0000-0000-000066040000}"/>
    <cellStyle name="20 % - Markeringsfarve1 3 3 2 2 2 3" xfId="12520" xr:uid="{00000000-0005-0000-0000-000067040000}"/>
    <cellStyle name="20 % - Markeringsfarve1 3 3 2 2 2 3 2" xfId="30687" xr:uid="{00000000-0005-0000-0000-000068040000}"/>
    <cellStyle name="20 % - Markeringsfarve1 3 3 2 2 2 4" xfId="23685" xr:uid="{00000000-0005-0000-0000-000069040000}"/>
    <cellStyle name="20 % - Markeringsfarve1 3 3 2 2 3" xfId="8497" xr:uid="{00000000-0005-0000-0000-00006A040000}"/>
    <cellStyle name="20 % - Markeringsfarve1 3 3 2 2 3 2" xfId="16414" xr:uid="{00000000-0005-0000-0000-00006B040000}"/>
    <cellStyle name="20 % - Markeringsfarve1 3 3 2 2 3 2 2" xfId="34574" xr:uid="{00000000-0005-0000-0000-00006C040000}"/>
    <cellStyle name="20 % - Markeringsfarve1 3 3 2 2 3 3" xfId="27573" xr:uid="{00000000-0005-0000-0000-00006D040000}"/>
    <cellStyle name="20 % - Markeringsfarve1 3 3 2 2 4" xfId="12519" xr:uid="{00000000-0005-0000-0000-00006E040000}"/>
    <cellStyle name="20 % - Markeringsfarve1 3 3 2 2 4 2" xfId="30686" xr:uid="{00000000-0005-0000-0000-00006F040000}"/>
    <cellStyle name="20 % - Markeringsfarve1 3 3 2 2 5" xfId="23684" xr:uid="{00000000-0005-0000-0000-000070040000}"/>
    <cellStyle name="20 % - Markeringsfarve1 3 3 2 3" xfId="3967" xr:uid="{00000000-0005-0000-0000-000071040000}"/>
    <cellStyle name="20 % - Markeringsfarve1 3 3 2 3 2" xfId="9158" xr:uid="{00000000-0005-0000-0000-000072040000}"/>
    <cellStyle name="20 % - Markeringsfarve1 3 3 2 3 2 2" xfId="17069" xr:uid="{00000000-0005-0000-0000-000073040000}"/>
    <cellStyle name="20 % - Markeringsfarve1 3 3 2 3 2 2 2" xfId="35229" xr:uid="{00000000-0005-0000-0000-000074040000}"/>
    <cellStyle name="20 % - Markeringsfarve1 3 3 2 3 2 3" xfId="28228" xr:uid="{00000000-0005-0000-0000-000075040000}"/>
    <cellStyle name="20 % - Markeringsfarve1 3 3 2 3 3" xfId="12521" xr:uid="{00000000-0005-0000-0000-000076040000}"/>
    <cellStyle name="20 % - Markeringsfarve1 3 3 2 3 3 2" xfId="30688" xr:uid="{00000000-0005-0000-0000-000077040000}"/>
    <cellStyle name="20 % - Markeringsfarve1 3 3 2 3 4" xfId="23686" xr:uid="{00000000-0005-0000-0000-000078040000}"/>
    <cellStyle name="20 % - Markeringsfarve1 3 3 2 4" xfId="3968" xr:uid="{00000000-0005-0000-0000-000079040000}"/>
    <cellStyle name="20 % - Markeringsfarve1 3 3 2 4 2" xfId="10585" xr:uid="{00000000-0005-0000-0000-00007A040000}"/>
    <cellStyle name="20 % - Markeringsfarve1 3 3 2 4 2 2" xfId="18479" xr:uid="{00000000-0005-0000-0000-00007B040000}"/>
    <cellStyle name="20 % - Markeringsfarve1 3 3 2 4 2 2 2" xfId="36639" xr:uid="{00000000-0005-0000-0000-00007C040000}"/>
    <cellStyle name="20 % - Markeringsfarve1 3 3 2 4 2 3" xfId="29638" xr:uid="{00000000-0005-0000-0000-00007D040000}"/>
    <cellStyle name="20 % - Markeringsfarve1 3 3 2 4 3" xfId="12522" xr:uid="{00000000-0005-0000-0000-00007E040000}"/>
    <cellStyle name="20 % - Markeringsfarve1 3 3 2 4 3 2" xfId="30689" xr:uid="{00000000-0005-0000-0000-00007F040000}"/>
    <cellStyle name="20 % - Markeringsfarve1 3 3 2 4 4" xfId="23687" xr:uid="{00000000-0005-0000-0000-000080040000}"/>
    <cellStyle name="20 % - Markeringsfarve1 3 3 2 5" xfId="7664" xr:uid="{00000000-0005-0000-0000-000081040000}"/>
    <cellStyle name="20 % - Markeringsfarve1 3 3 2 5 2" xfId="15582" xr:uid="{00000000-0005-0000-0000-000082040000}"/>
    <cellStyle name="20 % - Markeringsfarve1 3 3 2 5 2 2" xfId="33742" xr:uid="{00000000-0005-0000-0000-000083040000}"/>
    <cellStyle name="20 % - Markeringsfarve1 3 3 2 5 3" xfId="26741" xr:uid="{00000000-0005-0000-0000-000084040000}"/>
    <cellStyle name="20 % - Markeringsfarve1 3 3 2 6" xfId="12518" xr:uid="{00000000-0005-0000-0000-000085040000}"/>
    <cellStyle name="20 % - Markeringsfarve1 3 3 2 6 2" xfId="30685" xr:uid="{00000000-0005-0000-0000-000086040000}"/>
    <cellStyle name="20 % - Markeringsfarve1 3 3 2 7" xfId="23683" xr:uid="{00000000-0005-0000-0000-000087040000}"/>
    <cellStyle name="20 % - Markeringsfarve1 3 3 3" xfId="3969" xr:uid="{00000000-0005-0000-0000-000088040000}"/>
    <cellStyle name="20 % - Markeringsfarve1 3 3 3 2" xfId="3970" xr:uid="{00000000-0005-0000-0000-000089040000}"/>
    <cellStyle name="20 % - Markeringsfarve1 3 3 3 2 2" xfId="3971" xr:uid="{00000000-0005-0000-0000-00008A040000}"/>
    <cellStyle name="20 % - Markeringsfarve1 3 3 3 2 2 2" xfId="9959" xr:uid="{00000000-0005-0000-0000-00008B040000}"/>
    <cellStyle name="20 % - Markeringsfarve1 3 3 3 2 2 2 2" xfId="17860" xr:uid="{00000000-0005-0000-0000-00008C040000}"/>
    <cellStyle name="20 % - Markeringsfarve1 3 3 3 2 2 2 2 2" xfId="36020" xr:uid="{00000000-0005-0000-0000-00008D040000}"/>
    <cellStyle name="20 % - Markeringsfarve1 3 3 3 2 2 2 3" xfId="29019" xr:uid="{00000000-0005-0000-0000-00008E040000}"/>
    <cellStyle name="20 % - Markeringsfarve1 3 3 3 2 2 3" xfId="12525" xr:uid="{00000000-0005-0000-0000-00008F040000}"/>
    <cellStyle name="20 % - Markeringsfarve1 3 3 3 2 2 3 2" xfId="30692" xr:uid="{00000000-0005-0000-0000-000090040000}"/>
    <cellStyle name="20 % - Markeringsfarve1 3 3 3 2 2 4" xfId="23690" xr:uid="{00000000-0005-0000-0000-000091040000}"/>
    <cellStyle name="20 % - Markeringsfarve1 3 3 3 2 3" xfId="8523" xr:uid="{00000000-0005-0000-0000-000092040000}"/>
    <cellStyle name="20 % - Markeringsfarve1 3 3 3 2 3 2" xfId="16440" xr:uid="{00000000-0005-0000-0000-000093040000}"/>
    <cellStyle name="20 % - Markeringsfarve1 3 3 3 2 3 2 2" xfId="34600" xr:uid="{00000000-0005-0000-0000-000094040000}"/>
    <cellStyle name="20 % - Markeringsfarve1 3 3 3 2 3 3" xfId="27599" xr:uid="{00000000-0005-0000-0000-000095040000}"/>
    <cellStyle name="20 % - Markeringsfarve1 3 3 3 2 4" xfId="12524" xr:uid="{00000000-0005-0000-0000-000096040000}"/>
    <cellStyle name="20 % - Markeringsfarve1 3 3 3 2 4 2" xfId="30691" xr:uid="{00000000-0005-0000-0000-000097040000}"/>
    <cellStyle name="20 % - Markeringsfarve1 3 3 3 2 5" xfId="23689" xr:uid="{00000000-0005-0000-0000-000098040000}"/>
    <cellStyle name="20 % - Markeringsfarve1 3 3 3 3" xfId="3972" xr:uid="{00000000-0005-0000-0000-000099040000}"/>
    <cellStyle name="20 % - Markeringsfarve1 3 3 3 3 2" xfId="9189" xr:uid="{00000000-0005-0000-0000-00009A040000}"/>
    <cellStyle name="20 % - Markeringsfarve1 3 3 3 3 2 2" xfId="17100" xr:uid="{00000000-0005-0000-0000-00009B040000}"/>
    <cellStyle name="20 % - Markeringsfarve1 3 3 3 3 2 2 2" xfId="35260" xr:uid="{00000000-0005-0000-0000-00009C040000}"/>
    <cellStyle name="20 % - Markeringsfarve1 3 3 3 3 2 3" xfId="28259" xr:uid="{00000000-0005-0000-0000-00009D040000}"/>
    <cellStyle name="20 % - Markeringsfarve1 3 3 3 3 3" xfId="12526" xr:uid="{00000000-0005-0000-0000-00009E040000}"/>
    <cellStyle name="20 % - Markeringsfarve1 3 3 3 3 3 2" xfId="30693" xr:uid="{00000000-0005-0000-0000-00009F040000}"/>
    <cellStyle name="20 % - Markeringsfarve1 3 3 3 3 4" xfId="23691" xr:uid="{00000000-0005-0000-0000-0000A0040000}"/>
    <cellStyle name="20 % - Markeringsfarve1 3 3 3 4" xfId="3973" xr:uid="{00000000-0005-0000-0000-0000A1040000}"/>
    <cellStyle name="20 % - Markeringsfarve1 3 3 3 4 2" xfId="10584" xr:uid="{00000000-0005-0000-0000-0000A2040000}"/>
    <cellStyle name="20 % - Markeringsfarve1 3 3 3 4 2 2" xfId="18478" xr:uid="{00000000-0005-0000-0000-0000A3040000}"/>
    <cellStyle name="20 % - Markeringsfarve1 3 3 3 4 2 2 2" xfId="36638" xr:uid="{00000000-0005-0000-0000-0000A4040000}"/>
    <cellStyle name="20 % - Markeringsfarve1 3 3 3 4 2 3" xfId="29637" xr:uid="{00000000-0005-0000-0000-0000A5040000}"/>
    <cellStyle name="20 % - Markeringsfarve1 3 3 3 4 3" xfId="12527" xr:uid="{00000000-0005-0000-0000-0000A6040000}"/>
    <cellStyle name="20 % - Markeringsfarve1 3 3 3 4 3 2" xfId="30694" xr:uid="{00000000-0005-0000-0000-0000A7040000}"/>
    <cellStyle name="20 % - Markeringsfarve1 3 3 3 4 4" xfId="23692" xr:uid="{00000000-0005-0000-0000-0000A8040000}"/>
    <cellStyle name="20 % - Markeringsfarve1 3 3 3 5" xfId="7665" xr:uid="{00000000-0005-0000-0000-0000A9040000}"/>
    <cellStyle name="20 % - Markeringsfarve1 3 3 3 5 2" xfId="15583" xr:uid="{00000000-0005-0000-0000-0000AA040000}"/>
    <cellStyle name="20 % - Markeringsfarve1 3 3 3 5 2 2" xfId="33743" xr:uid="{00000000-0005-0000-0000-0000AB040000}"/>
    <cellStyle name="20 % - Markeringsfarve1 3 3 3 5 3" xfId="26742" xr:uid="{00000000-0005-0000-0000-0000AC040000}"/>
    <cellStyle name="20 % - Markeringsfarve1 3 3 3 6" xfId="12523" xr:uid="{00000000-0005-0000-0000-0000AD040000}"/>
    <cellStyle name="20 % - Markeringsfarve1 3 3 3 6 2" xfId="30690" xr:uid="{00000000-0005-0000-0000-0000AE040000}"/>
    <cellStyle name="20 % - Markeringsfarve1 3 3 3 7" xfId="23688" xr:uid="{00000000-0005-0000-0000-0000AF040000}"/>
    <cellStyle name="20 % - Markeringsfarve1 3 3 4" xfId="3974" xr:uid="{00000000-0005-0000-0000-0000B0040000}"/>
    <cellStyle name="20 % - Markeringsfarve1 3 3 4 2" xfId="3975" xr:uid="{00000000-0005-0000-0000-0000B1040000}"/>
    <cellStyle name="20 % - Markeringsfarve1 3 3 4 2 2" xfId="3976" xr:uid="{00000000-0005-0000-0000-0000B2040000}"/>
    <cellStyle name="20 % - Markeringsfarve1 3 3 4 2 2 2" xfId="10166" xr:uid="{00000000-0005-0000-0000-0000B3040000}"/>
    <cellStyle name="20 % - Markeringsfarve1 3 3 4 2 2 2 2" xfId="18067" xr:uid="{00000000-0005-0000-0000-0000B4040000}"/>
    <cellStyle name="20 % - Markeringsfarve1 3 3 4 2 2 2 2 2" xfId="36227" xr:uid="{00000000-0005-0000-0000-0000B5040000}"/>
    <cellStyle name="20 % - Markeringsfarve1 3 3 4 2 2 2 3" xfId="29226" xr:uid="{00000000-0005-0000-0000-0000B6040000}"/>
    <cellStyle name="20 % - Markeringsfarve1 3 3 4 2 2 3" xfId="12530" xr:uid="{00000000-0005-0000-0000-0000B7040000}"/>
    <cellStyle name="20 % - Markeringsfarve1 3 3 4 2 2 3 2" xfId="30697" xr:uid="{00000000-0005-0000-0000-0000B8040000}"/>
    <cellStyle name="20 % - Markeringsfarve1 3 3 4 2 2 4" xfId="23695" xr:uid="{00000000-0005-0000-0000-0000B9040000}"/>
    <cellStyle name="20 % - Markeringsfarve1 3 3 4 2 3" xfId="8699" xr:uid="{00000000-0005-0000-0000-0000BA040000}"/>
    <cellStyle name="20 % - Markeringsfarve1 3 3 4 2 3 2" xfId="16613" xr:uid="{00000000-0005-0000-0000-0000BB040000}"/>
    <cellStyle name="20 % - Markeringsfarve1 3 3 4 2 3 2 2" xfId="34773" xr:uid="{00000000-0005-0000-0000-0000BC040000}"/>
    <cellStyle name="20 % - Markeringsfarve1 3 3 4 2 3 3" xfId="27772" xr:uid="{00000000-0005-0000-0000-0000BD040000}"/>
    <cellStyle name="20 % - Markeringsfarve1 3 3 4 2 4" xfId="12529" xr:uid="{00000000-0005-0000-0000-0000BE040000}"/>
    <cellStyle name="20 % - Markeringsfarve1 3 3 4 2 4 2" xfId="30696" xr:uid="{00000000-0005-0000-0000-0000BF040000}"/>
    <cellStyle name="20 % - Markeringsfarve1 3 3 4 2 5" xfId="23694" xr:uid="{00000000-0005-0000-0000-0000C0040000}"/>
    <cellStyle name="20 % - Markeringsfarve1 3 3 4 3" xfId="3977" xr:uid="{00000000-0005-0000-0000-0000C1040000}"/>
    <cellStyle name="20 % - Markeringsfarve1 3 3 4 3 2" xfId="9442" xr:uid="{00000000-0005-0000-0000-0000C2040000}"/>
    <cellStyle name="20 % - Markeringsfarve1 3 3 4 3 2 2" xfId="17352" xr:uid="{00000000-0005-0000-0000-0000C3040000}"/>
    <cellStyle name="20 % - Markeringsfarve1 3 3 4 3 2 2 2" xfId="35512" xr:uid="{00000000-0005-0000-0000-0000C4040000}"/>
    <cellStyle name="20 % - Markeringsfarve1 3 3 4 3 2 3" xfId="28511" xr:uid="{00000000-0005-0000-0000-0000C5040000}"/>
    <cellStyle name="20 % - Markeringsfarve1 3 3 4 3 3" xfId="12531" xr:uid="{00000000-0005-0000-0000-0000C6040000}"/>
    <cellStyle name="20 % - Markeringsfarve1 3 3 4 3 3 2" xfId="30698" xr:uid="{00000000-0005-0000-0000-0000C7040000}"/>
    <cellStyle name="20 % - Markeringsfarve1 3 3 4 3 4" xfId="23696" xr:uid="{00000000-0005-0000-0000-0000C8040000}"/>
    <cellStyle name="20 % - Markeringsfarve1 3 3 4 4" xfId="3978" xr:uid="{00000000-0005-0000-0000-0000C9040000}"/>
    <cellStyle name="20 % - Markeringsfarve1 3 3 4 4 2" xfId="10583" xr:uid="{00000000-0005-0000-0000-0000CA040000}"/>
    <cellStyle name="20 % - Markeringsfarve1 3 3 4 4 2 2" xfId="18477" xr:uid="{00000000-0005-0000-0000-0000CB040000}"/>
    <cellStyle name="20 % - Markeringsfarve1 3 3 4 4 2 2 2" xfId="36637" xr:uid="{00000000-0005-0000-0000-0000CC040000}"/>
    <cellStyle name="20 % - Markeringsfarve1 3 3 4 4 2 3" xfId="29636" xr:uid="{00000000-0005-0000-0000-0000CD040000}"/>
    <cellStyle name="20 % - Markeringsfarve1 3 3 4 4 3" xfId="12532" xr:uid="{00000000-0005-0000-0000-0000CE040000}"/>
    <cellStyle name="20 % - Markeringsfarve1 3 3 4 4 3 2" xfId="30699" xr:uid="{00000000-0005-0000-0000-0000CF040000}"/>
    <cellStyle name="20 % - Markeringsfarve1 3 3 4 4 4" xfId="23697" xr:uid="{00000000-0005-0000-0000-0000D0040000}"/>
    <cellStyle name="20 % - Markeringsfarve1 3 3 4 5" xfId="7666" xr:uid="{00000000-0005-0000-0000-0000D1040000}"/>
    <cellStyle name="20 % - Markeringsfarve1 3 3 4 5 2" xfId="15584" xr:uid="{00000000-0005-0000-0000-0000D2040000}"/>
    <cellStyle name="20 % - Markeringsfarve1 3 3 4 5 2 2" xfId="33744" xr:uid="{00000000-0005-0000-0000-0000D3040000}"/>
    <cellStyle name="20 % - Markeringsfarve1 3 3 4 5 3" xfId="26743" xr:uid="{00000000-0005-0000-0000-0000D4040000}"/>
    <cellStyle name="20 % - Markeringsfarve1 3 3 4 6" xfId="12528" xr:uid="{00000000-0005-0000-0000-0000D5040000}"/>
    <cellStyle name="20 % - Markeringsfarve1 3 3 4 6 2" xfId="30695" xr:uid="{00000000-0005-0000-0000-0000D6040000}"/>
    <cellStyle name="20 % - Markeringsfarve1 3 3 4 7" xfId="23693" xr:uid="{00000000-0005-0000-0000-0000D7040000}"/>
    <cellStyle name="20 % - Markeringsfarve1 3 3 5" xfId="3979" xr:uid="{00000000-0005-0000-0000-0000D8040000}"/>
    <cellStyle name="20 % - Markeringsfarve1 3 3 5 2" xfId="3980" xr:uid="{00000000-0005-0000-0000-0000D9040000}"/>
    <cellStyle name="20 % - Markeringsfarve1 3 3 5 2 2" xfId="3981" xr:uid="{00000000-0005-0000-0000-0000DA040000}"/>
    <cellStyle name="20 % - Markeringsfarve1 3 3 5 2 2 2" xfId="10283" xr:uid="{00000000-0005-0000-0000-0000DB040000}"/>
    <cellStyle name="20 % - Markeringsfarve1 3 3 5 2 2 2 2" xfId="18184" xr:uid="{00000000-0005-0000-0000-0000DC040000}"/>
    <cellStyle name="20 % - Markeringsfarve1 3 3 5 2 2 2 2 2" xfId="36344" xr:uid="{00000000-0005-0000-0000-0000DD040000}"/>
    <cellStyle name="20 % - Markeringsfarve1 3 3 5 2 2 2 3" xfId="29343" xr:uid="{00000000-0005-0000-0000-0000DE040000}"/>
    <cellStyle name="20 % - Markeringsfarve1 3 3 5 2 2 3" xfId="12535" xr:uid="{00000000-0005-0000-0000-0000DF040000}"/>
    <cellStyle name="20 % - Markeringsfarve1 3 3 5 2 2 3 2" xfId="30702" xr:uid="{00000000-0005-0000-0000-0000E0040000}"/>
    <cellStyle name="20 % - Markeringsfarve1 3 3 5 2 2 4" xfId="23700" xr:uid="{00000000-0005-0000-0000-0000E1040000}"/>
    <cellStyle name="20 % - Markeringsfarve1 3 3 5 2 3" xfId="8798" xr:uid="{00000000-0005-0000-0000-0000E2040000}"/>
    <cellStyle name="20 % - Markeringsfarve1 3 3 5 2 3 2" xfId="16712" xr:uid="{00000000-0005-0000-0000-0000E3040000}"/>
    <cellStyle name="20 % - Markeringsfarve1 3 3 5 2 3 2 2" xfId="34872" xr:uid="{00000000-0005-0000-0000-0000E4040000}"/>
    <cellStyle name="20 % - Markeringsfarve1 3 3 5 2 3 3" xfId="27871" xr:uid="{00000000-0005-0000-0000-0000E5040000}"/>
    <cellStyle name="20 % - Markeringsfarve1 3 3 5 2 4" xfId="12534" xr:uid="{00000000-0005-0000-0000-0000E6040000}"/>
    <cellStyle name="20 % - Markeringsfarve1 3 3 5 2 4 2" xfId="30701" xr:uid="{00000000-0005-0000-0000-0000E7040000}"/>
    <cellStyle name="20 % - Markeringsfarve1 3 3 5 2 5" xfId="23699" xr:uid="{00000000-0005-0000-0000-0000E8040000}"/>
    <cellStyle name="20 % - Markeringsfarve1 3 3 5 3" xfId="3982" xr:uid="{00000000-0005-0000-0000-0000E9040000}"/>
    <cellStyle name="20 % - Markeringsfarve1 3 3 5 3 2" xfId="9559" xr:uid="{00000000-0005-0000-0000-0000EA040000}"/>
    <cellStyle name="20 % - Markeringsfarve1 3 3 5 3 2 2" xfId="17469" xr:uid="{00000000-0005-0000-0000-0000EB040000}"/>
    <cellStyle name="20 % - Markeringsfarve1 3 3 5 3 2 2 2" xfId="35629" xr:uid="{00000000-0005-0000-0000-0000EC040000}"/>
    <cellStyle name="20 % - Markeringsfarve1 3 3 5 3 2 3" xfId="28628" xr:uid="{00000000-0005-0000-0000-0000ED040000}"/>
    <cellStyle name="20 % - Markeringsfarve1 3 3 5 3 3" xfId="12536" xr:uid="{00000000-0005-0000-0000-0000EE040000}"/>
    <cellStyle name="20 % - Markeringsfarve1 3 3 5 3 3 2" xfId="30703" xr:uid="{00000000-0005-0000-0000-0000EF040000}"/>
    <cellStyle name="20 % - Markeringsfarve1 3 3 5 3 4" xfId="23701" xr:uid="{00000000-0005-0000-0000-0000F0040000}"/>
    <cellStyle name="20 % - Markeringsfarve1 3 3 5 4" xfId="3983" xr:uid="{00000000-0005-0000-0000-0000F1040000}"/>
    <cellStyle name="20 % - Markeringsfarve1 3 3 5 4 2" xfId="10582" xr:uid="{00000000-0005-0000-0000-0000F2040000}"/>
    <cellStyle name="20 % - Markeringsfarve1 3 3 5 4 2 2" xfId="18476" xr:uid="{00000000-0005-0000-0000-0000F3040000}"/>
    <cellStyle name="20 % - Markeringsfarve1 3 3 5 4 2 2 2" xfId="36636" xr:uid="{00000000-0005-0000-0000-0000F4040000}"/>
    <cellStyle name="20 % - Markeringsfarve1 3 3 5 4 2 3" xfId="29635" xr:uid="{00000000-0005-0000-0000-0000F5040000}"/>
    <cellStyle name="20 % - Markeringsfarve1 3 3 5 4 3" xfId="12537" xr:uid="{00000000-0005-0000-0000-0000F6040000}"/>
    <cellStyle name="20 % - Markeringsfarve1 3 3 5 4 3 2" xfId="30704" xr:uid="{00000000-0005-0000-0000-0000F7040000}"/>
    <cellStyle name="20 % - Markeringsfarve1 3 3 5 4 4" xfId="23702" xr:uid="{00000000-0005-0000-0000-0000F8040000}"/>
    <cellStyle name="20 % - Markeringsfarve1 3 3 5 5" xfId="7667" xr:uid="{00000000-0005-0000-0000-0000F9040000}"/>
    <cellStyle name="20 % - Markeringsfarve1 3 3 5 5 2" xfId="15585" xr:uid="{00000000-0005-0000-0000-0000FA040000}"/>
    <cellStyle name="20 % - Markeringsfarve1 3 3 5 5 2 2" xfId="33745" xr:uid="{00000000-0005-0000-0000-0000FB040000}"/>
    <cellStyle name="20 % - Markeringsfarve1 3 3 5 5 3" xfId="26744" xr:uid="{00000000-0005-0000-0000-0000FC040000}"/>
    <cellStyle name="20 % - Markeringsfarve1 3 3 5 6" xfId="12533" xr:uid="{00000000-0005-0000-0000-0000FD040000}"/>
    <cellStyle name="20 % - Markeringsfarve1 3 3 5 6 2" xfId="30700" xr:uid="{00000000-0005-0000-0000-0000FE040000}"/>
    <cellStyle name="20 % - Markeringsfarve1 3 3 5 7" xfId="23698" xr:uid="{00000000-0005-0000-0000-0000FF040000}"/>
    <cellStyle name="20 % - Markeringsfarve1 3 3 6" xfId="3984" xr:uid="{00000000-0005-0000-0000-000000050000}"/>
    <cellStyle name="20 % - Markeringsfarve1 3 3 6 2" xfId="3985" xr:uid="{00000000-0005-0000-0000-000001050000}"/>
    <cellStyle name="20 % - Markeringsfarve1 3 3 6 2 2" xfId="3986" xr:uid="{00000000-0005-0000-0000-000002050000}"/>
    <cellStyle name="20 % - Markeringsfarve1 3 3 6 2 2 2" xfId="10314" xr:uid="{00000000-0005-0000-0000-000003050000}"/>
    <cellStyle name="20 % - Markeringsfarve1 3 3 6 2 2 2 2" xfId="18215" xr:uid="{00000000-0005-0000-0000-000004050000}"/>
    <cellStyle name="20 % - Markeringsfarve1 3 3 6 2 2 2 2 2" xfId="36375" xr:uid="{00000000-0005-0000-0000-000005050000}"/>
    <cellStyle name="20 % - Markeringsfarve1 3 3 6 2 2 2 3" xfId="29374" xr:uid="{00000000-0005-0000-0000-000006050000}"/>
    <cellStyle name="20 % - Markeringsfarve1 3 3 6 2 2 3" xfId="12540" xr:uid="{00000000-0005-0000-0000-000007050000}"/>
    <cellStyle name="20 % - Markeringsfarve1 3 3 6 2 2 3 2" xfId="30707" xr:uid="{00000000-0005-0000-0000-000008050000}"/>
    <cellStyle name="20 % - Markeringsfarve1 3 3 6 2 2 4" xfId="23705" xr:uid="{00000000-0005-0000-0000-000009050000}"/>
    <cellStyle name="20 % - Markeringsfarve1 3 3 6 2 3" xfId="8825" xr:uid="{00000000-0005-0000-0000-00000A050000}"/>
    <cellStyle name="20 % - Markeringsfarve1 3 3 6 2 3 2" xfId="16739" xr:uid="{00000000-0005-0000-0000-00000B050000}"/>
    <cellStyle name="20 % - Markeringsfarve1 3 3 6 2 3 2 2" xfId="34899" xr:uid="{00000000-0005-0000-0000-00000C050000}"/>
    <cellStyle name="20 % - Markeringsfarve1 3 3 6 2 3 3" xfId="27898" xr:uid="{00000000-0005-0000-0000-00000D050000}"/>
    <cellStyle name="20 % - Markeringsfarve1 3 3 6 2 4" xfId="12539" xr:uid="{00000000-0005-0000-0000-00000E050000}"/>
    <cellStyle name="20 % - Markeringsfarve1 3 3 6 2 4 2" xfId="30706" xr:uid="{00000000-0005-0000-0000-00000F050000}"/>
    <cellStyle name="20 % - Markeringsfarve1 3 3 6 2 5" xfId="23704" xr:uid="{00000000-0005-0000-0000-000010050000}"/>
    <cellStyle name="20 % - Markeringsfarve1 3 3 6 3" xfId="3987" xr:uid="{00000000-0005-0000-0000-000011050000}"/>
    <cellStyle name="20 % - Markeringsfarve1 3 3 6 3 2" xfId="9591" xr:uid="{00000000-0005-0000-0000-000012050000}"/>
    <cellStyle name="20 % - Markeringsfarve1 3 3 6 3 2 2" xfId="17501" xr:uid="{00000000-0005-0000-0000-000013050000}"/>
    <cellStyle name="20 % - Markeringsfarve1 3 3 6 3 2 2 2" xfId="35661" xr:uid="{00000000-0005-0000-0000-000014050000}"/>
    <cellStyle name="20 % - Markeringsfarve1 3 3 6 3 2 3" xfId="28660" xr:uid="{00000000-0005-0000-0000-000015050000}"/>
    <cellStyle name="20 % - Markeringsfarve1 3 3 6 3 3" xfId="12541" xr:uid="{00000000-0005-0000-0000-000016050000}"/>
    <cellStyle name="20 % - Markeringsfarve1 3 3 6 3 3 2" xfId="30708" xr:uid="{00000000-0005-0000-0000-000017050000}"/>
    <cellStyle name="20 % - Markeringsfarve1 3 3 6 3 4" xfId="23706" xr:uid="{00000000-0005-0000-0000-000018050000}"/>
    <cellStyle name="20 % - Markeringsfarve1 3 3 6 4" xfId="3988" xr:uid="{00000000-0005-0000-0000-000019050000}"/>
    <cellStyle name="20 % - Markeringsfarve1 3 3 6 4 2" xfId="10581" xr:uid="{00000000-0005-0000-0000-00001A050000}"/>
    <cellStyle name="20 % - Markeringsfarve1 3 3 6 4 2 2" xfId="18475" xr:uid="{00000000-0005-0000-0000-00001B050000}"/>
    <cellStyle name="20 % - Markeringsfarve1 3 3 6 4 2 2 2" xfId="36635" xr:uid="{00000000-0005-0000-0000-00001C050000}"/>
    <cellStyle name="20 % - Markeringsfarve1 3 3 6 4 2 3" xfId="29634" xr:uid="{00000000-0005-0000-0000-00001D050000}"/>
    <cellStyle name="20 % - Markeringsfarve1 3 3 6 4 3" xfId="12542" xr:uid="{00000000-0005-0000-0000-00001E050000}"/>
    <cellStyle name="20 % - Markeringsfarve1 3 3 6 4 3 2" xfId="30709" xr:uid="{00000000-0005-0000-0000-00001F050000}"/>
    <cellStyle name="20 % - Markeringsfarve1 3 3 6 4 4" xfId="23707" xr:uid="{00000000-0005-0000-0000-000020050000}"/>
    <cellStyle name="20 % - Markeringsfarve1 3 3 6 5" xfId="7668" xr:uid="{00000000-0005-0000-0000-000021050000}"/>
    <cellStyle name="20 % - Markeringsfarve1 3 3 6 5 2" xfId="15586" xr:uid="{00000000-0005-0000-0000-000022050000}"/>
    <cellStyle name="20 % - Markeringsfarve1 3 3 6 5 2 2" xfId="33746" xr:uid="{00000000-0005-0000-0000-000023050000}"/>
    <cellStyle name="20 % - Markeringsfarve1 3 3 6 5 3" xfId="26745" xr:uid="{00000000-0005-0000-0000-000024050000}"/>
    <cellStyle name="20 % - Markeringsfarve1 3 3 6 6" xfId="12538" xr:uid="{00000000-0005-0000-0000-000025050000}"/>
    <cellStyle name="20 % - Markeringsfarve1 3 3 6 6 2" xfId="30705" xr:uid="{00000000-0005-0000-0000-000026050000}"/>
    <cellStyle name="20 % - Markeringsfarve1 3 3 6 7" xfId="23703" xr:uid="{00000000-0005-0000-0000-000027050000}"/>
    <cellStyle name="20 % - Markeringsfarve1 3 3 7" xfId="3989" xr:uid="{00000000-0005-0000-0000-000028050000}"/>
    <cellStyle name="20 % - Markeringsfarve1 3 3 7 2" xfId="3990" xr:uid="{00000000-0005-0000-0000-000029050000}"/>
    <cellStyle name="20 % - Markeringsfarve1 3 3 7 2 2" xfId="9809" xr:uid="{00000000-0005-0000-0000-00002A050000}"/>
    <cellStyle name="20 % - Markeringsfarve1 3 3 7 2 2 2" xfId="17710" xr:uid="{00000000-0005-0000-0000-00002B050000}"/>
    <cellStyle name="20 % - Markeringsfarve1 3 3 7 2 2 2 2" xfId="35870" xr:uid="{00000000-0005-0000-0000-00002C050000}"/>
    <cellStyle name="20 % - Markeringsfarve1 3 3 7 2 2 3" xfId="28869" xr:uid="{00000000-0005-0000-0000-00002D050000}"/>
    <cellStyle name="20 % - Markeringsfarve1 3 3 7 2 3" xfId="12544" xr:uid="{00000000-0005-0000-0000-00002E050000}"/>
    <cellStyle name="20 % - Markeringsfarve1 3 3 7 2 3 2" xfId="30711" xr:uid="{00000000-0005-0000-0000-00002F050000}"/>
    <cellStyle name="20 % - Markeringsfarve1 3 3 7 2 4" xfId="23709" xr:uid="{00000000-0005-0000-0000-000030050000}"/>
    <cellStyle name="20 % - Markeringsfarve1 3 3 7 3" xfId="8398" xr:uid="{00000000-0005-0000-0000-000031050000}"/>
    <cellStyle name="20 % - Markeringsfarve1 3 3 7 3 2" xfId="16315" xr:uid="{00000000-0005-0000-0000-000032050000}"/>
    <cellStyle name="20 % - Markeringsfarve1 3 3 7 3 2 2" xfId="34475" xr:uid="{00000000-0005-0000-0000-000033050000}"/>
    <cellStyle name="20 % - Markeringsfarve1 3 3 7 3 3" xfId="27474" xr:uid="{00000000-0005-0000-0000-000034050000}"/>
    <cellStyle name="20 % - Markeringsfarve1 3 3 7 4" xfId="12543" xr:uid="{00000000-0005-0000-0000-000035050000}"/>
    <cellStyle name="20 % - Markeringsfarve1 3 3 7 4 2" xfId="30710" xr:uid="{00000000-0005-0000-0000-000036050000}"/>
    <cellStyle name="20 % - Markeringsfarve1 3 3 7 5" xfId="23708" xr:uid="{00000000-0005-0000-0000-000037050000}"/>
    <cellStyle name="20 % - Markeringsfarve1 3 3 8" xfId="3991" xr:uid="{00000000-0005-0000-0000-000038050000}"/>
    <cellStyle name="20 % - Markeringsfarve1 3 3 8 2" xfId="9037" xr:uid="{00000000-0005-0000-0000-000039050000}"/>
    <cellStyle name="20 % - Markeringsfarve1 3 3 8 2 2" xfId="16948" xr:uid="{00000000-0005-0000-0000-00003A050000}"/>
    <cellStyle name="20 % - Markeringsfarve1 3 3 8 2 2 2" xfId="35108" xr:uid="{00000000-0005-0000-0000-00003B050000}"/>
    <cellStyle name="20 % - Markeringsfarve1 3 3 8 2 3" xfId="28107" xr:uid="{00000000-0005-0000-0000-00003C050000}"/>
    <cellStyle name="20 % - Markeringsfarve1 3 3 8 3" xfId="12545" xr:uid="{00000000-0005-0000-0000-00003D050000}"/>
    <cellStyle name="20 % - Markeringsfarve1 3 3 8 3 2" xfId="30712" xr:uid="{00000000-0005-0000-0000-00003E050000}"/>
    <cellStyle name="20 % - Markeringsfarve1 3 3 8 4" xfId="23710" xr:uid="{00000000-0005-0000-0000-00003F050000}"/>
    <cellStyle name="20 % - Markeringsfarve1 3 3 9" xfId="3992" xr:uid="{00000000-0005-0000-0000-000040050000}"/>
    <cellStyle name="20 % - Markeringsfarve1 3 3 9 2" xfId="10586" xr:uid="{00000000-0005-0000-0000-000041050000}"/>
    <cellStyle name="20 % - Markeringsfarve1 3 3 9 2 2" xfId="18480" xr:uid="{00000000-0005-0000-0000-000042050000}"/>
    <cellStyle name="20 % - Markeringsfarve1 3 3 9 2 2 2" xfId="36640" xr:uid="{00000000-0005-0000-0000-000043050000}"/>
    <cellStyle name="20 % - Markeringsfarve1 3 3 9 2 3" xfId="29639" xr:uid="{00000000-0005-0000-0000-000044050000}"/>
    <cellStyle name="20 % - Markeringsfarve1 3 3 9 3" xfId="12546" xr:uid="{00000000-0005-0000-0000-000045050000}"/>
    <cellStyle name="20 % - Markeringsfarve1 3 3 9 3 2" xfId="30713" xr:uid="{00000000-0005-0000-0000-000046050000}"/>
    <cellStyle name="20 % - Markeringsfarve1 3 3 9 4" xfId="23711" xr:uid="{00000000-0005-0000-0000-000047050000}"/>
    <cellStyle name="20 % - Markeringsfarve1 3 4" xfId="3993" xr:uid="{00000000-0005-0000-0000-000048050000}"/>
    <cellStyle name="20 % - Markeringsfarve1 3 4 2" xfId="3994" xr:uid="{00000000-0005-0000-0000-000049050000}"/>
    <cellStyle name="20 % - Markeringsfarve1 3 4 2 2" xfId="3995" xr:uid="{00000000-0005-0000-0000-00004A050000}"/>
    <cellStyle name="20 % - Markeringsfarve1 3 4 2 2 2" xfId="9850" xr:uid="{00000000-0005-0000-0000-00004B050000}"/>
    <cellStyle name="20 % - Markeringsfarve1 3 4 2 2 2 2" xfId="17751" xr:uid="{00000000-0005-0000-0000-00004C050000}"/>
    <cellStyle name="20 % - Markeringsfarve1 3 4 2 2 2 2 2" xfId="35911" xr:uid="{00000000-0005-0000-0000-00004D050000}"/>
    <cellStyle name="20 % - Markeringsfarve1 3 4 2 2 2 3" xfId="28910" xr:uid="{00000000-0005-0000-0000-00004E050000}"/>
    <cellStyle name="20 % - Markeringsfarve1 3 4 2 2 3" xfId="12549" xr:uid="{00000000-0005-0000-0000-00004F050000}"/>
    <cellStyle name="20 % - Markeringsfarve1 3 4 2 2 3 2" xfId="30716" xr:uid="{00000000-0005-0000-0000-000050050000}"/>
    <cellStyle name="20 % - Markeringsfarve1 3 4 2 2 4" xfId="23714" xr:uid="{00000000-0005-0000-0000-000051050000}"/>
    <cellStyle name="20 % - Markeringsfarve1 3 4 2 3" xfId="8431" xr:uid="{00000000-0005-0000-0000-000052050000}"/>
    <cellStyle name="20 % - Markeringsfarve1 3 4 2 3 2" xfId="16348" xr:uid="{00000000-0005-0000-0000-000053050000}"/>
    <cellStyle name="20 % - Markeringsfarve1 3 4 2 3 2 2" xfId="34508" xr:uid="{00000000-0005-0000-0000-000054050000}"/>
    <cellStyle name="20 % - Markeringsfarve1 3 4 2 3 3" xfId="27507" xr:uid="{00000000-0005-0000-0000-000055050000}"/>
    <cellStyle name="20 % - Markeringsfarve1 3 4 2 4" xfId="12548" xr:uid="{00000000-0005-0000-0000-000056050000}"/>
    <cellStyle name="20 % - Markeringsfarve1 3 4 2 4 2" xfId="30715" xr:uid="{00000000-0005-0000-0000-000057050000}"/>
    <cellStyle name="20 % - Markeringsfarve1 3 4 2 5" xfId="23713" xr:uid="{00000000-0005-0000-0000-000058050000}"/>
    <cellStyle name="20 % - Markeringsfarve1 3 4 3" xfId="3996" xr:uid="{00000000-0005-0000-0000-000059050000}"/>
    <cellStyle name="20 % - Markeringsfarve1 3 4 3 2" xfId="9080" xr:uid="{00000000-0005-0000-0000-00005A050000}"/>
    <cellStyle name="20 % - Markeringsfarve1 3 4 3 2 2" xfId="16991" xr:uid="{00000000-0005-0000-0000-00005B050000}"/>
    <cellStyle name="20 % - Markeringsfarve1 3 4 3 2 2 2" xfId="35151" xr:uid="{00000000-0005-0000-0000-00005C050000}"/>
    <cellStyle name="20 % - Markeringsfarve1 3 4 3 2 3" xfId="28150" xr:uid="{00000000-0005-0000-0000-00005D050000}"/>
    <cellStyle name="20 % - Markeringsfarve1 3 4 3 3" xfId="12550" xr:uid="{00000000-0005-0000-0000-00005E050000}"/>
    <cellStyle name="20 % - Markeringsfarve1 3 4 3 3 2" xfId="30717" xr:uid="{00000000-0005-0000-0000-00005F050000}"/>
    <cellStyle name="20 % - Markeringsfarve1 3 4 3 4" xfId="23715" xr:uid="{00000000-0005-0000-0000-000060050000}"/>
    <cellStyle name="20 % - Markeringsfarve1 3 4 4" xfId="3997" xr:uid="{00000000-0005-0000-0000-000061050000}"/>
    <cellStyle name="20 % - Markeringsfarve1 3 4 4 2" xfId="10580" xr:uid="{00000000-0005-0000-0000-000062050000}"/>
    <cellStyle name="20 % - Markeringsfarve1 3 4 4 2 2" xfId="18474" xr:uid="{00000000-0005-0000-0000-000063050000}"/>
    <cellStyle name="20 % - Markeringsfarve1 3 4 4 2 2 2" xfId="36634" xr:uid="{00000000-0005-0000-0000-000064050000}"/>
    <cellStyle name="20 % - Markeringsfarve1 3 4 4 2 3" xfId="29633" xr:uid="{00000000-0005-0000-0000-000065050000}"/>
    <cellStyle name="20 % - Markeringsfarve1 3 4 4 3" xfId="12551" xr:uid="{00000000-0005-0000-0000-000066050000}"/>
    <cellStyle name="20 % - Markeringsfarve1 3 4 4 3 2" xfId="30718" xr:uid="{00000000-0005-0000-0000-000067050000}"/>
    <cellStyle name="20 % - Markeringsfarve1 3 4 4 4" xfId="23716" xr:uid="{00000000-0005-0000-0000-000068050000}"/>
    <cellStyle name="20 % - Markeringsfarve1 3 4 5" xfId="7669" xr:uid="{00000000-0005-0000-0000-000069050000}"/>
    <cellStyle name="20 % - Markeringsfarve1 3 4 5 2" xfId="15587" xr:uid="{00000000-0005-0000-0000-00006A050000}"/>
    <cellStyle name="20 % - Markeringsfarve1 3 4 5 2 2" xfId="33747" xr:uid="{00000000-0005-0000-0000-00006B050000}"/>
    <cellStyle name="20 % - Markeringsfarve1 3 4 5 3" xfId="26746" xr:uid="{00000000-0005-0000-0000-00006C050000}"/>
    <cellStyle name="20 % - Markeringsfarve1 3 4 6" xfId="12547" xr:uid="{00000000-0005-0000-0000-00006D050000}"/>
    <cellStyle name="20 % - Markeringsfarve1 3 4 6 2" xfId="30714" xr:uid="{00000000-0005-0000-0000-00006E050000}"/>
    <cellStyle name="20 % - Markeringsfarve1 3 4 7" xfId="23712" xr:uid="{00000000-0005-0000-0000-00006F050000}"/>
    <cellStyle name="20 % - Markeringsfarve1 3 5" xfId="3998" xr:uid="{00000000-0005-0000-0000-000070050000}"/>
    <cellStyle name="20 % - Markeringsfarve1 3 5 2" xfId="3999" xr:uid="{00000000-0005-0000-0000-000071050000}"/>
    <cellStyle name="20 % - Markeringsfarve1 3 5 2 2" xfId="4000" xr:uid="{00000000-0005-0000-0000-000072050000}"/>
    <cellStyle name="20 % - Markeringsfarve1 3 5 2 2 2" xfId="9957" xr:uid="{00000000-0005-0000-0000-000073050000}"/>
    <cellStyle name="20 % - Markeringsfarve1 3 5 2 2 2 2" xfId="17858" xr:uid="{00000000-0005-0000-0000-000074050000}"/>
    <cellStyle name="20 % - Markeringsfarve1 3 5 2 2 2 2 2" xfId="36018" xr:uid="{00000000-0005-0000-0000-000075050000}"/>
    <cellStyle name="20 % - Markeringsfarve1 3 5 2 2 2 3" xfId="29017" xr:uid="{00000000-0005-0000-0000-000076050000}"/>
    <cellStyle name="20 % - Markeringsfarve1 3 5 2 2 3" xfId="12554" xr:uid="{00000000-0005-0000-0000-000077050000}"/>
    <cellStyle name="20 % - Markeringsfarve1 3 5 2 2 3 2" xfId="30721" xr:uid="{00000000-0005-0000-0000-000078050000}"/>
    <cellStyle name="20 % - Markeringsfarve1 3 5 2 2 4" xfId="23719" xr:uid="{00000000-0005-0000-0000-000079050000}"/>
    <cellStyle name="20 % - Markeringsfarve1 3 5 2 3" xfId="8521" xr:uid="{00000000-0005-0000-0000-00007A050000}"/>
    <cellStyle name="20 % - Markeringsfarve1 3 5 2 3 2" xfId="16438" xr:uid="{00000000-0005-0000-0000-00007B050000}"/>
    <cellStyle name="20 % - Markeringsfarve1 3 5 2 3 2 2" xfId="34598" xr:uid="{00000000-0005-0000-0000-00007C050000}"/>
    <cellStyle name="20 % - Markeringsfarve1 3 5 2 3 3" xfId="27597" xr:uid="{00000000-0005-0000-0000-00007D050000}"/>
    <cellStyle name="20 % - Markeringsfarve1 3 5 2 4" xfId="12553" xr:uid="{00000000-0005-0000-0000-00007E050000}"/>
    <cellStyle name="20 % - Markeringsfarve1 3 5 2 4 2" xfId="30720" xr:uid="{00000000-0005-0000-0000-00007F050000}"/>
    <cellStyle name="20 % - Markeringsfarve1 3 5 2 5" xfId="23718" xr:uid="{00000000-0005-0000-0000-000080050000}"/>
    <cellStyle name="20 % - Markeringsfarve1 3 5 3" xfId="4001" xr:uid="{00000000-0005-0000-0000-000081050000}"/>
    <cellStyle name="20 % - Markeringsfarve1 3 5 3 2" xfId="9187" xr:uid="{00000000-0005-0000-0000-000082050000}"/>
    <cellStyle name="20 % - Markeringsfarve1 3 5 3 2 2" xfId="17098" xr:uid="{00000000-0005-0000-0000-000083050000}"/>
    <cellStyle name="20 % - Markeringsfarve1 3 5 3 2 2 2" xfId="35258" xr:uid="{00000000-0005-0000-0000-000084050000}"/>
    <cellStyle name="20 % - Markeringsfarve1 3 5 3 2 3" xfId="28257" xr:uid="{00000000-0005-0000-0000-000085050000}"/>
    <cellStyle name="20 % - Markeringsfarve1 3 5 3 3" xfId="12555" xr:uid="{00000000-0005-0000-0000-000086050000}"/>
    <cellStyle name="20 % - Markeringsfarve1 3 5 3 3 2" xfId="30722" xr:uid="{00000000-0005-0000-0000-000087050000}"/>
    <cellStyle name="20 % - Markeringsfarve1 3 5 3 4" xfId="23720" xr:uid="{00000000-0005-0000-0000-000088050000}"/>
    <cellStyle name="20 % - Markeringsfarve1 3 5 4" xfId="4002" xr:uid="{00000000-0005-0000-0000-000089050000}"/>
    <cellStyle name="20 % - Markeringsfarve1 3 5 4 2" xfId="10579" xr:uid="{00000000-0005-0000-0000-00008A050000}"/>
    <cellStyle name="20 % - Markeringsfarve1 3 5 4 2 2" xfId="18473" xr:uid="{00000000-0005-0000-0000-00008B050000}"/>
    <cellStyle name="20 % - Markeringsfarve1 3 5 4 2 2 2" xfId="36633" xr:uid="{00000000-0005-0000-0000-00008C050000}"/>
    <cellStyle name="20 % - Markeringsfarve1 3 5 4 2 3" xfId="29632" xr:uid="{00000000-0005-0000-0000-00008D050000}"/>
    <cellStyle name="20 % - Markeringsfarve1 3 5 4 3" xfId="12556" xr:uid="{00000000-0005-0000-0000-00008E050000}"/>
    <cellStyle name="20 % - Markeringsfarve1 3 5 4 3 2" xfId="30723" xr:uid="{00000000-0005-0000-0000-00008F050000}"/>
    <cellStyle name="20 % - Markeringsfarve1 3 5 4 4" xfId="23721" xr:uid="{00000000-0005-0000-0000-000090050000}"/>
    <cellStyle name="20 % - Markeringsfarve1 3 5 5" xfId="7670" xr:uid="{00000000-0005-0000-0000-000091050000}"/>
    <cellStyle name="20 % - Markeringsfarve1 3 5 5 2" xfId="15588" xr:uid="{00000000-0005-0000-0000-000092050000}"/>
    <cellStyle name="20 % - Markeringsfarve1 3 5 5 2 2" xfId="33748" xr:uid="{00000000-0005-0000-0000-000093050000}"/>
    <cellStyle name="20 % - Markeringsfarve1 3 5 5 3" xfId="26747" xr:uid="{00000000-0005-0000-0000-000094050000}"/>
    <cellStyle name="20 % - Markeringsfarve1 3 5 6" xfId="12552" xr:uid="{00000000-0005-0000-0000-000095050000}"/>
    <cellStyle name="20 % - Markeringsfarve1 3 5 6 2" xfId="30719" xr:uid="{00000000-0005-0000-0000-000096050000}"/>
    <cellStyle name="20 % - Markeringsfarve1 3 5 7" xfId="23717" xr:uid="{00000000-0005-0000-0000-000097050000}"/>
    <cellStyle name="20 % - Markeringsfarve1 3 6" xfId="4003" xr:uid="{00000000-0005-0000-0000-000098050000}"/>
    <cellStyle name="20 % - Markeringsfarve1 3 6 2" xfId="4004" xr:uid="{00000000-0005-0000-0000-000099050000}"/>
    <cellStyle name="20 % - Markeringsfarve1 3 6 2 2" xfId="4005" xr:uid="{00000000-0005-0000-0000-00009A050000}"/>
    <cellStyle name="20 % - Markeringsfarve1 3 6 2 2 2" xfId="10088" xr:uid="{00000000-0005-0000-0000-00009B050000}"/>
    <cellStyle name="20 % - Markeringsfarve1 3 6 2 2 2 2" xfId="17989" xr:uid="{00000000-0005-0000-0000-00009C050000}"/>
    <cellStyle name="20 % - Markeringsfarve1 3 6 2 2 2 2 2" xfId="36149" xr:uid="{00000000-0005-0000-0000-00009D050000}"/>
    <cellStyle name="20 % - Markeringsfarve1 3 6 2 2 2 3" xfId="29148" xr:uid="{00000000-0005-0000-0000-00009E050000}"/>
    <cellStyle name="20 % - Markeringsfarve1 3 6 2 2 3" xfId="12559" xr:uid="{00000000-0005-0000-0000-00009F050000}"/>
    <cellStyle name="20 % - Markeringsfarve1 3 6 2 2 3 2" xfId="30726" xr:uid="{00000000-0005-0000-0000-0000A0050000}"/>
    <cellStyle name="20 % - Markeringsfarve1 3 6 2 2 4" xfId="23724" xr:uid="{00000000-0005-0000-0000-0000A1050000}"/>
    <cellStyle name="20 % - Markeringsfarve1 3 6 2 3" xfId="8633" xr:uid="{00000000-0005-0000-0000-0000A2050000}"/>
    <cellStyle name="20 % - Markeringsfarve1 3 6 2 3 2" xfId="16547" xr:uid="{00000000-0005-0000-0000-0000A3050000}"/>
    <cellStyle name="20 % - Markeringsfarve1 3 6 2 3 2 2" xfId="34707" xr:uid="{00000000-0005-0000-0000-0000A4050000}"/>
    <cellStyle name="20 % - Markeringsfarve1 3 6 2 3 3" xfId="27706" xr:uid="{00000000-0005-0000-0000-0000A5050000}"/>
    <cellStyle name="20 % - Markeringsfarve1 3 6 2 4" xfId="12558" xr:uid="{00000000-0005-0000-0000-0000A6050000}"/>
    <cellStyle name="20 % - Markeringsfarve1 3 6 2 4 2" xfId="30725" xr:uid="{00000000-0005-0000-0000-0000A7050000}"/>
    <cellStyle name="20 % - Markeringsfarve1 3 6 2 5" xfId="23723" xr:uid="{00000000-0005-0000-0000-0000A8050000}"/>
    <cellStyle name="20 % - Markeringsfarve1 3 6 3" xfId="4006" xr:uid="{00000000-0005-0000-0000-0000A9050000}"/>
    <cellStyle name="20 % - Markeringsfarve1 3 6 3 2" xfId="9364" xr:uid="{00000000-0005-0000-0000-0000AA050000}"/>
    <cellStyle name="20 % - Markeringsfarve1 3 6 3 2 2" xfId="17274" xr:uid="{00000000-0005-0000-0000-0000AB050000}"/>
    <cellStyle name="20 % - Markeringsfarve1 3 6 3 2 2 2" xfId="35434" xr:uid="{00000000-0005-0000-0000-0000AC050000}"/>
    <cellStyle name="20 % - Markeringsfarve1 3 6 3 2 3" xfId="28433" xr:uid="{00000000-0005-0000-0000-0000AD050000}"/>
    <cellStyle name="20 % - Markeringsfarve1 3 6 3 3" xfId="12560" xr:uid="{00000000-0005-0000-0000-0000AE050000}"/>
    <cellStyle name="20 % - Markeringsfarve1 3 6 3 3 2" xfId="30727" xr:uid="{00000000-0005-0000-0000-0000AF050000}"/>
    <cellStyle name="20 % - Markeringsfarve1 3 6 3 4" xfId="23725" xr:uid="{00000000-0005-0000-0000-0000B0050000}"/>
    <cellStyle name="20 % - Markeringsfarve1 3 6 4" xfId="4007" xr:uid="{00000000-0005-0000-0000-0000B1050000}"/>
    <cellStyle name="20 % - Markeringsfarve1 3 6 4 2" xfId="10578" xr:uid="{00000000-0005-0000-0000-0000B2050000}"/>
    <cellStyle name="20 % - Markeringsfarve1 3 6 4 2 2" xfId="18472" xr:uid="{00000000-0005-0000-0000-0000B3050000}"/>
    <cellStyle name="20 % - Markeringsfarve1 3 6 4 2 2 2" xfId="36632" xr:uid="{00000000-0005-0000-0000-0000B4050000}"/>
    <cellStyle name="20 % - Markeringsfarve1 3 6 4 2 3" xfId="29631" xr:uid="{00000000-0005-0000-0000-0000B5050000}"/>
    <cellStyle name="20 % - Markeringsfarve1 3 6 4 3" xfId="12561" xr:uid="{00000000-0005-0000-0000-0000B6050000}"/>
    <cellStyle name="20 % - Markeringsfarve1 3 6 4 3 2" xfId="30728" xr:uid="{00000000-0005-0000-0000-0000B7050000}"/>
    <cellStyle name="20 % - Markeringsfarve1 3 6 4 4" xfId="23726" xr:uid="{00000000-0005-0000-0000-0000B8050000}"/>
    <cellStyle name="20 % - Markeringsfarve1 3 6 5" xfId="7671" xr:uid="{00000000-0005-0000-0000-0000B9050000}"/>
    <cellStyle name="20 % - Markeringsfarve1 3 6 5 2" xfId="15589" xr:uid="{00000000-0005-0000-0000-0000BA050000}"/>
    <cellStyle name="20 % - Markeringsfarve1 3 6 5 2 2" xfId="33749" xr:uid="{00000000-0005-0000-0000-0000BB050000}"/>
    <cellStyle name="20 % - Markeringsfarve1 3 6 5 3" xfId="26748" xr:uid="{00000000-0005-0000-0000-0000BC050000}"/>
    <cellStyle name="20 % - Markeringsfarve1 3 6 6" xfId="12557" xr:uid="{00000000-0005-0000-0000-0000BD050000}"/>
    <cellStyle name="20 % - Markeringsfarve1 3 6 6 2" xfId="30724" xr:uid="{00000000-0005-0000-0000-0000BE050000}"/>
    <cellStyle name="20 % - Markeringsfarve1 3 6 7" xfId="23722" xr:uid="{00000000-0005-0000-0000-0000BF050000}"/>
    <cellStyle name="20 % - Markeringsfarve1 3 7" xfId="4008" xr:uid="{00000000-0005-0000-0000-0000C0050000}"/>
    <cellStyle name="20 % - Markeringsfarve1 3 7 2" xfId="4009" xr:uid="{00000000-0005-0000-0000-0000C1050000}"/>
    <cellStyle name="20 % - Markeringsfarve1 3 7 2 2" xfId="4010" xr:uid="{00000000-0005-0000-0000-0000C2050000}"/>
    <cellStyle name="20 % - Markeringsfarve1 3 7 2 2 2" xfId="10205" xr:uid="{00000000-0005-0000-0000-0000C3050000}"/>
    <cellStyle name="20 % - Markeringsfarve1 3 7 2 2 2 2" xfId="18106" xr:uid="{00000000-0005-0000-0000-0000C4050000}"/>
    <cellStyle name="20 % - Markeringsfarve1 3 7 2 2 2 2 2" xfId="36266" xr:uid="{00000000-0005-0000-0000-0000C5050000}"/>
    <cellStyle name="20 % - Markeringsfarve1 3 7 2 2 2 3" xfId="29265" xr:uid="{00000000-0005-0000-0000-0000C6050000}"/>
    <cellStyle name="20 % - Markeringsfarve1 3 7 2 2 3" xfId="12564" xr:uid="{00000000-0005-0000-0000-0000C7050000}"/>
    <cellStyle name="20 % - Markeringsfarve1 3 7 2 2 3 2" xfId="30731" xr:uid="{00000000-0005-0000-0000-0000C8050000}"/>
    <cellStyle name="20 % - Markeringsfarve1 3 7 2 2 4" xfId="23729" xr:uid="{00000000-0005-0000-0000-0000C9050000}"/>
    <cellStyle name="20 % - Markeringsfarve1 3 7 2 3" xfId="8732" xr:uid="{00000000-0005-0000-0000-0000CA050000}"/>
    <cellStyle name="20 % - Markeringsfarve1 3 7 2 3 2" xfId="16646" xr:uid="{00000000-0005-0000-0000-0000CB050000}"/>
    <cellStyle name="20 % - Markeringsfarve1 3 7 2 3 2 2" xfId="34806" xr:uid="{00000000-0005-0000-0000-0000CC050000}"/>
    <cellStyle name="20 % - Markeringsfarve1 3 7 2 3 3" xfId="27805" xr:uid="{00000000-0005-0000-0000-0000CD050000}"/>
    <cellStyle name="20 % - Markeringsfarve1 3 7 2 4" xfId="12563" xr:uid="{00000000-0005-0000-0000-0000CE050000}"/>
    <cellStyle name="20 % - Markeringsfarve1 3 7 2 4 2" xfId="30730" xr:uid="{00000000-0005-0000-0000-0000CF050000}"/>
    <cellStyle name="20 % - Markeringsfarve1 3 7 2 5" xfId="23728" xr:uid="{00000000-0005-0000-0000-0000D0050000}"/>
    <cellStyle name="20 % - Markeringsfarve1 3 7 3" xfId="4011" xr:uid="{00000000-0005-0000-0000-0000D1050000}"/>
    <cellStyle name="20 % - Markeringsfarve1 3 7 3 2" xfId="9481" xr:uid="{00000000-0005-0000-0000-0000D2050000}"/>
    <cellStyle name="20 % - Markeringsfarve1 3 7 3 2 2" xfId="17391" xr:uid="{00000000-0005-0000-0000-0000D3050000}"/>
    <cellStyle name="20 % - Markeringsfarve1 3 7 3 2 2 2" xfId="35551" xr:uid="{00000000-0005-0000-0000-0000D4050000}"/>
    <cellStyle name="20 % - Markeringsfarve1 3 7 3 2 3" xfId="28550" xr:uid="{00000000-0005-0000-0000-0000D5050000}"/>
    <cellStyle name="20 % - Markeringsfarve1 3 7 3 3" xfId="12565" xr:uid="{00000000-0005-0000-0000-0000D6050000}"/>
    <cellStyle name="20 % - Markeringsfarve1 3 7 3 3 2" xfId="30732" xr:uid="{00000000-0005-0000-0000-0000D7050000}"/>
    <cellStyle name="20 % - Markeringsfarve1 3 7 3 4" xfId="23730" xr:uid="{00000000-0005-0000-0000-0000D8050000}"/>
    <cellStyle name="20 % - Markeringsfarve1 3 7 4" xfId="4012" xr:uid="{00000000-0005-0000-0000-0000D9050000}"/>
    <cellStyle name="20 % - Markeringsfarve1 3 7 4 2" xfId="10577" xr:uid="{00000000-0005-0000-0000-0000DA050000}"/>
    <cellStyle name="20 % - Markeringsfarve1 3 7 4 2 2" xfId="18471" xr:uid="{00000000-0005-0000-0000-0000DB050000}"/>
    <cellStyle name="20 % - Markeringsfarve1 3 7 4 2 2 2" xfId="36631" xr:uid="{00000000-0005-0000-0000-0000DC050000}"/>
    <cellStyle name="20 % - Markeringsfarve1 3 7 4 2 3" xfId="29630" xr:uid="{00000000-0005-0000-0000-0000DD050000}"/>
    <cellStyle name="20 % - Markeringsfarve1 3 7 4 3" xfId="12566" xr:uid="{00000000-0005-0000-0000-0000DE050000}"/>
    <cellStyle name="20 % - Markeringsfarve1 3 7 4 3 2" xfId="30733" xr:uid="{00000000-0005-0000-0000-0000DF050000}"/>
    <cellStyle name="20 % - Markeringsfarve1 3 7 4 4" xfId="23731" xr:uid="{00000000-0005-0000-0000-0000E0050000}"/>
    <cellStyle name="20 % - Markeringsfarve1 3 7 5" xfId="7672" xr:uid="{00000000-0005-0000-0000-0000E1050000}"/>
    <cellStyle name="20 % - Markeringsfarve1 3 7 5 2" xfId="15590" xr:uid="{00000000-0005-0000-0000-0000E2050000}"/>
    <cellStyle name="20 % - Markeringsfarve1 3 7 5 2 2" xfId="33750" xr:uid="{00000000-0005-0000-0000-0000E3050000}"/>
    <cellStyle name="20 % - Markeringsfarve1 3 7 5 3" xfId="26749" xr:uid="{00000000-0005-0000-0000-0000E4050000}"/>
    <cellStyle name="20 % - Markeringsfarve1 3 7 6" xfId="12562" xr:uid="{00000000-0005-0000-0000-0000E5050000}"/>
    <cellStyle name="20 % - Markeringsfarve1 3 7 6 2" xfId="30729" xr:uid="{00000000-0005-0000-0000-0000E6050000}"/>
    <cellStyle name="20 % - Markeringsfarve1 3 7 7" xfId="23727" xr:uid="{00000000-0005-0000-0000-0000E7050000}"/>
    <cellStyle name="20 % - Markeringsfarve1 3 8" xfId="4013" xr:uid="{00000000-0005-0000-0000-0000E8050000}"/>
    <cellStyle name="20 % - Markeringsfarve1 3 8 2" xfId="4014" xr:uid="{00000000-0005-0000-0000-0000E9050000}"/>
    <cellStyle name="20 % - Markeringsfarve1 3 8 2 2" xfId="4015" xr:uid="{00000000-0005-0000-0000-0000EA050000}"/>
    <cellStyle name="20 % - Markeringsfarve1 3 8 2 2 2" xfId="10312" xr:uid="{00000000-0005-0000-0000-0000EB050000}"/>
    <cellStyle name="20 % - Markeringsfarve1 3 8 2 2 2 2" xfId="18213" xr:uid="{00000000-0005-0000-0000-0000EC050000}"/>
    <cellStyle name="20 % - Markeringsfarve1 3 8 2 2 2 2 2" xfId="36373" xr:uid="{00000000-0005-0000-0000-0000ED050000}"/>
    <cellStyle name="20 % - Markeringsfarve1 3 8 2 2 2 3" xfId="29372" xr:uid="{00000000-0005-0000-0000-0000EE050000}"/>
    <cellStyle name="20 % - Markeringsfarve1 3 8 2 2 3" xfId="12569" xr:uid="{00000000-0005-0000-0000-0000EF050000}"/>
    <cellStyle name="20 % - Markeringsfarve1 3 8 2 2 3 2" xfId="30736" xr:uid="{00000000-0005-0000-0000-0000F0050000}"/>
    <cellStyle name="20 % - Markeringsfarve1 3 8 2 2 4" xfId="23734" xr:uid="{00000000-0005-0000-0000-0000F1050000}"/>
    <cellStyle name="20 % - Markeringsfarve1 3 8 2 3" xfId="8823" xr:uid="{00000000-0005-0000-0000-0000F2050000}"/>
    <cellStyle name="20 % - Markeringsfarve1 3 8 2 3 2" xfId="16737" xr:uid="{00000000-0005-0000-0000-0000F3050000}"/>
    <cellStyle name="20 % - Markeringsfarve1 3 8 2 3 2 2" xfId="34897" xr:uid="{00000000-0005-0000-0000-0000F4050000}"/>
    <cellStyle name="20 % - Markeringsfarve1 3 8 2 3 3" xfId="27896" xr:uid="{00000000-0005-0000-0000-0000F5050000}"/>
    <cellStyle name="20 % - Markeringsfarve1 3 8 2 4" xfId="12568" xr:uid="{00000000-0005-0000-0000-0000F6050000}"/>
    <cellStyle name="20 % - Markeringsfarve1 3 8 2 4 2" xfId="30735" xr:uid="{00000000-0005-0000-0000-0000F7050000}"/>
    <cellStyle name="20 % - Markeringsfarve1 3 8 2 5" xfId="23733" xr:uid="{00000000-0005-0000-0000-0000F8050000}"/>
    <cellStyle name="20 % - Markeringsfarve1 3 8 3" xfId="4016" xr:uid="{00000000-0005-0000-0000-0000F9050000}"/>
    <cellStyle name="20 % - Markeringsfarve1 3 8 3 2" xfId="9589" xr:uid="{00000000-0005-0000-0000-0000FA050000}"/>
    <cellStyle name="20 % - Markeringsfarve1 3 8 3 2 2" xfId="17499" xr:uid="{00000000-0005-0000-0000-0000FB050000}"/>
    <cellStyle name="20 % - Markeringsfarve1 3 8 3 2 2 2" xfId="35659" xr:uid="{00000000-0005-0000-0000-0000FC050000}"/>
    <cellStyle name="20 % - Markeringsfarve1 3 8 3 2 3" xfId="28658" xr:uid="{00000000-0005-0000-0000-0000FD050000}"/>
    <cellStyle name="20 % - Markeringsfarve1 3 8 3 3" xfId="12570" xr:uid="{00000000-0005-0000-0000-0000FE050000}"/>
    <cellStyle name="20 % - Markeringsfarve1 3 8 3 3 2" xfId="30737" xr:uid="{00000000-0005-0000-0000-0000FF050000}"/>
    <cellStyle name="20 % - Markeringsfarve1 3 8 3 4" xfId="23735" xr:uid="{00000000-0005-0000-0000-000000060000}"/>
    <cellStyle name="20 % - Markeringsfarve1 3 8 4" xfId="4017" xr:uid="{00000000-0005-0000-0000-000001060000}"/>
    <cellStyle name="20 % - Markeringsfarve1 3 8 4 2" xfId="10576" xr:uid="{00000000-0005-0000-0000-000002060000}"/>
    <cellStyle name="20 % - Markeringsfarve1 3 8 4 2 2" xfId="18470" xr:uid="{00000000-0005-0000-0000-000003060000}"/>
    <cellStyle name="20 % - Markeringsfarve1 3 8 4 2 2 2" xfId="36630" xr:uid="{00000000-0005-0000-0000-000004060000}"/>
    <cellStyle name="20 % - Markeringsfarve1 3 8 4 2 3" xfId="29629" xr:uid="{00000000-0005-0000-0000-000005060000}"/>
    <cellStyle name="20 % - Markeringsfarve1 3 8 4 3" xfId="12571" xr:uid="{00000000-0005-0000-0000-000006060000}"/>
    <cellStyle name="20 % - Markeringsfarve1 3 8 4 3 2" xfId="30738" xr:uid="{00000000-0005-0000-0000-000007060000}"/>
    <cellStyle name="20 % - Markeringsfarve1 3 8 4 4" xfId="23736" xr:uid="{00000000-0005-0000-0000-000008060000}"/>
    <cellStyle name="20 % - Markeringsfarve1 3 8 5" xfId="7673" xr:uid="{00000000-0005-0000-0000-000009060000}"/>
    <cellStyle name="20 % - Markeringsfarve1 3 8 5 2" xfId="15591" xr:uid="{00000000-0005-0000-0000-00000A060000}"/>
    <cellStyle name="20 % - Markeringsfarve1 3 8 5 2 2" xfId="33751" xr:uid="{00000000-0005-0000-0000-00000B060000}"/>
    <cellStyle name="20 % - Markeringsfarve1 3 8 5 3" xfId="26750" xr:uid="{00000000-0005-0000-0000-00000C060000}"/>
    <cellStyle name="20 % - Markeringsfarve1 3 8 6" xfId="12567" xr:uid="{00000000-0005-0000-0000-00000D060000}"/>
    <cellStyle name="20 % - Markeringsfarve1 3 8 6 2" xfId="30734" xr:uid="{00000000-0005-0000-0000-00000E060000}"/>
    <cellStyle name="20 % - Markeringsfarve1 3 8 7" xfId="23732" xr:uid="{00000000-0005-0000-0000-00000F060000}"/>
    <cellStyle name="20 % - Markeringsfarve1 3 9" xfId="4018" xr:uid="{00000000-0005-0000-0000-000010060000}"/>
    <cellStyle name="20 % - Markeringsfarve1 3 9 2" xfId="4019" xr:uid="{00000000-0005-0000-0000-000011060000}"/>
    <cellStyle name="20 % - Markeringsfarve1 3 9 2 2" xfId="9731" xr:uid="{00000000-0005-0000-0000-000012060000}"/>
    <cellStyle name="20 % - Markeringsfarve1 3 9 2 2 2" xfId="17632" xr:uid="{00000000-0005-0000-0000-000013060000}"/>
    <cellStyle name="20 % - Markeringsfarve1 3 9 2 2 2 2" xfId="35792" xr:uid="{00000000-0005-0000-0000-000014060000}"/>
    <cellStyle name="20 % - Markeringsfarve1 3 9 2 2 3" xfId="28791" xr:uid="{00000000-0005-0000-0000-000015060000}"/>
    <cellStyle name="20 % - Markeringsfarve1 3 9 2 3" xfId="12573" xr:uid="{00000000-0005-0000-0000-000016060000}"/>
    <cellStyle name="20 % - Markeringsfarve1 3 9 2 3 2" xfId="30740" xr:uid="{00000000-0005-0000-0000-000017060000}"/>
    <cellStyle name="20 % - Markeringsfarve1 3 9 2 4" xfId="23738" xr:uid="{00000000-0005-0000-0000-000018060000}"/>
    <cellStyle name="20 % - Markeringsfarve1 3 9 3" xfId="8332" xr:uid="{00000000-0005-0000-0000-000019060000}"/>
    <cellStyle name="20 % - Markeringsfarve1 3 9 3 2" xfId="16249" xr:uid="{00000000-0005-0000-0000-00001A060000}"/>
    <cellStyle name="20 % - Markeringsfarve1 3 9 3 2 2" xfId="34409" xr:uid="{00000000-0005-0000-0000-00001B060000}"/>
    <cellStyle name="20 % - Markeringsfarve1 3 9 3 3" xfId="27408" xr:uid="{00000000-0005-0000-0000-00001C060000}"/>
    <cellStyle name="20 % - Markeringsfarve1 3 9 4" xfId="12572" xr:uid="{00000000-0005-0000-0000-00001D060000}"/>
    <cellStyle name="20 % - Markeringsfarve1 3 9 4 2" xfId="30739" xr:uid="{00000000-0005-0000-0000-00001E060000}"/>
    <cellStyle name="20 % - Markeringsfarve1 3 9 5" xfId="23737" xr:uid="{00000000-0005-0000-0000-00001F060000}"/>
    <cellStyle name="20 % - Markeringsfarve1 4" xfId="1777" xr:uid="{00000000-0005-0000-0000-000020060000}"/>
    <cellStyle name="20 % - Markeringsfarve1 4 10" xfId="7674" xr:uid="{00000000-0005-0000-0000-000021060000}"/>
    <cellStyle name="20 % - Markeringsfarve1 4 10 2" xfId="15592" xr:uid="{00000000-0005-0000-0000-000022060000}"/>
    <cellStyle name="20 % - Markeringsfarve1 4 10 2 2" xfId="33752" xr:uid="{00000000-0005-0000-0000-000023060000}"/>
    <cellStyle name="20 % - Markeringsfarve1 4 10 3" xfId="26751" xr:uid="{00000000-0005-0000-0000-000024060000}"/>
    <cellStyle name="20 % - Markeringsfarve1 4 11" xfId="12574" xr:uid="{00000000-0005-0000-0000-000025060000}"/>
    <cellStyle name="20 % - Markeringsfarve1 4 11 2" xfId="30741" xr:uid="{00000000-0005-0000-0000-000026060000}"/>
    <cellStyle name="20 % - Markeringsfarve1 4 12" xfId="4020" xr:uid="{00000000-0005-0000-0000-000027060000}"/>
    <cellStyle name="20 % - Markeringsfarve1 4 12 2" xfId="23739" xr:uid="{00000000-0005-0000-0000-000028060000}"/>
    <cellStyle name="20 % - Markeringsfarve1 4 13" xfId="21901" xr:uid="{00000000-0005-0000-0000-000029060000}"/>
    <cellStyle name="20 % - Markeringsfarve1 4 2" xfId="1778" xr:uid="{00000000-0005-0000-0000-00002A060000}"/>
    <cellStyle name="20 % - Markeringsfarve1 4 2 2" xfId="4022" xr:uid="{00000000-0005-0000-0000-00002B060000}"/>
    <cellStyle name="20 % - Markeringsfarve1 4 2 2 2" xfId="4023" xr:uid="{00000000-0005-0000-0000-00002C060000}"/>
    <cellStyle name="20 % - Markeringsfarve1 4 2 2 2 2" xfId="9875" xr:uid="{00000000-0005-0000-0000-00002D060000}"/>
    <cellStyle name="20 % - Markeringsfarve1 4 2 2 2 2 2" xfId="17776" xr:uid="{00000000-0005-0000-0000-00002E060000}"/>
    <cellStyle name="20 % - Markeringsfarve1 4 2 2 2 2 2 2" xfId="35936" xr:uid="{00000000-0005-0000-0000-00002F060000}"/>
    <cellStyle name="20 % - Markeringsfarve1 4 2 2 2 2 3" xfId="28935" xr:uid="{00000000-0005-0000-0000-000030060000}"/>
    <cellStyle name="20 % - Markeringsfarve1 4 2 2 2 3" xfId="12577" xr:uid="{00000000-0005-0000-0000-000031060000}"/>
    <cellStyle name="20 % - Markeringsfarve1 4 2 2 2 3 2" xfId="30744" xr:uid="{00000000-0005-0000-0000-000032060000}"/>
    <cellStyle name="20 % - Markeringsfarve1 4 2 2 2 4" xfId="23742" xr:uid="{00000000-0005-0000-0000-000033060000}"/>
    <cellStyle name="20 % - Markeringsfarve1 4 2 2 3" xfId="8452" xr:uid="{00000000-0005-0000-0000-000034060000}"/>
    <cellStyle name="20 % - Markeringsfarve1 4 2 2 3 2" xfId="16369" xr:uid="{00000000-0005-0000-0000-000035060000}"/>
    <cellStyle name="20 % - Markeringsfarve1 4 2 2 3 2 2" xfId="34529" xr:uid="{00000000-0005-0000-0000-000036060000}"/>
    <cellStyle name="20 % - Markeringsfarve1 4 2 2 3 3" xfId="27528" xr:uid="{00000000-0005-0000-0000-000037060000}"/>
    <cellStyle name="20 % - Markeringsfarve1 4 2 2 4" xfId="12576" xr:uid="{00000000-0005-0000-0000-000038060000}"/>
    <cellStyle name="20 % - Markeringsfarve1 4 2 2 4 2" xfId="30743" xr:uid="{00000000-0005-0000-0000-000039060000}"/>
    <cellStyle name="20 % - Markeringsfarve1 4 2 2 5" xfId="23741" xr:uid="{00000000-0005-0000-0000-00003A060000}"/>
    <cellStyle name="20 % - Markeringsfarve1 4 2 3" xfId="4024" xr:uid="{00000000-0005-0000-0000-00003B060000}"/>
    <cellStyle name="20 % - Markeringsfarve1 4 2 3 2" xfId="9105" xr:uid="{00000000-0005-0000-0000-00003C060000}"/>
    <cellStyle name="20 % - Markeringsfarve1 4 2 3 2 2" xfId="17016" xr:uid="{00000000-0005-0000-0000-00003D060000}"/>
    <cellStyle name="20 % - Markeringsfarve1 4 2 3 2 2 2" xfId="35176" xr:uid="{00000000-0005-0000-0000-00003E060000}"/>
    <cellStyle name="20 % - Markeringsfarve1 4 2 3 2 3" xfId="28175" xr:uid="{00000000-0005-0000-0000-00003F060000}"/>
    <cellStyle name="20 % - Markeringsfarve1 4 2 3 3" xfId="12578" xr:uid="{00000000-0005-0000-0000-000040060000}"/>
    <cellStyle name="20 % - Markeringsfarve1 4 2 3 3 2" xfId="30745" xr:uid="{00000000-0005-0000-0000-000041060000}"/>
    <cellStyle name="20 % - Markeringsfarve1 4 2 3 4" xfId="23743" xr:uid="{00000000-0005-0000-0000-000042060000}"/>
    <cellStyle name="20 % - Markeringsfarve1 4 2 4" xfId="4025" xr:uid="{00000000-0005-0000-0000-000043060000}"/>
    <cellStyle name="20 % - Markeringsfarve1 4 2 4 2" xfId="10574" xr:uid="{00000000-0005-0000-0000-000044060000}"/>
    <cellStyle name="20 % - Markeringsfarve1 4 2 4 2 2" xfId="18468" xr:uid="{00000000-0005-0000-0000-000045060000}"/>
    <cellStyle name="20 % - Markeringsfarve1 4 2 4 2 2 2" xfId="36628" xr:uid="{00000000-0005-0000-0000-000046060000}"/>
    <cellStyle name="20 % - Markeringsfarve1 4 2 4 2 3" xfId="29627" xr:uid="{00000000-0005-0000-0000-000047060000}"/>
    <cellStyle name="20 % - Markeringsfarve1 4 2 4 3" xfId="12579" xr:uid="{00000000-0005-0000-0000-000048060000}"/>
    <cellStyle name="20 % - Markeringsfarve1 4 2 4 3 2" xfId="30746" xr:uid="{00000000-0005-0000-0000-000049060000}"/>
    <cellStyle name="20 % - Markeringsfarve1 4 2 4 4" xfId="23744" xr:uid="{00000000-0005-0000-0000-00004A060000}"/>
    <cellStyle name="20 % - Markeringsfarve1 4 2 5" xfId="7675" xr:uid="{00000000-0005-0000-0000-00004B060000}"/>
    <cellStyle name="20 % - Markeringsfarve1 4 2 5 2" xfId="15593" xr:uid="{00000000-0005-0000-0000-00004C060000}"/>
    <cellStyle name="20 % - Markeringsfarve1 4 2 5 2 2" xfId="33753" xr:uid="{00000000-0005-0000-0000-00004D060000}"/>
    <cellStyle name="20 % - Markeringsfarve1 4 2 5 3" xfId="26752" xr:uid="{00000000-0005-0000-0000-00004E060000}"/>
    <cellStyle name="20 % - Markeringsfarve1 4 2 6" xfId="12575" xr:uid="{00000000-0005-0000-0000-00004F060000}"/>
    <cellStyle name="20 % - Markeringsfarve1 4 2 6 2" xfId="30742" xr:uid="{00000000-0005-0000-0000-000050060000}"/>
    <cellStyle name="20 % - Markeringsfarve1 4 2 7" xfId="4021" xr:uid="{00000000-0005-0000-0000-000051060000}"/>
    <cellStyle name="20 % - Markeringsfarve1 4 2 7 2" xfId="23740" xr:uid="{00000000-0005-0000-0000-000052060000}"/>
    <cellStyle name="20 % - Markeringsfarve1 4 2 8" xfId="21902" xr:uid="{00000000-0005-0000-0000-000053060000}"/>
    <cellStyle name="20 % - Markeringsfarve1 4 3" xfId="4026" xr:uid="{00000000-0005-0000-0000-000054060000}"/>
    <cellStyle name="20 % - Markeringsfarve1 4 3 2" xfId="4027" xr:uid="{00000000-0005-0000-0000-000055060000}"/>
    <cellStyle name="20 % - Markeringsfarve1 4 3 2 2" xfId="4028" xr:uid="{00000000-0005-0000-0000-000056060000}"/>
    <cellStyle name="20 % - Markeringsfarve1 4 3 2 2 2" xfId="9960" xr:uid="{00000000-0005-0000-0000-000057060000}"/>
    <cellStyle name="20 % - Markeringsfarve1 4 3 2 2 2 2" xfId="17861" xr:uid="{00000000-0005-0000-0000-000058060000}"/>
    <cellStyle name="20 % - Markeringsfarve1 4 3 2 2 2 2 2" xfId="36021" xr:uid="{00000000-0005-0000-0000-000059060000}"/>
    <cellStyle name="20 % - Markeringsfarve1 4 3 2 2 2 3" xfId="29020" xr:uid="{00000000-0005-0000-0000-00005A060000}"/>
    <cellStyle name="20 % - Markeringsfarve1 4 3 2 2 3" xfId="12582" xr:uid="{00000000-0005-0000-0000-00005B060000}"/>
    <cellStyle name="20 % - Markeringsfarve1 4 3 2 2 3 2" xfId="30749" xr:uid="{00000000-0005-0000-0000-00005C060000}"/>
    <cellStyle name="20 % - Markeringsfarve1 4 3 2 2 4" xfId="23747" xr:uid="{00000000-0005-0000-0000-00005D060000}"/>
    <cellStyle name="20 % - Markeringsfarve1 4 3 2 3" xfId="8524" xr:uid="{00000000-0005-0000-0000-00005E060000}"/>
    <cellStyle name="20 % - Markeringsfarve1 4 3 2 3 2" xfId="16441" xr:uid="{00000000-0005-0000-0000-00005F060000}"/>
    <cellStyle name="20 % - Markeringsfarve1 4 3 2 3 2 2" xfId="34601" xr:uid="{00000000-0005-0000-0000-000060060000}"/>
    <cellStyle name="20 % - Markeringsfarve1 4 3 2 3 3" xfId="27600" xr:uid="{00000000-0005-0000-0000-000061060000}"/>
    <cellStyle name="20 % - Markeringsfarve1 4 3 2 4" xfId="12581" xr:uid="{00000000-0005-0000-0000-000062060000}"/>
    <cellStyle name="20 % - Markeringsfarve1 4 3 2 4 2" xfId="30748" xr:uid="{00000000-0005-0000-0000-000063060000}"/>
    <cellStyle name="20 % - Markeringsfarve1 4 3 2 5" xfId="23746" xr:uid="{00000000-0005-0000-0000-000064060000}"/>
    <cellStyle name="20 % - Markeringsfarve1 4 3 3" xfId="4029" xr:uid="{00000000-0005-0000-0000-000065060000}"/>
    <cellStyle name="20 % - Markeringsfarve1 4 3 3 2" xfId="9190" xr:uid="{00000000-0005-0000-0000-000066060000}"/>
    <cellStyle name="20 % - Markeringsfarve1 4 3 3 2 2" xfId="17101" xr:uid="{00000000-0005-0000-0000-000067060000}"/>
    <cellStyle name="20 % - Markeringsfarve1 4 3 3 2 2 2" xfId="35261" xr:uid="{00000000-0005-0000-0000-000068060000}"/>
    <cellStyle name="20 % - Markeringsfarve1 4 3 3 2 3" xfId="28260" xr:uid="{00000000-0005-0000-0000-000069060000}"/>
    <cellStyle name="20 % - Markeringsfarve1 4 3 3 3" xfId="12583" xr:uid="{00000000-0005-0000-0000-00006A060000}"/>
    <cellStyle name="20 % - Markeringsfarve1 4 3 3 3 2" xfId="30750" xr:uid="{00000000-0005-0000-0000-00006B060000}"/>
    <cellStyle name="20 % - Markeringsfarve1 4 3 3 4" xfId="23748" xr:uid="{00000000-0005-0000-0000-00006C060000}"/>
    <cellStyle name="20 % - Markeringsfarve1 4 3 4" xfId="4030" xr:uid="{00000000-0005-0000-0000-00006D060000}"/>
    <cellStyle name="20 % - Markeringsfarve1 4 3 4 2" xfId="10573" xr:uid="{00000000-0005-0000-0000-00006E060000}"/>
    <cellStyle name="20 % - Markeringsfarve1 4 3 4 2 2" xfId="18467" xr:uid="{00000000-0005-0000-0000-00006F060000}"/>
    <cellStyle name="20 % - Markeringsfarve1 4 3 4 2 2 2" xfId="36627" xr:uid="{00000000-0005-0000-0000-000070060000}"/>
    <cellStyle name="20 % - Markeringsfarve1 4 3 4 2 3" xfId="29626" xr:uid="{00000000-0005-0000-0000-000071060000}"/>
    <cellStyle name="20 % - Markeringsfarve1 4 3 4 3" xfId="12584" xr:uid="{00000000-0005-0000-0000-000072060000}"/>
    <cellStyle name="20 % - Markeringsfarve1 4 3 4 3 2" xfId="30751" xr:uid="{00000000-0005-0000-0000-000073060000}"/>
    <cellStyle name="20 % - Markeringsfarve1 4 3 4 4" xfId="23749" xr:uid="{00000000-0005-0000-0000-000074060000}"/>
    <cellStyle name="20 % - Markeringsfarve1 4 3 5" xfId="7676" xr:uid="{00000000-0005-0000-0000-000075060000}"/>
    <cellStyle name="20 % - Markeringsfarve1 4 3 5 2" xfId="15594" xr:uid="{00000000-0005-0000-0000-000076060000}"/>
    <cellStyle name="20 % - Markeringsfarve1 4 3 5 2 2" xfId="33754" xr:uid="{00000000-0005-0000-0000-000077060000}"/>
    <cellStyle name="20 % - Markeringsfarve1 4 3 5 3" xfId="26753" xr:uid="{00000000-0005-0000-0000-000078060000}"/>
    <cellStyle name="20 % - Markeringsfarve1 4 3 6" xfId="12580" xr:uid="{00000000-0005-0000-0000-000079060000}"/>
    <cellStyle name="20 % - Markeringsfarve1 4 3 6 2" xfId="30747" xr:uid="{00000000-0005-0000-0000-00007A060000}"/>
    <cellStyle name="20 % - Markeringsfarve1 4 3 7" xfId="23745" xr:uid="{00000000-0005-0000-0000-00007B060000}"/>
    <cellStyle name="20 % - Markeringsfarve1 4 4" xfId="4031" xr:uid="{00000000-0005-0000-0000-00007C060000}"/>
    <cellStyle name="20 % - Markeringsfarve1 4 4 2" xfId="4032" xr:uid="{00000000-0005-0000-0000-00007D060000}"/>
    <cellStyle name="20 % - Markeringsfarve1 4 4 2 2" xfId="4033" xr:uid="{00000000-0005-0000-0000-00007E060000}"/>
    <cellStyle name="20 % - Markeringsfarve1 4 4 2 2 2" xfId="10113" xr:uid="{00000000-0005-0000-0000-00007F060000}"/>
    <cellStyle name="20 % - Markeringsfarve1 4 4 2 2 2 2" xfId="18014" xr:uid="{00000000-0005-0000-0000-000080060000}"/>
    <cellStyle name="20 % - Markeringsfarve1 4 4 2 2 2 2 2" xfId="36174" xr:uid="{00000000-0005-0000-0000-000081060000}"/>
    <cellStyle name="20 % - Markeringsfarve1 4 4 2 2 2 3" xfId="29173" xr:uid="{00000000-0005-0000-0000-000082060000}"/>
    <cellStyle name="20 % - Markeringsfarve1 4 4 2 2 3" xfId="12587" xr:uid="{00000000-0005-0000-0000-000083060000}"/>
    <cellStyle name="20 % - Markeringsfarve1 4 4 2 2 3 2" xfId="30754" xr:uid="{00000000-0005-0000-0000-000084060000}"/>
    <cellStyle name="20 % - Markeringsfarve1 4 4 2 2 4" xfId="23752" xr:uid="{00000000-0005-0000-0000-000085060000}"/>
    <cellStyle name="20 % - Markeringsfarve1 4 4 2 3" xfId="8654" xr:uid="{00000000-0005-0000-0000-000086060000}"/>
    <cellStyle name="20 % - Markeringsfarve1 4 4 2 3 2" xfId="16568" xr:uid="{00000000-0005-0000-0000-000087060000}"/>
    <cellStyle name="20 % - Markeringsfarve1 4 4 2 3 2 2" xfId="34728" xr:uid="{00000000-0005-0000-0000-000088060000}"/>
    <cellStyle name="20 % - Markeringsfarve1 4 4 2 3 3" xfId="27727" xr:uid="{00000000-0005-0000-0000-000089060000}"/>
    <cellStyle name="20 % - Markeringsfarve1 4 4 2 4" xfId="12586" xr:uid="{00000000-0005-0000-0000-00008A060000}"/>
    <cellStyle name="20 % - Markeringsfarve1 4 4 2 4 2" xfId="30753" xr:uid="{00000000-0005-0000-0000-00008B060000}"/>
    <cellStyle name="20 % - Markeringsfarve1 4 4 2 5" xfId="23751" xr:uid="{00000000-0005-0000-0000-00008C060000}"/>
    <cellStyle name="20 % - Markeringsfarve1 4 4 3" xfId="4034" xr:uid="{00000000-0005-0000-0000-00008D060000}"/>
    <cellStyle name="20 % - Markeringsfarve1 4 4 3 2" xfId="9389" xr:uid="{00000000-0005-0000-0000-00008E060000}"/>
    <cellStyle name="20 % - Markeringsfarve1 4 4 3 2 2" xfId="17299" xr:uid="{00000000-0005-0000-0000-00008F060000}"/>
    <cellStyle name="20 % - Markeringsfarve1 4 4 3 2 2 2" xfId="35459" xr:uid="{00000000-0005-0000-0000-000090060000}"/>
    <cellStyle name="20 % - Markeringsfarve1 4 4 3 2 3" xfId="28458" xr:uid="{00000000-0005-0000-0000-000091060000}"/>
    <cellStyle name="20 % - Markeringsfarve1 4 4 3 3" xfId="12588" xr:uid="{00000000-0005-0000-0000-000092060000}"/>
    <cellStyle name="20 % - Markeringsfarve1 4 4 3 3 2" xfId="30755" xr:uid="{00000000-0005-0000-0000-000093060000}"/>
    <cellStyle name="20 % - Markeringsfarve1 4 4 3 4" xfId="23753" xr:uid="{00000000-0005-0000-0000-000094060000}"/>
    <cellStyle name="20 % - Markeringsfarve1 4 4 4" xfId="4035" xr:uid="{00000000-0005-0000-0000-000095060000}"/>
    <cellStyle name="20 % - Markeringsfarve1 4 4 4 2" xfId="10572" xr:uid="{00000000-0005-0000-0000-000096060000}"/>
    <cellStyle name="20 % - Markeringsfarve1 4 4 4 2 2" xfId="18466" xr:uid="{00000000-0005-0000-0000-000097060000}"/>
    <cellStyle name="20 % - Markeringsfarve1 4 4 4 2 2 2" xfId="36626" xr:uid="{00000000-0005-0000-0000-000098060000}"/>
    <cellStyle name="20 % - Markeringsfarve1 4 4 4 2 3" xfId="29625" xr:uid="{00000000-0005-0000-0000-000099060000}"/>
    <cellStyle name="20 % - Markeringsfarve1 4 4 4 3" xfId="12589" xr:uid="{00000000-0005-0000-0000-00009A060000}"/>
    <cellStyle name="20 % - Markeringsfarve1 4 4 4 3 2" xfId="30756" xr:uid="{00000000-0005-0000-0000-00009B060000}"/>
    <cellStyle name="20 % - Markeringsfarve1 4 4 4 4" xfId="23754" xr:uid="{00000000-0005-0000-0000-00009C060000}"/>
    <cellStyle name="20 % - Markeringsfarve1 4 4 5" xfId="7677" xr:uid="{00000000-0005-0000-0000-00009D060000}"/>
    <cellStyle name="20 % - Markeringsfarve1 4 4 5 2" xfId="15595" xr:uid="{00000000-0005-0000-0000-00009E060000}"/>
    <cellStyle name="20 % - Markeringsfarve1 4 4 5 2 2" xfId="33755" xr:uid="{00000000-0005-0000-0000-00009F060000}"/>
    <cellStyle name="20 % - Markeringsfarve1 4 4 5 3" xfId="26754" xr:uid="{00000000-0005-0000-0000-0000A0060000}"/>
    <cellStyle name="20 % - Markeringsfarve1 4 4 6" xfId="12585" xr:uid="{00000000-0005-0000-0000-0000A1060000}"/>
    <cellStyle name="20 % - Markeringsfarve1 4 4 6 2" xfId="30752" xr:uid="{00000000-0005-0000-0000-0000A2060000}"/>
    <cellStyle name="20 % - Markeringsfarve1 4 4 7" xfId="23750" xr:uid="{00000000-0005-0000-0000-0000A3060000}"/>
    <cellStyle name="20 % - Markeringsfarve1 4 5" xfId="4036" xr:uid="{00000000-0005-0000-0000-0000A4060000}"/>
    <cellStyle name="20 % - Markeringsfarve1 4 5 2" xfId="4037" xr:uid="{00000000-0005-0000-0000-0000A5060000}"/>
    <cellStyle name="20 % - Markeringsfarve1 4 5 2 2" xfId="4038" xr:uid="{00000000-0005-0000-0000-0000A6060000}"/>
    <cellStyle name="20 % - Markeringsfarve1 4 5 2 2 2" xfId="10230" xr:uid="{00000000-0005-0000-0000-0000A7060000}"/>
    <cellStyle name="20 % - Markeringsfarve1 4 5 2 2 2 2" xfId="18131" xr:uid="{00000000-0005-0000-0000-0000A8060000}"/>
    <cellStyle name="20 % - Markeringsfarve1 4 5 2 2 2 2 2" xfId="36291" xr:uid="{00000000-0005-0000-0000-0000A9060000}"/>
    <cellStyle name="20 % - Markeringsfarve1 4 5 2 2 2 3" xfId="29290" xr:uid="{00000000-0005-0000-0000-0000AA060000}"/>
    <cellStyle name="20 % - Markeringsfarve1 4 5 2 2 3" xfId="12592" xr:uid="{00000000-0005-0000-0000-0000AB060000}"/>
    <cellStyle name="20 % - Markeringsfarve1 4 5 2 2 3 2" xfId="30759" xr:uid="{00000000-0005-0000-0000-0000AC060000}"/>
    <cellStyle name="20 % - Markeringsfarve1 4 5 2 2 4" xfId="23757" xr:uid="{00000000-0005-0000-0000-0000AD060000}"/>
    <cellStyle name="20 % - Markeringsfarve1 4 5 2 3" xfId="8753" xr:uid="{00000000-0005-0000-0000-0000AE060000}"/>
    <cellStyle name="20 % - Markeringsfarve1 4 5 2 3 2" xfId="16667" xr:uid="{00000000-0005-0000-0000-0000AF060000}"/>
    <cellStyle name="20 % - Markeringsfarve1 4 5 2 3 2 2" xfId="34827" xr:uid="{00000000-0005-0000-0000-0000B0060000}"/>
    <cellStyle name="20 % - Markeringsfarve1 4 5 2 3 3" xfId="27826" xr:uid="{00000000-0005-0000-0000-0000B1060000}"/>
    <cellStyle name="20 % - Markeringsfarve1 4 5 2 4" xfId="12591" xr:uid="{00000000-0005-0000-0000-0000B2060000}"/>
    <cellStyle name="20 % - Markeringsfarve1 4 5 2 4 2" xfId="30758" xr:uid="{00000000-0005-0000-0000-0000B3060000}"/>
    <cellStyle name="20 % - Markeringsfarve1 4 5 2 5" xfId="23756" xr:uid="{00000000-0005-0000-0000-0000B4060000}"/>
    <cellStyle name="20 % - Markeringsfarve1 4 5 3" xfId="4039" xr:uid="{00000000-0005-0000-0000-0000B5060000}"/>
    <cellStyle name="20 % - Markeringsfarve1 4 5 3 2" xfId="9506" xr:uid="{00000000-0005-0000-0000-0000B6060000}"/>
    <cellStyle name="20 % - Markeringsfarve1 4 5 3 2 2" xfId="17416" xr:uid="{00000000-0005-0000-0000-0000B7060000}"/>
    <cellStyle name="20 % - Markeringsfarve1 4 5 3 2 2 2" xfId="35576" xr:uid="{00000000-0005-0000-0000-0000B8060000}"/>
    <cellStyle name="20 % - Markeringsfarve1 4 5 3 2 3" xfId="28575" xr:uid="{00000000-0005-0000-0000-0000B9060000}"/>
    <cellStyle name="20 % - Markeringsfarve1 4 5 3 3" xfId="12593" xr:uid="{00000000-0005-0000-0000-0000BA060000}"/>
    <cellStyle name="20 % - Markeringsfarve1 4 5 3 3 2" xfId="30760" xr:uid="{00000000-0005-0000-0000-0000BB060000}"/>
    <cellStyle name="20 % - Markeringsfarve1 4 5 3 4" xfId="23758" xr:uid="{00000000-0005-0000-0000-0000BC060000}"/>
    <cellStyle name="20 % - Markeringsfarve1 4 5 4" xfId="4040" xr:uid="{00000000-0005-0000-0000-0000BD060000}"/>
    <cellStyle name="20 % - Markeringsfarve1 4 5 4 2" xfId="10571" xr:uid="{00000000-0005-0000-0000-0000BE060000}"/>
    <cellStyle name="20 % - Markeringsfarve1 4 5 4 2 2" xfId="18465" xr:uid="{00000000-0005-0000-0000-0000BF060000}"/>
    <cellStyle name="20 % - Markeringsfarve1 4 5 4 2 2 2" xfId="36625" xr:uid="{00000000-0005-0000-0000-0000C0060000}"/>
    <cellStyle name="20 % - Markeringsfarve1 4 5 4 2 3" xfId="29624" xr:uid="{00000000-0005-0000-0000-0000C1060000}"/>
    <cellStyle name="20 % - Markeringsfarve1 4 5 4 3" xfId="12594" xr:uid="{00000000-0005-0000-0000-0000C2060000}"/>
    <cellStyle name="20 % - Markeringsfarve1 4 5 4 3 2" xfId="30761" xr:uid="{00000000-0005-0000-0000-0000C3060000}"/>
    <cellStyle name="20 % - Markeringsfarve1 4 5 4 4" xfId="23759" xr:uid="{00000000-0005-0000-0000-0000C4060000}"/>
    <cellStyle name="20 % - Markeringsfarve1 4 5 5" xfId="7678" xr:uid="{00000000-0005-0000-0000-0000C5060000}"/>
    <cellStyle name="20 % - Markeringsfarve1 4 5 5 2" xfId="15596" xr:uid="{00000000-0005-0000-0000-0000C6060000}"/>
    <cellStyle name="20 % - Markeringsfarve1 4 5 5 2 2" xfId="33756" xr:uid="{00000000-0005-0000-0000-0000C7060000}"/>
    <cellStyle name="20 % - Markeringsfarve1 4 5 5 3" xfId="26755" xr:uid="{00000000-0005-0000-0000-0000C8060000}"/>
    <cellStyle name="20 % - Markeringsfarve1 4 5 6" xfId="12590" xr:uid="{00000000-0005-0000-0000-0000C9060000}"/>
    <cellStyle name="20 % - Markeringsfarve1 4 5 6 2" xfId="30757" xr:uid="{00000000-0005-0000-0000-0000CA060000}"/>
    <cellStyle name="20 % - Markeringsfarve1 4 5 7" xfId="23755" xr:uid="{00000000-0005-0000-0000-0000CB060000}"/>
    <cellStyle name="20 % - Markeringsfarve1 4 6" xfId="4041" xr:uid="{00000000-0005-0000-0000-0000CC060000}"/>
    <cellStyle name="20 % - Markeringsfarve1 4 6 2" xfId="4042" xr:uid="{00000000-0005-0000-0000-0000CD060000}"/>
    <cellStyle name="20 % - Markeringsfarve1 4 6 2 2" xfId="4043" xr:uid="{00000000-0005-0000-0000-0000CE060000}"/>
    <cellStyle name="20 % - Markeringsfarve1 4 6 2 2 2" xfId="10315" xr:uid="{00000000-0005-0000-0000-0000CF060000}"/>
    <cellStyle name="20 % - Markeringsfarve1 4 6 2 2 2 2" xfId="18216" xr:uid="{00000000-0005-0000-0000-0000D0060000}"/>
    <cellStyle name="20 % - Markeringsfarve1 4 6 2 2 2 2 2" xfId="36376" xr:uid="{00000000-0005-0000-0000-0000D1060000}"/>
    <cellStyle name="20 % - Markeringsfarve1 4 6 2 2 2 3" xfId="29375" xr:uid="{00000000-0005-0000-0000-0000D2060000}"/>
    <cellStyle name="20 % - Markeringsfarve1 4 6 2 2 3" xfId="12597" xr:uid="{00000000-0005-0000-0000-0000D3060000}"/>
    <cellStyle name="20 % - Markeringsfarve1 4 6 2 2 3 2" xfId="30764" xr:uid="{00000000-0005-0000-0000-0000D4060000}"/>
    <cellStyle name="20 % - Markeringsfarve1 4 6 2 2 4" xfId="23762" xr:uid="{00000000-0005-0000-0000-0000D5060000}"/>
    <cellStyle name="20 % - Markeringsfarve1 4 6 2 3" xfId="8826" xr:uid="{00000000-0005-0000-0000-0000D6060000}"/>
    <cellStyle name="20 % - Markeringsfarve1 4 6 2 3 2" xfId="16740" xr:uid="{00000000-0005-0000-0000-0000D7060000}"/>
    <cellStyle name="20 % - Markeringsfarve1 4 6 2 3 2 2" xfId="34900" xr:uid="{00000000-0005-0000-0000-0000D8060000}"/>
    <cellStyle name="20 % - Markeringsfarve1 4 6 2 3 3" xfId="27899" xr:uid="{00000000-0005-0000-0000-0000D9060000}"/>
    <cellStyle name="20 % - Markeringsfarve1 4 6 2 4" xfId="12596" xr:uid="{00000000-0005-0000-0000-0000DA060000}"/>
    <cellStyle name="20 % - Markeringsfarve1 4 6 2 4 2" xfId="30763" xr:uid="{00000000-0005-0000-0000-0000DB060000}"/>
    <cellStyle name="20 % - Markeringsfarve1 4 6 2 5" xfId="23761" xr:uid="{00000000-0005-0000-0000-0000DC060000}"/>
    <cellStyle name="20 % - Markeringsfarve1 4 6 3" xfId="4044" xr:uid="{00000000-0005-0000-0000-0000DD060000}"/>
    <cellStyle name="20 % - Markeringsfarve1 4 6 3 2" xfId="9592" xr:uid="{00000000-0005-0000-0000-0000DE060000}"/>
    <cellStyle name="20 % - Markeringsfarve1 4 6 3 2 2" xfId="17502" xr:uid="{00000000-0005-0000-0000-0000DF060000}"/>
    <cellStyle name="20 % - Markeringsfarve1 4 6 3 2 2 2" xfId="35662" xr:uid="{00000000-0005-0000-0000-0000E0060000}"/>
    <cellStyle name="20 % - Markeringsfarve1 4 6 3 2 3" xfId="28661" xr:uid="{00000000-0005-0000-0000-0000E1060000}"/>
    <cellStyle name="20 % - Markeringsfarve1 4 6 3 3" xfId="12598" xr:uid="{00000000-0005-0000-0000-0000E2060000}"/>
    <cellStyle name="20 % - Markeringsfarve1 4 6 3 3 2" xfId="30765" xr:uid="{00000000-0005-0000-0000-0000E3060000}"/>
    <cellStyle name="20 % - Markeringsfarve1 4 6 3 4" xfId="23763" xr:uid="{00000000-0005-0000-0000-0000E4060000}"/>
    <cellStyle name="20 % - Markeringsfarve1 4 6 4" xfId="4045" xr:uid="{00000000-0005-0000-0000-0000E5060000}"/>
    <cellStyle name="20 % - Markeringsfarve1 4 6 4 2" xfId="10570" xr:uid="{00000000-0005-0000-0000-0000E6060000}"/>
    <cellStyle name="20 % - Markeringsfarve1 4 6 4 2 2" xfId="18464" xr:uid="{00000000-0005-0000-0000-0000E7060000}"/>
    <cellStyle name="20 % - Markeringsfarve1 4 6 4 2 2 2" xfId="36624" xr:uid="{00000000-0005-0000-0000-0000E8060000}"/>
    <cellStyle name="20 % - Markeringsfarve1 4 6 4 2 3" xfId="29623" xr:uid="{00000000-0005-0000-0000-0000E9060000}"/>
    <cellStyle name="20 % - Markeringsfarve1 4 6 4 3" xfId="12599" xr:uid="{00000000-0005-0000-0000-0000EA060000}"/>
    <cellStyle name="20 % - Markeringsfarve1 4 6 4 3 2" xfId="30766" xr:uid="{00000000-0005-0000-0000-0000EB060000}"/>
    <cellStyle name="20 % - Markeringsfarve1 4 6 4 4" xfId="23764" xr:uid="{00000000-0005-0000-0000-0000EC060000}"/>
    <cellStyle name="20 % - Markeringsfarve1 4 6 5" xfId="7679" xr:uid="{00000000-0005-0000-0000-0000ED060000}"/>
    <cellStyle name="20 % - Markeringsfarve1 4 6 5 2" xfId="15597" xr:uid="{00000000-0005-0000-0000-0000EE060000}"/>
    <cellStyle name="20 % - Markeringsfarve1 4 6 5 2 2" xfId="33757" xr:uid="{00000000-0005-0000-0000-0000EF060000}"/>
    <cellStyle name="20 % - Markeringsfarve1 4 6 5 3" xfId="26756" xr:uid="{00000000-0005-0000-0000-0000F0060000}"/>
    <cellStyle name="20 % - Markeringsfarve1 4 6 6" xfId="12595" xr:uid="{00000000-0005-0000-0000-0000F1060000}"/>
    <cellStyle name="20 % - Markeringsfarve1 4 6 6 2" xfId="30762" xr:uid="{00000000-0005-0000-0000-0000F2060000}"/>
    <cellStyle name="20 % - Markeringsfarve1 4 6 7" xfId="23760" xr:uid="{00000000-0005-0000-0000-0000F3060000}"/>
    <cellStyle name="20 % - Markeringsfarve1 4 7" xfId="4046" xr:uid="{00000000-0005-0000-0000-0000F4060000}"/>
    <cellStyle name="20 % - Markeringsfarve1 4 7 2" xfId="4047" xr:uid="{00000000-0005-0000-0000-0000F5060000}"/>
    <cellStyle name="20 % - Markeringsfarve1 4 7 2 2" xfId="9756" xr:uid="{00000000-0005-0000-0000-0000F6060000}"/>
    <cellStyle name="20 % - Markeringsfarve1 4 7 2 2 2" xfId="17657" xr:uid="{00000000-0005-0000-0000-0000F7060000}"/>
    <cellStyle name="20 % - Markeringsfarve1 4 7 2 2 2 2" xfId="35817" xr:uid="{00000000-0005-0000-0000-0000F8060000}"/>
    <cellStyle name="20 % - Markeringsfarve1 4 7 2 2 3" xfId="28816" xr:uid="{00000000-0005-0000-0000-0000F9060000}"/>
    <cellStyle name="20 % - Markeringsfarve1 4 7 2 3" xfId="12601" xr:uid="{00000000-0005-0000-0000-0000FA060000}"/>
    <cellStyle name="20 % - Markeringsfarve1 4 7 2 3 2" xfId="30768" xr:uid="{00000000-0005-0000-0000-0000FB060000}"/>
    <cellStyle name="20 % - Markeringsfarve1 4 7 2 4" xfId="23766" xr:uid="{00000000-0005-0000-0000-0000FC060000}"/>
    <cellStyle name="20 % - Markeringsfarve1 4 7 3" xfId="8353" xr:uid="{00000000-0005-0000-0000-0000FD060000}"/>
    <cellStyle name="20 % - Markeringsfarve1 4 7 3 2" xfId="16270" xr:uid="{00000000-0005-0000-0000-0000FE060000}"/>
    <cellStyle name="20 % - Markeringsfarve1 4 7 3 2 2" xfId="34430" xr:uid="{00000000-0005-0000-0000-0000FF060000}"/>
    <cellStyle name="20 % - Markeringsfarve1 4 7 3 3" xfId="27429" xr:uid="{00000000-0005-0000-0000-000000070000}"/>
    <cellStyle name="20 % - Markeringsfarve1 4 7 4" xfId="12600" xr:uid="{00000000-0005-0000-0000-000001070000}"/>
    <cellStyle name="20 % - Markeringsfarve1 4 7 4 2" xfId="30767" xr:uid="{00000000-0005-0000-0000-000002070000}"/>
    <cellStyle name="20 % - Markeringsfarve1 4 7 5" xfId="23765" xr:uid="{00000000-0005-0000-0000-000003070000}"/>
    <cellStyle name="20 % - Markeringsfarve1 4 8" xfId="4048" xr:uid="{00000000-0005-0000-0000-000004070000}"/>
    <cellStyle name="20 % - Markeringsfarve1 4 8 2" xfId="8984" xr:uid="{00000000-0005-0000-0000-000005070000}"/>
    <cellStyle name="20 % - Markeringsfarve1 4 8 2 2" xfId="16895" xr:uid="{00000000-0005-0000-0000-000006070000}"/>
    <cellStyle name="20 % - Markeringsfarve1 4 8 2 2 2" xfId="35055" xr:uid="{00000000-0005-0000-0000-000007070000}"/>
    <cellStyle name="20 % - Markeringsfarve1 4 8 2 3" xfId="28054" xr:uid="{00000000-0005-0000-0000-000008070000}"/>
    <cellStyle name="20 % - Markeringsfarve1 4 8 3" xfId="12602" xr:uid="{00000000-0005-0000-0000-000009070000}"/>
    <cellStyle name="20 % - Markeringsfarve1 4 8 3 2" xfId="30769" xr:uid="{00000000-0005-0000-0000-00000A070000}"/>
    <cellStyle name="20 % - Markeringsfarve1 4 8 4" xfId="23767" xr:uid="{00000000-0005-0000-0000-00000B070000}"/>
    <cellStyle name="20 % - Markeringsfarve1 4 9" xfId="4049" xr:uid="{00000000-0005-0000-0000-00000C070000}"/>
    <cellStyle name="20 % - Markeringsfarve1 4 9 2" xfId="10575" xr:uid="{00000000-0005-0000-0000-00000D070000}"/>
    <cellStyle name="20 % - Markeringsfarve1 4 9 2 2" xfId="18469" xr:uid="{00000000-0005-0000-0000-00000E070000}"/>
    <cellStyle name="20 % - Markeringsfarve1 4 9 2 2 2" xfId="36629" xr:uid="{00000000-0005-0000-0000-00000F070000}"/>
    <cellStyle name="20 % - Markeringsfarve1 4 9 2 3" xfId="29628" xr:uid="{00000000-0005-0000-0000-000010070000}"/>
    <cellStyle name="20 % - Markeringsfarve1 4 9 3" xfId="12603" xr:uid="{00000000-0005-0000-0000-000011070000}"/>
    <cellStyle name="20 % - Markeringsfarve1 4 9 3 2" xfId="30770" xr:uid="{00000000-0005-0000-0000-000012070000}"/>
    <cellStyle name="20 % - Markeringsfarve1 4 9 4" xfId="23768" xr:uid="{00000000-0005-0000-0000-000013070000}"/>
    <cellStyle name="20 % - Markeringsfarve1 5" xfId="1779" xr:uid="{00000000-0005-0000-0000-000014070000}"/>
    <cellStyle name="20 % - Markeringsfarve1 5 10" xfId="7680" xr:uid="{00000000-0005-0000-0000-000015070000}"/>
    <cellStyle name="20 % - Markeringsfarve1 5 10 2" xfId="15598" xr:uid="{00000000-0005-0000-0000-000016070000}"/>
    <cellStyle name="20 % - Markeringsfarve1 5 10 2 2" xfId="33758" xr:uid="{00000000-0005-0000-0000-000017070000}"/>
    <cellStyle name="20 % - Markeringsfarve1 5 10 3" xfId="26757" xr:uid="{00000000-0005-0000-0000-000018070000}"/>
    <cellStyle name="20 % - Markeringsfarve1 5 11" xfId="12604" xr:uid="{00000000-0005-0000-0000-000019070000}"/>
    <cellStyle name="20 % - Markeringsfarve1 5 11 2" xfId="30771" xr:uid="{00000000-0005-0000-0000-00001A070000}"/>
    <cellStyle name="20 % - Markeringsfarve1 5 12" xfId="4050" xr:uid="{00000000-0005-0000-0000-00001B070000}"/>
    <cellStyle name="20 % - Markeringsfarve1 5 12 2" xfId="23769" xr:uid="{00000000-0005-0000-0000-00001C070000}"/>
    <cellStyle name="20 % - Markeringsfarve1 5 13" xfId="21903" xr:uid="{00000000-0005-0000-0000-00001D070000}"/>
    <cellStyle name="20 % - Markeringsfarve1 5 2" xfId="1780" xr:uid="{00000000-0005-0000-0000-00001E070000}"/>
    <cellStyle name="20 % - Markeringsfarve1 5 2 2" xfId="4052" xr:uid="{00000000-0005-0000-0000-00001F070000}"/>
    <cellStyle name="20 % - Markeringsfarve1 5 2 2 2" xfId="4053" xr:uid="{00000000-0005-0000-0000-000020070000}"/>
    <cellStyle name="20 % - Markeringsfarve1 5 2 2 2 2" xfId="9914" xr:uid="{00000000-0005-0000-0000-000021070000}"/>
    <cellStyle name="20 % - Markeringsfarve1 5 2 2 2 2 2" xfId="17815" xr:uid="{00000000-0005-0000-0000-000022070000}"/>
    <cellStyle name="20 % - Markeringsfarve1 5 2 2 2 2 2 2" xfId="35975" xr:uid="{00000000-0005-0000-0000-000023070000}"/>
    <cellStyle name="20 % - Markeringsfarve1 5 2 2 2 2 3" xfId="28974" xr:uid="{00000000-0005-0000-0000-000024070000}"/>
    <cellStyle name="20 % - Markeringsfarve1 5 2 2 2 3" xfId="12607" xr:uid="{00000000-0005-0000-0000-000025070000}"/>
    <cellStyle name="20 % - Markeringsfarve1 5 2 2 2 3 2" xfId="30774" xr:uid="{00000000-0005-0000-0000-000026070000}"/>
    <cellStyle name="20 % - Markeringsfarve1 5 2 2 2 4" xfId="23772" xr:uid="{00000000-0005-0000-0000-000027070000}"/>
    <cellStyle name="20 % - Markeringsfarve1 5 2 2 3" xfId="8485" xr:uid="{00000000-0005-0000-0000-000028070000}"/>
    <cellStyle name="20 % - Markeringsfarve1 5 2 2 3 2" xfId="16402" xr:uid="{00000000-0005-0000-0000-000029070000}"/>
    <cellStyle name="20 % - Markeringsfarve1 5 2 2 3 2 2" xfId="34562" xr:uid="{00000000-0005-0000-0000-00002A070000}"/>
    <cellStyle name="20 % - Markeringsfarve1 5 2 2 3 3" xfId="27561" xr:uid="{00000000-0005-0000-0000-00002B070000}"/>
    <cellStyle name="20 % - Markeringsfarve1 5 2 2 4" xfId="12606" xr:uid="{00000000-0005-0000-0000-00002C070000}"/>
    <cellStyle name="20 % - Markeringsfarve1 5 2 2 4 2" xfId="30773" xr:uid="{00000000-0005-0000-0000-00002D070000}"/>
    <cellStyle name="20 % - Markeringsfarve1 5 2 2 5" xfId="23771" xr:uid="{00000000-0005-0000-0000-00002E070000}"/>
    <cellStyle name="20 % - Markeringsfarve1 5 2 3" xfId="4054" xr:uid="{00000000-0005-0000-0000-00002F070000}"/>
    <cellStyle name="20 % - Markeringsfarve1 5 2 3 2" xfId="9144" xr:uid="{00000000-0005-0000-0000-000030070000}"/>
    <cellStyle name="20 % - Markeringsfarve1 5 2 3 2 2" xfId="17055" xr:uid="{00000000-0005-0000-0000-000031070000}"/>
    <cellStyle name="20 % - Markeringsfarve1 5 2 3 2 2 2" xfId="35215" xr:uid="{00000000-0005-0000-0000-000032070000}"/>
    <cellStyle name="20 % - Markeringsfarve1 5 2 3 2 3" xfId="28214" xr:uid="{00000000-0005-0000-0000-000033070000}"/>
    <cellStyle name="20 % - Markeringsfarve1 5 2 3 3" xfId="12608" xr:uid="{00000000-0005-0000-0000-000034070000}"/>
    <cellStyle name="20 % - Markeringsfarve1 5 2 3 3 2" xfId="30775" xr:uid="{00000000-0005-0000-0000-000035070000}"/>
    <cellStyle name="20 % - Markeringsfarve1 5 2 3 4" xfId="23773" xr:uid="{00000000-0005-0000-0000-000036070000}"/>
    <cellStyle name="20 % - Markeringsfarve1 5 2 4" xfId="4055" xr:uid="{00000000-0005-0000-0000-000037070000}"/>
    <cellStyle name="20 % - Markeringsfarve1 5 2 4 2" xfId="10568" xr:uid="{00000000-0005-0000-0000-000038070000}"/>
    <cellStyle name="20 % - Markeringsfarve1 5 2 4 2 2" xfId="18462" xr:uid="{00000000-0005-0000-0000-000039070000}"/>
    <cellStyle name="20 % - Markeringsfarve1 5 2 4 2 2 2" xfId="36622" xr:uid="{00000000-0005-0000-0000-00003A070000}"/>
    <cellStyle name="20 % - Markeringsfarve1 5 2 4 2 3" xfId="29621" xr:uid="{00000000-0005-0000-0000-00003B070000}"/>
    <cellStyle name="20 % - Markeringsfarve1 5 2 4 3" xfId="12609" xr:uid="{00000000-0005-0000-0000-00003C070000}"/>
    <cellStyle name="20 % - Markeringsfarve1 5 2 4 3 2" xfId="30776" xr:uid="{00000000-0005-0000-0000-00003D070000}"/>
    <cellStyle name="20 % - Markeringsfarve1 5 2 4 4" xfId="23774" xr:uid="{00000000-0005-0000-0000-00003E070000}"/>
    <cellStyle name="20 % - Markeringsfarve1 5 2 5" xfId="7681" xr:uid="{00000000-0005-0000-0000-00003F070000}"/>
    <cellStyle name="20 % - Markeringsfarve1 5 2 5 2" xfId="15599" xr:uid="{00000000-0005-0000-0000-000040070000}"/>
    <cellStyle name="20 % - Markeringsfarve1 5 2 5 2 2" xfId="33759" xr:uid="{00000000-0005-0000-0000-000041070000}"/>
    <cellStyle name="20 % - Markeringsfarve1 5 2 5 3" xfId="26758" xr:uid="{00000000-0005-0000-0000-000042070000}"/>
    <cellStyle name="20 % - Markeringsfarve1 5 2 6" xfId="12605" xr:uid="{00000000-0005-0000-0000-000043070000}"/>
    <cellStyle name="20 % - Markeringsfarve1 5 2 6 2" xfId="30772" xr:uid="{00000000-0005-0000-0000-000044070000}"/>
    <cellStyle name="20 % - Markeringsfarve1 5 2 7" xfId="4051" xr:uid="{00000000-0005-0000-0000-000045070000}"/>
    <cellStyle name="20 % - Markeringsfarve1 5 2 7 2" xfId="23770" xr:uid="{00000000-0005-0000-0000-000046070000}"/>
    <cellStyle name="20 % - Markeringsfarve1 5 2 8" xfId="21904" xr:uid="{00000000-0005-0000-0000-000047070000}"/>
    <cellStyle name="20 % - Markeringsfarve1 5 3" xfId="4056" xr:uid="{00000000-0005-0000-0000-000048070000}"/>
    <cellStyle name="20 % - Markeringsfarve1 5 3 2" xfId="4057" xr:uid="{00000000-0005-0000-0000-000049070000}"/>
    <cellStyle name="20 % - Markeringsfarve1 5 3 2 2" xfId="4058" xr:uid="{00000000-0005-0000-0000-00004A070000}"/>
    <cellStyle name="20 % - Markeringsfarve1 5 3 2 2 2" xfId="9961" xr:uid="{00000000-0005-0000-0000-00004B070000}"/>
    <cellStyle name="20 % - Markeringsfarve1 5 3 2 2 2 2" xfId="17862" xr:uid="{00000000-0005-0000-0000-00004C070000}"/>
    <cellStyle name="20 % - Markeringsfarve1 5 3 2 2 2 2 2" xfId="36022" xr:uid="{00000000-0005-0000-0000-00004D070000}"/>
    <cellStyle name="20 % - Markeringsfarve1 5 3 2 2 2 3" xfId="29021" xr:uid="{00000000-0005-0000-0000-00004E070000}"/>
    <cellStyle name="20 % - Markeringsfarve1 5 3 2 2 3" xfId="12612" xr:uid="{00000000-0005-0000-0000-00004F070000}"/>
    <cellStyle name="20 % - Markeringsfarve1 5 3 2 2 3 2" xfId="30779" xr:uid="{00000000-0005-0000-0000-000050070000}"/>
    <cellStyle name="20 % - Markeringsfarve1 5 3 2 2 4" xfId="23777" xr:uid="{00000000-0005-0000-0000-000051070000}"/>
    <cellStyle name="20 % - Markeringsfarve1 5 3 2 3" xfId="8525" xr:uid="{00000000-0005-0000-0000-000052070000}"/>
    <cellStyle name="20 % - Markeringsfarve1 5 3 2 3 2" xfId="16442" xr:uid="{00000000-0005-0000-0000-000053070000}"/>
    <cellStyle name="20 % - Markeringsfarve1 5 3 2 3 2 2" xfId="34602" xr:uid="{00000000-0005-0000-0000-000054070000}"/>
    <cellStyle name="20 % - Markeringsfarve1 5 3 2 3 3" xfId="27601" xr:uid="{00000000-0005-0000-0000-000055070000}"/>
    <cellStyle name="20 % - Markeringsfarve1 5 3 2 4" xfId="12611" xr:uid="{00000000-0005-0000-0000-000056070000}"/>
    <cellStyle name="20 % - Markeringsfarve1 5 3 2 4 2" xfId="30778" xr:uid="{00000000-0005-0000-0000-000057070000}"/>
    <cellStyle name="20 % - Markeringsfarve1 5 3 2 5" xfId="23776" xr:uid="{00000000-0005-0000-0000-000058070000}"/>
    <cellStyle name="20 % - Markeringsfarve1 5 3 3" xfId="4059" xr:uid="{00000000-0005-0000-0000-000059070000}"/>
    <cellStyle name="20 % - Markeringsfarve1 5 3 3 2" xfId="9191" xr:uid="{00000000-0005-0000-0000-00005A070000}"/>
    <cellStyle name="20 % - Markeringsfarve1 5 3 3 2 2" xfId="17102" xr:uid="{00000000-0005-0000-0000-00005B070000}"/>
    <cellStyle name="20 % - Markeringsfarve1 5 3 3 2 2 2" xfId="35262" xr:uid="{00000000-0005-0000-0000-00005C070000}"/>
    <cellStyle name="20 % - Markeringsfarve1 5 3 3 2 3" xfId="28261" xr:uid="{00000000-0005-0000-0000-00005D070000}"/>
    <cellStyle name="20 % - Markeringsfarve1 5 3 3 3" xfId="12613" xr:uid="{00000000-0005-0000-0000-00005E070000}"/>
    <cellStyle name="20 % - Markeringsfarve1 5 3 3 3 2" xfId="30780" xr:uid="{00000000-0005-0000-0000-00005F070000}"/>
    <cellStyle name="20 % - Markeringsfarve1 5 3 3 4" xfId="23778" xr:uid="{00000000-0005-0000-0000-000060070000}"/>
    <cellStyle name="20 % - Markeringsfarve1 5 3 4" xfId="4060" xr:uid="{00000000-0005-0000-0000-000061070000}"/>
    <cellStyle name="20 % - Markeringsfarve1 5 3 4 2" xfId="10567" xr:uid="{00000000-0005-0000-0000-000062070000}"/>
    <cellStyle name="20 % - Markeringsfarve1 5 3 4 2 2" xfId="18461" xr:uid="{00000000-0005-0000-0000-000063070000}"/>
    <cellStyle name="20 % - Markeringsfarve1 5 3 4 2 2 2" xfId="36621" xr:uid="{00000000-0005-0000-0000-000064070000}"/>
    <cellStyle name="20 % - Markeringsfarve1 5 3 4 2 3" xfId="29620" xr:uid="{00000000-0005-0000-0000-000065070000}"/>
    <cellStyle name="20 % - Markeringsfarve1 5 3 4 3" xfId="12614" xr:uid="{00000000-0005-0000-0000-000066070000}"/>
    <cellStyle name="20 % - Markeringsfarve1 5 3 4 3 2" xfId="30781" xr:uid="{00000000-0005-0000-0000-000067070000}"/>
    <cellStyle name="20 % - Markeringsfarve1 5 3 4 4" xfId="23779" xr:uid="{00000000-0005-0000-0000-000068070000}"/>
    <cellStyle name="20 % - Markeringsfarve1 5 3 5" xfId="7682" xr:uid="{00000000-0005-0000-0000-000069070000}"/>
    <cellStyle name="20 % - Markeringsfarve1 5 3 5 2" xfId="15600" xr:uid="{00000000-0005-0000-0000-00006A070000}"/>
    <cellStyle name="20 % - Markeringsfarve1 5 3 5 2 2" xfId="33760" xr:uid="{00000000-0005-0000-0000-00006B070000}"/>
    <cellStyle name="20 % - Markeringsfarve1 5 3 5 3" xfId="26759" xr:uid="{00000000-0005-0000-0000-00006C070000}"/>
    <cellStyle name="20 % - Markeringsfarve1 5 3 6" xfId="12610" xr:uid="{00000000-0005-0000-0000-00006D070000}"/>
    <cellStyle name="20 % - Markeringsfarve1 5 3 6 2" xfId="30777" xr:uid="{00000000-0005-0000-0000-00006E070000}"/>
    <cellStyle name="20 % - Markeringsfarve1 5 3 7" xfId="23775" xr:uid="{00000000-0005-0000-0000-00006F070000}"/>
    <cellStyle name="20 % - Markeringsfarve1 5 4" xfId="4061" xr:uid="{00000000-0005-0000-0000-000070070000}"/>
    <cellStyle name="20 % - Markeringsfarve1 5 4 2" xfId="4062" xr:uid="{00000000-0005-0000-0000-000071070000}"/>
    <cellStyle name="20 % - Markeringsfarve1 5 4 2 2" xfId="4063" xr:uid="{00000000-0005-0000-0000-000072070000}"/>
    <cellStyle name="20 % - Markeringsfarve1 5 4 2 2 2" xfId="10152" xr:uid="{00000000-0005-0000-0000-000073070000}"/>
    <cellStyle name="20 % - Markeringsfarve1 5 4 2 2 2 2" xfId="18053" xr:uid="{00000000-0005-0000-0000-000074070000}"/>
    <cellStyle name="20 % - Markeringsfarve1 5 4 2 2 2 2 2" xfId="36213" xr:uid="{00000000-0005-0000-0000-000075070000}"/>
    <cellStyle name="20 % - Markeringsfarve1 5 4 2 2 2 3" xfId="29212" xr:uid="{00000000-0005-0000-0000-000076070000}"/>
    <cellStyle name="20 % - Markeringsfarve1 5 4 2 2 3" xfId="12617" xr:uid="{00000000-0005-0000-0000-000077070000}"/>
    <cellStyle name="20 % - Markeringsfarve1 5 4 2 2 3 2" xfId="30784" xr:uid="{00000000-0005-0000-0000-000078070000}"/>
    <cellStyle name="20 % - Markeringsfarve1 5 4 2 2 4" xfId="23782" xr:uid="{00000000-0005-0000-0000-000079070000}"/>
    <cellStyle name="20 % - Markeringsfarve1 5 4 2 3" xfId="8687" xr:uid="{00000000-0005-0000-0000-00007A070000}"/>
    <cellStyle name="20 % - Markeringsfarve1 5 4 2 3 2" xfId="16601" xr:uid="{00000000-0005-0000-0000-00007B070000}"/>
    <cellStyle name="20 % - Markeringsfarve1 5 4 2 3 2 2" xfId="34761" xr:uid="{00000000-0005-0000-0000-00007C070000}"/>
    <cellStyle name="20 % - Markeringsfarve1 5 4 2 3 3" xfId="27760" xr:uid="{00000000-0005-0000-0000-00007D070000}"/>
    <cellStyle name="20 % - Markeringsfarve1 5 4 2 4" xfId="12616" xr:uid="{00000000-0005-0000-0000-00007E070000}"/>
    <cellStyle name="20 % - Markeringsfarve1 5 4 2 4 2" xfId="30783" xr:uid="{00000000-0005-0000-0000-00007F070000}"/>
    <cellStyle name="20 % - Markeringsfarve1 5 4 2 5" xfId="23781" xr:uid="{00000000-0005-0000-0000-000080070000}"/>
    <cellStyle name="20 % - Markeringsfarve1 5 4 3" xfId="4064" xr:uid="{00000000-0005-0000-0000-000081070000}"/>
    <cellStyle name="20 % - Markeringsfarve1 5 4 3 2" xfId="9428" xr:uid="{00000000-0005-0000-0000-000082070000}"/>
    <cellStyle name="20 % - Markeringsfarve1 5 4 3 2 2" xfId="17338" xr:uid="{00000000-0005-0000-0000-000083070000}"/>
    <cellStyle name="20 % - Markeringsfarve1 5 4 3 2 2 2" xfId="35498" xr:uid="{00000000-0005-0000-0000-000084070000}"/>
    <cellStyle name="20 % - Markeringsfarve1 5 4 3 2 3" xfId="28497" xr:uid="{00000000-0005-0000-0000-000085070000}"/>
    <cellStyle name="20 % - Markeringsfarve1 5 4 3 3" xfId="12618" xr:uid="{00000000-0005-0000-0000-000086070000}"/>
    <cellStyle name="20 % - Markeringsfarve1 5 4 3 3 2" xfId="30785" xr:uid="{00000000-0005-0000-0000-000087070000}"/>
    <cellStyle name="20 % - Markeringsfarve1 5 4 3 4" xfId="23783" xr:uid="{00000000-0005-0000-0000-000088070000}"/>
    <cellStyle name="20 % - Markeringsfarve1 5 4 4" xfId="4065" xr:uid="{00000000-0005-0000-0000-000089070000}"/>
    <cellStyle name="20 % - Markeringsfarve1 5 4 4 2" xfId="10566" xr:uid="{00000000-0005-0000-0000-00008A070000}"/>
    <cellStyle name="20 % - Markeringsfarve1 5 4 4 2 2" xfId="18460" xr:uid="{00000000-0005-0000-0000-00008B070000}"/>
    <cellStyle name="20 % - Markeringsfarve1 5 4 4 2 2 2" xfId="36620" xr:uid="{00000000-0005-0000-0000-00008C070000}"/>
    <cellStyle name="20 % - Markeringsfarve1 5 4 4 2 3" xfId="29619" xr:uid="{00000000-0005-0000-0000-00008D070000}"/>
    <cellStyle name="20 % - Markeringsfarve1 5 4 4 3" xfId="12619" xr:uid="{00000000-0005-0000-0000-00008E070000}"/>
    <cellStyle name="20 % - Markeringsfarve1 5 4 4 3 2" xfId="30786" xr:uid="{00000000-0005-0000-0000-00008F070000}"/>
    <cellStyle name="20 % - Markeringsfarve1 5 4 4 4" xfId="23784" xr:uid="{00000000-0005-0000-0000-000090070000}"/>
    <cellStyle name="20 % - Markeringsfarve1 5 4 5" xfId="7683" xr:uid="{00000000-0005-0000-0000-000091070000}"/>
    <cellStyle name="20 % - Markeringsfarve1 5 4 5 2" xfId="15601" xr:uid="{00000000-0005-0000-0000-000092070000}"/>
    <cellStyle name="20 % - Markeringsfarve1 5 4 5 2 2" xfId="33761" xr:uid="{00000000-0005-0000-0000-000093070000}"/>
    <cellStyle name="20 % - Markeringsfarve1 5 4 5 3" xfId="26760" xr:uid="{00000000-0005-0000-0000-000094070000}"/>
    <cellStyle name="20 % - Markeringsfarve1 5 4 6" xfId="12615" xr:uid="{00000000-0005-0000-0000-000095070000}"/>
    <cellStyle name="20 % - Markeringsfarve1 5 4 6 2" xfId="30782" xr:uid="{00000000-0005-0000-0000-000096070000}"/>
    <cellStyle name="20 % - Markeringsfarve1 5 4 7" xfId="23780" xr:uid="{00000000-0005-0000-0000-000097070000}"/>
    <cellStyle name="20 % - Markeringsfarve1 5 5" xfId="4066" xr:uid="{00000000-0005-0000-0000-000098070000}"/>
    <cellStyle name="20 % - Markeringsfarve1 5 5 2" xfId="4067" xr:uid="{00000000-0005-0000-0000-000099070000}"/>
    <cellStyle name="20 % - Markeringsfarve1 5 5 2 2" xfId="4068" xr:uid="{00000000-0005-0000-0000-00009A070000}"/>
    <cellStyle name="20 % - Markeringsfarve1 5 5 2 2 2" xfId="10269" xr:uid="{00000000-0005-0000-0000-00009B070000}"/>
    <cellStyle name="20 % - Markeringsfarve1 5 5 2 2 2 2" xfId="18170" xr:uid="{00000000-0005-0000-0000-00009C070000}"/>
    <cellStyle name="20 % - Markeringsfarve1 5 5 2 2 2 2 2" xfId="36330" xr:uid="{00000000-0005-0000-0000-00009D070000}"/>
    <cellStyle name="20 % - Markeringsfarve1 5 5 2 2 2 3" xfId="29329" xr:uid="{00000000-0005-0000-0000-00009E070000}"/>
    <cellStyle name="20 % - Markeringsfarve1 5 5 2 2 3" xfId="12622" xr:uid="{00000000-0005-0000-0000-00009F070000}"/>
    <cellStyle name="20 % - Markeringsfarve1 5 5 2 2 3 2" xfId="30789" xr:uid="{00000000-0005-0000-0000-0000A0070000}"/>
    <cellStyle name="20 % - Markeringsfarve1 5 5 2 2 4" xfId="23787" xr:uid="{00000000-0005-0000-0000-0000A1070000}"/>
    <cellStyle name="20 % - Markeringsfarve1 5 5 2 3" xfId="8786" xr:uid="{00000000-0005-0000-0000-0000A2070000}"/>
    <cellStyle name="20 % - Markeringsfarve1 5 5 2 3 2" xfId="16700" xr:uid="{00000000-0005-0000-0000-0000A3070000}"/>
    <cellStyle name="20 % - Markeringsfarve1 5 5 2 3 2 2" xfId="34860" xr:uid="{00000000-0005-0000-0000-0000A4070000}"/>
    <cellStyle name="20 % - Markeringsfarve1 5 5 2 3 3" xfId="27859" xr:uid="{00000000-0005-0000-0000-0000A5070000}"/>
    <cellStyle name="20 % - Markeringsfarve1 5 5 2 4" xfId="12621" xr:uid="{00000000-0005-0000-0000-0000A6070000}"/>
    <cellStyle name="20 % - Markeringsfarve1 5 5 2 4 2" xfId="30788" xr:uid="{00000000-0005-0000-0000-0000A7070000}"/>
    <cellStyle name="20 % - Markeringsfarve1 5 5 2 5" xfId="23786" xr:uid="{00000000-0005-0000-0000-0000A8070000}"/>
    <cellStyle name="20 % - Markeringsfarve1 5 5 3" xfId="4069" xr:uid="{00000000-0005-0000-0000-0000A9070000}"/>
    <cellStyle name="20 % - Markeringsfarve1 5 5 3 2" xfId="9545" xr:uid="{00000000-0005-0000-0000-0000AA070000}"/>
    <cellStyle name="20 % - Markeringsfarve1 5 5 3 2 2" xfId="17455" xr:uid="{00000000-0005-0000-0000-0000AB070000}"/>
    <cellStyle name="20 % - Markeringsfarve1 5 5 3 2 2 2" xfId="35615" xr:uid="{00000000-0005-0000-0000-0000AC070000}"/>
    <cellStyle name="20 % - Markeringsfarve1 5 5 3 2 3" xfId="28614" xr:uid="{00000000-0005-0000-0000-0000AD070000}"/>
    <cellStyle name="20 % - Markeringsfarve1 5 5 3 3" xfId="12623" xr:uid="{00000000-0005-0000-0000-0000AE070000}"/>
    <cellStyle name="20 % - Markeringsfarve1 5 5 3 3 2" xfId="30790" xr:uid="{00000000-0005-0000-0000-0000AF070000}"/>
    <cellStyle name="20 % - Markeringsfarve1 5 5 3 4" xfId="23788" xr:uid="{00000000-0005-0000-0000-0000B0070000}"/>
    <cellStyle name="20 % - Markeringsfarve1 5 5 4" xfId="4070" xr:uid="{00000000-0005-0000-0000-0000B1070000}"/>
    <cellStyle name="20 % - Markeringsfarve1 5 5 4 2" xfId="10565" xr:uid="{00000000-0005-0000-0000-0000B2070000}"/>
    <cellStyle name="20 % - Markeringsfarve1 5 5 4 2 2" xfId="18459" xr:uid="{00000000-0005-0000-0000-0000B3070000}"/>
    <cellStyle name="20 % - Markeringsfarve1 5 5 4 2 2 2" xfId="36619" xr:uid="{00000000-0005-0000-0000-0000B4070000}"/>
    <cellStyle name="20 % - Markeringsfarve1 5 5 4 2 3" xfId="29618" xr:uid="{00000000-0005-0000-0000-0000B5070000}"/>
    <cellStyle name="20 % - Markeringsfarve1 5 5 4 3" xfId="12624" xr:uid="{00000000-0005-0000-0000-0000B6070000}"/>
    <cellStyle name="20 % - Markeringsfarve1 5 5 4 3 2" xfId="30791" xr:uid="{00000000-0005-0000-0000-0000B7070000}"/>
    <cellStyle name="20 % - Markeringsfarve1 5 5 4 4" xfId="23789" xr:uid="{00000000-0005-0000-0000-0000B8070000}"/>
    <cellStyle name="20 % - Markeringsfarve1 5 5 5" xfId="7684" xr:uid="{00000000-0005-0000-0000-0000B9070000}"/>
    <cellStyle name="20 % - Markeringsfarve1 5 5 5 2" xfId="15602" xr:uid="{00000000-0005-0000-0000-0000BA070000}"/>
    <cellStyle name="20 % - Markeringsfarve1 5 5 5 2 2" xfId="33762" xr:uid="{00000000-0005-0000-0000-0000BB070000}"/>
    <cellStyle name="20 % - Markeringsfarve1 5 5 5 3" xfId="26761" xr:uid="{00000000-0005-0000-0000-0000BC070000}"/>
    <cellStyle name="20 % - Markeringsfarve1 5 5 6" xfId="12620" xr:uid="{00000000-0005-0000-0000-0000BD070000}"/>
    <cellStyle name="20 % - Markeringsfarve1 5 5 6 2" xfId="30787" xr:uid="{00000000-0005-0000-0000-0000BE070000}"/>
    <cellStyle name="20 % - Markeringsfarve1 5 5 7" xfId="23785" xr:uid="{00000000-0005-0000-0000-0000BF070000}"/>
    <cellStyle name="20 % - Markeringsfarve1 5 6" xfId="4071" xr:uid="{00000000-0005-0000-0000-0000C0070000}"/>
    <cellStyle name="20 % - Markeringsfarve1 5 6 2" xfId="4072" xr:uid="{00000000-0005-0000-0000-0000C1070000}"/>
    <cellStyle name="20 % - Markeringsfarve1 5 6 2 2" xfId="4073" xr:uid="{00000000-0005-0000-0000-0000C2070000}"/>
    <cellStyle name="20 % - Markeringsfarve1 5 6 2 2 2" xfId="10316" xr:uid="{00000000-0005-0000-0000-0000C3070000}"/>
    <cellStyle name="20 % - Markeringsfarve1 5 6 2 2 2 2" xfId="18217" xr:uid="{00000000-0005-0000-0000-0000C4070000}"/>
    <cellStyle name="20 % - Markeringsfarve1 5 6 2 2 2 2 2" xfId="36377" xr:uid="{00000000-0005-0000-0000-0000C5070000}"/>
    <cellStyle name="20 % - Markeringsfarve1 5 6 2 2 2 3" xfId="29376" xr:uid="{00000000-0005-0000-0000-0000C6070000}"/>
    <cellStyle name="20 % - Markeringsfarve1 5 6 2 2 3" xfId="12627" xr:uid="{00000000-0005-0000-0000-0000C7070000}"/>
    <cellStyle name="20 % - Markeringsfarve1 5 6 2 2 3 2" xfId="30794" xr:uid="{00000000-0005-0000-0000-0000C8070000}"/>
    <cellStyle name="20 % - Markeringsfarve1 5 6 2 2 4" xfId="23792" xr:uid="{00000000-0005-0000-0000-0000C9070000}"/>
    <cellStyle name="20 % - Markeringsfarve1 5 6 2 3" xfId="8827" xr:uid="{00000000-0005-0000-0000-0000CA070000}"/>
    <cellStyle name="20 % - Markeringsfarve1 5 6 2 3 2" xfId="16741" xr:uid="{00000000-0005-0000-0000-0000CB070000}"/>
    <cellStyle name="20 % - Markeringsfarve1 5 6 2 3 2 2" xfId="34901" xr:uid="{00000000-0005-0000-0000-0000CC070000}"/>
    <cellStyle name="20 % - Markeringsfarve1 5 6 2 3 3" xfId="27900" xr:uid="{00000000-0005-0000-0000-0000CD070000}"/>
    <cellStyle name="20 % - Markeringsfarve1 5 6 2 4" xfId="12626" xr:uid="{00000000-0005-0000-0000-0000CE070000}"/>
    <cellStyle name="20 % - Markeringsfarve1 5 6 2 4 2" xfId="30793" xr:uid="{00000000-0005-0000-0000-0000CF070000}"/>
    <cellStyle name="20 % - Markeringsfarve1 5 6 2 5" xfId="23791" xr:uid="{00000000-0005-0000-0000-0000D0070000}"/>
    <cellStyle name="20 % - Markeringsfarve1 5 6 3" xfId="4074" xr:uid="{00000000-0005-0000-0000-0000D1070000}"/>
    <cellStyle name="20 % - Markeringsfarve1 5 6 3 2" xfId="9593" xr:uid="{00000000-0005-0000-0000-0000D2070000}"/>
    <cellStyle name="20 % - Markeringsfarve1 5 6 3 2 2" xfId="17503" xr:uid="{00000000-0005-0000-0000-0000D3070000}"/>
    <cellStyle name="20 % - Markeringsfarve1 5 6 3 2 2 2" xfId="35663" xr:uid="{00000000-0005-0000-0000-0000D4070000}"/>
    <cellStyle name="20 % - Markeringsfarve1 5 6 3 2 3" xfId="28662" xr:uid="{00000000-0005-0000-0000-0000D5070000}"/>
    <cellStyle name="20 % - Markeringsfarve1 5 6 3 3" xfId="12628" xr:uid="{00000000-0005-0000-0000-0000D6070000}"/>
    <cellStyle name="20 % - Markeringsfarve1 5 6 3 3 2" xfId="30795" xr:uid="{00000000-0005-0000-0000-0000D7070000}"/>
    <cellStyle name="20 % - Markeringsfarve1 5 6 3 4" xfId="23793" xr:uid="{00000000-0005-0000-0000-0000D8070000}"/>
    <cellStyle name="20 % - Markeringsfarve1 5 6 4" xfId="4075" xr:uid="{00000000-0005-0000-0000-0000D9070000}"/>
    <cellStyle name="20 % - Markeringsfarve1 5 6 4 2" xfId="10564" xr:uid="{00000000-0005-0000-0000-0000DA070000}"/>
    <cellStyle name="20 % - Markeringsfarve1 5 6 4 2 2" xfId="18458" xr:uid="{00000000-0005-0000-0000-0000DB070000}"/>
    <cellStyle name="20 % - Markeringsfarve1 5 6 4 2 2 2" xfId="36618" xr:uid="{00000000-0005-0000-0000-0000DC070000}"/>
    <cellStyle name="20 % - Markeringsfarve1 5 6 4 2 3" xfId="29617" xr:uid="{00000000-0005-0000-0000-0000DD070000}"/>
    <cellStyle name="20 % - Markeringsfarve1 5 6 4 3" xfId="12629" xr:uid="{00000000-0005-0000-0000-0000DE070000}"/>
    <cellStyle name="20 % - Markeringsfarve1 5 6 4 3 2" xfId="30796" xr:uid="{00000000-0005-0000-0000-0000DF070000}"/>
    <cellStyle name="20 % - Markeringsfarve1 5 6 4 4" xfId="23794" xr:uid="{00000000-0005-0000-0000-0000E0070000}"/>
    <cellStyle name="20 % - Markeringsfarve1 5 6 5" xfId="7685" xr:uid="{00000000-0005-0000-0000-0000E1070000}"/>
    <cellStyle name="20 % - Markeringsfarve1 5 6 5 2" xfId="15603" xr:uid="{00000000-0005-0000-0000-0000E2070000}"/>
    <cellStyle name="20 % - Markeringsfarve1 5 6 5 2 2" xfId="33763" xr:uid="{00000000-0005-0000-0000-0000E3070000}"/>
    <cellStyle name="20 % - Markeringsfarve1 5 6 5 3" xfId="26762" xr:uid="{00000000-0005-0000-0000-0000E4070000}"/>
    <cellStyle name="20 % - Markeringsfarve1 5 6 6" xfId="12625" xr:uid="{00000000-0005-0000-0000-0000E5070000}"/>
    <cellStyle name="20 % - Markeringsfarve1 5 6 6 2" xfId="30792" xr:uid="{00000000-0005-0000-0000-0000E6070000}"/>
    <cellStyle name="20 % - Markeringsfarve1 5 6 7" xfId="23790" xr:uid="{00000000-0005-0000-0000-0000E7070000}"/>
    <cellStyle name="20 % - Markeringsfarve1 5 7" xfId="4076" xr:uid="{00000000-0005-0000-0000-0000E8070000}"/>
    <cellStyle name="20 % - Markeringsfarve1 5 7 2" xfId="4077" xr:uid="{00000000-0005-0000-0000-0000E9070000}"/>
    <cellStyle name="20 % - Markeringsfarve1 5 7 2 2" xfId="9795" xr:uid="{00000000-0005-0000-0000-0000EA070000}"/>
    <cellStyle name="20 % - Markeringsfarve1 5 7 2 2 2" xfId="17696" xr:uid="{00000000-0005-0000-0000-0000EB070000}"/>
    <cellStyle name="20 % - Markeringsfarve1 5 7 2 2 2 2" xfId="35856" xr:uid="{00000000-0005-0000-0000-0000EC070000}"/>
    <cellStyle name="20 % - Markeringsfarve1 5 7 2 2 3" xfId="28855" xr:uid="{00000000-0005-0000-0000-0000ED070000}"/>
    <cellStyle name="20 % - Markeringsfarve1 5 7 2 3" xfId="12631" xr:uid="{00000000-0005-0000-0000-0000EE070000}"/>
    <cellStyle name="20 % - Markeringsfarve1 5 7 2 3 2" xfId="30798" xr:uid="{00000000-0005-0000-0000-0000EF070000}"/>
    <cellStyle name="20 % - Markeringsfarve1 5 7 2 4" xfId="23796" xr:uid="{00000000-0005-0000-0000-0000F0070000}"/>
    <cellStyle name="20 % - Markeringsfarve1 5 7 3" xfId="8386" xr:uid="{00000000-0005-0000-0000-0000F1070000}"/>
    <cellStyle name="20 % - Markeringsfarve1 5 7 3 2" xfId="16303" xr:uid="{00000000-0005-0000-0000-0000F2070000}"/>
    <cellStyle name="20 % - Markeringsfarve1 5 7 3 2 2" xfId="34463" xr:uid="{00000000-0005-0000-0000-0000F3070000}"/>
    <cellStyle name="20 % - Markeringsfarve1 5 7 3 3" xfId="27462" xr:uid="{00000000-0005-0000-0000-0000F4070000}"/>
    <cellStyle name="20 % - Markeringsfarve1 5 7 4" xfId="12630" xr:uid="{00000000-0005-0000-0000-0000F5070000}"/>
    <cellStyle name="20 % - Markeringsfarve1 5 7 4 2" xfId="30797" xr:uid="{00000000-0005-0000-0000-0000F6070000}"/>
    <cellStyle name="20 % - Markeringsfarve1 5 7 5" xfId="23795" xr:uid="{00000000-0005-0000-0000-0000F7070000}"/>
    <cellStyle name="20 % - Markeringsfarve1 5 8" xfId="4078" xr:uid="{00000000-0005-0000-0000-0000F8070000}"/>
    <cellStyle name="20 % - Markeringsfarve1 5 8 2" xfId="9023" xr:uid="{00000000-0005-0000-0000-0000F9070000}"/>
    <cellStyle name="20 % - Markeringsfarve1 5 8 2 2" xfId="16934" xr:uid="{00000000-0005-0000-0000-0000FA070000}"/>
    <cellStyle name="20 % - Markeringsfarve1 5 8 2 2 2" xfId="35094" xr:uid="{00000000-0005-0000-0000-0000FB070000}"/>
    <cellStyle name="20 % - Markeringsfarve1 5 8 2 3" xfId="28093" xr:uid="{00000000-0005-0000-0000-0000FC070000}"/>
    <cellStyle name="20 % - Markeringsfarve1 5 8 3" xfId="12632" xr:uid="{00000000-0005-0000-0000-0000FD070000}"/>
    <cellStyle name="20 % - Markeringsfarve1 5 8 3 2" xfId="30799" xr:uid="{00000000-0005-0000-0000-0000FE070000}"/>
    <cellStyle name="20 % - Markeringsfarve1 5 8 4" xfId="23797" xr:uid="{00000000-0005-0000-0000-0000FF070000}"/>
    <cellStyle name="20 % - Markeringsfarve1 5 9" xfId="4079" xr:uid="{00000000-0005-0000-0000-000000080000}"/>
    <cellStyle name="20 % - Markeringsfarve1 5 9 2" xfId="10569" xr:uid="{00000000-0005-0000-0000-000001080000}"/>
    <cellStyle name="20 % - Markeringsfarve1 5 9 2 2" xfId="18463" xr:uid="{00000000-0005-0000-0000-000002080000}"/>
    <cellStyle name="20 % - Markeringsfarve1 5 9 2 2 2" xfId="36623" xr:uid="{00000000-0005-0000-0000-000003080000}"/>
    <cellStyle name="20 % - Markeringsfarve1 5 9 2 3" xfId="29622" xr:uid="{00000000-0005-0000-0000-000004080000}"/>
    <cellStyle name="20 % - Markeringsfarve1 5 9 3" xfId="12633" xr:uid="{00000000-0005-0000-0000-000005080000}"/>
    <cellStyle name="20 % - Markeringsfarve1 5 9 3 2" xfId="30800" xr:uid="{00000000-0005-0000-0000-000006080000}"/>
    <cellStyle name="20 % - Markeringsfarve1 5 9 4" xfId="23798" xr:uid="{00000000-0005-0000-0000-000007080000}"/>
    <cellStyle name="20 % - Markeringsfarve1 6" xfId="1781" xr:uid="{00000000-0005-0000-0000-000008080000}"/>
    <cellStyle name="20 % - Markeringsfarve1 6 2" xfId="1782" xr:uid="{00000000-0005-0000-0000-000009080000}"/>
    <cellStyle name="20 % - Markeringsfarve1 6 2 2" xfId="4082" xr:uid="{00000000-0005-0000-0000-00000A080000}"/>
    <cellStyle name="20 % - Markeringsfarve1 6 2 2 2" xfId="4083" xr:uid="{00000000-0005-0000-0000-00000B080000}"/>
    <cellStyle name="20 % - Markeringsfarve1 6 2 2 2 2" xfId="9962" xr:uid="{00000000-0005-0000-0000-00000C080000}"/>
    <cellStyle name="20 % - Markeringsfarve1 6 2 2 2 2 2" xfId="17863" xr:uid="{00000000-0005-0000-0000-00000D080000}"/>
    <cellStyle name="20 % - Markeringsfarve1 6 2 2 2 2 2 2" xfId="36023" xr:uid="{00000000-0005-0000-0000-00000E080000}"/>
    <cellStyle name="20 % - Markeringsfarve1 6 2 2 2 2 3" xfId="29022" xr:uid="{00000000-0005-0000-0000-00000F080000}"/>
    <cellStyle name="20 % - Markeringsfarve1 6 2 2 2 3" xfId="12637" xr:uid="{00000000-0005-0000-0000-000010080000}"/>
    <cellStyle name="20 % - Markeringsfarve1 6 2 2 2 3 2" xfId="30804" xr:uid="{00000000-0005-0000-0000-000011080000}"/>
    <cellStyle name="20 % - Markeringsfarve1 6 2 2 2 4" xfId="23802" xr:uid="{00000000-0005-0000-0000-000012080000}"/>
    <cellStyle name="20 % - Markeringsfarve1 6 2 2 3" xfId="8526" xr:uid="{00000000-0005-0000-0000-000013080000}"/>
    <cellStyle name="20 % - Markeringsfarve1 6 2 2 3 2" xfId="16443" xr:uid="{00000000-0005-0000-0000-000014080000}"/>
    <cellStyle name="20 % - Markeringsfarve1 6 2 2 3 2 2" xfId="34603" xr:uid="{00000000-0005-0000-0000-000015080000}"/>
    <cellStyle name="20 % - Markeringsfarve1 6 2 2 3 3" xfId="27602" xr:uid="{00000000-0005-0000-0000-000016080000}"/>
    <cellStyle name="20 % - Markeringsfarve1 6 2 2 4" xfId="12636" xr:uid="{00000000-0005-0000-0000-000017080000}"/>
    <cellStyle name="20 % - Markeringsfarve1 6 2 2 4 2" xfId="30803" xr:uid="{00000000-0005-0000-0000-000018080000}"/>
    <cellStyle name="20 % - Markeringsfarve1 6 2 2 5" xfId="23801" xr:uid="{00000000-0005-0000-0000-000019080000}"/>
    <cellStyle name="20 % - Markeringsfarve1 6 2 3" xfId="4084" xr:uid="{00000000-0005-0000-0000-00001A080000}"/>
    <cellStyle name="20 % - Markeringsfarve1 6 2 3 2" xfId="9192" xr:uid="{00000000-0005-0000-0000-00001B080000}"/>
    <cellStyle name="20 % - Markeringsfarve1 6 2 3 2 2" xfId="17103" xr:uid="{00000000-0005-0000-0000-00001C080000}"/>
    <cellStyle name="20 % - Markeringsfarve1 6 2 3 2 2 2" xfId="35263" xr:uid="{00000000-0005-0000-0000-00001D080000}"/>
    <cellStyle name="20 % - Markeringsfarve1 6 2 3 2 3" xfId="28262" xr:uid="{00000000-0005-0000-0000-00001E080000}"/>
    <cellStyle name="20 % - Markeringsfarve1 6 2 3 3" xfId="12638" xr:uid="{00000000-0005-0000-0000-00001F080000}"/>
    <cellStyle name="20 % - Markeringsfarve1 6 2 3 3 2" xfId="30805" xr:uid="{00000000-0005-0000-0000-000020080000}"/>
    <cellStyle name="20 % - Markeringsfarve1 6 2 3 4" xfId="23803" xr:uid="{00000000-0005-0000-0000-000021080000}"/>
    <cellStyle name="20 % - Markeringsfarve1 6 2 4" xfId="4085" xr:uid="{00000000-0005-0000-0000-000022080000}"/>
    <cellStyle name="20 % - Markeringsfarve1 6 2 4 2" xfId="10760" xr:uid="{00000000-0005-0000-0000-000023080000}"/>
    <cellStyle name="20 % - Markeringsfarve1 6 2 4 2 2" xfId="18648" xr:uid="{00000000-0005-0000-0000-000024080000}"/>
    <cellStyle name="20 % - Markeringsfarve1 6 2 4 2 2 2" xfId="36808" xr:uid="{00000000-0005-0000-0000-000025080000}"/>
    <cellStyle name="20 % - Markeringsfarve1 6 2 4 2 3" xfId="29807" xr:uid="{00000000-0005-0000-0000-000026080000}"/>
    <cellStyle name="20 % - Markeringsfarve1 6 2 4 3" xfId="12639" xr:uid="{00000000-0005-0000-0000-000027080000}"/>
    <cellStyle name="20 % - Markeringsfarve1 6 2 4 3 2" xfId="30806" xr:uid="{00000000-0005-0000-0000-000028080000}"/>
    <cellStyle name="20 % - Markeringsfarve1 6 2 4 4" xfId="23804" xr:uid="{00000000-0005-0000-0000-000029080000}"/>
    <cellStyle name="20 % - Markeringsfarve1 6 2 5" xfId="7687" xr:uid="{00000000-0005-0000-0000-00002A080000}"/>
    <cellStyle name="20 % - Markeringsfarve1 6 2 5 2" xfId="15605" xr:uid="{00000000-0005-0000-0000-00002B080000}"/>
    <cellStyle name="20 % - Markeringsfarve1 6 2 5 2 2" xfId="33765" xr:uid="{00000000-0005-0000-0000-00002C080000}"/>
    <cellStyle name="20 % - Markeringsfarve1 6 2 5 3" xfId="26764" xr:uid="{00000000-0005-0000-0000-00002D080000}"/>
    <cellStyle name="20 % - Markeringsfarve1 6 2 6" xfId="12635" xr:uid="{00000000-0005-0000-0000-00002E080000}"/>
    <cellStyle name="20 % - Markeringsfarve1 6 2 6 2" xfId="30802" xr:uid="{00000000-0005-0000-0000-00002F080000}"/>
    <cellStyle name="20 % - Markeringsfarve1 6 2 7" xfId="4081" xr:uid="{00000000-0005-0000-0000-000030080000}"/>
    <cellStyle name="20 % - Markeringsfarve1 6 2 7 2" xfId="23800" xr:uid="{00000000-0005-0000-0000-000031080000}"/>
    <cellStyle name="20 % - Markeringsfarve1 6 2 8" xfId="21906" xr:uid="{00000000-0005-0000-0000-000032080000}"/>
    <cellStyle name="20 % - Markeringsfarve1 6 3" xfId="4086" xr:uid="{00000000-0005-0000-0000-000033080000}"/>
    <cellStyle name="20 % - Markeringsfarve1 6 3 2" xfId="4087" xr:uid="{00000000-0005-0000-0000-000034080000}"/>
    <cellStyle name="20 % - Markeringsfarve1 6 3 2 2" xfId="9836" xr:uid="{00000000-0005-0000-0000-000035080000}"/>
    <cellStyle name="20 % - Markeringsfarve1 6 3 2 2 2" xfId="17737" xr:uid="{00000000-0005-0000-0000-000036080000}"/>
    <cellStyle name="20 % - Markeringsfarve1 6 3 2 2 2 2" xfId="35897" xr:uid="{00000000-0005-0000-0000-000037080000}"/>
    <cellStyle name="20 % - Markeringsfarve1 6 3 2 2 3" xfId="28896" xr:uid="{00000000-0005-0000-0000-000038080000}"/>
    <cellStyle name="20 % - Markeringsfarve1 6 3 2 3" xfId="12641" xr:uid="{00000000-0005-0000-0000-000039080000}"/>
    <cellStyle name="20 % - Markeringsfarve1 6 3 2 3 2" xfId="30808" xr:uid="{00000000-0005-0000-0000-00003A080000}"/>
    <cellStyle name="20 % - Markeringsfarve1 6 3 2 4" xfId="23806" xr:uid="{00000000-0005-0000-0000-00003B080000}"/>
    <cellStyle name="20 % - Markeringsfarve1 6 3 3" xfId="8419" xr:uid="{00000000-0005-0000-0000-00003C080000}"/>
    <cellStyle name="20 % - Markeringsfarve1 6 3 3 2" xfId="16336" xr:uid="{00000000-0005-0000-0000-00003D080000}"/>
    <cellStyle name="20 % - Markeringsfarve1 6 3 3 2 2" xfId="34496" xr:uid="{00000000-0005-0000-0000-00003E080000}"/>
    <cellStyle name="20 % - Markeringsfarve1 6 3 3 3" xfId="27495" xr:uid="{00000000-0005-0000-0000-00003F080000}"/>
    <cellStyle name="20 % - Markeringsfarve1 6 3 4" xfId="12640" xr:uid="{00000000-0005-0000-0000-000040080000}"/>
    <cellStyle name="20 % - Markeringsfarve1 6 3 4 2" xfId="30807" xr:uid="{00000000-0005-0000-0000-000041080000}"/>
    <cellStyle name="20 % - Markeringsfarve1 6 3 5" xfId="23805" xr:uid="{00000000-0005-0000-0000-000042080000}"/>
    <cellStyle name="20 % - Markeringsfarve1 6 4" xfId="4088" xr:uid="{00000000-0005-0000-0000-000043080000}"/>
    <cellStyle name="20 % - Markeringsfarve1 6 4 2" xfId="9066" xr:uid="{00000000-0005-0000-0000-000044080000}"/>
    <cellStyle name="20 % - Markeringsfarve1 6 4 2 2" xfId="16977" xr:uid="{00000000-0005-0000-0000-000045080000}"/>
    <cellStyle name="20 % - Markeringsfarve1 6 4 2 2 2" xfId="35137" xr:uid="{00000000-0005-0000-0000-000046080000}"/>
    <cellStyle name="20 % - Markeringsfarve1 6 4 2 3" xfId="28136" xr:uid="{00000000-0005-0000-0000-000047080000}"/>
    <cellStyle name="20 % - Markeringsfarve1 6 4 3" xfId="12642" xr:uid="{00000000-0005-0000-0000-000048080000}"/>
    <cellStyle name="20 % - Markeringsfarve1 6 4 3 2" xfId="30809" xr:uid="{00000000-0005-0000-0000-000049080000}"/>
    <cellStyle name="20 % - Markeringsfarve1 6 4 4" xfId="23807" xr:uid="{00000000-0005-0000-0000-00004A080000}"/>
    <cellStyle name="20 % - Markeringsfarve1 6 5" xfId="4089" xr:uid="{00000000-0005-0000-0000-00004B080000}"/>
    <cellStyle name="20 % - Markeringsfarve1 6 5 2" xfId="9330" xr:uid="{00000000-0005-0000-0000-00004C080000}"/>
    <cellStyle name="20 % - Markeringsfarve1 6 5 2 2" xfId="17240" xr:uid="{00000000-0005-0000-0000-00004D080000}"/>
    <cellStyle name="20 % - Markeringsfarve1 6 5 2 2 2" xfId="35400" xr:uid="{00000000-0005-0000-0000-00004E080000}"/>
    <cellStyle name="20 % - Markeringsfarve1 6 5 2 3" xfId="28399" xr:uid="{00000000-0005-0000-0000-00004F080000}"/>
    <cellStyle name="20 % - Markeringsfarve1 6 5 3" xfId="12643" xr:uid="{00000000-0005-0000-0000-000050080000}"/>
    <cellStyle name="20 % - Markeringsfarve1 6 5 3 2" xfId="30810" xr:uid="{00000000-0005-0000-0000-000051080000}"/>
    <cellStyle name="20 % - Markeringsfarve1 6 5 4" xfId="23808" xr:uid="{00000000-0005-0000-0000-000052080000}"/>
    <cellStyle name="20 % - Markeringsfarve1 6 6" xfId="7686" xr:uid="{00000000-0005-0000-0000-000053080000}"/>
    <cellStyle name="20 % - Markeringsfarve1 6 6 2" xfId="15604" xr:uid="{00000000-0005-0000-0000-000054080000}"/>
    <cellStyle name="20 % - Markeringsfarve1 6 6 2 2" xfId="33764" xr:uid="{00000000-0005-0000-0000-000055080000}"/>
    <cellStyle name="20 % - Markeringsfarve1 6 6 3" xfId="26763" xr:uid="{00000000-0005-0000-0000-000056080000}"/>
    <cellStyle name="20 % - Markeringsfarve1 6 7" xfId="12634" xr:uid="{00000000-0005-0000-0000-000057080000}"/>
    <cellStyle name="20 % - Markeringsfarve1 6 7 2" xfId="30801" xr:uid="{00000000-0005-0000-0000-000058080000}"/>
    <cellStyle name="20 % - Markeringsfarve1 6 8" xfId="4080" xr:uid="{00000000-0005-0000-0000-000059080000}"/>
    <cellStyle name="20 % - Markeringsfarve1 6 8 2" xfId="23799" xr:uid="{00000000-0005-0000-0000-00005A080000}"/>
    <cellStyle name="20 % - Markeringsfarve1 6 9" xfId="21905" xr:uid="{00000000-0005-0000-0000-00005B080000}"/>
    <cellStyle name="20 % - Markeringsfarve1 7" xfId="1783" xr:uid="{00000000-0005-0000-0000-00005C080000}"/>
    <cellStyle name="20 % - Markeringsfarve1 7 2" xfId="4091" xr:uid="{00000000-0005-0000-0000-00005D080000}"/>
    <cellStyle name="20 % - Markeringsfarve1 7 2 2" xfId="4092" xr:uid="{00000000-0005-0000-0000-00005E080000}"/>
    <cellStyle name="20 % - Markeringsfarve1 7 2 2 2" xfId="10074" xr:uid="{00000000-0005-0000-0000-00005F080000}"/>
    <cellStyle name="20 % - Markeringsfarve1 7 2 2 2 2" xfId="17975" xr:uid="{00000000-0005-0000-0000-000060080000}"/>
    <cellStyle name="20 % - Markeringsfarve1 7 2 2 2 2 2" xfId="36135" xr:uid="{00000000-0005-0000-0000-000061080000}"/>
    <cellStyle name="20 % - Markeringsfarve1 7 2 2 2 3" xfId="29134" xr:uid="{00000000-0005-0000-0000-000062080000}"/>
    <cellStyle name="20 % - Markeringsfarve1 7 2 2 3" xfId="12646" xr:uid="{00000000-0005-0000-0000-000063080000}"/>
    <cellStyle name="20 % - Markeringsfarve1 7 2 2 3 2" xfId="30813" xr:uid="{00000000-0005-0000-0000-000064080000}"/>
    <cellStyle name="20 % - Markeringsfarve1 7 2 2 4" xfId="23811" xr:uid="{00000000-0005-0000-0000-000065080000}"/>
    <cellStyle name="20 % - Markeringsfarve1 7 2 3" xfId="8621" xr:uid="{00000000-0005-0000-0000-000066080000}"/>
    <cellStyle name="20 % - Markeringsfarve1 7 2 3 2" xfId="16535" xr:uid="{00000000-0005-0000-0000-000067080000}"/>
    <cellStyle name="20 % - Markeringsfarve1 7 2 3 2 2" xfId="34695" xr:uid="{00000000-0005-0000-0000-000068080000}"/>
    <cellStyle name="20 % - Markeringsfarve1 7 2 3 3" xfId="27694" xr:uid="{00000000-0005-0000-0000-000069080000}"/>
    <cellStyle name="20 % - Markeringsfarve1 7 2 4" xfId="12645" xr:uid="{00000000-0005-0000-0000-00006A080000}"/>
    <cellStyle name="20 % - Markeringsfarve1 7 2 4 2" xfId="30812" xr:uid="{00000000-0005-0000-0000-00006B080000}"/>
    <cellStyle name="20 % - Markeringsfarve1 7 2 5" xfId="23810" xr:uid="{00000000-0005-0000-0000-00006C080000}"/>
    <cellStyle name="20 % - Markeringsfarve1 7 3" xfId="4093" xr:uid="{00000000-0005-0000-0000-00006D080000}"/>
    <cellStyle name="20 % - Markeringsfarve1 7 3 2" xfId="9350" xr:uid="{00000000-0005-0000-0000-00006E080000}"/>
    <cellStyle name="20 % - Markeringsfarve1 7 3 2 2" xfId="17260" xr:uid="{00000000-0005-0000-0000-00006F080000}"/>
    <cellStyle name="20 % - Markeringsfarve1 7 3 2 2 2" xfId="35420" xr:uid="{00000000-0005-0000-0000-000070080000}"/>
    <cellStyle name="20 % - Markeringsfarve1 7 3 2 3" xfId="28419" xr:uid="{00000000-0005-0000-0000-000071080000}"/>
    <cellStyle name="20 % - Markeringsfarve1 7 3 3" xfId="12647" xr:uid="{00000000-0005-0000-0000-000072080000}"/>
    <cellStyle name="20 % - Markeringsfarve1 7 3 3 2" xfId="30814" xr:uid="{00000000-0005-0000-0000-000073080000}"/>
    <cellStyle name="20 % - Markeringsfarve1 7 3 4" xfId="23812" xr:uid="{00000000-0005-0000-0000-000074080000}"/>
    <cellStyle name="20 % - Markeringsfarve1 7 4" xfId="4094" xr:uid="{00000000-0005-0000-0000-000075080000}"/>
    <cellStyle name="20 % - Markeringsfarve1 7 4 2" xfId="10752" xr:uid="{00000000-0005-0000-0000-000076080000}"/>
    <cellStyle name="20 % - Markeringsfarve1 7 4 2 2" xfId="18641" xr:uid="{00000000-0005-0000-0000-000077080000}"/>
    <cellStyle name="20 % - Markeringsfarve1 7 4 2 2 2" xfId="36801" xr:uid="{00000000-0005-0000-0000-000078080000}"/>
    <cellStyle name="20 % - Markeringsfarve1 7 4 2 3" xfId="29800" xr:uid="{00000000-0005-0000-0000-000079080000}"/>
    <cellStyle name="20 % - Markeringsfarve1 7 4 3" xfId="12648" xr:uid="{00000000-0005-0000-0000-00007A080000}"/>
    <cellStyle name="20 % - Markeringsfarve1 7 4 3 2" xfId="30815" xr:uid="{00000000-0005-0000-0000-00007B080000}"/>
    <cellStyle name="20 % - Markeringsfarve1 7 4 4" xfId="23813" xr:uid="{00000000-0005-0000-0000-00007C080000}"/>
    <cellStyle name="20 % - Markeringsfarve1 7 5" xfId="7688" xr:uid="{00000000-0005-0000-0000-00007D080000}"/>
    <cellStyle name="20 % - Markeringsfarve1 7 5 2" xfId="15606" xr:uid="{00000000-0005-0000-0000-00007E080000}"/>
    <cellStyle name="20 % - Markeringsfarve1 7 5 2 2" xfId="33766" xr:uid="{00000000-0005-0000-0000-00007F080000}"/>
    <cellStyle name="20 % - Markeringsfarve1 7 5 3" xfId="26765" xr:uid="{00000000-0005-0000-0000-000080080000}"/>
    <cellStyle name="20 % - Markeringsfarve1 7 6" xfId="12644" xr:uid="{00000000-0005-0000-0000-000081080000}"/>
    <cellStyle name="20 % - Markeringsfarve1 7 6 2" xfId="30811" xr:uid="{00000000-0005-0000-0000-000082080000}"/>
    <cellStyle name="20 % - Markeringsfarve1 7 7" xfId="4090" xr:uid="{00000000-0005-0000-0000-000083080000}"/>
    <cellStyle name="20 % - Markeringsfarve1 7 7 2" xfId="23809" xr:uid="{00000000-0005-0000-0000-000084080000}"/>
    <cellStyle name="20 % - Markeringsfarve1 7 8" xfId="21907" xr:uid="{00000000-0005-0000-0000-000085080000}"/>
    <cellStyle name="20 % - Markeringsfarve1 8" xfId="4095" xr:uid="{00000000-0005-0000-0000-000086080000}"/>
    <cellStyle name="20 % - Markeringsfarve1 8 2" xfId="4096" xr:uid="{00000000-0005-0000-0000-000087080000}"/>
    <cellStyle name="20 % - Markeringsfarve1 8 2 2" xfId="4097" xr:uid="{00000000-0005-0000-0000-000088080000}"/>
    <cellStyle name="20 % - Markeringsfarve1 8 2 2 2" xfId="10191" xr:uid="{00000000-0005-0000-0000-000089080000}"/>
    <cellStyle name="20 % - Markeringsfarve1 8 2 2 2 2" xfId="18092" xr:uid="{00000000-0005-0000-0000-00008A080000}"/>
    <cellStyle name="20 % - Markeringsfarve1 8 2 2 2 2 2" xfId="36252" xr:uid="{00000000-0005-0000-0000-00008B080000}"/>
    <cellStyle name="20 % - Markeringsfarve1 8 2 2 2 3" xfId="29251" xr:uid="{00000000-0005-0000-0000-00008C080000}"/>
    <cellStyle name="20 % - Markeringsfarve1 8 2 2 3" xfId="12651" xr:uid="{00000000-0005-0000-0000-00008D080000}"/>
    <cellStyle name="20 % - Markeringsfarve1 8 2 2 3 2" xfId="30818" xr:uid="{00000000-0005-0000-0000-00008E080000}"/>
    <cellStyle name="20 % - Markeringsfarve1 8 2 2 4" xfId="23816" xr:uid="{00000000-0005-0000-0000-00008F080000}"/>
    <cellStyle name="20 % - Markeringsfarve1 8 2 3" xfId="8720" xr:uid="{00000000-0005-0000-0000-000090080000}"/>
    <cellStyle name="20 % - Markeringsfarve1 8 2 3 2" xfId="16634" xr:uid="{00000000-0005-0000-0000-000091080000}"/>
    <cellStyle name="20 % - Markeringsfarve1 8 2 3 2 2" xfId="34794" xr:uid="{00000000-0005-0000-0000-000092080000}"/>
    <cellStyle name="20 % - Markeringsfarve1 8 2 3 3" xfId="27793" xr:uid="{00000000-0005-0000-0000-000093080000}"/>
    <cellStyle name="20 % - Markeringsfarve1 8 2 4" xfId="12650" xr:uid="{00000000-0005-0000-0000-000094080000}"/>
    <cellStyle name="20 % - Markeringsfarve1 8 2 4 2" xfId="30817" xr:uid="{00000000-0005-0000-0000-000095080000}"/>
    <cellStyle name="20 % - Markeringsfarve1 8 2 5" xfId="23815" xr:uid="{00000000-0005-0000-0000-000096080000}"/>
    <cellStyle name="20 % - Markeringsfarve1 8 3" xfId="4098" xr:uid="{00000000-0005-0000-0000-000097080000}"/>
    <cellStyle name="20 % - Markeringsfarve1 8 3 2" xfId="9467" xr:uid="{00000000-0005-0000-0000-000098080000}"/>
    <cellStyle name="20 % - Markeringsfarve1 8 3 2 2" xfId="17377" xr:uid="{00000000-0005-0000-0000-000099080000}"/>
    <cellStyle name="20 % - Markeringsfarve1 8 3 2 2 2" xfId="35537" xr:uid="{00000000-0005-0000-0000-00009A080000}"/>
    <cellStyle name="20 % - Markeringsfarve1 8 3 2 3" xfId="28536" xr:uid="{00000000-0005-0000-0000-00009B080000}"/>
    <cellStyle name="20 % - Markeringsfarve1 8 3 3" xfId="12652" xr:uid="{00000000-0005-0000-0000-00009C080000}"/>
    <cellStyle name="20 % - Markeringsfarve1 8 3 3 2" xfId="30819" xr:uid="{00000000-0005-0000-0000-00009D080000}"/>
    <cellStyle name="20 % - Markeringsfarve1 8 3 4" xfId="23817" xr:uid="{00000000-0005-0000-0000-00009E080000}"/>
    <cellStyle name="20 % - Markeringsfarve1 8 4" xfId="4099" xr:uid="{00000000-0005-0000-0000-00009F080000}"/>
    <cellStyle name="20 % - Markeringsfarve1 8 4 2" xfId="10889" xr:uid="{00000000-0005-0000-0000-0000A0080000}"/>
    <cellStyle name="20 % - Markeringsfarve1 8 4 2 2" xfId="18772" xr:uid="{00000000-0005-0000-0000-0000A1080000}"/>
    <cellStyle name="20 % - Markeringsfarve1 8 4 2 2 2" xfId="36932" xr:uid="{00000000-0005-0000-0000-0000A2080000}"/>
    <cellStyle name="20 % - Markeringsfarve1 8 4 2 3" xfId="29931" xr:uid="{00000000-0005-0000-0000-0000A3080000}"/>
    <cellStyle name="20 % - Markeringsfarve1 8 4 3" xfId="12653" xr:uid="{00000000-0005-0000-0000-0000A4080000}"/>
    <cellStyle name="20 % - Markeringsfarve1 8 4 3 2" xfId="30820" xr:uid="{00000000-0005-0000-0000-0000A5080000}"/>
    <cellStyle name="20 % - Markeringsfarve1 8 4 4" xfId="23818" xr:uid="{00000000-0005-0000-0000-0000A6080000}"/>
    <cellStyle name="20 % - Markeringsfarve1 8 5" xfId="7689" xr:uid="{00000000-0005-0000-0000-0000A7080000}"/>
    <cellStyle name="20 % - Markeringsfarve1 8 5 2" xfId="15607" xr:uid="{00000000-0005-0000-0000-0000A8080000}"/>
    <cellStyle name="20 % - Markeringsfarve1 8 5 2 2" xfId="33767" xr:uid="{00000000-0005-0000-0000-0000A9080000}"/>
    <cellStyle name="20 % - Markeringsfarve1 8 5 3" xfId="26766" xr:uid="{00000000-0005-0000-0000-0000AA080000}"/>
    <cellStyle name="20 % - Markeringsfarve1 8 6" xfId="12649" xr:uid="{00000000-0005-0000-0000-0000AB080000}"/>
    <cellStyle name="20 % - Markeringsfarve1 8 6 2" xfId="30816" xr:uid="{00000000-0005-0000-0000-0000AC080000}"/>
    <cellStyle name="20 % - Markeringsfarve1 8 7" xfId="23814" xr:uid="{00000000-0005-0000-0000-0000AD080000}"/>
    <cellStyle name="20 % - Markeringsfarve1 9" xfId="4100" xr:uid="{00000000-0005-0000-0000-0000AE080000}"/>
    <cellStyle name="20 % - Markeringsfarve1 9 2" xfId="4101" xr:uid="{00000000-0005-0000-0000-0000AF080000}"/>
    <cellStyle name="20 % - Markeringsfarve1 9 2 2" xfId="4102" xr:uid="{00000000-0005-0000-0000-0000B0080000}"/>
    <cellStyle name="20 % - Markeringsfarve1 9 2 2 2" xfId="10308" xr:uid="{00000000-0005-0000-0000-0000B1080000}"/>
    <cellStyle name="20 % - Markeringsfarve1 9 2 2 2 2" xfId="18209" xr:uid="{00000000-0005-0000-0000-0000B2080000}"/>
    <cellStyle name="20 % - Markeringsfarve1 9 2 2 2 2 2" xfId="36369" xr:uid="{00000000-0005-0000-0000-0000B3080000}"/>
    <cellStyle name="20 % - Markeringsfarve1 9 2 2 2 3" xfId="29368" xr:uid="{00000000-0005-0000-0000-0000B4080000}"/>
    <cellStyle name="20 % - Markeringsfarve1 9 2 2 3" xfId="12656" xr:uid="{00000000-0005-0000-0000-0000B5080000}"/>
    <cellStyle name="20 % - Markeringsfarve1 9 2 2 3 2" xfId="30823" xr:uid="{00000000-0005-0000-0000-0000B6080000}"/>
    <cellStyle name="20 % - Markeringsfarve1 9 2 2 4" xfId="23821" xr:uid="{00000000-0005-0000-0000-0000B7080000}"/>
    <cellStyle name="20 % - Markeringsfarve1 9 2 3" xfId="8819" xr:uid="{00000000-0005-0000-0000-0000B8080000}"/>
    <cellStyle name="20 % - Markeringsfarve1 9 2 3 2" xfId="16733" xr:uid="{00000000-0005-0000-0000-0000B9080000}"/>
    <cellStyle name="20 % - Markeringsfarve1 9 2 3 2 2" xfId="34893" xr:uid="{00000000-0005-0000-0000-0000BA080000}"/>
    <cellStyle name="20 % - Markeringsfarve1 9 2 3 3" xfId="27892" xr:uid="{00000000-0005-0000-0000-0000BB080000}"/>
    <cellStyle name="20 % - Markeringsfarve1 9 2 4" xfId="12655" xr:uid="{00000000-0005-0000-0000-0000BC080000}"/>
    <cellStyle name="20 % - Markeringsfarve1 9 2 4 2" xfId="30822" xr:uid="{00000000-0005-0000-0000-0000BD080000}"/>
    <cellStyle name="20 % - Markeringsfarve1 9 2 5" xfId="23820" xr:uid="{00000000-0005-0000-0000-0000BE080000}"/>
    <cellStyle name="20 % - Markeringsfarve1 9 3" xfId="4103" xr:uid="{00000000-0005-0000-0000-0000BF080000}"/>
    <cellStyle name="20 % - Markeringsfarve1 9 3 2" xfId="9585" xr:uid="{00000000-0005-0000-0000-0000C0080000}"/>
    <cellStyle name="20 % - Markeringsfarve1 9 3 2 2" xfId="17495" xr:uid="{00000000-0005-0000-0000-0000C1080000}"/>
    <cellStyle name="20 % - Markeringsfarve1 9 3 2 2 2" xfId="35655" xr:uid="{00000000-0005-0000-0000-0000C2080000}"/>
    <cellStyle name="20 % - Markeringsfarve1 9 3 2 3" xfId="28654" xr:uid="{00000000-0005-0000-0000-0000C3080000}"/>
    <cellStyle name="20 % - Markeringsfarve1 9 3 3" xfId="12657" xr:uid="{00000000-0005-0000-0000-0000C4080000}"/>
    <cellStyle name="20 % - Markeringsfarve1 9 3 3 2" xfId="30824" xr:uid="{00000000-0005-0000-0000-0000C5080000}"/>
    <cellStyle name="20 % - Markeringsfarve1 9 3 4" xfId="23822" xr:uid="{00000000-0005-0000-0000-0000C6080000}"/>
    <cellStyle name="20 % - Markeringsfarve1 9 4" xfId="4104" xr:uid="{00000000-0005-0000-0000-0000C7080000}"/>
    <cellStyle name="20 % - Markeringsfarve1 9 4 2" xfId="10611" xr:uid="{00000000-0005-0000-0000-0000C8080000}"/>
    <cellStyle name="20 % - Markeringsfarve1 9 4 2 2" xfId="18505" xr:uid="{00000000-0005-0000-0000-0000C9080000}"/>
    <cellStyle name="20 % - Markeringsfarve1 9 4 2 2 2" xfId="36665" xr:uid="{00000000-0005-0000-0000-0000CA080000}"/>
    <cellStyle name="20 % - Markeringsfarve1 9 4 2 3" xfId="29664" xr:uid="{00000000-0005-0000-0000-0000CB080000}"/>
    <cellStyle name="20 % - Markeringsfarve1 9 4 3" xfId="12658" xr:uid="{00000000-0005-0000-0000-0000CC080000}"/>
    <cellStyle name="20 % - Markeringsfarve1 9 4 3 2" xfId="30825" xr:uid="{00000000-0005-0000-0000-0000CD080000}"/>
    <cellStyle name="20 % - Markeringsfarve1 9 4 4" xfId="23823" xr:uid="{00000000-0005-0000-0000-0000CE080000}"/>
    <cellStyle name="20 % - Markeringsfarve1 9 5" xfId="7690" xr:uid="{00000000-0005-0000-0000-0000CF080000}"/>
    <cellStyle name="20 % - Markeringsfarve1 9 5 2" xfId="15608" xr:uid="{00000000-0005-0000-0000-0000D0080000}"/>
    <cellStyle name="20 % - Markeringsfarve1 9 5 2 2" xfId="33768" xr:uid="{00000000-0005-0000-0000-0000D1080000}"/>
    <cellStyle name="20 % - Markeringsfarve1 9 5 3" xfId="26767" xr:uid="{00000000-0005-0000-0000-0000D2080000}"/>
    <cellStyle name="20 % - Markeringsfarve1 9 6" xfId="12654" xr:uid="{00000000-0005-0000-0000-0000D3080000}"/>
    <cellStyle name="20 % - Markeringsfarve1 9 6 2" xfId="30821" xr:uid="{00000000-0005-0000-0000-0000D4080000}"/>
    <cellStyle name="20 % - Markeringsfarve1 9 7" xfId="23819" xr:uid="{00000000-0005-0000-0000-0000D5080000}"/>
    <cellStyle name="20 % - Markeringsfarve2 10" xfId="4106" xr:uid="{00000000-0005-0000-0000-0000D6080000}"/>
    <cellStyle name="20 % - Markeringsfarve2 10 2" xfId="4107" xr:uid="{00000000-0005-0000-0000-0000D7080000}"/>
    <cellStyle name="20 % - Markeringsfarve2 10 2 2" xfId="9718" xr:uid="{00000000-0005-0000-0000-0000D8080000}"/>
    <cellStyle name="20 % - Markeringsfarve2 10 2 2 2" xfId="17619" xr:uid="{00000000-0005-0000-0000-0000D9080000}"/>
    <cellStyle name="20 % - Markeringsfarve2 10 2 2 2 2" xfId="35779" xr:uid="{00000000-0005-0000-0000-0000DA080000}"/>
    <cellStyle name="20 % - Markeringsfarve2 10 2 2 3" xfId="28778" xr:uid="{00000000-0005-0000-0000-0000DB080000}"/>
    <cellStyle name="20 % - Markeringsfarve2 10 2 3" xfId="12661" xr:uid="{00000000-0005-0000-0000-0000DC080000}"/>
    <cellStyle name="20 % - Markeringsfarve2 10 2 3 2" xfId="30828" xr:uid="{00000000-0005-0000-0000-0000DD080000}"/>
    <cellStyle name="20 % - Markeringsfarve2 10 2 4" xfId="23826" xr:uid="{00000000-0005-0000-0000-0000DE080000}"/>
    <cellStyle name="20 % - Markeringsfarve2 10 3" xfId="4108" xr:uid="{00000000-0005-0000-0000-0000DF080000}"/>
    <cellStyle name="20 % - Markeringsfarve2 10 3 2" xfId="10563" xr:uid="{00000000-0005-0000-0000-0000E0080000}"/>
    <cellStyle name="20 % - Markeringsfarve2 10 3 2 2" xfId="18457" xr:uid="{00000000-0005-0000-0000-0000E1080000}"/>
    <cellStyle name="20 % - Markeringsfarve2 10 3 2 2 2" xfId="36617" xr:uid="{00000000-0005-0000-0000-0000E2080000}"/>
    <cellStyle name="20 % - Markeringsfarve2 10 3 2 3" xfId="29616" xr:uid="{00000000-0005-0000-0000-0000E3080000}"/>
    <cellStyle name="20 % - Markeringsfarve2 10 3 3" xfId="12662" xr:uid="{00000000-0005-0000-0000-0000E4080000}"/>
    <cellStyle name="20 % - Markeringsfarve2 10 3 3 2" xfId="30829" xr:uid="{00000000-0005-0000-0000-0000E5080000}"/>
    <cellStyle name="20 % - Markeringsfarve2 10 3 4" xfId="23827" xr:uid="{00000000-0005-0000-0000-0000E6080000}"/>
    <cellStyle name="20 % - Markeringsfarve2 10 4" xfId="7692" xr:uid="{00000000-0005-0000-0000-0000E7080000}"/>
    <cellStyle name="20 % - Markeringsfarve2 10 4 2" xfId="15610" xr:uid="{00000000-0005-0000-0000-0000E8080000}"/>
    <cellStyle name="20 % - Markeringsfarve2 10 4 2 2" xfId="33770" xr:uid="{00000000-0005-0000-0000-0000E9080000}"/>
    <cellStyle name="20 % - Markeringsfarve2 10 4 3" xfId="26769" xr:uid="{00000000-0005-0000-0000-0000EA080000}"/>
    <cellStyle name="20 % - Markeringsfarve2 10 5" xfId="12660" xr:uid="{00000000-0005-0000-0000-0000EB080000}"/>
    <cellStyle name="20 % - Markeringsfarve2 10 5 2" xfId="30827" xr:uid="{00000000-0005-0000-0000-0000EC080000}"/>
    <cellStyle name="20 % - Markeringsfarve2 10 6" xfId="23825" xr:uid="{00000000-0005-0000-0000-0000ED080000}"/>
    <cellStyle name="20 % - Markeringsfarve2 11" xfId="4109" xr:uid="{00000000-0005-0000-0000-0000EE080000}"/>
    <cellStyle name="20 % - Markeringsfarve2 11 2" xfId="4110" xr:uid="{00000000-0005-0000-0000-0000EF080000}"/>
    <cellStyle name="20 % - Markeringsfarve2 11 2 2" xfId="10888" xr:uid="{00000000-0005-0000-0000-0000F0080000}"/>
    <cellStyle name="20 % - Markeringsfarve2 11 2 2 2" xfId="18771" xr:uid="{00000000-0005-0000-0000-0000F1080000}"/>
    <cellStyle name="20 % - Markeringsfarve2 11 2 2 2 2" xfId="36931" xr:uid="{00000000-0005-0000-0000-0000F2080000}"/>
    <cellStyle name="20 % - Markeringsfarve2 11 2 2 3" xfId="29930" xr:uid="{00000000-0005-0000-0000-0000F3080000}"/>
    <cellStyle name="20 % - Markeringsfarve2 11 2 3" xfId="12664" xr:uid="{00000000-0005-0000-0000-0000F4080000}"/>
    <cellStyle name="20 % - Markeringsfarve2 11 2 3 2" xfId="30831" xr:uid="{00000000-0005-0000-0000-0000F5080000}"/>
    <cellStyle name="20 % - Markeringsfarve2 11 2 4" xfId="23829" xr:uid="{00000000-0005-0000-0000-0000F6080000}"/>
    <cellStyle name="20 % - Markeringsfarve2 11 3" xfId="7693" xr:uid="{00000000-0005-0000-0000-0000F7080000}"/>
    <cellStyle name="20 % - Markeringsfarve2 11 3 2" xfId="15611" xr:uid="{00000000-0005-0000-0000-0000F8080000}"/>
    <cellStyle name="20 % - Markeringsfarve2 11 3 2 2" xfId="33771" xr:uid="{00000000-0005-0000-0000-0000F9080000}"/>
    <cellStyle name="20 % - Markeringsfarve2 11 3 3" xfId="26770" xr:uid="{00000000-0005-0000-0000-0000FA080000}"/>
    <cellStyle name="20 % - Markeringsfarve2 11 4" xfId="12663" xr:uid="{00000000-0005-0000-0000-0000FB080000}"/>
    <cellStyle name="20 % - Markeringsfarve2 11 4 2" xfId="30830" xr:uid="{00000000-0005-0000-0000-0000FC080000}"/>
    <cellStyle name="20 % - Markeringsfarve2 11 5" xfId="23828" xr:uid="{00000000-0005-0000-0000-0000FD080000}"/>
    <cellStyle name="20 % - Markeringsfarve2 12" xfId="4111" xr:uid="{00000000-0005-0000-0000-0000FE080000}"/>
    <cellStyle name="20 % - Markeringsfarve2 12 2" xfId="4112" xr:uid="{00000000-0005-0000-0000-0000FF080000}"/>
    <cellStyle name="20 % - Markeringsfarve2 12 2 2" xfId="10562" xr:uid="{00000000-0005-0000-0000-000000090000}"/>
    <cellStyle name="20 % - Markeringsfarve2 12 2 2 2" xfId="18456" xr:uid="{00000000-0005-0000-0000-000001090000}"/>
    <cellStyle name="20 % - Markeringsfarve2 12 2 2 2 2" xfId="36616" xr:uid="{00000000-0005-0000-0000-000002090000}"/>
    <cellStyle name="20 % - Markeringsfarve2 12 2 2 3" xfId="29615" xr:uid="{00000000-0005-0000-0000-000003090000}"/>
    <cellStyle name="20 % - Markeringsfarve2 12 2 3" xfId="12666" xr:uid="{00000000-0005-0000-0000-000004090000}"/>
    <cellStyle name="20 % - Markeringsfarve2 12 2 3 2" xfId="30833" xr:uid="{00000000-0005-0000-0000-000005090000}"/>
    <cellStyle name="20 % - Markeringsfarve2 12 2 4" xfId="23831" xr:uid="{00000000-0005-0000-0000-000006090000}"/>
    <cellStyle name="20 % - Markeringsfarve2 12 3" xfId="7694" xr:uid="{00000000-0005-0000-0000-000007090000}"/>
    <cellStyle name="20 % - Markeringsfarve2 12 3 2" xfId="15612" xr:uid="{00000000-0005-0000-0000-000008090000}"/>
    <cellStyle name="20 % - Markeringsfarve2 12 3 2 2" xfId="33772" xr:uid="{00000000-0005-0000-0000-000009090000}"/>
    <cellStyle name="20 % - Markeringsfarve2 12 3 3" xfId="26771" xr:uid="{00000000-0005-0000-0000-00000A090000}"/>
    <cellStyle name="20 % - Markeringsfarve2 12 4" xfId="12665" xr:uid="{00000000-0005-0000-0000-00000B090000}"/>
    <cellStyle name="20 % - Markeringsfarve2 12 4 2" xfId="30832" xr:uid="{00000000-0005-0000-0000-00000C090000}"/>
    <cellStyle name="20 % - Markeringsfarve2 12 5" xfId="23830" xr:uid="{00000000-0005-0000-0000-00000D090000}"/>
    <cellStyle name="20 % - Markeringsfarve2 13" xfId="4113" xr:uid="{00000000-0005-0000-0000-00000E090000}"/>
    <cellStyle name="20 % - Markeringsfarve2 13 2" xfId="4114" xr:uid="{00000000-0005-0000-0000-00000F090000}"/>
    <cellStyle name="20 % - Markeringsfarve2 13 2 2" xfId="10845" xr:uid="{00000000-0005-0000-0000-000010090000}"/>
    <cellStyle name="20 % - Markeringsfarve2 13 2 2 2" xfId="18730" xr:uid="{00000000-0005-0000-0000-000011090000}"/>
    <cellStyle name="20 % - Markeringsfarve2 13 2 2 2 2" xfId="36890" xr:uid="{00000000-0005-0000-0000-000012090000}"/>
    <cellStyle name="20 % - Markeringsfarve2 13 2 2 3" xfId="29889" xr:uid="{00000000-0005-0000-0000-000013090000}"/>
    <cellStyle name="20 % - Markeringsfarve2 13 2 3" xfId="12668" xr:uid="{00000000-0005-0000-0000-000014090000}"/>
    <cellStyle name="20 % - Markeringsfarve2 13 2 3 2" xfId="30835" xr:uid="{00000000-0005-0000-0000-000015090000}"/>
    <cellStyle name="20 % - Markeringsfarve2 13 2 4" xfId="23833" xr:uid="{00000000-0005-0000-0000-000016090000}"/>
    <cellStyle name="20 % - Markeringsfarve2 13 3" xfId="7691" xr:uid="{00000000-0005-0000-0000-000017090000}"/>
    <cellStyle name="20 % - Markeringsfarve2 13 3 2" xfId="15609" xr:uid="{00000000-0005-0000-0000-000018090000}"/>
    <cellStyle name="20 % - Markeringsfarve2 13 3 2 2" xfId="33769" xr:uid="{00000000-0005-0000-0000-000019090000}"/>
    <cellStyle name="20 % - Markeringsfarve2 13 3 3" xfId="26768" xr:uid="{00000000-0005-0000-0000-00001A090000}"/>
    <cellStyle name="20 % - Markeringsfarve2 13 4" xfId="12667" xr:uid="{00000000-0005-0000-0000-00001B090000}"/>
    <cellStyle name="20 % - Markeringsfarve2 13 4 2" xfId="30834" xr:uid="{00000000-0005-0000-0000-00001C090000}"/>
    <cellStyle name="20 % - Markeringsfarve2 13 5" xfId="23832" xr:uid="{00000000-0005-0000-0000-00001D090000}"/>
    <cellStyle name="20 % - Markeringsfarve2 14" xfId="4115" xr:uid="{00000000-0005-0000-0000-00001E090000}"/>
    <cellStyle name="20 % - Markeringsfarve2 14 2" xfId="8940" xr:uid="{00000000-0005-0000-0000-00001F090000}"/>
    <cellStyle name="20 % - Markeringsfarve2 14 2 2" xfId="16853" xr:uid="{00000000-0005-0000-0000-000020090000}"/>
    <cellStyle name="20 % - Markeringsfarve2 14 2 2 2" xfId="35013" xr:uid="{00000000-0005-0000-0000-000021090000}"/>
    <cellStyle name="20 % - Markeringsfarve2 14 2 3" xfId="28012" xr:uid="{00000000-0005-0000-0000-000022090000}"/>
    <cellStyle name="20 % - Markeringsfarve2 14 3" xfId="12669" xr:uid="{00000000-0005-0000-0000-000023090000}"/>
    <cellStyle name="20 % - Markeringsfarve2 14 3 2" xfId="30836" xr:uid="{00000000-0005-0000-0000-000024090000}"/>
    <cellStyle name="20 % - Markeringsfarve2 14 4" xfId="23834" xr:uid="{00000000-0005-0000-0000-000025090000}"/>
    <cellStyle name="20 % - Markeringsfarve2 15" xfId="4116" xr:uid="{00000000-0005-0000-0000-000026090000}"/>
    <cellStyle name="20 % - Markeringsfarve2 15 2" xfId="10702" xr:uid="{00000000-0005-0000-0000-000027090000}"/>
    <cellStyle name="20 % - Markeringsfarve2 15 2 2" xfId="18592" xr:uid="{00000000-0005-0000-0000-000028090000}"/>
    <cellStyle name="20 % - Markeringsfarve2 15 2 2 2" xfId="36752" xr:uid="{00000000-0005-0000-0000-000029090000}"/>
    <cellStyle name="20 % - Markeringsfarve2 15 2 3" xfId="29751" xr:uid="{00000000-0005-0000-0000-00002A090000}"/>
    <cellStyle name="20 % - Markeringsfarve2 15 3" xfId="12670" xr:uid="{00000000-0005-0000-0000-00002B090000}"/>
    <cellStyle name="20 % - Markeringsfarve2 15 3 2" xfId="30837" xr:uid="{00000000-0005-0000-0000-00002C090000}"/>
    <cellStyle name="20 % - Markeringsfarve2 15 4" xfId="23835" xr:uid="{00000000-0005-0000-0000-00002D090000}"/>
    <cellStyle name="20 % - Markeringsfarve2 16" xfId="4117" xr:uid="{00000000-0005-0000-0000-00002E090000}"/>
    <cellStyle name="20 % - Markeringsfarve2 16 2" xfId="10558" xr:uid="{00000000-0005-0000-0000-00002F090000}"/>
    <cellStyle name="20 % - Markeringsfarve2 16 2 2" xfId="18452" xr:uid="{00000000-0005-0000-0000-000030090000}"/>
    <cellStyle name="20 % - Markeringsfarve2 16 2 2 2" xfId="36612" xr:uid="{00000000-0005-0000-0000-000031090000}"/>
    <cellStyle name="20 % - Markeringsfarve2 16 2 3" xfId="29611" xr:uid="{00000000-0005-0000-0000-000032090000}"/>
    <cellStyle name="20 % - Markeringsfarve2 16 3" xfId="12671" xr:uid="{00000000-0005-0000-0000-000033090000}"/>
    <cellStyle name="20 % - Markeringsfarve2 16 3 2" xfId="30838" xr:uid="{00000000-0005-0000-0000-000034090000}"/>
    <cellStyle name="20 % - Markeringsfarve2 16 4" xfId="23836" xr:uid="{00000000-0005-0000-0000-000035090000}"/>
    <cellStyle name="20 % - Markeringsfarve2 17" xfId="7616" xr:uid="{00000000-0005-0000-0000-000036090000}"/>
    <cellStyle name="20 % - Markeringsfarve2 17 2" xfId="15542" xr:uid="{00000000-0005-0000-0000-000037090000}"/>
    <cellStyle name="20 % - Markeringsfarve2 17 2 2" xfId="33702" xr:uid="{00000000-0005-0000-0000-000038090000}"/>
    <cellStyle name="20 % - Markeringsfarve2 17 3" xfId="26701" xr:uid="{00000000-0005-0000-0000-000039090000}"/>
    <cellStyle name="20 % - Markeringsfarve2 18" xfId="4105" xr:uid="{00000000-0005-0000-0000-00003A090000}"/>
    <cellStyle name="20 % - Markeringsfarve2 18 2" xfId="12659" xr:uid="{00000000-0005-0000-0000-00003B090000}"/>
    <cellStyle name="20 % - Markeringsfarve2 18 2 2" xfId="30826" xr:uid="{00000000-0005-0000-0000-00003C090000}"/>
    <cellStyle name="20 % - Markeringsfarve2 18 3" xfId="23824" xr:uid="{00000000-0005-0000-0000-00003D090000}"/>
    <cellStyle name="20 % - Markeringsfarve2 2" xfId="1784" xr:uid="{00000000-0005-0000-0000-00003E090000}"/>
    <cellStyle name="20 % - Markeringsfarve2 2 10" xfId="4119" xr:uid="{00000000-0005-0000-0000-00003F090000}"/>
    <cellStyle name="20 % - Markeringsfarve2 2 10 2" xfId="8972" xr:uid="{00000000-0005-0000-0000-000040090000}"/>
    <cellStyle name="20 % - Markeringsfarve2 2 10 2 2" xfId="16883" xr:uid="{00000000-0005-0000-0000-000041090000}"/>
    <cellStyle name="20 % - Markeringsfarve2 2 10 2 2 2" xfId="35043" xr:uid="{00000000-0005-0000-0000-000042090000}"/>
    <cellStyle name="20 % - Markeringsfarve2 2 10 2 3" xfId="28042" xr:uid="{00000000-0005-0000-0000-000043090000}"/>
    <cellStyle name="20 % - Markeringsfarve2 2 10 3" xfId="12673" xr:uid="{00000000-0005-0000-0000-000044090000}"/>
    <cellStyle name="20 % - Markeringsfarve2 2 10 3 2" xfId="30840" xr:uid="{00000000-0005-0000-0000-000045090000}"/>
    <cellStyle name="20 % - Markeringsfarve2 2 10 4" xfId="23838" xr:uid="{00000000-0005-0000-0000-000046090000}"/>
    <cellStyle name="20 % - Markeringsfarve2 2 11" xfId="4120" xr:uid="{00000000-0005-0000-0000-000047090000}"/>
    <cellStyle name="20 % - Markeringsfarve2 2 11 2" xfId="10561" xr:uid="{00000000-0005-0000-0000-000048090000}"/>
    <cellStyle name="20 % - Markeringsfarve2 2 11 2 2" xfId="18455" xr:uid="{00000000-0005-0000-0000-000049090000}"/>
    <cellStyle name="20 % - Markeringsfarve2 2 11 2 2 2" xfId="36615" xr:uid="{00000000-0005-0000-0000-00004A090000}"/>
    <cellStyle name="20 % - Markeringsfarve2 2 11 2 3" xfId="29614" xr:uid="{00000000-0005-0000-0000-00004B090000}"/>
    <cellStyle name="20 % - Markeringsfarve2 2 11 3" xfId="12674" xr:uid="{00000000-0005-0000-0000-00004C090000}"/>
    <cellStyle name="20 % - Markeringsfarve2 2 11 3 2" xfId="30841" xr:uid="{00000000-0005-0000-0000-00004D090000}"/>
    <cellStyle name="20 % - Markeringsfarve2 2 11 4" xfId="23839" xr:uid="{00000000-0005-0000-0000-00004E090000}"/>
    <cellStyle name="20 % - Markeringsfarve2 2 12" xfId="7695" xr:uid="{00000000-0005-0000-0000-00004F090000}"/>
    <cellStyle name="20 % - Markeringsfarve2 2 12 2" xfId="15613" xr:uid="{00000000-0005-0000-0000-000050090000}"/>
    <cellStyle name="20 % - Markeringsfarve2 2 12 2 2" xfId="33773" xr:uid="{00000000-0005-0000-0000-000051090000}"/>
    <cellStyle name="20 % - Markeringsfarve2 2 12 3" xfId="26772" xr:uid="{00000000-0005-0000-0000-000052090000}"/>
    <cellStyle name="20 % - Markeringsfarve2 2 13" xfId="12672" xr:uid="{00000000-0005-0000-0000-000053090000}"/>
    <cellStyle name="20 % - Markeringsfarve2 2 13 2" xfId="30839" xr:uid="{00000000-0005-0000-0000-000054090000}"/>
    <cellStyle name="20 % - Markeringsfarve2 2 14" xfId="4118" xr:uid="{00000000-0005-0000-0000-000055090000}"/>
    <cellStyle name="20 % - Markeringsfarve2 2 14 2" xfId="23837" xr:uid="{00000000-0005-0000-0000-000056090000}"/>
    <cellStyle name="20 % - Markeringsfarve2 2 15" xfId="21908" xr:uid="{00000000-0005-0000-0000-000057090000}"/>
    <cellStyle name="20 % - Markeringsfarve2 2 2" xfId="1785" xr:uid="{00000000-0005-0000-0000-000058090000}"/>
    <cellStyle name="20 % - Markeringsfarve2 2 2 10" xfId="7696" xr:uid="{00000000-0005-0000-0000-000059090000}"/>
    <cellStyle name="20 % - Markeringsfarve2 2 2 10 2" xfId="15614" xr:uid="{00000000-0005-0000-0000-00005A090000}"/>
    <cellStyle name="20 % - Markeringsfarve2 2 2 10 2 2" xfId="33774" xr:uid="{00000000-0005-0000-0000-00005B090000}"/>
    <cellStyle name="20 % - Markeringsfarve2 2 2 10 3" xfId="26773" xr:uid="{00000000-0005-0000-0000-00005C090000}"/>
    <cellStyle name="20 % - Markeringsfarve2 2 2 11" xfId="12675" xr:uid="{00000000-0005-0000-0000-00005D090000}"/>
    <cellStyle name="20 % - Markeringsfarve2 2 2 11 2" xfId="30842" xr:uid="{00000000-0005-0000-0000-00005E090000}"/>
    <cellStyle name="20 % - Markeringsfarve2 2 2 12" xfId="4121" xr:uid="{00000000-0005-0000-0000-00005F090000}"/>
    <cellStyle name="20 % - Markeringsfarve2 2 2 12 2" xfId="23840" xr:uid="{00000000-0005-0000-0000-000060090000}"/>
    <cellStyle name="20 % - Markeringsfarve2 2 2 13" xfId="21909" xr:uid="{00000000-0005-0000-0000-000061090000}"/>
    <cellStyle name="20 % - Markeringsfarve2 2 2 2" xfId="1786" xr:uid="{00000000-0005-0000-0000-000062090000}"/>
    <cellStyle name="20 % - Markeringsfarve2 2 2 2 2" xfId="4123" xr:uid="{00000000-0005-0000-0000-000063090000}"/>
    <cellStyle name="20 % - Markeringsfarve2 2 2 2 2 2" xfId="4124" xr:uid="{00000000-0005-0000-0000-000064090000}"/>
    <cellStyle name="20 % - Markeringsfarve2 2 2 2 2 2 2" xfId="9903" xr:uid="{00000000-0005-0000-0000-000065090000}"/>
    <cellStyle name="20 % - Markeringsfarve2 2 2 2 2 2 2 2" xfId="17804" xr:uid="{00000000-0005-0000-0000-000066090000}"/>
    <cellStyle name="20 % - Markeringsfarve2 2 2 2 2 2 2 2 2" xfId="35964" xr:uid="{00000000-0005-0000-0000-000067090000}"/>
    <cellStyle name="20 % - Markeringsfarve2 2 2 2 2 2 2 3" xfId="28963" xr:uid="{00000000-0005-0000-0000-000068090000}"/>
    <cellStyle name="20 % - Markeringsfarve2 2 2 2 2 2 3" xfId="12678" xr:uid="{00000000-0005-0000-0000-000069090000}"/>
    <cellStyle name="20 % - Markeringsfarve2 2 2 2 2 2 3 2" xfId="30845" xr:uid="{00000000-0005-0000-0000-00006A090000}"/>
    <cellStyle name="20 % - Markeringsfarve2 2 2 2 2 2 4" xfId="23843" xr:uid="{00000000-0005-0000-0000-00006B090000}"/>
    <cellStyle name="20 % - Markeringsfarve2 2 2 2 2 3" xfId="8476" xr:uid="{00000000-0005-0000-0000-00006C090000}"/>
    <cellStyle name="20 % - Markeringsfarve2 2 2 2 2 3 2" xfId="16393" xr:uid="{00000000-0005-0000-0000-00006D090000}"/>
    <cellStyle name="20 % - Markeringsfarve2 2 2 2 2 3 2 2" xfId="34553" xr:uid="{00000000-0005-0000-0000-00006E090000}"/>
    <cellStyle name="20 % - Markeringsfarve2 2 2 2 2 3 3" xfId="27552" xr:uid="{00000000-0005-0000-0000-00006F090000}"/>
    <cellStyle name="20 % - Markeringsfarve2 2 2 2 2 4" xfId="12677" xr:uid="{00000000-0005-0000-0000-000070090000}"/>
    <cellStyle name="20 % - Markeringsfarve2 2 2 2 2 4 2" xfId="30844" xr:uid="{00000000-0005-0000-0000-000071090000}"/>
    <cellStyle name="20 % - Markeringsfarve2 2 2 2 2 5" xfId="23842" xr:uid="{00000000-0005-0000-0000-000072090000}"/>
    <cellStyle name="20 % - Markeringsfarve2 2 2 2 3" xfId="4125" xr:uid="{00000000-0005-0000-0000-000073090000}"/>
    <cellStyle name="20 % - Markeringsfarve2 2 2 2 3 2" xfId="9133" xr:uid="{00000000-0005-0000-0000-000074090000}"/>
    <cellStyle name="20 % - Markeringsfarve2 2 2 2 3 2 2" xfId="17044" xr:uid="{00000000-0005-0000-0000-000075090000}"/>
    <cellStyle name="20 % - Markeringsfarve2 2 2 2 3 2 2 2" xfId="35204" xr:uid="{00000000-0005-0000-0000-000076090000}"/>
    <cellStyle name="20 % - Markeringsfarve2 2 2 2 3 2 3" xfId="28203" xr:uid="{00000000-0005-0000-0000-000077090000}"/>
    <cellStyle name="20 % - Markeringsfarve2 2 2 2 3 3" xfId="12679" xr:uid="{00000000-0005-0000-0000-000078090000}"/>
    <cellStyle name="20 % - Markeringsfarve2 2 2 2 3 3 2" xfId="30846" xr:uid="{00000000-0005-0000-0000-000079090000}"/>
    <cellStyle name="20 % - Markeringsfarve2 2 2 2 3 4" xfId="23844" xr:uid="{00000000-0005-0000-0000-00007A090000}"/>
    <cellStyle name="20 % - Markeringsfarve2 2 2 2 4" xfId="4126" xr:uid="{00000000-0005-0000-0000-00007B090000}"/>
    <cellStyle name="20 % - Markeringsfarve2 2 2 2 4 2" xfId="10559" xr:uid="{00000000-0005-0000-0000-00007C090000}"/>
    <cellStyle name="20 % - Markeringsfarve2 2 2 2 4 2 2" xfId="18453" xr:uid="{00000000-0005-0000-0000-00007D090000}"/>
    <cellStyle name="20 % - Markeringsfarve2 2 2 2 4 2 2 2" xfId="36613" xr:uid="{00000000-0005-0000-0000-00007E090000}"/>
    <cellStyle name="20 % - Markeringsfarve2 2 2 2 4 2 3" xfId="29612" xr:uid="{00000000-0005-0000-0000-00007F090000}"/>
    <cellStyle name="20 % - Markeringsfarve2 2 2 2 4 3" xfId="12680" xr:uid="{00000000-0005-0000-0000-000080090000}"/>
    <cellStyle name="20 % - Markeringsfarve2 2 2 2 4 3 2" xfId="30847" xr:uid="{00000000-0005-0000-0000-000081090000}"/>
    <cellStyle name="20 % - Markeringsfarve2 2 2 2 4 4" xfId="23845" xr:uid="{00000000-0005-0000-0000-000082090000}"/>
    <cellStyle name="20 % - Markeringsfarve2 2 2 2 5" xfId="7697" xr:uid="{00000000-0005-0000-0000-000083090000}"/>
    <cellStyle name="20 % - Markeringsfarve2 2 2 2 5 2" xfId="15615" xr:uid="{00000000-0005-0000-0000-000084090000}"/>
    <cellStyle name="20 % - Markeringsfarve2 2 2 2 5 2 2" xfId="33775" xr:uid="{00000000-0005-0000-0000-000085090000}"/>
    <cellStyle name="20 % - Markeringsfarve2 2 2 2 5 3" xfId="26774" xr:uid="{00000000-0005-0000-0000-000086090000}"/>
    <cellStyle name="20 % - Markeringsfarve2 2 2 2 6" xfId="12676" xr:uid="{00000000-0005-0000-0000-000087090000}"/>
    <cellStyle name="20 % - Markeringsfarve2 2 2 2 6 2" xfId="30843" xr:uid="{00000000-0005-0000-0000-000088090000}"/>
    <cellStyle name="20 % - Markeringsfarve2 2 2 2 7" xfId="4122" xr:uid="{00000000-0005-0000-0000-000089090000}"/>
    <cellStyle name="20 % - Markeringsfarve2 2 2 2 7 2" xfId="23841" xr:uid="{00000000-0005-0000-0000-00008A090000}"/>
    <cellStyle name="20 % - Markeringsfarve2 2 2 2 8" xfId="21910" xr:uid="{00000000-0005-0000-0000-00008B090000}"/>
    <cellStyle name="20 % - Markeringsfarve2 2 2 3" xfId="4127" xr:uid="{00000000-0005-0000-0000-00008C090000}"/>
    <cellStyle name="20 % - Markeringsfarve2 2 2 3 2" xfId="4128" xr:uid="{00000000-0005-0000-0000-00008D090000}"/>
    <cellStyle name="20 % - Markeringsfarve2 2 2 3 2 2" xfId="4129" xr:uid="{00000000-0005-0000-0000-00008E090000}"/>
    <cellStyle name="20 % - Markeringsfarve2 2 2 3 2 2 2" xfId="9964" xr:uid="{00000000-0005-0000-0000-00008F090000}"/>
    <cellStyle name="20 % - Markeringsfarve2 2 2 3 2 2 2 2" xfId="17865" xr:uid="{00000000-0005-0000-0000-000090090000}"/>
    <cellStyle name="20 % - Markeringsfarve2 2 2 3 2 2 2 2 2" xfId="36025" xr:uid="{00000000-0005-0000-0000-000091090000}"/>
    <cellStyle name="20 % - Markeringsfarve2 2 2 3 2 2 2 3" xfId="29024" xr:uid="{00000000-0005-0000-0000-000092090000}"/>
    <cellStyle name="20 % - Markeringsfarve2 2 2 3 2 2 3" xfId="12683" xr:uid="{00000000-0005-0000-0000-000093090000}"/>
    <cellStyle name="20 % - Markeringsfarve2 2 2 3 2 2 3 2" xfId="30850" xr:uid="{00000000-0005-0000-0000-000094090000}"/>
    <cellStyle name="20 % - Markeringsfarve2 2 2 3 2 2 4" xfId="23848" xr:uid="{00000000-0005-0000-0000-000095090000}"/>
    <cellStyle name="20 % - Markeringsfarve2 2 2 3 2 3" xfId="8528" xr:uid="{00000000-0005-0000-0000-000096090000}"/>
    <cellStyle name="20 % - Markeringsfarve2 2 2 3 2 3 2" xfId="16445" xr:uid="{00000000-0005-0000-0000-000097090000}"/>
    <cellStyle name="20 % - Markeringsfarve2 2 2 3 2 3 2 2" xfId="34605" xr:uid="{00000000-0005-0000-0000-000098090000}"/>
    <cellStyle name="20 % - Markeringsfarve2 2 2 3 2 3 3" xfId="27604" xr:uid="{00000000-0005-0000-0000-000099090000}"/>
    <cellStyle name="20 % - Markeringsfarve2 2 2 3 2 4" xfId="12682" xr:uid="{00000000-0005-0000-0000-00009A090000}"/>
    <cellStyle name="20 % - Markeringsfarve2 2 2 3 2 4 2" xfId="30849" xr:uid="{00000000-0005-0000-0000-00009B090000}"/>
    <cellStyle name="20 % - Markeringsfarve2 2 2 3 2 5" xfId="23847" xr:uid="{00000000-0005-0000-0000-00009C090000}"/>
    <cellStyle name="20 % - Markeringsfarve2 2 2 3 3" xfId="4130" xr:uid="{00000000-0005-0000-0000-00009D090000}"/>
    <cellStyle name="20 % - Markeringsfarve2 2 2 3 3 2" xfId="9194" xr:uid="{00000000-0005-0000-0000-00009E090000}"/>
    <cellStyle name="20 % - Markeringsfarve2 2 2 3 3 2 2" xfId="17105" xr:uid="{00000000-0005-0000-0000-00009F090000}"/>
    <cellStyle name="20 % - Markeringsfarve2 2 2 3 3 2 2 2" xfId="35265" xr:uid="{00000000-0005-0000-0000-0000A0090000}"/>
    <cellStyle name="20 % - Markeringsfarve2 2 2 3 3 2 3" xfId="28264" xr:uid="{00000000-0005-0000-0000-0000A1090000}"/>
    <cellStyle name="20 % - Markeringsfarve2 2 2 3 3 3" xfId="12684" xr:uid="{00000000-0005-0000-0000-0000A2090000}"/>
    <cellStyle name="20 % - Markeringsfarve2 2 2 3 3 3 2" xfId="30851" xr:uid="{00000000-0005-0000-0000-0000A3090000}"/>
    <cellStyle name="20 % - Markeringsfarve2 2 2 3 3 4" xfId="23849" xr:uid="{00000000-0005-0000-0000-0000A4090000}"/>
    <cellStyle name="20 % - Markeringsfarve2 2 2 3 4" xfId="4131" xr:uid="{00000000-0005-0000-0000-0000A5090000}"/>
    <cellStyle name="20 % - Markeringsfarve2 2 2 3 4 2" xfId="9310" xr:uid="{00000000-0005-0000-0000-0000A6090000}"/>
    <cellStyle name="20 % - Markeringsfarve2 2 2 3 4 2 2" xfId="17221" xr:uid="{00000000-0005-0000-0000-0000A7090000}"/>
    <cellStyle name="20 % - Markeringsfarve2 2 2 3 4 2 2 2" xfId="35381" xr:uid="{00000000-0005-0000-0000-0000A8090000}"/>
    <cellStyle name="20 % - Markeringsfarve2 2 2 3 4 2 3" xfId="28380" xr:uid="{00000000-0005-0000-0000-0000A9090000}"/>
    <cellStyle name="20 % - Markeringsfarve2 2 2 3 4 3" xfId="12685" xr:uid="{00000000-0005-0000-0000-0000AA090000}"/>
    <cellStyle name="20 % - Markeringsfarve2 2 2 3 4 3 2" xfId="30852" xr:uid="{00000000-0005-0000-0000-0000AB090000}"/>
    <cellStyle name="20 % - Markeringsfarve2 2 2 3 4 4" xfId="23850" xr:uid="{00000000-0005-0000-0000-0000AC090000}"/>
    <cellStyle name="20 % - Markeringsfarve2 2 2 3 5" xfId="7698" xr:uid="{00000000-0005-0000-0000-0000AD090000}"/>
    <cellStyle name="20 % - Markeringsfarve2 2 2 3 5 2" xfId="15616" xr:uid="{00000000-0005-0000-0000-0000AE090000}"/>
    <cellStyle name="20 % - Markeringsfarve2 2 2 3 5 2 2" xfId="33776" xr:uid="{00000000-0005-0000-0000-0000AF090000}"/>
    <cellStyle name="20 % - Markeringsfarve2 2 2 3 5 3" xfId="26775" xr:uid="{00000000-0005-0000-0000-0000B0090000}"/>
    <cellStyle name="20 % - Markeringsfarve2 2 2 3 6" xfId="12681" xr:uid="{00000000-0005-0000-0000-0000B1090000}"/>
    <cellStyle name="20 % - Markeringsfarve2 2 2 3 6 2" xfId="30848" xr:uid="{00000000-0005-0000-0000-0000B2090000}"/>
    <cellStyle name="20 % - Markeringsfarve2 2 2 3 7" xfId="23846" xr:uid="{00000000-0005-0000-0000-0000B3090000}"/>
    <cellStyle name="20 % - Markeringsfarve2 2 2 4" xfId="4132" xr:uid="{00000000-0005-0000-0000-0000B4090000}"/>
    <cellStyle name="20 % - Markeringsfarve2 2 2 4 2" xfId="4133" xr:uid="{00000000-0005-0000-0000-0000B5090000}"/>
    <cellStyle name="20 % - Markeringsfarve2 2 2 4 2 2" xfId="4134" xr:uid="{00000000-0005-0000-0000-0000B6090000}"/>
    <cellStyle name="20 % - Markeringsfarve2 2 2 4 2 2 2" xfId="10141" xr:uid="{00000000-0005-0000-0000-0000B7090000}"/>
    <cellStyle name="20 % - Markeringsfarve2 2 2 4 2 2 2 2" xfId="18042" xr:uid="{00000000-0005-0000-0000-0000B8090000}"/>
    <cellStyle name="20 % - Markeringsfarve2 2 2 4 2 2 2 2 2" xfId="36202" xr:uid="{00000000-0005-0000-0000-0000B9090000}"/>
    <cellStyle name="20 % - Markeringsfarve2 2 2 4 2 2 2 3" xfId="29201" xr:uid="{00000000-0005-0000-0000-0000BA090000}"/>
    <cellStyle name="20 % - Markeringsfarve2 2 2 4 2 2 3" xfId="12688" xr:uid="{00000000-0005-0000-0000-0000BB090000}"/>
    <cellStyle name="20 % - Markeringsfarve2 2 2 4 2 2 3 2" xfId="30855" xr:uid="{00000000-0005-0000-0000-0000BC090000}"/>
    <cellStyle name="20 % - Markeringsfarve2 2 2 4 2 2 4" xfId="23853" xr:uid="{00000000-0005-0000-0000-0000BD090000}"/>
    <cellStyle name="20 % - Markeringsfarve2 2 2 4 2 3" xfId="8678" xr:uid="{00000000-0005-0000-0000-0000BE090000}"/>
    <cellStyle name="20 % - Markeringsfarve2 2 2 4 2 3 2" xfId="16592" xr:uid="{00000000-0005-0000-0000-0000BF090000}"/>
    <cellStyle name="20 % - Markeringsfarve2 2 2 4 2 3 2 2" xfId="34752" xr:uid="{00000000-0005-0000-0000-0000C0090000}"/>
    <cellStyle name="20 % - Markeringsfarve2 2 2 4 2 3 3" xfId="27751" xr:uid="{00000000-0005-0000-0000-0000C1090000}"/>
    <cellStyle name="20 % - Markeringsfarve2 2 2 4 2 4" xfId="12687" xr:uid="{00000000-0005-0000-0000-0000C2090000}"/>
    <cellStyle name="20 % - Markeringsfarve2 2 2 4 2 4 2" xfId="30854" xr:uid="{00000000-0005-0000-0000-0000C3090000}"/>
    <cellStyle name="20 % - Markeringsfarve2 2 2 4 2 5" xfId="23852" xr:uid="{00000000-0005-0000-0000-0000C4090000}"/>
    <cellStyle name="20 % - Markeringsfarve2 2 2 4 3" xfId="4135" xr:uid="{00000000-0005-0000-0000-0000C5090000}"/>
    <cellStyle name="20 % - Markeringsfarve2 2 2 4 3 2" xfId="9417" xr:uid="{00000000-0005-0000-0000-0000C6090000}"/>
    <cellStyle name="20 % - Markeringsfarve2 2 2 4 3 2 2" xfId="17327" xr:uid="{00000000-0005-0000-0000-0000C7090000}"/>
    <cellStyle name="20 % - Markeringsfarve2 2 2 4 3 2 2 2" xfId="35487" xr:uid="{00000000-0005-0000-0000-0000C8090000}"/>
    <cellStyle name="20 % - Markeringsfarve2 2 2 4 3 2 3" xfId="28486" xr:uid="{00000000-0005-0000-0000-0000C9090000}"/>
    <cellStyle name="20 % - Markeringsfarve2 2 2 4 3 3" xfId="12689" xr:uid="{00000000-0005-0000-0000-0000CA090000}"/>
    <cellStyle name="20 % - Markeringsfarve2 2 2 4 3 3 2" xfId="30856" xr:uid="{00000000-0005-0000-0000-0000CB090000}"/>
    <cellStyle name="20 % - Markeringsfarve2 2 2 4 3 4" xfId="23854" xr:uid="{00000000-0005-0000-0000-0000CC090000}"/>
    <cellStyle name="20 % - Markeringsfarve2 2 2 4 4" xfId="4136" xr:uid="{00000000-0005-0000-0000-0000CD090000}"/>
    <cellStyle name="20 % - Markeringsfarve2 2 2 4 4 2" xfId="9344" xr:uid="{00000000-0005-0000-0000-0000CE090000}"/>
    <cellStyle name="20 % - Markeringsfarve2 2 2 4 4 2 2" xfId="17254" xr:uid="{00000000-0005-0000-0000-0000CF090000}"/>
    <cellStyle name="20 % - Markeringsfarve2 2 2 4 4 2 2 2" xfId="35414" xr:uid="{00000000-0005-0000-0000-0000D0090000}"/>
    <cellStyle name="20 % - Markeringsfarve2 2 2 4 4 2 3" xfId="28413" xr:uid="{00000000-0005-0000-0000-0000D1090000}"/>
    <cellStyle name="20 % - Markeringsfarve2 2 2 4 4 3" xfId="12690" xr:uid="{00000000-0005-0000-0000-0000D2090000}"/>
    <cellStyle name="20 % - Markeringsfarve2 2 2 4 4 3 2" xfId="30857" xr:uid="{00000000-0005-0000-0000-0000D3090000}"/>
    <cellStyle name="20 % - Markeringsfarve2 2 2 4 4 4" xfId="23855" xr:uid="{00000000-0005-0000-0000-0000D4090000}"/>
    <cellStyle name="20 % - Markeringsfarve2 2 2 4 5" xfId="7699" xr:uid="{00000000-0005-0000-0000-0000D5090000}"/>
    <cellStyle name="20 % - Markeringsfarve2 2 2 4 5 2" xfId="15617" xr:uid="{00000000-0005-0000-0000-0000D6090000}"/>
    <cellStyle name="20 % - Markeringsfarve2 2 2 4 5 2 2" xfId="33777" xr:uid="{00000000-0005-0000-0000-0000D7090000}"/>
    <cellStyle name="20 % - Markeringsfarve2 2 2 4 5 3" xfId="26776" xr:uid="{00000000-0005-0000-0000-0000D8090000}"/>
    <cellStyle name="20 % - Markeringsfarve2 2 2 4 6" xfId="12686" xr:uid="{00000000-0005-0000-0000-0000D9090000}"/>
    <cellStyle name="20 % - Markeringsfarve2 2 2 4 6 2" xfId="30853" xr:uid="{00000000-0005-0000-0000-0000DA090000}"/>
    <cellStyle name="20 % - Markeringsfarve2 2 2 4 7" xfId="23851" xr:uid="{00000000-0005-0000-0000-0000DB090000}"/>
    <cellStyle name="20 % - Markeringsfarve2 2 2 5" xfId="4137" xr:uid="{00000000-0005-0000-0000-0000DC090000}"/>
    <cellStyle name="20 % - Markeringsfarve2 2 2 5 2" xfId="4138" xr:uid="{00000000-0005-0000-0000-0000DD090000}"/>
    <cellStyle name="20 % - Markeringsfarve2 2 2 5 2 2" xfId="4139" xr:uid="{00000000-0005-0000-0000-0000DE090000}"/>
    <cellStyle name="20 % - Markeringsfarve2 2 2 5 2 2 2" xfId="10258" xr:uid="{00000000-0005-0000-0000-0000DF090000}"/>
    <cellStyle name="20 % - Markeringsfarve2 2 2 5 2 2 2 2" xfId="18159" xr:uid="{00000000-0005-0000-0000-0000E0090000}"/>
    <cellStyle name="20 % - Markeringsfarve2 2 2 5 2 2 2 2 2" xfId="36319" xr:uid="{00000000-0005-0000-0000-0000E1090000}"/>
    <cellStyle name="20 % - Markeringsfarve2 2 2 5 2 2 2 3" xfId="29318" xr:uid="{00000000-0005-0000-0000-0000E2090000}"/>
    <cellStyle name="20 % - Markeringsfarve2 2 2 5 2 2 3" xfId="12693" xr:uid="{00000000-0005-0000-0000-0000E3090000}"/>
    <cellStyle name="20 % - Markeringsfarve2 2 2 5 2 2 3 2" xfId="30860" xr:uid="{00000000-0005-0000-0000-0000E4090000}"/>
    <cellStyle name="20 % - Markeringsfarve2 2 2 5 2 2 4" xfId="23858" xr:uid="{00000000-0005-0000-0000-0000E5090000}"/>
    <cellStyle name="20 % - Markeringsfarve2 2 2 5 2 3" xfId="8777" xr:uid="{00000000-0005-0000-0000-0000E6090000}"/>
    <cellStyle name="20 % - Markeringsfarve2 2 2 5 2 3 2" xfId="16691" xr:uid="{00000000-0005-0000-0000-0000E7090000}"/>
    <cellStyle name="20 % - Markeringsfarve2 2 2 5 2 3 2 2" xfId="34851" xr:uid="{00000000-0005-0000-0000-0000E8090000}"/>
    <cellStyle name="20 % - Markeringsfarve2 2 2 5 2 3 3" xfId="27850" xr:uid="{00000000-0005-0000-0000-0000E9090000}"/>
    <cellStyle name="20 % - Markeringsfarve2 2 2 5 2 4" xfId="12692" xr:uid="{00000000-0005-0000-0000-0000EA090000}"/>
    <cellStyle name="20 % - Markeringsfarve2 2 2 5 2 4 2" xfId="30859" xr:uid="{00000000-0005-0000-0000-0000EB090000}"/>
    <cellStyle name="20 % - Markeringsfarve2 2 2 5 2 5" xfId="23857" xr:uid="{00000000-0005-0000-0000-0000EC090000}"/>
    <cellStyle name="20 % - Markeringsfarve2 2 2 5 3" xfId="4140" xr:uid="{00000000-0005-0000-0000-0000ED090000}"/>
    <cellStyle name="20 % - Markeringsfarve2 2 2 5 3 2" xfId="9534" xr:uid="{00000000-0005-0000-0000-0000EE090000}"/>
    <cellStyle name="20 % - Markeringsfarve2 2 2 5 3 2 2" xfId="17444" xr:uid="{00000000-0005-0000-0000-0000EF090000}"/>
    <cellStyle name="20 % - Markeringsfarve2 2 2 5 3 2 2 2" xfId="35604" xr:uid="{00000000-0005-0000-0000-0000F0090000}"/>
    <cellStyle name="20 % - Markeringsfarve2 2 2 5 3 2 3" xfId="28603" xr:uid="{00000000-0005-0000-0000-0000F1090000}"/>
    <cellStyle name="20 % - Markeringsfarve2 2 2 5 3 3" xfId="12694" xr:uid="{00000000-0005-0000-0000-0000F2090000}"/>
    <cellStyle name="20 % - Markeringsfarve2 2 2 5 3 3 2" xfId="30861" xr:uid="{00000000-0005-0000-0000-0000F3090000}"/>
    <cellStyle name="20 % - Markeringsfarve2 2 2 5 3 4" xfId="23859" xr:uid="{00000000-0005-0000-0000-0000F4090000}"/>
    <cellStyle name="20 % - Markeringsfarve2 2 2 5 4" xfId="4141" xr:uid="{00000000-0005-0000-0000-0000F5090000}"/>
    <cellStyle name="20 % - Markeringsfarve2 2 2 5 4 2" xfId="10557" xr:uid="{00000000-0005-0000-0000-0000F6090000}"/>
    <cellStyle name="20 % - Markeringsfarve2 2 2 5 4 2 2" xfId="18451" xr:uid="{00000000-0005-0000-0000-0000F7090000}"/>
    <cellStyle name="20 % - Markeringsfarve2 2 2 5 4 2 2 2" xfId="36611" xr:uid="{00000000-0005-0000-0000-0000F8090000}"/>
    <cellStyle name="20 % - Markeringsfarve2 2 2 5 4 2 3" xfId="29610" xr:uid="{00000000-0005-0000-0000-0000F9090000}"/>
    <cellStyle name="20 % - Markeringsfarve2 2 2 5 4 3" xfId="12695" xr:uid="{00000000-0005-0000-0000-0000FA090000}"/>
    <cellStyle name="20 % - Markeringsfarve2 2 2 5 4 3 2" xfId="30862" xr:uid="{00000000-0005-0000-0000-0000FB090000}"/>
    <cellStyle name="20 % - Markeringsfarve2 2 2 5 4 4" xfId="23860" xr:uid="{00000000-0005-0000-0000-0000FC090000}"/>
    <cellStyle name="20 % - Markeringsfarve2 2 2 5 5" xfId="7700" xr:uid="{00000000-0005-0000-0000-0000FD090000}"/>
    <cellStyle name="20 % - Markeringsfarve2 2 2 5 5 2" xfId="15618" xr:uid="{00000000-0005-0000-0000-0000FE090000}"/>
    <cellStyle name="20 % - Markeringsfarve2 2 2 5 5 2 2" xfId="33778" xr:uid="{00000000-0005-0000-0000-0000FF090000}"/>
    <cellStyle name="20 % - Markeringsfarve2 2 2 5 5 3" xfId="26777" xr:uid="{00000000-0005-0000-0000-0000000A0000}"/>
    <cellStyle name="20 % - Markeringsfarve2 2 2 5 6" xfId="12691" xr:uid="{00000000-0005-0000-0000-0000010A0000}"/>
    <cellStyle name="20 % - Markeringsfarve2 2 2 5 6 2" xfId="30858" xr:uid="{00000000-0005-0000-0000-0000020A0000}"/>
    <cellStyle name="20 % - Markeringsfarve2 2 2 5 7" xfId="23856" xr:uid="{00000000-0005-0000-0000-0000030A0000}"/>
    <cellStyle name="20 % - Markeringsfarve2 2 2 6" xfId="4142" xr:uid="{00000000-0005-0000-0000-0000040A0000}"/>
    <cellStyle name="20 % - Markeringsfarve2 2 2 6 2" xfId="4143" xr:uid="{00000000-0005-0000-0000-0000050A0000}"/>
    <cellStyle name="20 % - Markeringsfarve2 2 2 6 2 2" xfId="4144" xr:uid="{00000000-0005-0000-0000-0000060A0000}"/>
    <cellStyle name="20 % - Markeringsfarve2 2 2 6 2 2 2" xfId="10319" xr:uid="{00000000-0005-0000-0000-0000070A0000}"/>
    <cellStyle name="20 % - Markeringsfarve2 2 2 6 2 2 2 2" xfId="18220" xr:uid="{00000000-0005-0000-0000-0000080A0000}"/>
    <cellStyle name="20 % - Markeringsfarve2 2 2 6 2 2 2 2 2" xfId="36380" xr:uid="{00000000-0005-0000-0000-0000090A0000}"/>
    <cellStyle name="20 % - Markeringsfarve2 2 2 6 2 2 2 3" xfId="29379" xr:uid="{00000000-0005-0000-0000-00000A0A0000}"/>
    <cellStyle name="20 % - Markeringsfarve2 2 2 6 2 2 3" xfId="12698" xr:uid="{00000000-0005-0000-0000-00000B0A0000}"/>
    <cellStyle name="20 % - Markeringsfarve2 2 2 6 2 2 3 2" xfId="30865" xr:uid="{00000000-0005-0000-0000-00000C0A0000}"/>
    <cellStyle name="20 % - Markeringsfarve2 2 2 6 2 2 4" xfId="23863" xr:uid="{00000000-0005-0000-0000-00000D0A0000}"/>
    <cellStyle name="20 % - Markeringsfarve2 2 2 6 2 3" xfId="8830" xr:uid="{00000000-0005-0000-0000-00000E0A0000}"/>
    <cellStyle name="20 % - Markeringsfarve2 2 2 6 2 3 2" xfId="16744" xr:uid="{00000000-0005-0000-0000-00000F0A0000}"/>
    <cellStyle name="20 % - Markeringsfarve2 2 2 6 2 3 2 2" xfId="34904" xr:uid="{00000000-0005-0000-0000-0000100A0000}"/>
    <cellStyle name="20 % - Markeringsfarve2 2 2 6 2 3 3" xfId="27903" xr:uid="{00000000-0005-0000-0000-0000110A0000}"/>
    <cellStyle name="20 % - Markeringsfarve2 2 2 6 2 4" xfId="12697" xr:uid="{00000000-0005-0000-0000-0000120A0000}"/>
    <cellStyle name="20 % - Markeringsfarve2 2 2 6 2 4 2" xfId="30864" xr:uid="{00000000-0005-0000-0000-0000130A0000}"/>
    <cellStyle name="20 % - Markeringsfarve2 2 2 6 2 5" xfId="23862" xr:uid="{00000000-0005-0000-0000-0000140A0000}"/>
    <cellStyle name="20 % - Markeringsfarve2 2 2 6 3" xfId="4145" xr:uid="{00000000-0005-0000-0000-0000150A0000}"/>
    <cellStyle name="20 % - Markeringsfarve2 2 2 6 3 2" xfId="9596" xr:uid="{00000000-0005-0000-0000-0000160A0000}"/>
    <cellStyle name="20 % - Markeringsfarve2 2 2 6 3 2 2" xfId="17506" xr:uid="{00000000-0005-0000-0000-0000170A0000}"/>
    <cellStyle name="20 % - Markeringsfarve2 2 2 6 3 2 2 2" xfId="35666" xr:uid="{00000000-0005-0000-0000-0000180A0000}"/>
    <cellStyle name="20 % - Markeringsfarve2 2 2 6 3 2 3" xfId="28665" xr:uid="{00000000-0005-0000-0000-0000190A0000}"/>
    <cellStyle name="20 % - Markeringsfarve2 2 2 6 3 3" xfId="12699" xr:uid="{00000000-0005-0000-0000-00001A0A0000}"/>
    <cellStyle name="20 % - Markeringsfarve2 2 2 6 3 3 2" xfId="30866" xr:uid="{00000000-0005-0000-0000-00001B0A0000}"/>
    <cellStyle name="20 % - Markeringsfarve2 2 2 6 3 4" xfId="23864" xr:uid="{00000000-0005-0000-0000-00001C0A0000}"/>
    <cellStyle name="20 % - Markeringsfarve2 2 2 6 4" xfId="4146" xr:uid="{00000000-0005-0000-0000-00001D0A0000}"/>
    <cellStyle name="20 % - Markeringsfarve2 2 2 6 4 2" xfId="9337" xr:uid="{00000000-0005-0000-0000-00001E0A0000}"/>
    <cellStyle name="20 % - Markeringsfarve2 2 2 6 4 2 2" xfId="17247" xr:uid="{00000000-0005-0000-0000-00001F0A0000}"/>
    <cellStyle name="20 % - Markeringsfarve2 2 2 6 4 2 2 2" xfId="35407" xr:uid="{00000000-0005-0000-0000-0000200A0000}"/>
    <cellStyle name="20 % - Markeringsfarve2 2 2 6 4 2 3" xfId="28406" xr:uid="{00000000-0005-0000-0000-0000210A0000}"/>
    <cellStyle name="20 % - Markeringsfarve2 2 2 6 4 3" xfId="12700" xr:uid="{00000000-0005-0000-0000-0000220A0000}"/>
    <cellStyle name="20 % - Markeringsfarve2 2 2 6 4 3 2" xfId="30867" xr:uid="{00000000-0005-0000-0000-0000230A0000}"/>
    <cellStyle name="20 % - Markeringsfarve2 2 2 6 4 4" xfId="23865" xr:uid="{00000000-0005-0000-0000-0000240A0000}"/>
    <cellStyle name="20 % - Markeringsfarve2 2 2 6 5" xfId="7701" xr:uid="{00000000-0005-0000-0000-0000250A0000}"/>
    <cellStyle name="20 % - Markeringsfarve2 2 2 6 5 2" xfId="15619" xr:uid="{00000000-0005-0000-0000-0000260A0000}"/>
    <cellStyle name="20 % - Markeringsfarve2 2 2 6 5 2 2" xfId="33779" xr:uid="{00000000-0005-0000-0000-0000270A0000}"/>
    <cellStyle name="20 % - Markeringsfarve2 2 2 6 5 3" xfId="26778" xr:uid="{00000000-0005-0000-0000-0000280A0000}"/>
    <cellStyle name="20 % - Markeringsfarve2 2 2 6 6" xfId="12696" xr:uid="{00000000-0005-0000-0000-0000290A0000}"/>
    <cellStyle name="20 % - Markeringsfarve2 2 2 6 6 2" xfId="30863" xr:uid="{00000000-0005-0000-0000-00002A0A0000}"/>
    <cellStyle name="20 % - Markeringsfarve2 2 2 6 7" xfId="23861" xr:uid="{00000000-0005-0000-0000-00002B0A0000}"/>
    <cellStyle name="20 % - Markeringsfarve2 2 2 7" xfId="4147" xr:uid="{00000000-0005-0000-0000-00002C0A0000}"/>
    <cellStyle name="20 % - Markeringsfarve2 2 2 7 2" xfId="4148" xr:uid="{00000000-0005-0000-0000-00002D0A0000}"/>
    <cellStyle name="20 % - Markeringsfarve2 2 2 7 2 2" xfId="9784" xr:uid="{00000000-0005-0000-0000-00002E0A0000}"/>
    <cellStyle name="20 % - Markeringsfarve2 2 2 7 2 2 2" xfId="17685" xr:uid="{00000000-0005-0000-0000-00002F0A0000}"/>
    <cellStyle name="20 % - Markeringsfarve2 2 2 7 2 2 2 2" xfId="35845" xr:uid="{00000000-0005-0000-0000-0000300A0000}"/>
    <cellStyle name="20 % - Markeringsfarve2 2 2 7 2 2 3" xfId="28844" xr:uid="{00000000-0005-0000-0000-0000310A0000}"/>
    <cellStyle name="20 % - Markeringsfarve2 2 2 7 2 3" xfId="12702" xr:uid="{00000000-0005-0000-0000-0000320A0000}"/>
    <cellStyle name="20 % - Markeringsfarve2 2 2 7 2 3 2" xfId="30869" xr:uid="{00000000-0005-0000-0000-0000330A0000}"/>
    <cellStyle name="20 % - Markeringsfarve2 2 2 7 2 4" xfId="23867" xr:uid="{00000000-0005-0000-0000-0000340A0000}"/>
    <cellStyle name="20 % - Markeringsfarve2 2 2 7 3" xfId="8377" xr:uid="{00000000-0005-0000-0000-0000350A0000}"/>
    <cellStyle name="20 % - Markeringsfarve2 2 2 7 3 2" xfId="16294" xr:uid="{00000000-0005-0000-0000-0000360A0000}"/>
    <cellStyle name="20 % - Markeringsfarve2 2 2 7 3 2 2" xfId="34454" xr:uid="{00000000-0005-0000-0000-0000370A0000}"/>
    <cellStyle name="20 % - Markeringsfarve2 2 2 7 3 3" xfId="27453" xr:uid="{00000000-0005-0000-0000-0000380A0000}"/>
    <cellStyle name="20 % - Markeringsfarve2 2 2 7 4" xfId="12701" xr:uid="{00000000-0005-0000-0000-0000390A0000}"/>
    <cellStyle name="20 % - Markeringsfarve2 2 2 7 4 2" xfId="30868" xr:uid="{00000000-0005-0000-0000-00003A0A0000}"/>
    <cellStyle name="20 % - Markeringsfarve2 2 2 7 5" xfId="23866" xr:uid="{00000000-0005-0000-0000-00003B0A0000}"/>
    <cellStyle name="20 % - Markeringsfarve2 2 2 8" xfId="4149" xr:uid="{00000000-0005-0000-0000-00003C0A0000}"/>
    <cellStyle name="20 % - Markeringsfarve2 2 2 8 2" xfId="9012" xr:uid="{00000000-0005-0000-0000-00003D0A0000}"/>
    <cellStyle name="20 % - Markeringsfarve2 2 2 8 2 2" xfId="16923" xr:uid="{00000000-0005-0000-0000-00003E0A0000}"/>
    <cellStyle name="20 % - Markeringsfarve2 2 2 8 2 2 2" xfId="35083" xr:uid="{00000000-0005-0000-0000-00003F0A0000}"/>
    <cellStyle name="20 % - Markeringsfarve2 2 2 8 2 3" xfId="28082" xr:uid="{00000000-0005-0000-0000-0000400A0000}"/>
    <cellStyle name="20 % - Markeringsfarve2 2 2 8 3" xfId="12703" xr:uid="{00000000-0005-0000-0000-0000410A0000}"/>
    <cellStyle name="20 % - Markeringsfarve2 2 2 8 3 2" xfId="30870" xr:uid="{00000000-0005-0000-0000-0000420A0000}"/>
    <cellStyle name="20 % - Markeringsfarve2 2 2 8 4" xfId="23868" xr:uid="{00000000-0005-0000-0000-0000430A0000}"/>
    <cellStyle name="20 % - Markeringsfarve2 2 2 9" xfId="4150" xr:uid="{00000000-0005-0000-0000-0000440A0000}"/>
    <cellStyle name="20 % - Markeringsfarve2 2 2 9 2" xfId="10560" xr:uid="{00000000-0005-0000-0000-0000450A0000}"/>
    <cellStyle name="20 % - Markeringsfarve2 2 2 9 2 2" xfId="18454" xr:uid="{00000000-0005-0000-0000-0000460A0000}"/>
    <cellStyle name="20 % - Markeringsfarve2 2 2 9 2 2 2" xfId="36614" xr:uid="{00000000-0005-0000-0000-0000470A0000}"/>
    <cellStyle name="20 % - Markeringsfarve2 2 2 9 2 3" xfId="29613" xr:uid="{00000000-0005-0000-0000-0000480A0000}"/>
    <cellStyle name="20 % - Markeringsfarve2 2 2 9 3" xfId="12704" xr:uid="{00000000-0005-0000-0000-0000490A0000}"/>
    <cellStyle name="20 % - Markeringsfarve2 2 2 9 3 2" xfId="30871" xr:uid="{00000000-0005-0000-0000-00004A0A0000}"/>
    <cellStyle name="20 % - Markeringsfarve2 2 2 9 4" xfId="23869" xr:uid="{00000000-0005-0000-0000-00004B0A0000}"/>
    <cellStyle name="20 % - Markeringsfarve2 2 3" xfId="1787" xr:uid="{00000000-0005-0000-0000-00004C0A0000}"/>
    <cellStyle name="20 % - Markeringsfarve2 2 3 10" xfId="7702" xr:uid="{00000000-0005-0000-0000-00004D0A0000}"/>
    <cellStyle name="20 % - Markeringsfarve2 2 3 10 2" xfId="15620" xr:uid="{00000000-0005-0000-0000-00004E0A0000}"/>
    <cellStyle name="20 % - Markeringsfarve2 2 3 10 2 2" xfId="33780" xr:uid="{00000000-0005-0000-0000-00004F0A0000}"/>
    <cellStyle name="20 % - Markeringsfarve2 2 3 10 3" xfId="26779" xr:uid="{00000000-0005-0000-0000-0000500A0000}"/>
    <cellStyle name="20 % - Markeringsfarve2 2 3 11" xfId="12705" xr:uid="{00000000-0005-0000-0000-0000510A0000}"/>
    <cellStyle name="20 % - Markeringsfarve2 2 3 11 2" xfId="30872" xr:uid="{00000000-0005-0000-0000-0000520A0000}"/>
    <cellStyle name="20 % - Markeringsfarve2 2 3 12" xfId="4151" xr:uid="{00000000-0005-0000-0000-0000530A0000}"/>
    <cellStyle name="20 % - Markeringsfarve2 2 3 12 2" xfId="23870" xr:uid="{00000000-0005-0000-0000-0000540A0000}"/>
    <cellStyle name="20 % - Markeringsfarve2 2 3 13" xfId="21911" xr:uid="{00000000-0005-0000-0000-0000550A0000}"/>
    <cellStyle name="20 % - Markeringsfarve2 2 3 2" xfId="1788" xr:uid="{00000000-0005-0000-0000-0000560A0000}"/>
    <cellStyle name="20 % - Markeringsfarve2 2 3 2 2" xfId="4153" xr:uid="{00000000-0005-0000-0000-0000570A0000}"/>
    <cellStyle name="20 % - Markeringsfarve2 2 3 2 2 2" xfId="4154" xr:uid="{00000000-0005-0000-0000-0000580A0000}"/>
    <cellStyle name="20 % - Markeringsfarve2 2 3 2 2 2 2" xfId="9942" xr:uid="{00000000-0005-0000-0000-0000590A0000}"/>
    <cellStyle name="20 % - Markeringsfarve2 2 3 2 2 2 2 2" xfId="17843" xr:uid="{00000000-0005-0000-0000-00005A0A0000}"/>
    <cellStyle name="20 % - Markeringsfarve2 2 3 2 2 2 2 2 2" xfId="36003" xr:uid="{00000000-0005-0000-0000-00005B0A0000}"/>
    <cellStyle name="20 % - Markeringsfarve2 2 3 2 2 2 2 3" xfId="29002" xr:uid="{00000000-0005-0000-0000-00005C0A0000}"/>
    <cellStyle name="20 % - Markeringsfarve2 2 3 2 2 2 3" xfId="12708" xr:uid="{00000000-0005-0000-0000-00005D0A0000}"/>
    <cellStyle name="20 % - Markeringsfarve2 2 3 2 2 2 3 2" xfId="30875" xr:uid="{00000000-0005-0000-0000-00005E0A0000}"/>
    <cellStyle name="20 % - Markeringsfarve2 2 3 2 2 2 4" xfId="23873" xr:uid="{00000000-0005-0000-0000-00005F0A0000}"/>
    <cellStyle name="20 % - Markeringsfarve2 2 3 2 2 3" xfId="8509" xr:uid="{00000000-0005-0000-0000-0000600A0000}"/>
    <cellStyle name="20 % - Markeringsfarve2 2 3 2 2 3 2" xfId="16426" xr:uid="{00000000-0005-0000-0000-0000610A0000}"/>
    <cellStyle name="20 % - Markeringsfarve2 2 3 2 2 3 2 2" xfId="34586" xr:uid="{00000000-0005-0000-0000-0000620A0000}"/>
    <cellStyle name="20 % - Markeringsfarve2 2 3 2 2 3 3" xfId="27585" xr:uid="{00000000-0005-0000-0000-0000630A0000}"/>
    <cellStyle name="20 % - Markeringsfarve2 2 3 2 2 4" xfId="12707" xr:uid="{00000000-0005-0000-0000-0000640A0000}"/>
    <cellStyle name="20 % - Markeringsfarve2 2 3 2 2 4 2" xfId="30874" xr:uid="{00000000-0005-0000-0000-0000650A0000}"/>
    <cellStyle name="20 % - Markeringsfarve2 2 3 2 2 5" xfId="23872" xr:uid="{00000000-0005-0000-0000-0000660A0000}"/>
    <cellStyle name="20 % - Markeringsfarve2 2 3 2 3" xfId="4155" xr:uid="{00000000-0005-0000-0000-0000670A0000}"/>
    <cellStyle name="20 % - Markeringsfarve2 2 3 2 3 2" xfId="9172" xr:uid="{00000000-0005-0000-0000-0000680A0000}"/>
    <cellStyle name="20 % - Markeringsfarve2 2 3 2 3 2 2" xfId="17083" xr:uid="{00000000-0005-0000-0000-0000690A0000}"/>
    <cellStyle name="20 % - Markeringsfarve2 2 3 2 3 2 2 2" xfId="35243" xr:uid="{00000000-0005-0000-0000-00006A0A0000}"/>
    <cellStyle name="20 % - Markeringsfarve2 2 3 2 3 2 3" xfId="28242" xr:uid="{00000000-0005-0000-0000-00006B0A0000}"/>
    <cellStyle name="20 % - Markeringsfarve2 2 3 2 3 3" xfId="12709" xr:uid="{00000000-0005-0000-0000-00006C0A0000}"/>
    <cellStyle name="20 % - Markeringsfarve2 2 3 2 3 3 2" xfId="30876" xr:uid="{00000000-0005-0000-0000-00006D0A0000}"/>
    <cellStyle name="20 % - Markeringsfarve2 2 3 2 3 4" xfId="23874" xr:uid="{00000000-0005-0000-0000-00006E0A0000}"/>
    <cellStyle name="20 % - Markeringsfarve2 2 3 2 4" xfId="4156" xr:uid="{00000000-0005-0000-0000-00006F0A0000}"/>
    <cellStyle name="20 % - Markeringsfarve2 2 3 2 4 2" xfId="9339" xr:uid="{00000000-0005-0000-0000-0000700A0000}"/>
    <cellStyle name="20 % - Markeringsfarve2 2 3 2 4 2 2" xfId="17249" xr:uid="{00000000-0005-0000-0000-0000710A0000}"/>
    <cellStyle name="20 % - Markeringsfarve2 2 3 2 4 2 2 2" xfId="35409" xr:uid="{00000000-0005-0000-0000-0000720A0000}"/>
    <cellStyle name="20 % - Markeringsfarve2 2 3 2 4 2 3" xfId="28408" xr:uid="{00000000-0005-0000-0000-0000730A0000}"/>
    <cellStyle name="20 % - Markeringsfarve2 2 3 2 4 3" xfId="12710" xr:uid="{00000000-0005-0000-0000-0000740A0000}"/>
    <cellStyle name="20 % - Markeringsfarve2 2 3 2 4 3 2" xfId="30877" xr:uid="{00000000-0005-0000-0000-0000750A0000}"/>
    <cellStyle name="20 % - Markeringsfarve2 2 3 2 4 4" xfId="23875" xr:uid="{00000000-0005-0000-0000-0000760A0000}"/>
    <cellStyle name="20 % - Markeringsfarve2 2 3 2 5" xfId="7703" xr:uid="{00000000-0005-0000-0000-0000770A0000}"/>
    <cellStyle name="20 % - Markeringsfarve2 2 3 2 5 2" xfId="15621" xr:uid="{00000000-0005-0000-0000-0000780A0000}"/>
    <cellStyle name="20 % - Markeringsfarve2 2 3 2 5 2 2" xfId="33781" xr:uid="{00000000-0005-0000-0000-0000790A0000}"/>
    <cellStyle name="20 % - Markeringsfarve2 2 3 2 5 3" xfId="26780" xr:uid="{00000000-0005-0000-0000-00007A0A0000}"/>
    <cellStyle name="20 % - Markeringsfarve2 2 3 2 6" xfId="12706" xr:uid="{00000000-0005-0000-0000-00007B0A0000}"/>
    <cellStyle name="20 % - Markeringsfarve2 2 3 2 6 2" xfId="30873" xr:uid="{00000000-0005-0000-0000-00007C0A0000}"/>
    <cellStyle name="20 % - Markeringsfarve2 2 3 2 7" xfId="4152" xr:uid="{00000000-0005-0000-0000-00007D0A0000}"/>
    <cellStyle name="20 % - Markeringsfarve2 2 3 2 7 2" xfId="23871" xr:uid="{00000000-0005-0000-0000-00007E0A0000}"/>
    <cellStyle name="20 % - Markeringsfarve2 2 3 2 8" xfId="21912" xr:uid="{00000000-0005-0000-0000-00007F0A0000}"/>
    <cellStyle name="20 % - Markeringsfarve2 2 3 3" xfId="4157" xr:uid="{00000000-0005-0000-0000-0000800A0000}"/>
    <cellStyle name="20 % - Markeringsfarve2 2 3 3 2" xfId="4158" xr:uid="{00000000-0005-0000-0000-0000810A0000}"/>
    <cellStyle name="20 % - Markeringsfarve2 2 3 3 2 2" xfId="4159" xr:uid="{00000000-0005-0000-0000-0000820A0000}"/>
    <cellStyle name="20 % - Markeringsfarve2 2 3 3 2 2 2" xfId="9965" xr:uid="{00000000-0005-0000-0000-0000830A0000}"/>
    <cellStyle name="20 % - Markeringsfarve2 2 3 3 2 2 2 2" xfId="17866" xr:uid="{00000000-0005-0000-0000-0000840A0000}"/>
    <cellStyle name="20 % - Markeringsfarve2 2 3 3 2 2 2 2 2" xfId="36026" xr:uid="{00000000-0005-0000-0000-0000850A0000}"/>
    <cellStyle name="20 % - Markeringsfarve2 2 3 3 2 2 2 3" xfId="29025" xr:uid="{00000000-0005-0000-0000-0000860A0000}"/>
    <cellStyle name="20 % - Markeringsfarve2 2 3 3 2 2 3" xfId="12713" xr:uid="{00000000-0005-0000-0000-0000870A0000}"/>
    <cellStyle name="20 % - Markeringsfarve2 2 3 3 2 2 3 2" xfId="30880" xr:uid="{00000000-0005-0000-0000-0000880A0000}"/>
    <cellStyle name="20 % - Markeringsfarve2 2 3 3 2 2 4" xfId="23878" xr:uid="{00000000-0005-0000-0000-0000890A0000}"/>
    <cellStyle name="20 % - Markeringsfarve2 2 3 3 2 3" xfId="8529" xr:uid="{00000000-0005-0000-0000-00008A0A0000}"/>
    <cellStyle name="20 % - Markeringsfarve2 2 3 3 2 3 2" xfId="16446" xr:uid="{00000000-0005-0000-0000-00008B0A0000}"/>
    <cellStyle name="20 % - Markeringsfarve2 2 3 3 2 3 2 2" xfId="34606" xr:uid="{00000000-0005-0000-0000-00008C0A0000}"/>
    <cellStyle name="20 % - Markeringsfarve2 2 3 3 2 3 3" xfId="27605" xr:uid="{00000000-0005-0000-0000-00008D0A0000}"/>
    <cellStyle name="20 % - Markeringsfarve2 2 3 3 2 4" xfId="12712" xr:uid="{00000000-0005-0000-0000-00008E0A0000}"/>
    <cellStyle name="20 % - Markeringsfarve2 2 3 3 2 4 2" xfId="30879" xr:uid="{00000000-0005-0000-0000-00008F0A0000}"/>
    <cellStyle name="20 % - Markeringsfarve2 2 3 3 2 5" xfId="23877" xr:uid="{00000000-0005-0000-0000-0000900A0000}"/>
    <cellStyle name="20 % - Markeringsfarve2 2 3 3 3" xfId="4160" xr:uid="{00000000-0005-0000-0000-0000910A0000}"/>
    <cellStyle name="20 % - Markeringsfarve2 2 3 3 3 2" xfId="9195" xr:uid="{00000000-0005-0000-0000-0000920A0000}"/>
    <cellStyle name="20 % - Markeringsfarve2 2 3 3 3 2 2" xfId="17106" xr:uid="{00000000-0005-0000-0000-0000930A0000}"/>
    <cellStyle name="20 % - Markeringsfarve2 2 3 3 3 2 2 2" xfId="35266" xr:uid="{00000000-0005-0000-0000-0000940A0000}"/>
    <cellStyle name="20 % - Markeringsfarve2 2 3 3 3 2 3" xfId="28265" xr:uid="{00000000-0005-0000-0000-0000950A0000}"/>
    <cellStyle name="20 % - Markeringsfarve2 2 3 3 3 3" xfId="12714" xr:uid="{00000000-0005-0000-0000-0000960A0000}"/>
    <cellStyle name="20 % - Markeringsfarve2 2 3 3 3 3 2" xfId="30881" xr:uid="{00000000-0005-0000-0000-0000970A0000}"/>
    <cellStyle name="20 % - Markeringsfarve2 2 3 3 3 4" xfId="23879" xr:uid="{00000000-0005-0000-0000-0000980A0000}"/>
    <cellStyle name="20 % - Markeringsfarve2 2 3 3 4" xfId="4161" xr:uid="{00000000-0005-0000-0000-0000990A0000}"/>
    <cellStyle name="20 % - Markeringsfarve2 2 3 3 4 2" xfId="9340" xr:uid="{00000000-0005-0000-0000-00009A0A0000}"/>
    <cellStyle name="20 % - Markeringsfarve2 2 3 3 4 2 2" xfId="17250" xr:uid="{00000000-0005-0000-0000-00009B0A0000}"/>
    <cellStyle name="20 % - Markeringsfarve2 2 3 3 4 2 2 2" xfId="35410" xr:uid="{00000000-0005-0000-0000-00009C0A0000}"/>
    <cellStyle name="20 % - Markeringsfarve2 2 3 3 4 2 3" xfId="28409" xr:uid="{00000000-0005-0000-0000-00009D0A0000}"/>
    <cellStyle name="20 % - Markeringsfarve2 2 3 3 4 3" xfId="12715" xr:uid="{00000000-0005-0000-0000-00009E0A0000}"/>
    <cellStyle name="20 % - Markeringsfarve2 2 3 3 4 3 2" xfId="30882" xr:uid="{00000000-0005-0000-0000-00009F0A0000}"/>
    <cellStyle name="20 % - Markeringsfarve2 2 3 3 4 4" xfId="23880" xr:uid="{00000000-0005-0000-0000-0000A00A0000}"/>
    <cellStyle name="20 % - Markeringsfarve2 2 3 3 5" xfId="7704" xr:uid="{00000000-0005-0000-0000-0000A10A0000}"/>
    <cellStyle name="20 % - Markeringsfarve2 2 3 3 5 2" xfId="15622" xr:uid="{00000000-0005-0000-0000-0000A20A0000}"/>
    <cellStyle name="20 % - Markeringsfarve2 2 3 3 5 2 2" xfId="33782" xr:uid="{00000000-0005-0000-0000-0000A30A0000}"/>
    <cellStyle name="20 % - Markeringsfarve2 2 3 3 5 3" xfId="26781" xr:uid="{00000000-0005-0000-0000-0000A40A0000}"/>
    <cellStyle name="20 % - Markeringsfarve2 2 3 3 6" xfId="12711" xr:uid="{00000000-0005-0000-0000-0000A50A0000}"/>
    <cellStyle name="20 % - Markeringsfarve2 2 3 3 6 2" xfId="30878" xr:uid="{00000000-0005-0000-0000-0000A60A0000}"/>
    <cellStyle name="20 % - Markeringsfarve2 2 3 3 7" xfId="23876" xr:uid="{00000000-0005-0000-0000-0000A70A0000}"/>
    <cellStyle name="20 % - Markeringsfarve2 2 3 4" xfId="4162" xr:uid="{00000000-0005-0000-0000-0000A80A0000}"/>
    <cellStyle name="20 % - Markeringsfarve2 2 3 4 2" xfId="4163" xr:uid="{00000000-0005-0000-0000-0000A90A0000}"/>
    <cellStyle name="20 % - Markeringsfarve2 2 3 4 2 2" xfId="4164" xr:uid="{00000000-0005-0000-0000-0000AA0A0000}"/>
    <cellStyle name="20 % - Markeringsfarve2 2 3 4 2 2 2" xfId="10180" xr:uid="{00000000-0005-0000-0000-0000AB0A0000}"/>
    <cellStyle name="20 % - Markeringsfarve2 2 3 4 2 2 2 2" xfId="18081" xr:uid="{00000000-0005-0000-0000-0000AC0A0000}"/>
    <cellStyle name="20 % - Markeringsfarve2 2 3 4 2 2 2 2 2" xfId="36241" xr:uid="{00000000-0005-0000-0000-0000AD0A0000}"/>
    <cellStyle name="20 % - Markeringsfarve2 2 3 4 2 2 2 3" xfId="29240" xr:uid="{00000000-0005-0000-0000-0000AE0A0000}"/>
    <cellStyle name="20 % - Markeringsfarve2 2 3 4 2 2 3" xfId="12718" xr:uid="{00000000-0005-0000-0000-0000AF0A0000}"/>
    <cellStyle name="20 % - Markeringsfarve2 2 3 4 2 2 3 2" xfId="30885" xr:uid="{00000000-0005-0000-0000-0000B00A0000}"/>
    <cellStyle name="20 % - Markeringsfarve2 2 3 4 2 2 4" xfId="23883" xr:uid="{00000000-0005-0000-0000-0000B10A0000}"/>
    <cellStyle name="20 % - Markeringsfarve2 2 3 4 2 3" xfId="8711" xr:uid="{00000000-0005-0000-0000-0000B20A0000}"/>
    <cellStyle name="20 % - Markeringsfarve2 2 3 4 2 3 2" xfId="16625" xr:uid="{00000000-0005-0000-0000-0000B30A0000}"/>
    <cellStyle name="20 % - Markeringsfarve2 2 3 4 2 3 2 2" xfId="34785" xr:uid="{00000000-0005-0000-0000-0000B40A0000}"/>
    <cellStyle name="20 % - Markeringsfarve2 2 3 4 2 3 3" xfId="27784" xr:uid="{00000000-0005-0000-0000-0000B50A0000}"/>
    <cellStyle name="20 % - Markeringsfarve2 2 3 4 2 4" xfId="12717" xr:uid="{00000000-0005-0000-0000-0000B60A0000}"/>
    <cellStyle name="20 % - Markeringsfarve2 2 3 4 2 4 2" xfId="30884" xr:uid="{00000000-0005-0000-0000-0000B70A0000}"/>
    <cellStyle name="20 % - Markeringsfarve2 2 3 4 2 5" xfId="23882" xr:uid="{00000000-0005-0000-0000-0000B80A0000}"/>
    <cellStyle name="20 % - Markeringsfarve2 2 3 4 3" xfId="4165" xr:uid="{00000000-0005-0000-0000-0000B90A0000}"/>
    <cellStyle name="20 % - Markeringsfarve2 2 3 4 3 2" xfId="9456" xr:uid="{00000000-0005-0000-0000-0000BA0A0000}"/>
    <cellStyle name="20 % - Markeringsfarve2 2 3 4 3 2 2" xfId="17366" xr:uid="{00000000-0005-0000-0000-0000BB0A0000}"/>
    <cellStyle name="20 % - Markeringsfarve2 2 3 4 3 2 2 2" xfId="35526" xr:uid="{00000000-0005-0000-0000-0000BC0A0000}"/>
    <cellStyle name="20 % - Markeringsfarve2 2 3 4 3 2 3" xfId="28525" xr:uid="{00000000-0005-0000-0000-0000BD0A0000}"/>
    <cellStyle name="20 % - Markeringsfarve2 2 3 4 3 3" xfId="12719" xr:uid="{00000000-0005-0000-0000-0000BE0A0000}"/>
    <cellStyle name="20 % - Markeringsfarve2 2 3 4 3 3 2" xfId="30886" xr:uid="{00000000-0005-0000-0000-0000BF0A0000}"/>
    <cellStyle name="20 % - Markeringsfarve2 2 3 4 3 4" xfId="23884" xr:uid="{00000000-0005-0000-0000-0000C00A0000}"/>
    <cellStyle name="20 % - Markeringsfarve2 2 3 4 4" xfId="4166" xr:uid="{00000000-0005-0000-0000-0000C10A0000}"/>
    <cellStyle name="20 % - Markeringsfarve2 2 3 4 4 2" xfId="9332" xr:uid="{00000000-0005-0000-0000-0000C20A0000}"/>
    <cellStyle name="20 % - Markeringsfarve2 2 3 4 4 2 2" xfId="17242" xr:uid="{00000000-0005-0000-0000-0000C30A0000}"/>
    <cellStyle name="20 % - Markeringsfarve2 2 3 4 4 2 2 2" xfId="35402" xr:uid="{00000000-0005-0000-0000-0000C40A0000}"/>
    <cellStyle name="20 % - Markeringsfarve2 2 3 4 4 2 3" xfId="28401" xr:uid="{00000000-0005-0000-0000-0000C50A0000}"/>
    <cellStyle name="20 % - Markeringsfarve2 2 3 4 4 3" xfId="12720" xr:uid="{00000000-0005-0000-0000-0000C60A0000}"/>
    <cellStyle name="20 % - Markeringsfarve2 2 3 4 4 3 2" xfId="30887" xr:uid="{00000000-0005-0000-0000-0000C70A0000}"/>
    <cellStyle name="20 % - Markeringsfarve2 2 3 4 4 4" xfId="23885" xr:uid="{00000000-0005-0000-0000-0000C80A0000}"/>
    <cellStyle name="20 % - Markeringsfarve2 2 3 4 5" xfId="7705" xr:uid="{00000000-0005-0000-0000-0000C90A0000}"/>
    <cellStyle name="20 % - Markeringsfarve2 2 3 4 5 2" xfId="15623" xr:uid="{00000000-0005-0000-0000-0000CA0A0000}"/>
    <cellStyle name="20 % - Markeringsfarve2 2 3 4 5 2 2" xfId="33783" xr:uid="{00000000-0005-0000-0000-0000CB0A0000}"/>
    <cellStyle name="20 % - Markeringsfarve2 2 3 4 5 3" xfId="26782" xr:uid="{00000000-0005-0000-0000-0000CC0A0000}"/>
    <cellStyle name="20 % - Markeringsfarve2 2 3 4 6" xfId="12716" xr:uid="{00000000-0005-0000-0000-0000CD0A0000}"/>
    <cellStyle name="20 % - Markeringsfarve2 2 3 4 6 2" xfId="30883" xr:uid="{00000000-0005-0000-0000-0000CE0A0000}"/>
    <cellStyle name="20 % - Markeringsfarve2 2 3 4 7" xfId="23881" xr:uid="{00000000-0005-0000-0000-0000CF0A0000}"/>
    <cellStyle name="20 % - Markeringsfarve2 2 3 5" xfId="4167" xr:uid="{00000000-0005-0000-0000-0000D00A0000}"/>
    <cellStyle name="20 % - Markeringsfarve2 2 3 5 2" xfId="4168" xr:uid="{00000000-0005-0000-0000-0000D10A0000}"/>
    <cellStyle name="20 % - Markeringsfarve2 2 3 5 2 2" xfId="4169" xr:uid="{00000000-0005-0000-0000-0000D20A0000}"/>
    <cellStyle name="20 % - Markeringsfarve2 2 3 5 2 2 2" xfId="10297" xr:uid="{00000000-0005-0000-0000-0000D30A0000}"/>
    <cellStyle name="20 % - Markeringsfarve2 2 3 5 2 2 2 2" xfId="18198" xr:uid="{00000000-0005-0000-0000-0000D40A0000}"/>
    <cellStyle name="20 % - Markeringsfarve2 2 3 5 2 2 2 2 2" xfId="36358" xr:uid="{00000000-0005-0000-0000-0000D50A0000}"/>
    <cellStyle name="20 % - Markeringsfarve2 2 3 5 2 2 2 3" xfId="29357" xr:uid="{00000000-0005-0000-0000-0000D60A0000}"/>
    <cellStyle name="20 % - Markeringsfarve2 2 3 5 2 2 3" xfId="12723" xr:uid="{00000000-0005-0000-0000-0000D70A0000}"/>
    <cellStyle name="20 % - Markeringsfarve2 2 3 5 2 2 3 2" xfId="30890" xr:uid="{00000000-0005-0000-0000-0000D80A0000}"/>
    <cellStyle name="20 % - Markeringsfarve2 2 3 5 2 2 4" xfId="23888" xr:uid="{00000000-0005-0000-0000-0000D90A0000}"/>
    <cellStyle name="20 % - Markeringsfarve2 2 3 5 2 3" xfId="8810" xr:uid="{00000000-0005-0000-0000-0000DA0A0000}"/>
    <cellStyle name="20 % - Markeringsfarve2 2 3 5 2 3 2" xfId="16724" xr:uid="{00000000-0005-0000-0000-0000DB0A0000}"/>
    <cellStyle name="20 % - Markeringsfarve2 2 3 5 2 3 2 2" xfId="34884" xr:uid="{00000000-0005-0000-0000-0000DC0A0000}"/>
    <cellStyle name="20 % - Markeringsfarve2 2 3 5 2 3 3" xfId="27883" xr:uid="{00000000-0005-0000-0000-0000DD0A0000}"/>
    <cellStyle name="20 % - Markeringsfarve2 2 3 5 2 4" xfId="12722" xr:uid="{00000000-0005-0000-0000-0000DE0A0000}"/>
    <cellStyle name="20 % - Markeringsfarve2 2 3 5 2 4 2" xfId="30889" xr:uid="{00000000-0005-0000-0000-0000DF0A0000}"/>
    <cellStyle name="20 % - Markeringsfarve2 2 3 5 2 5" xfId="23887" xr:uid="{00000000-0005-0000-0000-0000E00A0000}"/>
    <cellStyle name="20 % - Markeringsfarve2 2 3 5 3" xfId="4170" xr:uid="{00000000-0005-0000-0000-0000E10A0000}"/>
    <cellStyle name="20 % - Markeringsfarve2 2 3 5 3 2" xfId="9573" xr:uid="{00000000-0005-0000-0000-0000E20A0000}"/>
    <cellStyle name="20 % - Markeringsfarve2 2 3 5 3 2 2" xfId="17483" xr:uid="{00000000-0005-0000-0000-0000E30A0000}"/>
    <cellStyle name="20 % - Markeringsfarve2 2 3 5 3 2 2 2" xfId="35643" xr:uid="{00000000-0005-0000-0000-0000E40A0000}"/>
    <cellStyle name="20 % - Markeringsfarve2 2 3 5 3 2 3" xfId="28642" xr:uid="{00000000-0005-0000-0000-0000E50A0000}"/>
    <cellStyle name="20 % - Markeringsfarve2 2 3 5 3 3" xfId="12724" xr:uid="{00000000-0005-0000-0000-0000E60A0000}"/>
    <cellStyle name="20 % - Markeringsfarve2 2 3 5 3 3 2" xfId="30891" xr:uid="{00000000-0005-0000-0000-0000E70A0000}"/>
    <cellStyle name="20 % - Markeringsfarve2 2 3 5 3 4" xfId="23889" xr:uid="{00000000-0005-0000-0000-0000E80A0000}"/>
    <cellStyle name="20 % - Markeringsfarve2 2 3 5 4" xfId="4171" xr:uid="{00000000-0005-0000-0000-0000E90A0000}"/>
    <cellStyle name="20 % - Markeringsfarve2 2 3 5 4 2" xfId="9345" xr:uid="{00000000-0005-0000-0000-0000EA0A0000}"/>
    <cellStyle name="20 % - Markeringsfarve2 2 3 5 4 2 2" xfId="17255" xr:uid="{00000000-0005-0000-0000-0000EB0A0000}"/>
    <cellStyle name="20 % - Markeringsfarve2 2 3 5 4 2 2 2" xfId="35415" xr:uid="{00000000-0005-0000-0000-0000EC0A0000}"/>
    <cellStyle name="20 % - Markeringsfarve2 2 3 5 4 2 3" xfId="28414" xr:uid="{00000000-0005-0000-0000-0000ED0A0000}"/>
    <cellStyle name="20 % - Markeringsfarve2 2 3 5 4 3" xfId="12725" xr:uid="{00000000-0005-0000-0000-0000EE0A0000}"/>
    <cellStyle name="20 % - Markeringsfarve2 2 3 5 4 3 2" xfId="30892" xr:uid="{00000000-0005-0000-0000-0000EF0A0000}"/>
    <cellStyle name="20 % - Markeringsfarve2 2 3 5 4 4" xfId="23890" xr:uid="{00000000-0005-0000-0000-0000F00A0000}"/>
    <cellStyle name="20 % - Markeringsfarve2 2 3 5 5" xfId="7706" xr:uid="{00000000-0005-0000-0000-0000F10A0000}"/>
    <cellStyle name="20 % - Markeringsfarve2 2 3 5 5 2" xfId="15624" xr:uid="{00000000-0005-0000-0000-0000F20A0000}"/>
    <cellStyle name="20 % - Markeringsfarve2 2 3 5 5 2 2" xfId="33784" xr:uid="{00000000-0005-0000-0000-0000F30A0000}"/>
    <cellStyle name="20 % - Markeringsfarve2 2 3 5 5 3" xfId="26783" xr:uid="{00000000-0005-0000-0000-0000F40A0000}"/>
    <cellStyle name="20 % - Markeringsfarve2 2 3 5 6" xfId="12721" xr:uid="{00000000-0005-0000-0000-0000F50A0000}"/>
    <cellStyle name="20 % - Markeringsfarve2 2 3 5 6 2" xfId="30888" xr:uid="{00000000-0005-0000-0000-0000F60A0000}"/>
    <cellStyle name="20 % - Markeringsfarve2 2 3 5 7" xfId="23886" xr:uid="{00000000-0005-0000-0000-0000F70A0000}"/>
    <cellStyle name="20 % - Markeringsfarve2 2 3 6" xfId="4172" xr:uid="{00000000-0005-0000-0000-0000F80A0000}"/>
    <cellStyle name="20 % - Markeringsfarve2 2 3 6 2" xfId="4173" xr:uid="{00000000-0005-0000-0000-0000F90A0000}"/>
    <cellStyle name="20 % - Markeringsfarve2 2 3 6 2 2" xfId="4174" xr:uid="{00000000-0005-0000-0000-0000FA0A0000}"/>
    <cellStyle name="20 % - Markeringsfarve2 2 3 6 2 2 2" xfId="10320" xr:uid="{00000000-0005-0000-0000-0000FB0A0000}"/>
    <cellStyle name="20 % - Markeringsfarve2 2 3 6 2 2 2 2" xfId="18221" xr:uid="{00000000-0005-0000-0000-0000FC0A0000}"/>
    <cellStyle name="20 % - Markeringsfarve2 2 3 6 2 2 2 2 2" xfId="36381" xr:uid="{00000000-0005-0000-0000-0000FD0A0000}"/>
    <cellStyle name="20 % - Markeringsfarve2 2 3 6 2 2 2 3" xfId="29380" xr:uid="{00000000-0005-0000-0000-0000FE0A0000}"/>
    <cellStyle name="20 % - Markeringsfarve2 2 3 6 2 2 3" xfId="12728" xr:uid="{00000000-0005-0000-0000-0000FF0A0000}"/>
    <cellStyle name="20 % - Markeringsfarve2 2 3 6 2 2 3 2" xfId="30895" xr:uid="{00000000-0005-0000-0000-0000000B0000}"/>
    <cellStyle name="20 % - Markeringsfarve2 2 3 6 2 2 4" xfId="23893" xr:uid="{00000000-0005-0000-0000-0000010B0000}"/>
    <cellStyle name="20 % - Markeringsfarve2 2 3 6 2 3" xfId="8831" xr:uid="{00000000-0005-0000-0000-0000020B0000}"/>
    <cellStyle name="20 % - Markeringsfarve2 2 3 6 2 3 2" xfId="16745" xr:uid="{00000000-0005-0000-0000-0000030B0000}"/>
    <cellStyle name="20 % - Markeringsfarve2 2 3 6 2 3 2 2" xfId="34905" xr:uid="{00000000-0005-0000-0000-0000040B0000}"/>
    <cellStyle name="20 % - Markeringsfarve2 2 3 6 2 3 3" xfId="27904" xr:uid="{00000000-0005-0000-0000-0000050B0000}"/>
    <cellStyle name="20 % - Markeringsfarve2 2 3 6 2 4" xfId="12727" xr:uid="{00000000-0005-0000-0000-0000060B0000}"/>
    <cellStyle name="20 % - Markeringsfarve2 2 3 6 2 4 2" xfId="30894" xr:uid="{00000000-0005-0000-0000-0000070B0000}"/>
    <cellStyle name="20 % - Markeringsfarve2 2 3 6 2 5" xfId="23892" xr:uid="{00000000-0005-0000-0000-0000080B0000}"/>
    <cellStyle name="20 % - Markeringsfarve2 2 3 6 3" xfId="4175" xr:uid="{00000000-0005-0000-0000-0000090B0000}"/>
    <cellStyle name="20 % - Markeringsfarve2 2 3 6 3 2" xfId="9597" xr:uid="{00000000-0005-0000-0000-00000A0B0000}"/>
    <cellStyle name="20 % - Markeringsfarve2 2 3 6 3 2 2" xfId="17507" xr:uid="{00000000-0005-0000-0000-00000B0B0000}"/>
    <cellStyle name="20 % - Markeringsfarve2 2 3 6 3 2 2 2" xfId="35667" xr:uid="{00000000-0005-0000-0000-00000C0B0000}"/>
    <cellStyle name="20 % - Markeringsfarve2 2 3 6 3 2 3" xfId="28666" xr:uid="{00000000-0005-0000-0000-00000D0B0000}"/>
    <cellStyle name="20 % - Markeringsfarve2 2 3 6 3 3" xfId="12729" xr:uid="{00000000-0005-0000-0000-00000E0B0000}"/>
    <cellStyle name="20 % - Markeringsfarve2 2 3 6 3 3 2" xfId="30896" xr:uid="{00000000-0005-0000-0000-00000F0B0000}"/>
    <cellStyle name="20 % - Markeringsfarve2 2 3 6 3 4" xfId="23894" xr:uid="{00000000-0005-0000-0000-0000100B0000}"/>
    <cellStyle name="20 % - Markeringsfarve2 2 3 6 4" xfId="4176" xr:uid="{00000000-0005-0000-0000-0000110B0000}"/>
    <cellStyle name="20 % - Markeringsfarve2 2 3 6 4 2" xfId="9346" xr:uid="{00000000-0005-0000-0000-0000120B0000}"/>
    <cellStyle name="20 % - Markeringsfarve2 2 3 6 4 2 2" xfId="17256" xr:uid="{00000000-0005-0000-0000-0000130B0000}"/>
    <cellStyle name="20 % - Markeringsfarve2 2 3 6 4 2 2 2" xfId="35416" xr:uid="{00000000-0005-0000-0000-0000140B0000}"/>
    <cellStyle name="20 % - Markeringsfarve2 2 3 6 4 2 3" xfId="28415" xr:uid="{00000000-0005-0000-0000-0000150B0000}"/>
    <cellStyle name="20 % - Markeringsfarve2 2 3 6 4 3" xfId="12730" xr:uid="{00000000-0005-0000-0000-0000160B0000}"/>
    <cellStyle name="20 % - Markeringsfarve2 2 3 6 4 3 2" xfId="30897" xr:uid="{00000000-0005-0000-0000-0000170B0000}"/>
    <cellStyle name="20 % - Markeringsfarve2 2 3 6 4 4" xfId="23895" xr:uid="{00000000-0005-0000-0000-0000180B0000}"/>
    <cellStyle name="20 % - Markeringsfarve2 2 3 6 5" xfId="7707" xr:uid="{00000000-0005-0000-0000-0000190B0000}"/>
    <cellStyle name="20 % - Markeringsfarve2 2 3 6 5 2" xfId="15625" xr:uid="{00000000-0005-0000-0000-00001A0B0000}"/>
    <cellStyle name="20 % - Markeringsfarve2 2 3 6 5 2 2" xfId="33785" xr:uid="{00000000-0005-0000-0000-00001B0B0000}"/>
    <cellStyle name="20 % - Markeringsfarve2 2 3 6 5 3" xfId="26784" xr:uid="{00000000-0005-0000-0000-00001C0B0000}"/>
    <cellStyle name="20 % - Markeringsfarve2 2 3 6 6" xfId="12726" xr:uid="{00000000-0005-0000-0000-00001D0B0000}"/>
    <cellStyle name="20 % - Markeringsfarve2 2 3 6 6 2" xfId="30893" xr:uid="{00000000-0005-0000-0000-00001E0B0000}"/>
    <cellStyle name="20 % - Markeringsfarve2 2 3 6 7" xfId="23891" xr:uid="{00000000-0005-0000-0000-00001F0B0000}"/>
    <cellStyle name="20 % - Markeringsfarve2 2 3 7" xfId="4177" xr:uid="{00000000-0005-0000-0000-0000200B0000}"/>
    <cellStyle name="20 % - Markeringsfarve2 2 3 7 2" xfId="4178" xr:uid="{00000000-0005-0000-0000-0000210B0000}"/>
    <cellStyle name="20 % - Markeringsfarve2 2 3 7 2 2" xfId="9823" xr:uid="{00000000-0005-0000-0000-0000220B0000}"/>
    <cellStyle name="20 % - Markeringsfarve2 2 3 7 2 2 2" xfId="17724" xr:uid="{00000000-0005-0000-0000-0000230B0000}"/>
    <cellStyle name="20 % - Markeringsfarve2 2 3 7 2 2 2 2" xfId="35884" xr:uid="{00000000-0005-0000-0000-0000240B0000}"/>
    <cellStyle name="20 % - Markeringsfarve2 2 3 7 2 2 3" xfId="28883" xr:uid="{00000000-0005-0000-0000-0000250B0000}"/>
    <cellStyle name="20 % - Markeringsfarve2 2 3 7 2 3" xfId="12732" xr:uid="{00000000-0005-0000-0000-0000260B0000}"/>
    <cellStyle name="20 % - Markeringsfarve2 2 3 7 2 3 2" xfId="30899" xr:uid="{00000000-0005-0000-0000-0000270B0000}"/>
    <cellStyle name="20 % - Markeringsfarve2 2 3 7 2 4" xfId="23897" xr:uid="{00000000-0005-0000-0000-0000280B0000}"/>
    <cellStyle name="20 % - Markeringsfarve2 2 3 7 3" xfId="8410" xr:uid="{00000000-0005-0000-0000-0000290B0000}"/>
    <cellStyle name="20 % - Markeringsfarve2 2 3 7 3 2" xfId="16327" xr:uid="{00000000-0005-0000-0000-00002A0B0000}"/>
    <cellStyle name="20 % - Markeringsfarve2 2 3 7 3 2 2" xfId="34487" xr:uid="{00000000-0005-0000-0000-00002B0B0000}"/>
    <cellStyle name="20 % - Markeringsfarve2 2 3 7 3 3" xfId="27486" xr:uid="{00000000-0005-0000-0000-00002C0B0000}"/>
    <cellStyle name="20 % - Markeringsfarve2 2 3 7 4" xfId="12731" xr:uid="{00000000-0005-0000-0000-00002D0B0000}"/>
    <cellStyle name="20 % - Markeringsfarve2 2 3 7 4 2" xfId="30898" xr:uid="{00000000-0005-0000-0000-00002E0B0000}"/>
    <cellStyle name="20 % - Markeringsfarve2 2 3 7 5" xfId="23896" xr:uid="{00000000-0005-0000-0000-00002F0B0000}"/>
    <cellStyle name="20 % - Markeringsfarve2 2 3 8" xfId="4179" xr:uid="{00000000-0005-0000-0000-0000300B0000}"/>
    <cellStyle name="20 % - Markeringsfarve2 2 3 8 2" xfId="9051" xr:uid="{00000000-0005-0000-0000-0000310B0000}"/>
    <cellStyle name="20 % - Markeringsfarve2 2 3 8 2 2" xfId="16962" xr:uid="{00000000-0005-0000-0000-0000320B0000}"/>
    <cellStyle name="20 % - Markeringsfarve2 2 3 8 2 2 2" xfId="35122" xr:uid="{00000000-0005-0000-0000-0000330B0000}"/>
    <cellStyle name="20 % - Markeringsfarve2 2 3 8 2 3" xfId="28121" xr:uid="{00000000-0005-0000-0000-0000340B0000}"/>
    <cellStyle name="20 % - Markeringsfarve2 2 3 8 3" xfId="12733" xr:uid="{00000000-0005-0000-0000-0000350B0000}"/>
    <cellStyle name="20 % - Markeringsfarve2 2 3 8 3 2" xfId="30900" xr:uid="{00000000-0005-0000-0000-0000360B0000}"/>
    <cellStyle name="20 % - Markeringsfarve2 2 3 8 4" xfId="23898" xr:uid="{00000000-0005-0000-0000-0000370B0000}"/>
    <cellStyle name="20 % - Markeringsfarve2 2 3 9" xfId="4180" xr:uid="{00000000-0005-0000-0000-0000380B0000}"/>
    <cellStyle name="20 % - Markeringsfarve2 2 3 9 2" xfId="9338" xr:uid="{00000000-0005-0000-0000-0000390B0000}"/>
    <cellStyle name="20 % - Markeringsfarve2 2 3 9 2 2" xfId="17248" xr:uid="{00000000-0005-0000-0000-00003A0B0000}"/>
    <cellStyle name="20 % - Markeringsfarve2 2 3 9 2 2 2" xfId="35408" xr:uid="{00000000-0005-0000-0000-00003B0B0000}"/>
    <cellStyle name="20 % - Markeringsfarve2 2 3 9 2 3" xfId="28407" xr:uid="{00000000-0005-0000-0000-00003C0B0000}"/>
    <cellStyle name="20 % - Markeringsfarve2 2 3 9 3" xfId="12734" xr:uid="{00000000-0005-0000-0000-00003D0B0000}"/>
    <cellStyle name="20 % - Markeringsfarve2 2 3 9 3 2" xfId="30901" xr:uid="{00000000-0005-0000-0000-00003E0B0000}"/>
    <cellStyle name="20 % - Markeringsfarve2 2 3 9 4" xfId="23899" xr:uid="{00000000-0005-0000-0000-00003F0B0000}"/>
    <cellStyle name="20 % - Markeringsfarve2 2 4" xfId="1789" xr:uid="{00000000-0005-0000-0000-0000400B0000}"/>
    <cellStyle name="20 % - Markeringsfarve2 2 4 2" xfId="4182" xr:uid="{00000000-0005-0000-0000-0000410B0000}"/>
    <cellStyle name="20 % - Markeringsfarve2 2 4 2 2" xfId="4183" xr:uid="{00000000-0005-0000-0000-0000420B0000}"/>
    <cellStyle name="20 % - Markeringsfarve2 2 4 2 2 2" xfId="9864" xr:uid="{00000000-0005-0000-0000-0000430B0000}"/>
    <cellStyle name="20 % - Markeringsfarve2 2 4 2 2 2 2" xfId="17765" xr:uid="{00000000-0005-0000-0000-0000440B0000}"/>
    <cellStyle name="20 % - Markeringsfarve2 2 4 2 2 2 2 2" xfId="35925" xr:uid="{00000000-0005-0000-0000-0000450B0000}"/>
    <cellStyle name="20 % - Markeringsfarve2 2 4 2 2 2 3" xfId="28924" xr:uid="{00000000-0005-0000-0000-0000460B0000}"/>
    <cellStyle name="20 % - Markeringsfarve2 2 4 2 2 3" xfId="12737" xr:uid="{00000000-0005-0000-0000-0000470B0000}"/>
    <cellStyle name="20 % - Markeringsfarve2 2 4 2 2 3 2" xfId="30904" xr:uid="{00000000-0005-0000-0000-0000480B0000}"/>
    <cellStyle name="20 % - Markeringsfarve2 2 4 2 2 4" xfId="23902" xr:uid="{00000000-0005-0000-0000-0000490B0000}"/>
    <cellStyle name="20 % - Markeringsfarve2 2 4 2 3" xfId="8443" xr:uid="{00000000-0005-0000-0000-00004A0B0000}"/>
    <cellStyle name="20 % - Markeringsfarve2 2 4 2 3 2" xfId="16360" xr:uid="{00000000-0005-0000-0000-00004B0B0000}"/>
    <cellStyle name="20 % - Markeringsfarve2 2 4 2 3 2 2" xfId="34520" xr:uid="{00000000-0005-0000-0000-00004C0B0000}"/>
    <cellStyle name="20 % - Markeringsfarve2 2 4 2 3 3" xfId="27519" xr:uid="{00000000-0005-0000-0000-00004D0B0000}"/>
    <cellStyle name="20 % - Markeringsfarve2 2 4 2 4" xfId="12736" xr:uid="{00000000-0005-0000-0000-00004E0B0000}"/>
    <cellStyle name="20 % - Markeringsfarve2 2 4 2 4 2" xfId="30903" xr:uid="{00000000-0005-0000-0000-00004F0B0000}"/>
    <cellStyle name="20 % - Markeringsfarve2 2 4 2 5" xfId="23901" xr:uid="{00000000-0005-0000-0000-0000500B0000}"/>
    <cellStyle name="20 % - Markeringsfarve2 2 4 3" xfId="4184" xr:uid="{00000000-0005-0000-0000-0000510B0000}"/>
    <cellStyle name="20 % - Markeringsfarve2 2 4 3 2" xfId="9094" xr:uid="{00000000-0005-0000-0000-0000520B0000}"/>
    <cellStyle name="20 % - Markeringsfarve2 2 4 3 2 2" xfId="17005" xr:uid="{00000000-0005-0000-0000-0000530B0000}"/>
    <cellStyle name="20 % - Markeringsfarve2 2 4 3 2 2 2" xfId="35165" xr:uid="{00000000-0005-0000-0000-0000540B0000}"/>
    <cellStyle name="20 % - Markeringsfarve2 2 4 3 2 3" xfId="28164" xr:uid="{00000000-0005-0000-0000-0000550B0000}"/>
    <cellStyle name="20 % - Markeringsfarve2 2 4 3 3" xfId="12738" xr:uid="{00000000-0005-0000-0000-0000560B0000}"/>
    <cellStyle name="20 % - Markeringsfarve2 2 4 3 3 2" xfId="30905" xr:uid="{00000000-0005-0000-0000-0000570B0000}"/>
    <cellStyle name="20 % - Markeringsfarve2 2 4 3 4" xfId="23903" xr:uid="{00000000-0005-0000-0000-0000580B0000}"/>
    <cellStyle name="20 % - Markeringsfarve2 2 4 4" xfId="4185" xr:uid="{00000000-0005-0000-0000-0000590B0000}"/>
    <cellStyle name="20 % - Markeringsfarve2 2 4 4 2" xfId="9347" xr:uid="{00000000-0005-0000-0000-00005A0B0000}"/>
    <cellStyle name="20 % - Markeringsfarve2 2 4 4 2 2" xfId="17257" xr:uid="{00000000-0005-0000-0000-00005B0B0000}"/>
    <cellStyle name="20 % - Markeringsfarve2 2 4 4 2 2 2" xfId="35417" xr:uid="{00000000-0005-0000-0000-00005C0B0000}"/>
    <cellStyle name="20 % - Markeringsfarve2 2 4 4 2 3" xfId="28416" xr:uid="{00000000-0005-0000-0000-00005D0B0000}"/>
    <cellStyle name="20 % - Markeringsfarve2 2 4 4 3" xfId="12739" xr:uid="{00000000-0005-0000-0000-00005E0B0000}"/>
    <cellStyle name="20 % - Markeringsfarve2 2 4 4 3 2" xfId="30906" xr:uid="{00000000-0005-0000-0000-00005F0B0000}"/>
    <cellStyle name="20 % - Markeringsfarve2 2 4 4 4" xfId="23904" xr:uid="{00000000-0005-0000-0000-0000600B0000}"/>
    <cellStyle name="20 % - Markeringsfarve2 2 4 5" xfId="7708" xr:uid="{00000000-0005-0000-0000-0000610B0000}"/>
    <cellStyle name="20 % - Markeringsfarve2 2 4 5 2" xfId="15626" xr:uid="{00000000-0005-0000-0000-0000620B0000}"/>
    <cellStyle name="20 % - Markeringsfarve2 2 4 5 2 2" xfId="33786" xr:uid="{00000000-0005-0000-0000-0000630B0000}"/>
    <cellStyle name="20 % - Markeringsfarve2 2 4 5 3" xfId="26785" xr:uid="{00000000-0005-0000-0000-0000640B0000}"/>
    <cellStyle name="20 % - Markeringsfarve2 2 4 6" xfId="12735" xr:uid="{00000000-0005-0000-0000-0000650B0000}"/>
    <cellStyle name="20 % - Markeringsfarve2 2 4 6 2" xfId="30902" xr:uid="{00000000-0005-0000-0000-0000660B0000}"/>
    <cellStyle name="20 % - Markeringsfarve2 2 4 7" xfId="4181" xr:uid="{00000000-0005-0000-0000-0000670B0000}"/>
    <cellStyle name="20 % - Markeringsfarve2 2 4 7 2" xfId="23900" xr:uid="{00000000-0005-0000-0000-0000680B0000}"/>
    <cellStyle name="20 % - Markeringsfarve2 2 4 8" xfId="21913" xr:uid="{00000000-0005-0000-0000-0000690B0000}"/>
    <cellStyle name="20 % - Markeringsfarve2 2 5" xfId="4186" xr:uid="{00000000-0005-0000-0000-00006A0B0000}"/>
    <cellStyle name="20 % - Markeringsfarve2 2 5 2" xfId="4187" xr:uid="{00000000-0005-0000-0000-00006B0B0000}"/>
    <cellStyle name="20 % - Markeringsfarve2 2 5 2 2" xfId="4188" xr:uid="{00000000-0005-0000-0000-00006C0B0000}"/>
    <cellStyle name="20 % - Markeringsfarve2 2 5 2 2 2" xfId="9963" xr:uid="{00000000-0005-0000-0000-00006D0B0000}"/>
    <cellStyle name="20 % - Markeringsfarve2 2 5 2 2 2 2" xfId="17864" xr:uid="{00000000-0005-0000-0000-00006E0B0000}"/>
    <cellStyle name="20 % - Markeringsfarve2 2 5 2 2 2 2 2" xfId="36024" xr:uid="{00000000-0005-0000-0000-00006F0B0000}"/>
    <cellStyle name="20 % - Markeringsfarve2 2 5 2 2 2 3" xfId="29023" xr:uid="{00000000-0005-0000-0000-0000700B0000}"/>
    <cellStyle name="20 % - Markeringsfarve2 2 5 2 2 3" xfId="12742" xr:uid="{00000000-0005-0000-0000-0000710B0000}"/>
    <cellStyle name="20 % - Markeringsfarve2 2 5 2 2 3 2" xfId="30909" xr:uid="{00000000-0005-0000-0000-0000720B0000}"/>
    <cellStyle name="20 % - Markeringsfarve2 2 5 2 2 4" xfId="23907" xr:uid="{00000000-0005-0000-0000-0000730B0000}"/>
    <cellStyle name="20 % - Markeringsfarve2 2 5 2 3" xfId="8527" xr:uid="{00000000-0005-0000-0000-0000740B0000}"/>
    <cellStyle name="20 % - Markeringsfarve2 2 5 2 3 2" xfId="16444" xr:uid="{00000000-0005-0000-0000-0000750B0000}"/>
    <cellStyle name="20 % - Markeringsfarve2 2 5 2 3 2 2" xfId="34604" xr:uid="{00000000-0005-0000-0000-0000760B0000}"/>
    <cellStyle name="20 % - Markeringsfarve2 2 5 2 3 3" xfId="27603" xr:uid="{00000000-0005-0000-0000-0000770B0000}"/>
    <cellStyle name="20 % - Markeringsfarve2 2 5 2 4" xfId="12741" xr:uid="{00000000-0005-0000-0000-0000780B0000}"/>
    <cellStyle name="20 % - Markeringsfarve2 2 5 2 4 2" xfId="30908" xr:uid="{00000000-0005-0000-0000-0000790B0000}"/>
    <cellStyle name="20 % - Markeringsfarve2 2 5 2 5" xfId="23906" xr:uid="{00000000-0005-0000-0000-00007A0B0000}"/>
    <cellStyle name="20 % - Markeringsfarve2 2 5 3" xfId="4189" xr:uid="{00000000-0005-0000-0000-00007B0B0000}"/>
    <cellStyle name="20 % - Markeringsfarve2 2 5 3 2" xfId="9193" xr:uid="{00000000-0005-0000-0000-00007C0B0000}"/>
    <cellStyle name="20 % - Markeringsfarve2 2 5 3 2 2" xfId="17104" xr:uid="{00000000-0005-0000-0000-00007D0B0000}"/>
    <cellStyle name="20 % - Markeringsfarve2 2 5 3 2 2 2" xfId="35264" xr:uid="{00000000-0005-0000-0000-00007E0B0000}"/>
    <cellStyle name="20 % - Markeringsfarve2 2 5 3 2 3" xfId="28263" xr:uid="{00000000-0005-0000-0000-00007F0B0000}"/>
    <cellStyle name="20 % - Markeringsfarve2 2 5 3 3" xfId="12743" xr:uid="{00000000-0005-0000-0000-0000800B0000}"/>
    <cellStyle name="20 % - Markeringsfarve2 2 5 3 3 2" xfId="30910" xr:uid="{00000000-0005-0000-0000-0000810B0000}"/>
    <cellStyle name="20 % - Markeringsfarve2 2 5 3 4" xfId="23908" xr:uid="{00000000-0005-0000-0000-0000820B0000}"/>
    <cellStyle name="20 % - Markeringsfarve2 2 5 4" xfId="4190" xr:uid="{00000000-0005-0000-0000-0000830B0000}"/>
    <cellStyle name="20 % - Markeringsfarve2 2 5 4 2" xfId="9348" xr:uid="{00000000-0005-0000-0000-0000840B0000}"/>
    <cellStyle name="20 % - Markeringsfarve2 2 5 4 2 2" xfId="17258" xr:uid="{00000000-0005-0000-0000-0000850B0000}"/>
    <cellStyle name="20 % - Markeringsfarve2 2 5 4 2 2 2" xfId="35418" xr:uid="{00000000-0005-0000-0000-0000860B0000}"/>
    <cellStyle name="20 % - Markeringsfarve2 2 5 4 2 3" xfId="28417" xr:uid="{00000000-0005-0000-0000-0000870B0000}"/>
    <cellStyle name="20 % - Markeringsfarve2 2 5 4 3" xfId="12744" xr:uid="{00000000-0005-0000-0000-0000880B0000}"/>
    <cellStyle name="20 % - Markeringsfarve2 2 5 4 3 2" xfId="30911" xr:uid="{00000000-0005-0000-0000-0000890B0000}"/>
    <cellStyle name="20 % - Markeringsfarve2 2 5 4 4" xfId="23909" xr:uid="{00000000-0005-0000-0000-00008A0B0000}"/>
    <cellStyle name="20 % - Markeringsfarve2 2 5 5" xfId="7709" xr:uid="{00000000-0005-0000-0000-00008B0B0000}"/>
    <cellStyle name="20 % - Markeringsfarve2 2 5 5 2" xfId="15627" xr:uid="{00000000-0005-0000-0000-00008C0B0000}"/>
    <cellStyle name="20 % - Markeringsfarve2 2 5 5 2 2" xfId="33787" xr:uid="{00000000-0005-0000-0000-00008D0B0000}"/>
    <cellStyle name="20 % - Markeringsfarve2 2 5 5 3" xfId="26786" xr:uid="{00000000-0005-0000-0000-00008E0B0000}"/>
    <cellStyle name="20 % - Markeringsfarve2 2 5 6" xfId="12740" xr:uid="{00000000-0005-0000-0000-00008F0B0000}"/>
    <cellStyle name="20 % - Markeringsfarve2 2 5 6 2" xfId="30907" xr:uid="{00000000-0005-0000-0000-0000900B0000}"/>
    <cellStyle name="20 % - Markeringsfarve2 2 5 7" xfId="23905" xr:uid="{00000000-0005-0000-0000-0000910B0000}"/>
    <cellStyle name="20 % - Markeringsfarve2 2 6" xfId="4191" xr:uid="{00000000-0005-0000-0000-0000920B0000}"/>
    <cellStyle name="20 % - Markeringsfarve2 2 6 2" xfId="4192" xr:uid="{00000000-0005-0000-0000-0000930B0000}"/>
    <cellStyle name="20 % - Markeringsfarve2 2 6 2 2" xfId="4193" xr:uid="{00000000-0005-0000-0000-0000940B0000}"/>
    <cellStyle name="20 % - Markeringsfarve2 2 6 2 2 2" xfId="10102" xr:uid="{00000000-0005-0000-0000-0000950B0000}"/>
    <cellStyle name="20 % - Markeringsfarve2 2 6 2 2 2 2" xfId="18003" xr:uid="{00000000-0005-0000-0000-0000960B0000}"/>
    <cellStyle name="20 % - Markeringsfarve2 2 6 2 2 2 2 2" xfId="36163" xr:uid="{00000000-0005-0000-0000-0000970B0000}"/>
    <cellStyle name="20 % - Markeringsfarve2 2 6 2 2 2 3" xfId="29162" xr:uid="{00000000-0005-0000-0000-0000980B0000}"/>
    <cellStyle name="20 % - Markeringsfarve2 2 6 2 2 3" xfId="12747" xr:uid="{00000000-0005-0000-0000-0000990B0000}"/>
    <cellStyle name="20 % - Markeringsfarve2 2 6 2 2 3 2" xfId="30914" xr:uid="{00000000-0005-0000-0000-00009A0B0000}"/>
    <cellStyle name="20 % - Markeringsfarve2 2 6 2 2 4" xfId="23912" xr:uid="{00000000-0005-0000-0000-00009B0B0000}"/>
    <cellStyle name="20 % - Markeringsfarve2 2 6 2 3" xfId="8645" xr:uid="{00000000-0005-0000-0000-00009C0B0000}"/>
    <cellStyle name="20 % - Markeringsfarve2 2 6 2 3 2" xfId="16559" xr:uid="{00000000-0005-0000-0000-00009D0B0000}"/>
    <cellStyle name="20 % - Markeringsfarve2 2 6 2 3 2 2" xfId="34719" xr:uid="{00000000-0005-0000-0000-00009E0B0000}"/>
    <cellStyle name="20 % - Markeringsfarve2 2 6 2 3 3" xfId="27718" xr:uid="{00000000-0005-0000-0000-00009F0B0000}"/>
    <cellStyle name="20 % - Markeringsfarve2 2 6 2 4" xfId="12746" xr:uid="{00000000-0005-0000-0000-0000A00B0000}"/>
    <cellStyle name="20 % - Markeringsfarve2 2 6 2 4 2" xfId="30913" xr:uid="{00000000-0005-0000-0000-0000A10B0000}"/>
    <cellStyle name="20 % - Markeringsfarve2 2 6 2 5" xfId="23911" xr:uid="{00000000-0005-0000-0000-0000A20B0000}"/>
    <cellStyle name="20 % - Markeringsfarve2 2 6 3" xfId="4194" xr:uid="{00000000-0005-0000-0000-0000A30B0000}"/>
    <cellStyle name="20 % - Markeringsfarve2 2 6 3 2" xfId="9378" xr:uid="{00000000-0005-0000-0000-0000A40B0000}"/>
    <cellStyle name="20 % - Markeringsfarve2 2 6 3 2 2" xfId="17288" xr:uid="{00000000-0005-0000-0000-0000A50B0000}"/>
    <cellStyle name="20 % - Markeringsfarve2 2 6 3 2 2 2" xfId="35448" xr:uid="{00000000-0005-0000-0000-0000A60B0000}"/>
    <cellStyle name="20 % - Markeringsfarve2 2 6 3 2 3" xfId="28447" xr:uid="{00000000-0005-0000-0000-0000A70B0000}"/>
    <cellStyle name="20 % - Markeringsfarve2 2 6 3 3" xfId="12748" xr:uid="{00000000-0005-0000-0000-0000A80B0000}"/>
    <cellStyle name="20 % - Markeringsfarve2 2 6 3 3 2" xfId="30915" xr:uid="{00000000-0005-0000-0000-0000A90B0000}"/>
    <cellStyle name="20 % - Markeringsfarve2 2 6 3 4" xfId="23913" xr:uid="{00000000-0005-0000-0000-0000AA0B0000}"/>
    <cellStyle name="20 % - Markeringsfarve2 2 6 4" xfId="4195" xr:uid="{00000000-0005-0000-0000-0000AB0B0000}"/>
    <cellStyle name="20 % - Markeringsfarve2 2 6 4 2" xfId="9349" xr:uid="{00000000-0005-0000-0000-0000AC0B0000}"/>
    <cellStyle name="20 % - Markeringsfarve2 2 6 4 2 2" xfId="17259" xr:uid="{00000000-0005-0000-0000-0000AD0B0000}"/>
    <cellStyle name="20 % - Markeringsfarve2 2 6 4 2 2 2" xfId="35419" xr:uid="{00000000-0005-0000-0000-0000AE0B0000}"/>
    <cellStyle name="20 % - Markeringsfarve2 2 6 4 2 3" xfId="28418" xr:uid="{00000000-0005-0000-0000-0000AF0B0000}"/>
    <cellStyle name="20 % - Markeringsfarve2 2 6 4 3" xfId="12749" xr:uid="{00000000-0005-0000-0000-0000B00B0000}"/>
    <cellStyle name="20 % - Markeringsfarve2 2 6 4 3 2" xfId="30916" xr:uid="{00000000-0005-0000-0000-0000B10B0000}"/>
    <cellStyle name="20 % - Markeringsfarve2 2 6 4 4" xfId="23914" xr:uid="{00000000-0005-0000-0000-0000B20B0000}"/>
    <cellStyle name="20 % - Markeringsfarve2 2 6 5" xfId="7710" xr:uid="{00000000-0005-0000-0000-0000B30B0000}"/>
    <cellStyle name="20 % - Markeringsfarve2 2 6 5 2" xfId="15628" xr:uid="{00000000-0005-0000-0000-0000B40B0000}"/>
    <cellStyle name="20 % - Markeringsfarve2 2 6 5 2 2" xfId="33788" xr:uid="{00000000-0005-0000-0000-0000B50B0000}"/>
    <cellStyle name="20 % - Markeringsfarve2 2 6 5 3" xfId="26787" xr:uid="{00000000-0005-0000-0000-0000B60B0000}"/>
    <cellStyle name="20 % - Markeringsfarve2 2 6 6" xfId="12745" xr:uid="{00000000-0005-0000-0000-0000B70B0000}"/>
    <cellStyle name="20 % - Markeringsfarve2 2 6 6 2" xfId="30912" xr:uid="{00000000-0005-0000-0000-0000B80B0000}"/>
    <cellStyle name="20 % - Markeringsfarve2 2 6 7" xfId="23910" xr:uid="{00000000-0005-0000-0000-0000B90B0000}"/>
    <cellStyle name="20 % - Markeringsfarve2 2 7" xfId="4196" xr:uid="{00000000-0005-0000-0000-0000BA0B0000}"/>
    <cellStyle name="20 % - Markeringsfarve2 2 7 2" xfId="4197" xr:uid="{00000000-0005-0000-0000-0000BB0B0000}"/>
    <cellStyle name="20 % - Markeringsfarve2 2 7 2 2" xfId="4198" xr:uid="{00000000-0005-0000-0000-0000BC0B0000}"/>
    <cellStyle name="20 % - Markeringsfarve2 2 7 2 2 2" xfId="10219" xr:uid="{00000000-0005-0000-0000-0000BD0B0000}"/>
    <cellStyle name="20 % - Markeringsfarve2 2 7 2 2 2 2" xfId="18120" xr:uid="{00000000-0005-0000-0000-0000BE0B0000}"/>
    <cellStyle name="20 % - Markeringsfarve2 2 7 2 2 2 2 2" xfId="36280" xr:uid="{00000000-0005-0000-0000-0000BF0B0000}"/>
    <cellStyle name="20 % - Markeringsfarve2 2 7 2 2 2 3" xfId="29279" xr:uid="{00000000-0005-0000-0000-0000C00B0000}"/>
    <cellStyle name="20 % - Markeringsfarve2 2 7 2 2 3" xfId="12752" xr:uid="{00000000-0005-0000-0000-0000C10B0000}"/>
    <cellStyle name="20 % - Markeringsfarve2 2 7 2 2 3 2" xfId="30919" xr:uid="{00000000-0005-0000-0000-0000C20B0000}"/>
    <cellStyle name="20 % - Markeringsfarve2 2 7 2 2 4" xfId="23917" xr:uid="{00000000-0005-0000-0000-0000C30B0000}"/>
    <cellStyle name="20 % - Markeringsfarve2 2 7 2 3" xfId="8744" xr:uid="{00000000-0005-0000-0000-0000C40B0000}"/>
    <cellStyle name="20 % - Markeringsfarve2 2 7 2 3 2" xfId="16658" xr:uid="{00000000-0005-0000-0000-0000C50B0000}"/>
    <cellStyle name="20 % - Markeringsfarve2 2 7 2 3 2 2" xfId="34818" xr:uid="{00000000-0005-0000-0000-0000C60B0000}"/>
    <cellStyle name="20 % - Markeringsfarve2 2 7 2 3 3" xfId="27817" xr:uid="{00000000-0005-0000-0000-0000C70B0000}"/>
    <cellStyle name="20 % - Markeringsfarve2 2 7 2 4" xfId="12751" xr:uid="{00000000-0005-0000-0000-0000C80B0000}"/>
    <cellStyle name="20 % - Markeringsfarve2 2 7 2 4 2" xfId="30918" xr:uid="{00000000-0005-0000-0000-0000C90B0000}"/>
    <cellStyle name="20 % - Markeringsfarve2 2 7 2 5" xfId="23916" xr:uid="{00000000-0005-0000-0000-0000CA0B0000}"/>
    <cellStyle name="20 % - Markeringsfarve2 2 7 3" xfId="4199" xr:uid="{00000000-0005-0000-0000-0000CB0B0000}"/>
    <cellStyle name="20 % - Markeringsfarve2 2 7 3 2" xfId="9495" xr:uid="{00000000-0005-0000-0000-0000CC0B0000}"/>
    <cellStyle name="20 % - Markeringsfarve2 2 7 3 2 2" xfId="17405" xr:uid="{00000000-0005-0000-0000-0000CD0B0000}"/>
    <cellStyle name="20 % - Markeringsfarve2 2 7 3 2 2 2" xfId="35565" xr:uid="{00000000-0005-0000-0000-0000CE0B0000}"/>
    <cellStyle name="20 % - Markeringsfarve2 2 7 3 2 3" xfId="28564" xr:uid="{00000000-0005-0000-0000-0000CF0B0000}"/>
    <cellStyle name="20 % - Markeringsfarve2 2 7 3 3" xfId="12753" xr:uid="{00000000-0005-0000-0000-0000D00B0000}"/>
    <cellStyle name="20 % - Markeringsfarve2 2 7 3 3 2" xfId="30920" xr:uid="{00000000-0005-0000-0000-0000D10B0000}"/>
    <cellStyle name="20 % - Markeringsfarve2 2 7 3 4" xfId="23918" xr:uid="{00000000-0005-0000-0000-0000D20B0000}"/>
    <cellStyle name="20 % - Markeringsfarve2 2 7 4" xfId="4200" xr:uid="{00000000-0005-0000-0000-0000D30B0000}"/>
    <cellStyle name="20 % - Markeringsfarve2 2 7 4 2" xfId="8924" xr:uid="{00000000-0005-0000-0000-0000D40B0000}"/>
    <cellStyle name="20 % - Markeringsfarve2 2 7 4 2 2" xfId="16837" xr:uid="{00000000-0005-0000-0000-0000D50B0000}"/>
    <cellStyle name="20 % - Markeringsfarve2 2 7 4 2 2 2" xfId="34997" xr:uid="{00000000-0005-0000-0000-0000D60B0000}"/>
    <cellStyle name="20 % - Markeringsfarve2 2 7 4 2 3" xfId="27996" xr:uid="{00000000-0005-0000-0000-0000D70B0000}"/>
    <cellStyle name="20 % - Markeringsfarve2 2 7 4 3" xfId="12754" xr:uid="{00000000-0005-0000-0000-0000D80B0000}"/>
    <cellStyle name="20 % - Markeringsfarve2 2 7 4 3 2" xfId="30921" xr:uid="{00000000-0005-0000-0000-0000D90B0000}"/>
    <cellStyle name="20 % - Markeringsfarve2 2 7 4 4" xfId="23919" xr:uid="{00000000-0005-0000-0000-0000DA0B0000}"/>
    <cellStyle name="20 % - Markeringsfarve2 2 7 5" xfId="7711" xr:uid="{00000000-0005-0000-0000-0000DB0B0000}"/>
    <cellStyle name="20 % - Markeringsfarve2 2 7 5 2" xfId="15629" xr:uid="{00000000-0005-0000-0000-0000DC0B0000}"/>
    <cellStyle name="20 % - Markeringsfarve2 2 7 5 2 2" xfId="33789" xr:uid="{00000000-0005-0000-0000-0000DD0B0000}"/>
    <cellStyle name="20 % - Markeringsfarve2 2 7 5 3" xfId="26788" xr:uid="{00000000-0005-0000-0000-0000DE0B0000}"/>
    <cellStyle name="20 % - Markeringsfarve2 2 7 6" xfId="12750" xr:uid="{00000000-0005-0000-0000-0000DF0B0000}"/>
    <cellStyle name="20 % - Markeringsfarve2 2 7 6 2" xfId="30917" xr:uid="{00000000-0005-0000-0000-0000E00B0000}"/>
    <cellStyle name="20 % - Markeringsfarve2 2 7 7" xfId="23915" xr:uid="{00000000-0005-0000-0000-0000E10B0000}"/>
    <cellStyle name="20 % - Markeringsfarve2 2 8" xfId="4201" xr:uid="{00000000-0005-0000-0000-0000E20B0000}"/>
    <cellStyle name="20 % - Markeringsfarve2 2 8 2" xfId="4202" xr:uid="{00000000-0005-0000-0000-0000E30B0000}"/>
    <cellStyle name="20 % - Markeringsfarve2 2 8 2 2" xfId="4203" xr:uid="{00000000-0005-0000-0000-0000E40B0000}"/>
    <cellStyle name="20 % - Markeringsfarve2 2 8 2 2 2" xfId="10318" xr:uid="{00000000-0005-0000-0000-0000E50B0000}"/>
    <cellStyle name="20 % - Markeringsfarve2 2 8 2 2 2 2" xfId="18219" xr:uid="{00000000-0005-0000-0000-0000E60B0000}"/>
    <cellStyle name="20 % - Markeringsfarve2 2 8 2 2 2 2 2" xfId="36379" xr:uid="{00000000-0005-0000-0000-0000E70B0000}"/>
    <cellStyle name="20 % - Markeringsfarve2 2 8 2 2 2 3" xfId="29378" xr:uid="{00000000-0005-0000-0000-0000E80B0000}"/>
    <cellStyle name="20 % - Markeringsfarve2 2 8 2 2 3" xfId="12757" xr:uid="{00000000-0005-0000-0000-0000E90B0000}"/>
    <cellStyle name="20 % - Markeringsfarve2 2 8 2 2 3 2" xfId="30924" xr:uid="{00000000-0005-0000-0000-0000EA0B0000}"/>
    <cellStyle name="20 % - Markeringsfarve2 2 8 2 2 4" xfId="23922" xr:uid="{00000000-0005-0000-0000-0000EB0B0000}"/>
    <cellStyle name="20 % - Markeringsfarve2 2 8 2 3" xfId="8829" xr:uid="{00000000-0005-0000-0000-0000EC0B0000}"/>
    <cellStyle name="20 % - Markeringsfarve2 2 8 2 3 2" xfId="16743" xr:uid="{00000000-0005-0000-0000-0000ED0B0000}"/>
    <cellStyle name="20 % - Markeringsfarve2 2 8 2 3 2 2" xfId="34903" xr:uid="{00000000-0005-0000-0000-0000EE0B0000}"/>
    <cellStyle name="20 % - Markeringsfarve2 2 8 2 3 3" xfId="27902" xr:uid="{00000000-0005-0000-0000-0000EF0B0000}"/>
    <cellStyle name="20 % - Markeringsfarve2 2 8 2 4" xfId="12756" xr:uid="{00000000-0005-0000-0000-0000F00B0000}"/>
    <cellStyle name="20 % - Markeringsfarve2 2 8 2 4 2" xfId="30923" xr:uid="{00000000-0005-0000-0000-0000F10B0000}"/>
    <cellStyle name="20 % - Markeringsfarve2 2 8 2 5" xfId="23921" xr:uid="{00000000-0005-0000-0000-0000F20B0000}"/>
    <cellStyle name="20 % - Markeringsfarve2 2 8 3" xfId="4204" xr:uid="{00000000-0005-0000-0000-0000F30B0000}"/>
    <cellStyle name="20 % - Markeringsfarve2 2 8 3 2" xfId="9595" xr:uid="{00000000-0005-0000-0000-0000F40B0000}"/>
    <cellStyle name="20 % - Markeringsfarve2 2 8 3 2 2" xfId="17505" xr:uid="{00000000-0005-0000-0000-0000F50B0000}"/>
    <cellStyle name="20 % - Markeringsfarve2 2 8 3 2 2 2" xfId="35665" xr:uid="{00000000-0005-0000-0000-0000F60B0000}"/>
    <cellStyle name="20 % - Markeringsfarve2 2 8 3 2 3" xfId="28664" xr:uid="{00000000-0005-0000-0000-0000F70B0000}"/>
    <cellStyle name="20 % - Markeringsfarve2 2 8 3 3" xfId="12758" xr:uid="{00000000-0005-0000-0000-0000F80B0000}"/>
    <cellStyle name="20 % - Markeringsfarve2 2 8 3 3 2" xfId="30925" xr:uid="{00000000-0005-0000-0000-0000F90B0000}"/>
    <cellStyle name="20 % - Markeringsfarve2 2 8 3 4" xfId="23923" xr:uid="{00000000-0005-0000-0000-0000FA0B0000}"/>
    <cellStyle name="20 % - Markeringsfarve2 2 8 4" xfId="4205" xr:uid="{00000000-0005-0000-0000-0000FB0B0000}"/>
    <cellStyle name="20 % - Markeringsfarve2 2 8 4 2" xfId="8935" xr:uid="{00000000-0005-0000-0000-0000FC0B0000}"/>
    <cellStyle name="20 % - Markeringsfarve2 2 8 4 2 2" xfId="16848" xr:uid="{00000000-0005-0000-0000-0000FD0B0000}"/>
    <cellStyle name="20 % - Markeringsfarve2 2 8 4 2 2 2" xfId="35008" xr:uid="{00000000-0005-0000-0000-0000FE0B0000}"/>
    <cellStyle name="20 % - Markeringsfarve2 2 8 4 2 3" xfId="28007" xr:uid="{00000000-0005-0000-0000-0000FF0B0000}"/>
    <cellStyle name="20 % - Markeringsfarve2 2 8 4 3" xfId="12759" xr:uid="{00000000-0005-0000-0000-0000000C0000}"/>
    <cellStyle name="20 % - Markeringsfarve2 2 8 4 3 2" xfId="30926" xr:uid="{00000000-0005-0000-0000-0000010C0000}"/>
    <cellStyle name="20 % - Markeringsfarve2 2 8 4 4" xfId="23924" xr:uid="{00000000-0005-0000-0000-0000020C0000}"/>
    <cellStyle name="20 % - Markeringsfarve2 2 8 5" xfId="7712" xr:uid="{00000000-0005-0000-0000-0000030C0000}"/>
    <cellStyle name="20 % - Markeringsfarve2 2 8 5 2" xfId="15630" xr:uid="{00000000-0005-0000-0000-0000040C0000}"/>
    <cellStyle name="20 % - Markeringsfarve2 2 8 5 2 2" xfId="33790" xr:uid="{00000000-0005-0000-0000-0000050C0000}"/>
    <cellStyle name="20 % - Markeringsfarve2 2 8 5 3" xfId="26789" xr:uid="{00000000-0005-0000-0000-0000060C0000}"/>
    <cellStyle name="20 % - Markeringsfarve2 2 8 6" xfId="12755" xr:uid="{00000000-0005-0000-0000-0000070C0000}"/>
    <cellStyle name="20 % - Markeringsfarve2 2 8 6 2" xfId="30922" xr:uid="{00000000-0005-0000-0000-0000080C0000}"/>
    <cellStyle name="20 % - Markeringsfarve2 2 8 7" xfId="23920" xr:uid="{00000000-0005-0000-0000-0000090C0000}"/>
    <cellStyle name="20 % - Markeringsfarve2 2 9" xfId="4206" xr:uid="{00000000-0005-0000-0000-00000A0C0000}"/>
    <cellStyle name="20 % - Markeringsfarve2 2 9 2" xfId="4207" xr:uid="{00000000-0005-0000-0000-00000B0C0000}"/>
    <cellStyle name="20 % - Markeringsfarve2 2 9 2 2" xfId="9745" xr:uid="{00000000-0005-0000-0000-00000C0C0000}"/>
    <cellStyle name="20 % - Markeringsfarve2 2 9 2 2 2" xfId="17646" xr:uid="{00000000-0005-0000-0000-00000D0C0000}"/>
    <cellStyle name="20 % - Markeringsfarve2 2 9 2 2 2 2" xfId="35806" xr:uid="{00000000-0005-0000-0000-00000E0C0000}"/>
    <cellStyle name="20 % - Markeringsfarve2 2 9 2 2 3" xfId="28805" xr:uid="{00000000-0005-0000-0000-00000F0C0000}"/>
    <cellStyle name="20 % - Markeringsfarve2 2 9 2 3" xfId="12761" xr:uid="{00000000-0005-0000-0000-0000100C0000}"/>
    <cellStyle name="20 % - Markeringsfarve2 2 9 2 3 2" xfId="30928" xr:uid="{00000000-0005-0000-0000-0000110C0000}"/>
    <cellStyle name="20 % - Markeringsfarve2 2 9 2 4" xfId="23926" xr:uid="{00000000-0005-0000-0000-0000120C0000}"/>
    <cellStyle name="20 % - Markeringsfarve2 2 9 3" xfId="8344" xr:uid="{00000000-0005-0000-0000-0000130C0000}"/>
    <cellStyle name="20 % - Markeringsfarve2 2 9 3 2" xfId="16261" xr:uid="{00000000-0005-0000-0000-0000140C0000}"/>
    <cellStyle name="20 % - Markeringsfarve2 2 9 3 2 2" xfId="34421" xr:uid="{00000000-0005-0000-0000-0000150C0000}"/>
    <cellStyle name="20 % - Markeringsfarve2 2 9 3 3" xfId="27420" xr:uid="{00000000-0005-0000-0000-0000160C0000}"/>
    <cellStyle name="20 % - Markeringsfarve2 2 9 4" xfId="12760" xr:uid="{00000000-0005-0000-0000-0000170C0000}"/>
    <cellStyle name="20 % - Markeringsfarve2 2 9 4 2" xfId="30927" xr:uid="{00000000-0005-0000-0000-0000180C0000}"/>
    <cellStyle name="20 % - Markeringsfarve2 2 9 5" xfId="23925" xr:uid="{00000000-0005-0000-0000-0000190C0000}"/>
    <cellStyle name="20 % - Markeringsfarve2 3" xfId="1790" xr:uid="{00000000-0005-0000-0000-00001A0C0000}"/>
    <cellStyle name="20 % - Markeringsfarve2 3 10" xfId="4209" xr:uid="{00000000-0005-0000-0000-00001B0C0000}"/>
    <cellStyle name="20 % - Markeringsfarve2 3 10 2" xfId="8958" xr:uid="{00000000-0005-0000-0000-00001C0C0000}"/>
    <cellStyle name="20 % - Markeringsfarve2 3 10 2 2" xfId="16870" xr:uid="{00000000-0005-0000-0000-00001D0C0000}"/>
    <cellStyle name="20 % - Markeringsfarve2 3 10 2 2 2" xfId="35030" xr:uid="{00000000-0005-0000-0000-00001E0C0000}"/>
    <cellStyle name="20 % - Markeringsfarve2 3 10 2 3" xfId="28029" xr:uid="{00000000-0005-0000-0000-00001F0C0000}"/>
    <cellStyle name="20 % - Markeringsfarve2 3 10 3" xfId="12763" xr:uid="{00000000-0005-0000-0000-0000200C0000}"/>
    <cellStyle name="20 % - Markeringsfarve2 3 10 3 2" xfId="30930" xr:uid="{00000000-0005-0000-0000-0000210C0000}"/>
    <cellStyle name="20 % - Markeringsfarve2 3 10 4" xfId="23928" xr:uid="{00000000-0005-0000-0000-0000220C0000}"/>
    <cellStyle name="20 % - Markeringsfarve2 3 11" xfId="4210" xr:uid="{00000000-0005-0000-0000-0000230C0000}"/>
    <cellStyle name="20 % - Markeringsfarve2 3 11 2" xfId="8927" xr:uid="{00000000-0005-0000-0000-0000240C0000}"/>
    <cellStyle name="20 % - Markeringsfarve2 3 11 2 2" xfId="16840" xr:uid="{00000000-0005-0000-0000-0000250C0000}"/>
    <cellStyle name="20 % - Markeringsfarve2 3 11 2 2 2" xfId="35000" xr:uid="{00000000-0005-0000-0000-0000260C0000}"/>
    <cellStyle name="20 % - Markeringsfarve2 3 11 2 3" xfId="27999" xr:uid="{00000000-0005-0000-0000-0000270C0000}"/>
    <cellStyle name="20 % - Markeringsfarve2 3 11 3" xfId="12764" xr:uid="{00000000-0005-0000-0000-0000280C0000}"/>
    <cellStyle name="20 % - Markeringsfarve2 3 11 3 2" xfId="30931" xr:uid="{00000000-0005-0000-0000-0000290C0000}"/>
    <cellStyle name="20 % - Markeringsfarve2 3 11 4" xfId="23929" xr:uid="{00000000-0005-0000-0000-00002A0C0000}"/>
    <cellStyle name="20 % - Markeringsfarve2 3 12" xfId="7713" xr:uid="{00000000-0005-0000-0000-00002B0C0000}"/>
    <cellStyle name="20 % - Markeringsfarve2 3 12 2" xfId="15631" xr:uid="{00000000-0005-0000-0000-00002C0C0000}"/>
    <cellStyle name="20 % - Markeringsfarve2 3 12 2 2" xfId="33791" xr:uid="{00000000-0005-0000-0000-00002D0C0000}"/>
    <cellStyle name="20 % - Markeringsfarve2 3 12 3" xfId="26790" xr:uid="{00000000-0005-0000-0000-00002E0C0000}"/>
    <cellStyle name="20 % - Markeringsfarve2 3 13" xfId="12762" xr:uid="{00000000-0005-0000-0000-00002F0C0000}"/>
    <cellStyle name="20 % - Markeringsfarve2 3 13 2" xfId="30929" xr:uid="{00000000-0005-0000-0000-0000300C0000}"/>
    <cellStyle name="20 % - Markeringsfarve2 3 14" xfId="4208" xr:uid="{00000000-0005-0000-0000-0000310C0000}"/>
    <cellStyle name="20 % - Markeringsfarve2 3 14 2" xfId="23927" xr:uid="{00000000-0005-0000-0000-0000320C0000}"/>
    <cellStyle name="20 % - Markeringsfarve2 3 15" xfId="21914" xr:uid="{00000000-0005-0000-0000-0000330C0000}"/>
    <cellStyle name="20 % - Markeringsfarve2 3 2" xfId="1791" xr:uid="{00000000-0005-0000-0000-0000340C0000}"/>
    <cellStyle name="20 % - Markeringsfarve2 3 2 10" xfId="7714" xr:uid="{00000000-0005-0000-0000-0000350C0000}"/>
    <cellStyle name="20 % - Markeringsfarve2 3 2 10 2" xfId="15632" xr:uid="{00000000-0005-0000-0000-0000360C0000}"/>
    <cellStyle name="20 % - Markeringsfarve2 3 2 10 2 2" xfId="33792" xr:uid="{00000000-0005-0000-0000-0000370C0000}"/>
    <cellStyle name="20 % - Markeringsfarve2 3 2 10 3" xfId="26791" xr:uid="{00000000-0005-0000-0000-0000380C0000}"/>
    <cellStyle name="20 % - Markeringsfarve2 3 2 11" xfId="12765" xr:uid="{00000000-0005-0000-0000-0000390C0000}"/>
    <cellStyle name="20 % - Markeringsfarve2 3 2 11 2" xfId="30932" xr:uid="{00000000-0005-0000-0000-00003A0C0000}"/>
    <cellStyle name="20 % - Markeringsfarve2 3 2 12" xfId="4211" xr:uid="{00000000-0005-0000-0000-00003B0C0000}"/>
    <cellStyle name="20 % - Markeringsfarve2 3 2 12 2" xfId="23930" xr:uid="{00000000-0005-0000-0000-00003C0C0000}"/>
    <cellStyle name="20 % - Markeringsfarve2 3 2 13" xfId="21915" xr:uid="{00000000-0005-0000-0000-00003D0C0000}"/>
    <cellStyle name="20 % - Markeringsfarve2 3 2 2" xfId="4212" xr:uid="{00000000-0005-0000-0000-00003E0C0000}"/>
    <cellStyle name="20 % - Markeringsfarve2 3 2 2 2" xfId="4213" xr:uid="{00000000-0005-0000-0000-00003F0C0000}"/>
    <cellStyle name="20 % - Markeringsfarve2 3 2 2 2 2" xfId="4214" xr:uid="{00000000-0005-0000-0000-0000400C0000}"/>
    <cellStyle name="20 % - Markeringsfarve2 3 2 2 2 2 2" xfId="9891" xr:uid="{00000000-0005-0000-0000-0000410C0000}"/>
    <cellStyle name="20 % - Markeringsfarve2 3 2 2 2 2 2 2" xfId="17792" xr:uid="{00000000-0005-0000-0000-0000420C0000}"/>
    <cellStyle name="20 % - Markeringsfarve2 3 2 2 2 2 2 2 2" xfId="35952" xr:uid="{00000000-0005-0000-0000-0000430C0000}"/>
    <cellStyle name="20 % - Markeringsfarve2 3 2 2 2 2 2 3" xfId="28951" xr:uid="{00000000-0005-0000-0000-0000440C0000}"/>
    <cellStyle name="20 % - Markeringsfarve2 3 2 2 2 2 3" xfId="12768" xr:uid="{00000000-0005-0000-0000-0000450C0000}"/>
    <cellStyle name="20 % - Markeringsfarve2 3 2 2 2 2 3 2" xfId="30935" xr:uid="{00000000-0005-0000-0000-0000460C0000}"/>
    <cellStyle name="20 % - Markeringsfarve2 3 2 2 2 2 4" xfId="23933" xr:uid="{00000000-0005-0000-0000-0000470C0000}"/>
    <cellStyle name="20 % - Markeringsfarve2 3 2 2 2 3" xfId="8466" xr:uid="{00000000-0005-0000-0000-0000480C0000}"/>
    <cellStyle name="20 % - Markeringsfarve2 3 2 2 2 3 2" xfId="16383" xr:uid="{00000000-0005-0000-0000-0000490C0000}"/>
    <cellStyle name="20 % - Markeringsfarve2 3 2 2 2 3 2 2" xfId="34543" xr:uid="{00000000-0005-0000-0000-00004A0C0000}"/>
    <cellStyle name="20 % - Markeringsfarve2 3 2 2 2 3 3" xfId="27542" xr:uid="{00000000-0005-0000-0000-00004B0C0000}"/>
    <cellStyle name="20 % - Markeringsfarve2 3 2 2 2 4" xfId="12767" xr:uid="{00000000-0005-0000-0000-00004C0C0000}"/>
    <cellStyle name="20 % - Markeringsfarve2 3 2 2 2 4 2" xfId="30934" xr:uid="{00000000-0005-0000-0000-00004D0C0000}"/>
    <cellStyle name="20 % - Markeringsfarve2 3 2 2 2 5" xfId="23932" xr:uid="{00000000-0005-0000-0000-00004E0C0000}"/>
    <cellStyle name="20 % - Markeringsfarve2 3 2 2 3" xfId="4215" xr:uid="{00000000-0005-0000-0000-00004F0C0000}"/>
    <cellStyle name="20 % - Markeringsfarve2 3 2 2 3 2" xfId="9121" xr:uid="{00000000-0005-0000-0000-0000500C0000}"/>
    <cellStyle name="20 % - Markeringsfarve2 3 2 2 3 2 2" xfId="17032" xr:uid="{00000000-0005-0000-0000-0000510C0000}"/>
    <cellStyle name="20 % - Markeringsfarve2 3 2 2 3 2 2 2" xfId="35192" xr:uid="{00000000-0005-0000-0000-0000520C0000}"/>
    <cellStyle name="20 % - Markeringsfarve2 3 2 2 3 2 3" xfId="28191" xr:uid="{00000000-0005-0000-0000-0000530C0000}"/>
    <cellStyle name="20 % - Markeringsfarve2 3 2 2 3 3" xfId="12769" xr:uid="{00000000-0005-0000-0000-0000540C0000}"/>
    <cellStyle name="20 % - Markeringsfarve2 3 2 2 3 3 2" xfId="30936" xr:uid="{00000000-0005-0000-0000-0000550C0000}"/>
    <cellStyle name="20 % - Markeringsfarve2 3 2 2 3 4" xfId="23934" xr:uid="{00000000-0005-0000-0000-0000560C0000}"/>
    <cellStyle name="20 % - Markeringsfarve2 3 2 2 4" xfId="4216" xr:uid="{00000000-0005-0000-0000-0000570C0000}"/>
    <cellStyle name="20 % - Markeringsfarve2 3 2 2 4 2" xfId="10554" xr:uid="{00000000-0005-0000-0000-0000580C0000}"/>
    <cellStyle name="20 % - Markeringsfarve2 3 2 2 4 2 2" xfId="18448" xr:uid="{00000000-0005-0000-0000-0000590C0000}"/>
    <cellStyle name="20 % - Markeringsfarve2 3 2 2 4 2 2 2" xfId="36608" xr:uid="{00000000-0005-0000-0000-00005A0C0000}"/>
    <cellStyle name="20 % - Markeringsfarve2 3 2 2 4 2 3" xfId="29607" xr:uid="{00000000-0005-0000-0000-00005B0C0000}"/>
    <cellStyle name="20 % - Markeringsfarve2 3 2 2 4 3" xfId="12770" xr:uid="{00000000-0005-0000-0000-00005C0C0000}"/>
    <cellStyle name="20 % - Markeringsfarve2 3 2 2 4 3 2" xfId="30937" xr:uid="{00000000-0005-0000-0000-00005D0C0000}"/>
    <cellStyle name="20 % - Markeringsfarve2 3 2 2 4 4" xfId="23935" xr:uid="{00000000-0005-0000-0000-00005E0C0000}"/>
    <cellStyle name="20 % - Markeringsfarve2 3 2 2 5" xfId="7715" xr:uid="{00000000-0005-0000-0000-00005F0C0000}"/>
    <cellStyle name="20 % - Markeringsfarve2 3 2 2 5 2" xfId="15633" xr:uid="{00000000-0005-0000-0000-0000600C0000}"/>
    <cellStyle name="20 % - Markeringsfarve2 3 2 2 5 2 2" xfId="33793" xr:uid="{00000000-0005-0000-0000-0000610C0000}"/>
    <cellStyle name="20 % - Markeringsfarve2 3 2 2 5 3" xfId="26792" xr:uid="{00000000-0005-0000-0000-0000620C0000}"/>
    <cellStyle name="20 % - Markeringsfarve2 3 2 2 6" xfId="12766" xr:uid="{00000000-0005-0000-0000-0000630C0000}"/>
    <cellStyle name="20 % - Markeringsfarve2 3 2 2 6 2" xfId="30933" xr:uid="{00000000-0005-0000-0000-0000640C0000}"/>
    <cellStyle name="20 % - Markeringsfarve2 3 2 2 7" xfId="23931" xr:uid="{00000000-0005-0000-0000-0000650C0000}"/>
    <cellStyle name="20 % - Markeringsfarve2 3 2 3" xfId="4217" xr:uid="{00000000-0005-0000-0000-0000660C0000}"/>
    <cellStyle name="20 % - Markeringsfarve2 3 2 3 2" xfId="4218" xr:uid="{00000000-0005-0000-0000-0000670C0000}"/>
    <cellStyle name="20 % - Markeringsfarve2 3 2 3 2 2" xfId="4219" xr:uid="{00000000-0005-0000-0000-0000680C0000}"/>
    <cellStyle name="20 % - Markeringsfarve2 3 2 3 2 2 2" xfId="9967" xr:uid="{00000000-0005-0000-0000-0000690C0000}"/>
    <cellStyle name="20 % - Markeringsfarve2 3 2 3 2 2 2 2" xfId="17868" xr:uid="{00000000-0005-0000-0000-00006A0C0000}"/>
    <cellStyle name="20 % - Markeringsfarve2 3 2 3 2 2 2 2 2" xfId="36028" xr:uid="{00000000-0005-0000-0000-00006B0C0000}"/>
    <cellStyle name="20 % - Markeringsfarve2 3 2 3 2 2 2 3" xfId="29027" xr:uid="{00000000-0005-0000-0000-00006C0C0000}"/>
    <cellStyle name="20 % - Markeringsfarve2 3 2 3 2 2 3" xfId="12773" xr:uid="{00000000-0005-0000-0000-00006D0C0000}"/>
    <cellStyle name="20 % - Markeringsfarve2 3 2 3 2 2 3 2" xfId="30940" xr:uid="{00000000-0005-0000-0000-00006E0C0000}"/>
    <cellStyle name="20 % - Markeringsfarve2 3 2 3 2 2 4" xfId="23938" xr:uid="{00000000-0005-0000-0000-00006F0C0000}"/>
    <cellStyle name="20 % - Markeringsfarve2 3 2 3 2 3" xfId="8531" xr:uid="{00000000-0005-0000-0000-0000700C0000}"/>
    <cellStyle name="20 % - Markeringsfarve2 3 2 3 2 3 2" xfId="16448" xr:uid="{00000000-0005-0000-0000-0000710C0000}"/>
    <cellStyle name="20 % - Markeringsfarve2 3 2 3 2 3 2 2" xfId="34608" xr:uid="{00000000-0005-0000-0000-0000720C0000}"/>
    <cellStyle name="20 % - Markeringsfarve2 3 2 3 2 3 3" xfId="27607" xr:uid="{00000000-0005-0000-0000-0000730C0000}"/>
    <cellStyle name="20 % - Markeringsfarve2 3 2 3 2 4" xfId="12772" xr:uid="{00000000-0005-0000-0000-0000740C0000}"/>
    <cellStyle name="20 % - Markeringsfarve2 3 2 3 2 4 2" xfId="30939" xr:uid="{00000000-0005-0000-0000-0000750C0000}"/>
    <cellStyle name="20 % - Markeringsfarve2 3 2 3 2 5" xfId="23937" xr:uid="{00000000-0005-0000-0000-0000760C0000}"/>
    <cellStyle name="20 % - Markeringsfarve2 3 2 3 3" xfId="4220" xr:uid="{00000000-0005-0000-0000-0000770C0000}"/>
    <cellStyle name="20 % - Markeringsfarve2 3 2 3 3 2" xfId="9197" xr:uid="{00000000-0005-0000-0000-0000780C0000}"/>
    <cellStyle name="20 % - Markeringsfarve2 3 2 3 3 2 2" xfId="17108" xr:uid="{00000000-0005-0000-0000-0000790C0000}"/>
    <cellStyle name="20 % - Markeringsfarve2 3 2 3 3 2 2 2" xfId="35268" xr:uid="{00000000-0005-0000-0000-00007A0C0000}"/>
    <cellStyle name="20 % - Markeringsfarve2 3 2 3 3 2 3" xfId="28267" xr:uid="{00000000-0005-0000-0000-00007B0C0000}"/>
    <cellStyle name="20 % - Markeringsfarve2 3 2 3 3 3" xfId="12774" xr:uid="{00000000-0005-0000-0000-00007C0C0000}"/>
    <cellStyle name="20 % - Markeringsfarve2 3 2 3 3 3 2" xfId="30941" xr:uid="{00000000-0005-0000-0000-00007D0C0000}"/>
    <cellStyle name="20 % - Markeringsfarve2 3 2 3 3 4" xfId="23939" xr:uid="{00000000-0005-0000-0000-00007E0C0000}"/>
    <cellStyle name="20 % - Markeringsfarve2 3 2 3 4" xfId="4221" xr:uid="{00000000-0005-0000-0000-00007F0C0000}"/>
    <cellStyle name="20 % - Markeringsfarve2 3 2 3 4 2" xfId="10555" xr:uid="{00000000-0005-0000-0000-0000800C0000}"/>
    <cellStyle name="20 % - Markeringsfarve2 3 2 3 4 2 2" xfId="18449" xr:uid="{00000000-0005-0000-0000-0000810C0000}"/>
    <cellStyle name="20 % - Markeringsfarve2 3 2 3 4 2 2 2" xfId="36609" xr:uid="{00000000-0005-0000-0000-0000820C0000}"/>
    <cellStyle name="20 % - Markeringsfarve2 3 2 3 4 2 3" xfId="29608" xr:uid="{00000000-0005-0000-0000-0000830C0000}"/>
    <cellStyle name="20 % - Markeringsfarve2 3 2 3 4 3" xfId="12775" xr:uid="{00000000-0005-0000-0000-0000840C0000}"/>
    <cellStyle name="20 % - Markeringsfarve2 3 2 3 4 3 2" xfId="30942" xr:uid="{00000000-0005-0000-0000-0000850C0000}"/>
    <cellStyle name="20 % - Markeringsfarve2 3 2 3 4 4" xfId="23940" xr:uid="{00000000-0005-0000-0000-0000860C0000}"/>
    <cellStyle name="20 % - Markeringsfarve2 3 2 3 5" xfId="7716" xr:uid="{00000000-0005-0000-0000-0000870C0000}"/>
    <cellStyle name="20 % - Markeringsfarve2 3 2 3 5 2" xfId="15634" xr:uid="{00000000-0005-0000-0000-0000880C0000}"/>
    <cellStyle name="20 % - Markeringsfarve2 3 2 3 5 2 2" xfId="33794" xr:uid="{00000000-0005-0000-0000-0000890C0000}"/>
    <cellStyle name="20 % - Markeringsfarve2 3 2 3 5 3" xfId="26793" xr:uid="{00000000-0005-0000-0000-00008A0C0000}"/>
    <cellStyle name="20 % - Markeringsfarve2 3 2 3 6" xfId="12771" xr:uid="{00000000-0005-0000-0000-00008B0C0000}"/>
    <cellStyle name="20 % - Markeringsfarve2 3 2 3 6 2" xfId="30938" xr:uid="{00000000-0005-0000-0000-00008C0C0000}"/>
    <cellStyle name="20 % - Markeringsfarve2 3 2 3 7" xfId="23936" xr:uid="{00000000-0005-0000-0000-00008D0C0000}"/>
    <cellStyle name="20 % - Markeringsfarve2 3 2 4" xfId="4222" xr:uid="{00000000-0005-0000-0000-00008E0C0000}"/>
    <cellStyle name="20 % - Markeringsfarve2 3 2 4 2" xfId="4223" xr:uid="{00000000-0005-0000-0000-00008F0C0000}"/>
    <cellStyle name="20 % - Markeringsfarve2 3 2 4 2 2" xfId="4224" xr:uid="{00000000-0005-0000-0000-0000900C0000}"/>
    <cellStyle name="20 % - Markeringsfarve2 3 2 4 2 2 2" xfId="10129" xr:uid="{00000000-0005-0000-0000-0000910C0000}"/>
    <cellStyle name="20 % - Markeringsfarve2 3 2 4 2 2 2 2" xfId="18030" xr:uid="{00000000-0005-0000-0000-0000920C0000}"/>
    <cellStyle name="20 % - Markeringsfarve2 3 2 4 2 2 2 2 2" xfId="36190" xr:uid="{00000000-0005-0000-0000-0000930C0000}"/>
    <cellStyle name="20 % - Markeringsfarve2 3 2 4 2 2 2 3" xfId="29189" xr:uid="{00000000-0005-0000-0000-0000940C0000}"/>
    <cellStyle name="20 % - Markeringsfarve2 3 2 4 2 2 3" xfId="12778" xr:uid="{00000000-0005-0000-0000-0000950C0000}"/>
    <cellStyle name="20 % - Markeringsfarve2 3 2 4 2 2 3 2" xfId="30945" xr:uid="{00000000-0005-0000-0000-0000960C0000}"/>
    <cellStyle name="20 % - Markeringsfarve2 3 2 4 2 2 4" xfId="23943" xr:uid="{00000000-0005-0000-0000-0000970C0000}"/>
    <cellStyle name="20 % - Markeringsfarve2 3 2 4 2 3" xfId="8668" xr:uid="{00000000-0005-0000-0000-0000980C0000}"/>
    <cellStyle name="20 % - Markeringsfarve2 3 2 4 2 3 2" xfId="16582" xr:uid="{00000000-0005-0000-0000-0000990C0000}"/>
    <cellStyle name="20 % - Markeringsfarve2 3 2 4 2 3 2 2" xfId="34742" xr:uid="{00000000-0005-0000-0000-00009A0C0000}"/>
    <cellStyle name="20 % - Markeringsfarve2 3 2 4 2 3 3" xfId="27741" xr:uid="{00000000-0005-0000-0000-00009B0C0000}"/>
    <cellStyle name="20 % - Markeringsfarve2 3 2 4 2 4" xfId="12777" xr:uid="{00000000-0005-0000-0000-00009C0C0000}"/>
    <cellStyle name="20 % - Markeringsfarve2 3 2 4 2 4 2" xfId="30944" xr:uid="{00000000-0005-0000-0000-00009D0C0000}"/>
    <cellStyle name="20 % - Markeringsfarve2 3 2 4 2 5" xfId="23942" xr:uid="{00000000-0005-0000-0000-00009E0C0000}"/>
    <cellStyle name="20 % - Markeringsfarve2 3 2 4 3" xfId="4225" xr:uid="{00000000-0005-0000-0000-00009F0C0000}"/>
    <cellStyle name="20 % - Markeringsfarve2 3 2 4 3 2" xfId="9405" xr:uid="{00000000-0005-0000-0000-0000A00C0000}"/>
    <cellStyle name="20 % - Markeringsfarve2 3 2 4 3 2 2" xfId="17315" xr:uid="{00000000-0005-0000-0000-0000A10C0000}"/>
    <cellStyle name="20 % - Markeringsfarve2 3 2 4 3 2 2 2" xfId="35475" xr:uid="{00000000-0005-0000-0000-0000A20C0000}"/>
    <cellStyle name="20 % - Markeringsfarve2 3 2 4 3 2 3" xfId="28474" xr:uid="{00000000-0005-0000-0000-0000A30C0000}"/>
    <cellStyle name="20 % - Markeringsfarve2 3 2 4 3 3" xfId="12779" xr:uid="{00000000-0005-0000-0000-0000A40C0000}"/>
    <cellStyle name="20 % - Markeringsfarve2 3 2 4 3 3 2" xfId="30946" xr:uid="{00000000-0005-0000-0000-0000A50C0000}"/>
    <cellStyle name="20 % - Markeringsfarve2 3 2 4 3 4" xfId="23944" xr:uid="{00000000-0005-0000-0000-0000A60C0000}"/>
    <cellStyle name="20 % - Markeringsfarve2 3 2 4 4" xfId="4226" xr:uid="{00000000-0005-0000-0000-0000A70C0000}"/>
    <cellStyle name="20 % - Markeringsfarve2 3 2 4 4 2" xfId="10447" xr:uid="{00000000-0005-0000-0000-0000A80C0000}"/>
    <cellStyle name="20 % - Markeringsfarve2 3 2 4 4 2 2" xfId="18344" xr:uid="{00000000-0005-0000-0000-0000A90C0000}"/>
    <cellStyle name="20 % - Markeringsfarve2 3 2 4 4 2 2 2" xfId="36504" xr:uid="{00000000-0005-0000-0000-0000AA0C0000}"/>
    <cellStyle name="20 % - Markeringsfarve2 3 2 4 4 2 3" xfId="29503" xr:uid="{00000000-0005-0000-0000-0000AB0C0000}"/>
    <cellStyle name="20 % - Markeringsfarve2 3 2 4 4 3" xfId="12780" xr:uid="{00000000-0005-0000-0000-0000AC0C0000}"/>
    <cellStyle name="20 % - Markeringsfarve2 3 2 4 4 3 2" xfId="30947" xr:uid="{00000000-0005-0000-0000-0000AD0C0000}"/>
    <cellStyle name="20 % - Markeringsfarve2 3 2 4 4 4" xfId="23945" xr:uid="{00000000-0005-0000-0000-0000AE0C0000}"/>
    <cellStyle name="20 % - Markeringsfarve2 3 2 4 5" xfId="7717" xr:uid="{00000000-0005-0000-0000-0000AF0C0000}"/>
    <cellStyle name="20 % - Markeringsfarve2 3 2 4 5 2" xfId="15635" xr:uid="{00000000-0005-0000-0000-0000B00C0000}"/>
    <cellStyle name="20 % - Markeringsfarve2 3 2 4 5 2 2" xfId="33795" xr:uid="{00000000-0005-0000-0000-0000B10C0000}"/>
    <cellStyle name="20 % - Markeringsfarve2 3 2 4 5 3" xfId="26794" xr:uid="{00000000-0005-0000-0000-0000B20C0000}"/>
    <cellStyle name="20 % - Markeringsfarve2 3 2 4 6" xfId="12776" xr:uid="{00000000-0005-0000-0000-0000B30C0000}"/>
    <cellStyle name="20 % - Markeringsfarve2 3 2 4 6 2" xfId="30943" xr:uid="{00000000-0005-0000-0000-0000B40C0000}"/>
    <cellStyle name="20 % - Markeringsfarve2 3 2 4 7" xfId="23941" xr:uid="{00000000-0005-0000-0000-0000B50C0000}"/>
    <cellStyle name="20 % - Markeringsfarve2 3 2 5" xfId="4227" xr:uid="{00000000-0005-0000-0000-0000B60C0000}"/>
    <cellStyle name="20 % - Markeringsfarve2 3 2 5 2" xfId="4228" xr:uid="{00000000-0005-0000-0000-0000B70C0000}"/>
    <cellStyle name="20 % - Markeringsfarve2 3 2 5 2 2" xfId="4229" xr:uid="{00000000-0005-0000-0000-0000B80C0000}"/>
    <cellStyle name="20 % - Markeringsfarve2 3 2 5 2 2 2" xfId="10246" xr:uid="{00000000-0005-0000-0000-0000B90C0000}"/>
    <cellStyle name="20 % - Markeringsfarve2 3 2 5 2 2 2 2" xfId="18147" xr:uid="{00000000-0005-0000-0000-0000BA0C0000}"/>
    <cellStyle name="20 % - Markeringsfarve2 3 2 5 2 2 2 2 2" xfId="36307" xr:uid="{00000000-0005-0000-0000-0000BB0C0000}"/>
    <cellStyle name="20 % - Markeringsfarve2 3 2 5 2 2 2 3" xfId="29306" xr:uid="{00000000-0005-0000-0000-0000BC0C0000}"/>
    <cellStyle name="20 % - Markeringsfarve2 3 2 5 2 2 3" xfId="12783" xr:uid="{00000000-0005-0000-0000-0000BD0C0000}"/>
    <cellStyle name="20 % - Markeringsfarve2 3 2 5 2 2 3 2" xfId="30950" xr:uid="{00000000-0005-0000-0000-0000BE0C0000}"/>
    <cellStyle name="20 % - Markeringsfarve2 3 2 5 2 2 4" xfId="23948" xr:uid="{00000000-0005-0000-0000-0000BF0C0000}"/>
    <cellStyle name="20 % - Markeringsfarve2 3 2 5 2 3" xfId="8767" xr:uid="{00000000-0005-0000-0000-0000C00C0000}"/>
    <cellStyle name="20 % - Markeringsfarve2 3 2 5 2 3 2" xfId="16681" xr:uid="{00000000-0005-0000-0000-0000C10C0000}"/>
    <cellStyle name="20 % - Markeringsfarve2 3 2 5 2 3 2 2" xfId="34841" xr:uid="{00000000-0005-0000-0000-0000C20C0000}"/>
    <cellStyle name="20 % - Markeringsfarve2 3 2 5 2 3 3" xfId="27840" xr:uid="{00000000-0005-0000-0000-0000C30C0000}"/>
    <cellStyle name="20 % - Markeringsfarve2 3 2 5 2 4" xfId="12782" xr:uid="{00000000-0005-0000-0000-0000C40C0000}"/>
    <cellStyle name="20 % - Markeringsfarve2 3 2 5 2 4 2" xfId="30949" xr:uid="{00000000-0005-0000-0000-0000C50C0000}"/>
    <cellStyle name="20 % - Markeringsfarve2 3 2 5 2 5" xfId="23947" xr:uid="{00000000-0005-0000-0000-0000C60C0000}"/>
    <cellStyle name="20 % - Markeringsfarve2 3 2 5 3" xfId="4230" xr:uid="{00000000-0005-0000-0000-0000C70C0000}"/>
    <cellStyle name="20 % - Markeringsfarve2 3 2 5 3 2" xfId="9522" xr:uid="{00000000-0005-0000-0000-0000C80C0000}"/>
    <cellStyle name="20 % - Markeringsfarve2 3 2 5 3 2 2" xfId="17432" xr:uid="{00000000-0005-0000-0000-0000C90C0000}"/>
    <cellStyle name="20 % - Markeringsfarve2 3 2 5 3 2 2 2" xfId="35592" xr:uid="{00000000-0005-0000-0000-0000CA0C0000}"/>
    <cellStyle name="20 % - Markeringsfarve2 3 2 5 3 2 3" xfId="28591" xr:uid="{00000000-0005-0000-0000-0000CB0C0000}"/>
    <cellStyle name="20 % - Markeringsfarve2 3 2 5 3 3" xfId="12784" xr:uid="{00000000-0005-0000-0000-0000CC0C0000}"/>
    <cellStyle name="20 % - Markeringsfarve2 3 2 5 3 3 2" xfId="30951" xr:uid="{00000000-0005-0000-0000-0000CD0C0000}"/>
    <cellStyle name="20 % - Markeringsfarve2 3 2 5 3 4" xfId="23949" xr:uid="{00000000-0005-0000-0000-0000CE0C0000}"/>
    <cellStyle name="20 % - Markeringsfarve2 3 2 5 4" xfId="4231" xr:uid="{00000000-0005-0000-0000-0000CF0C0000}"/>
    <cellStyle name="20 % - Markeringsfarve2 3 2 5 4 2" xfId="10553" xr:uid="{00000000-0005-0000-0000-0000D00C0000}"/>
    <cellStyle name="20 % - Markeringsfarve2 3 2 5 4 2 2" xfId="18447" xr:uid="{00000000-0005-0000-0000-0000D10C0000}"/>
    <cellStyle name="20 % - Markeringsfarve2 3 2 5 4 2 2 2" xfId="36607" xr:uid="{00000000-0005-0000-0000-0000D20C0000}"/>
    <cellStyle name="20 % - Markeringsfarve2 3 2 5 4 2 3" xfId="29606" xr:uid="{00000000-0005-0000-0000-0000D30C0000}"/>
    <cellStyle name="20 % - Markeringsfarve2 3 2 5 4 3" xfId="12785" xr:uid="{00000000-0005-0000-0000-0000D40C0000}"/>
    <cellStyle name="20 % - Markeringsfarve2 3 2 5 4 3 2" xfId="30952" xr:uid="{00000000-0005-0000-0000-0000D50C0000}"/>
    <cellStyle name="20 % - Markeringsfarve2 3 2 5 4 4" xfId="23950" xr:uid="{00000000-0005-0000-0000-0000D60C0000}"/>
    <cellStyle name="20 % - Markeringsfarve2 3 2 5 5" xfId="7718" xr:uid="{00000000-0005-0000-0000-0000D70C0000}"/>
    <cellStyle name="20 % - Markeringsfarve2 3 2 5 5 2" xfId="15636" xr:uid="{00000000-0005-0000-0000-0000D80C0000}"/>
    <cellStyle name="20 % - Markeringsfarve2 3 2 5 5 2 2" xfId="33796" xr:uid="{00000000-0005-0000-0000-0000D90C0000}"/>
    <cellStyle name="20 % - Markeringsfarve2 3 2 5 5 3" xfId="26795" xr:uid="{00000000-0005-0000-0000-0000DA0C0000}"/>
    <cellStyle name="20 % - Markeringsfarve2 3 2 5 6" xfId="12781" xr:uid="{00000000-0005-0000-0000-0000DB0C0000}"/>
    <cellStyle name="20 % - Markeringsfarve2 3 2 5 6 2" xfId="30948" xr:uid="{00000000-0005-0000-0000-0000DC0C0000}"/>
    <cellStyle name="20 % - Markeringsfarve2 3 2 5 7" xfId="23946" xr:uid="{00000000-0005-0000-0000-0000DD0C0000}"/>
    <cellStyle name="20 % - Markeringsfarve2 3 2 6" xfId="4232" xr:uid="{00000000-0005-0000-0000-0000DE0C0000}"/>
    <cellStyle name="20 % - Markeringsfarve2 3 2 6 2" xfId="4233" xr:uid="{00000000-0005-0000-0000-0000DF0C0000}"/>
    <cellStyle name="20 % - Markeringsfarve2 3 2 6 2 2" xfId="4234" xr:uid="{00000000-0005-0000-0000-0000E00C0000}"/>
    <cellStyle name="20 % - Markeringsfarve2 3 2 6 2 2 2" xfId="10322" xr:uid="{00000000-0005-0000-0000-0000E10C0000}"/>
    <cellStyle name="20 % - Markeringsfarve2 3 2 6 2 2 2 2" xfId="18223" xr:uid="{00000000-0005-0000-0000-0000E20C0000}"/>
    <cellStyle name="20 % - Markeringsfarve2 3 2 6 2 2 2 2 2" xfId="36383" xr:uid="{00000000-0005-0000-0000-0000E30C0000}"/>
    <cellStyle name="20 % - Markeringsfarve2 3 2 6 2 2 2 3" xfId="29382" xr:uid="{00000000-0005-0000-0000-0000E40C0000}"/>
    <cellStyle name="20 % - Markeringsfarve2 3 2 6 2 2 3" xfId="12788" xr:uid="{00000000-0005-0000-0000-0000E50C0000}"/>
    <cellStyle name="20 % - Markeringsfarve2 3 2 6 2 2 3 2" xfId="30955" xr:uid="{00000000-0005-0000-0000-0000E60C0000}"/>
    <cellStyle name="20 % - Markeringsfarve2 3 2 6 2 2 4" xfId="23953" xr:uid="{00000000-0005-0000-0000-0000E70C0000}"/>
    <cellStyle name="20 % - Markeringsfarve2 3 2 6 2 3" xfId="8833" xr:uid="{00000000-0005-0000-0000-0000E80C0000}"/>
    <cellStyle name="20 % - Markeringsfarve2 3 2 6 2 3 2" xfId="16747" xr:uid="{00000000-0005-0000-0000-0000E90C0000}"/>
    <cellStyle name="20 % - Markeringsfarve2 3 2 6 2 3 2 2" xfId="34907" xr:uid="{00000000-0005-0000-0000-0000EA0C0000}"/>
    <cellStyle name="20 % - Markeringsfarve2 3 2 6 2 3 3" xfId="27906" xr:uid="{00000000-0005-0000-0000-0000EB0C0000}"/>
    <cellStyle name="20 % - Markeringsfarve2 3 2 6 2 4" xfId="12787" xr:uid="{00000000-0005-0000-0000-0000EC0C0000}"/>
    <cellStyle name="20 % - Markeringsfarve2 3 2 6 2 4 2" xfId="30954" xr:uid="{00000000-0005-0000-0000-0000ED0C0000}"/>
    <cellStyle name="20 % - Markeringsfarve2 3 2 6 2 5" xfId="23952" xr:uid="{00000000-0005-0000-0000-0000EE0C0000}"/>
    <cellStyle name="20 % - Markeringsfarve2 3 2 6 3" xfId="4235" xr:uid="{00000000-0005-0000-0000-0000EF0C0000}"/>
    <cellStyle name="20 % - Markeringsfarve2 3 2 6 3 2" xfId="9599" xr:uid="{00000000-0005-0000-0000-0000F00C0000}"/>
    <cellStyle name="20 % - Markeringsfarve2 3 2 6 3 2 2" xfId="17509" xr:uid="{00000000-0005-0000-0000-0000F10C0000}"/>
    <cellStyle name="20 % - Markeringsfarve2 3 2 6 3 2 2 2" xfId="35669" xr:uid="{00000000-0005-0000-0000-0000F20C0000}"/>
    <cellStyle name="20 % - Markeringsfarve2 3 2 6 3 2 3" xfId="28668" xr:uid="{00000000-0005-0000-0000-0000F30C0000}"/>
    <cellStyle name="20 % - Markeringsfarve2 3 2 6 3 3" xfId="12789" xr:uid="{00000000-0005-0000-0000-0000F40C0000}"/>
    <cellStyle name="20 % - Markeringsfarve2 3 2 6 3 3 2" xfId="30956" xr:uid="{00000000-0005-0000-0000-0000F50C0000}"/>
    <cellStyle name="20 % - Markeringsfarve2 3 2 6 3 4" xfId="23954" xr:uid="{00000000-0005-0000-0000-0000F60C0000}"/>
    <cellStyle name="20 % - Markeringsfarve2 3 2 6 4" xfId="4236" xr:uid="{00000000-0005-0000-0000-0000F70C0000}"/>
    <cellStyle name="20 % - Markeringsfarve2 3 2 6 4 2" xfId="10446" xr:uid="{00000000-0005-0000-0000-0000F80C0000}"/>
    <cellStyle name="20 % - Markeringsfarve2 3 2 6 4 2 2" xfId="18343" xr:uid="{00000000-0005-0000-0000-0000F90C0000}"/>
    <cellStyle name="20 % - Markeringsfarve2 3 2 6 4 2 2 2" xfId="36503" xr:uid="{00000000-0005-0000-0000-0000FA0C0000}"/>
    <cellStyle name="20 % - Markeringsfarve2 3 2 6 4 2 3" xfId="29502" xr:uid="{00000000-0005-0000-0000-0000FB0C0000}"/>
    <cellStyle name="20 % - Markeringsfarve2 3 2 6 4 3" xfId="12790" xr:uid="{00000000-0005-0000-0000-0000FC0C0000}"/>
    <cellStyle name="20 % - Markeringsfarve2 3 2 6 4 3 2" xfId="30957" xr:uid="{00000000-0005-0000-0000-0000FD0C0000}"/>
    <cellStyle name="20 % - Markeringsfarve2 3 2 6 4 4" xfId="23955" xr:uid="{00000000-0005-0000-0000-0000FE0C0000}"/>
    <cellStyle name="20 % - Markeringsfarve2 3 2 6 5" xfId="7719" xr:uid="{00000000-0005-0000-0000-0000FF0C0000}"/>
    <cellStyle name="20 % - Markeringsfarve2 3 2 6 5 2" xfId="15637" xr:uid="{00000000-0005-0000-0000-0000000D0000}"/>
    <cellStyle name="20 % - Markeringsfarve2 3 2 6 5 2 2" xfId="33797" xr:uid="{00000000-0005-0000-0000-0000010D0000}"/>
    <cellStyle name="20 % - Markeringsfarve2 3 2 6 5 3" xfId="26796" xr:uid="{00000000-0005-0000-0000-0000020D0000}"/>
    <cellStyle name="20 % - Markeringsfarve2 3 2 6 6" xfId="12786" xr:uid="{00000000-0005-0000-0000-0000030D0000}"/>
    <cellStyle name="20 % - Markeringsfarve2 3 2 6 6 2" xfId="30953" xr:uid="{00000000-0005-0000-0000-0000040D0000}"/>
    <cellStyle name="20 % - Markeringsfarve2 3 2 6 7" xfId="23951" xr:uid="{00000000-0005-0000-0000-0000050D0000}"/>
    <cellStyle name="20 % - Markeringsfarve2 3 2 7" xfId="4237" xr:uid="{00000000-0005-0000-0000-0000060D0000}"/>
    <cellStyle name="20 % - Markeringsfarve2 3 2 7 2" xfId="4238" xr:uid="{00000000-0005-0000-0000-0000070D0000}"/>
    <cellStyle name="20 % - Markeringsfarve2 3 2 7 2 2" xfId="9772" xr:uid="{00000000-0005-0000-0000-0000080D0000}"/>
    <cellStyle name="20 % - Markeringsfarve2 3 2 7 2 2 2" xfId="17673" xr:uid="{00000000-0005-0000-0000-0000090D0000}"/>
    <cellStyle name="20 % - Markeringsfarve2 3 2 7 2 2 2 2" xfId="35833" xr:uid="{00000000-0005-0000-0000-00000A0D0000}"/>
    <cellStyle name="20 % - Markeringsfarve2 3 2 7 2 2 3" xfId="28832" xr:uid="{00000000-0005-0000-0000-00000B0D0000}"/>
    <cellStyle name="20 % - Markeringsfarve2 3 2 7 2 3" xfId="12792" xr:uid="{00000000-0005-0000-0000-00000C0D0000}"/>
    <cellStyle name="20 % - Markeringsfarve2 3 2 7 2 3 2" xfId="30959" xr:uid="{00000000-0005-0000-0000-00000D0D0000}"/>
    <cellStyle name="20 % - Markeringsfarve2 3 2 7 2 4" xfId="23957" xr:uid="{00000000-0005-0000-0000-00000E0D0000}"/>
    <cellStyle name="20 % - Markeringsfarve2 3 2 7 3" xfId="8367" xr:uid="{00000000-0005-0000-0000-00000F0D0000}"/>
    <cellStyle name="20 % - Markeringsfarve2 3 2 7 3 2" xfId="16284" xr:uid="{00000000-0005-0000-0000-0000100D0000}"/>
    <cellStyle name="20 % - Markeringsfarve2 3 2 7 3 2 2" xfId="34444" xr:uid="{00000000-0005-0000-0000-0000110D0000}"/>
    <cellStyle name="20 % - Markeringsfarve2 3 2 7 3 3" xfId="27443" xr:uid="{00000000-0005-0000-0000-0000120D0000}"/>
    <cellStyle name="20 % - Markeringsfarve2 3 2 7 4" xfId="12791" xr:uid="{00000000-0005-0000-0000-0000130D0000}"/>
    <cellStyle name="20 % - Markeringsfarve2 3 2 7 4 2" xfId="30958" xr:uid="{00000000-0005-0000-0000-0000140D0000}"/>
    <cellStyle name="20 % - Markeringsfarve2 3 2 7 5" xfId="23956" xr:uid="{00000000-0005-0000-0000-0000150D0000}"/>
    <cellStyle name="20 % - Markeringsfarve2 3 2 8" xfId="4239" xr:uid="{00000000-0005-0000-0000-0000160D0000}"/>
    <cellStyle name="20 % - Markeringsfarve2 3 2 8 2" xfId="9000" xr:uid="{00000000-0005-0000-0000-0000170D0000}"/>
    <cellStyle name="20 % - Markeringsfarve2 3 2 8 2 2" xfId="16911" xr:uid="{00000000-0005-0000-0000-0000180D0000}"/>
    <cellStyle name="20 % - Markeringsfarve2 3 2 8 2 2 2" xfId="35071" xr:uid="{00000000-0005-0000-0000-0000190D0000}"/>
    <cellStyle name="20 % - Markeringsfarve2 3 2 8 2 3" xfId="28070" xr:uid="{00000000-0005-0000-0000-00001A0D0000}"/>
    <cellStyle name="20 % - Markeringsfarve2 3 2 8 3" xfId="12793" xr:uid="{00000000-0005-0000-0000-00001B0D0000}"/>
    <cellStyle name="20 % - Markeringsfarve2 3 2 8 3 2" xfId="30960" xr:uid="{00000000-0005-0000-0000-00001C0D0000}"/>
    <cellStyle name="20 % - Markeringsfarve2 3 2 8 4" xfId="23958" xr:uid="{00000000-0005-0000-0000-00001D0D0000}"/>
    <cellStyle name="20 % - Markeringsfarve2 3 2 9" xfId="4240" xr:uid="{00000000-0005-0000-0000-00001E0D0000}"/>
    <cellStyle name="20 % - Markeringsfarve2 3 2 9 2" xfId="10556" xr:uid="{00000000-0005-0000-0000-00001F0D0000}"/>
    <cellStyle name="20 % - Markeringsfarve2 3 2 9 2 2" xfId="18450" xr:uid="{00000000-0005-0000-0000-0000200D0000}"/>
    <cellStyle name="20 % - Markeringsfarve2 3 2 9 2 2 2" xfId="36610" xr:uid="{00000000-0005-0000-0000-0000210D0000}"/>
    <cellStyle name="20 % - Markeringsfarve2 3 2 9 2 3" xfId="29609" xr:uid="{00000000-0005-0000-0000-0000220D0000}"/>
    <cellStyle name="20 % - Markeringsfarve2 3 2 9 3" xfId="12794" xr:uid="{00000000-0005-0000-0000-0000230D0000}"/>
    <cellStyle name="20 % - Markeringsfarve2 3 2 9 3 2" xfId="30961" xr:uid="{00000000-0005-0000-0000-0000240D0000}"/>
    <cellStyle name="20 % - Markeringsfarve2 3 2 9 4" xfId="23959" xr:uid="{00000000-0005-0000-0000-0000250D0000}"/>
    <cellStyle name="20 % - Markeringsfarve2 3 3" xfId="4241" xr:uid="{00000000-0005-0000-0000-0000260D0000}"/>
    <cellStyle name="20 % - Markeringsfarve2 3 3 10" xfId="7720" xr:uid="{00000000-0005-0000-0000-0000270D0000}"/>
    <cellStyle name="20 % - Markeringsfarve2 3 3 10 2" xfId="15638" xr:uid="{00000000-0005-0000-0000-0000280D0000}"/>
    <cellStyle name="20 % - Markeringsfarve2 3 3 10 2 2" xfId="33798" xr:uid="{00000000-0005-0000-0000-0000290D0000}"/>
    <cellStyle name="20 % - Markeringsfarve2 3 3 10 3" xfId="26797" xr:uid="{00000000-0005-0000-0000-00002A0D0000}"/>
    <cellStyle name="20 % - Markeringsfarve2 3 3 11" xfId="12795" xr:uid="{00000000-0005-0000-0000-00002B0D0000}"/>
    <cellStyle name="20 % - Markeringsfarve2 3 3 11 2" xfId="30962" xr:uid="{00000000-0005-0000-0000-00002C0D0000}"/>
    <cellStyle name="20 % - Markeringsfarve2 3 3 12" xfId="23960" xr:uid="{00000000-0005-0000-0000-00002D0D0000}"/>
    <cellStyle name="20 % - Markeringsfarve2 3 3 2" xfId="4242" xr:uid="{00000000-0005-0000-0000-00002E0D0000}"/>
    <cellStyle name="20 % - Markeringsfarve2 3 3 2 2" xfId="4243" xr:uid="{00000000-0005-0000-0000-00002F0D0000}"/>
    <cellStyle name="20 % - Markeringsfarve2 3 3 2 2 2" xfId="4244" xr:uid="{00000000-0005-0000-0000-0000300D0000}"/>
    <cellStyle name="20 % - Markeringsfarve2 3 3 2 2 2 2" xfId="9930" xr:uid="{00000000-0005-0000-0000-0000310D0000}"/>
    <cellStyle name="20 % - Markeringsfarve2 3 3 2 2 2 2 2" xfId="17831" xr:uid="{00000000-0005-0000-0000-0000320D0000}"/>
    <cellStyle name="20 % - Markeringsfarve2 3 3 2 2 2 2 2 2" xfId="35991" xr:uid="{00000000-0005-0000-0000-0000330D0000}"/>
    <cellStyle name="20 % - Markeringsfarve2 3 3 2 2 2 2 3" xfId="28990" xr:uid="{00000000-0005-0000-0000-0000340D0000}"/>
    <cellStyle name="20 % - Markeringsfarve2 3 3 2 2 2 3" xfId="12798" xr:uid="{00000000-0005-0000-0000-0000350D0000}"/>
    <cellStyle name="20 % - Markeringsfarve2 3 3 2 2 2 3 2" xfId="30965" xr:uid="{00000000-0005-0000-0000-0000360D0000}"/>
    <cellStyle name="20 % - Markeringsfarve2 3 3 2 2 2 4" xfId="23963" xr:uid="{00000000-0005-0000-0000-0000370D0000}"/>
    <cellStyle name="20 % - Markeringsfarve2 3 3 2 2 3" xfId="8499" xr:uid="{00000000-0005-0000-0000-0000380D0000}"/>
    <cellStyle name="20 % - Markeringsfarve2 3 3 2 2 3 2" xfId="16416" xr:uid="{00000000-0005-0000-0000-0000390D0000}"/>
    <cellStyle name="20 % - Markeringsfarve2 3 3 2 2 3 2 2" xfId="34576" xr:uid="{00000000-0005-0000-0000-00003A0D0000}"/>
    <cellStyle name="20 % - Markeringsfarve2 3 3 2 2 3 3" xfId="27575" xr:uid="{00000000-0005-0000-0000-00003B0D0000}"/>
    <cellStyle name="20 % - Markeringsfarve2 3 3 2 2 4" xfId="12797" xr:uid="{00000000-0005-0000-0000-00003C0D0000}"/>
    <cellStyle name="20 % - Markeringsfarve2 3 3 2 2 4 2" xfId="30964" xr:uid="{00000000-0005-0000-0000-00003D0D0000}"/>
    <cellStyle name="20 % - Markeringsfarve2 3 3 2 2 5" xfId="23962" xr:uid="{00000000-0005-0000-0000-00003E0D0000}"/>
    <cellStyle name="20 % - Markeringsfarve2 3 3 2 3" xfId="4245" xr:uid="{00000000-0005-0000-0000-00003F0D0000}"/>
    <cellStyle name="20 % - Markeringsfarve2 3 3 2 3 2" xfId="9160" xr:uid="{00000000-0005-0000-0000-0000400D0000}"/>
    <cellStyle name="20 % - Markeringsfarve2 3 3 2 3 2 2" xfId="17071" xr:uid="{00000000-0005-0000-0000-0000410D0000}"/>
    <cellStyle name="20 % - Markeringsfarve2 3 3 2 3 2 2 2" xfId="35231" xr:uid="{00000000-0005-0000-0000-0000420D0000}"/>
    <cellStyle name="20 % - Markeringsfarve2 3 3 2 3 2 3" xfId="28230" xr:uid="{00000000-0005-0000-0000-0000430D0000}"/>
    <cellStyle name="20 % - Markeringsfarve2 3 3 2 3 3" xfId="12799" xr:uid="{00000000-0005-0000-0000-0000440D0000}"/>
    <cellStyle name="20 % - Markeringsfarve2 3 3 2 3 3 2" xfId="30966" xr:uid="{00000000-0005-0000-0000-0000450D0000}"/>
    <cellStyle name="20 % - Markeringsfarve2 3 3 2 3 4" xfId="23964" xr:uid="{00000000-0005-0000-0000-0000460D0000}"/>
    <cellStyle name="20 % - Markeringsfarve2 3 3 2 4" xfId="4246" xr:uid="{00000000-0005-0000-0000-0000470D0000}"/>
    <cellStyle name="20 % - Markeringsfarve2 3 3 2 4 2" xfId="11019" xr:uid="{00000000-0005-0000-0000-0000480D0000}"/>
    <cellStyle name="20 % - Markeringsfarve2 3 3 2 4 2 2" xfId="18895" xr:uid="{00000000-0005-0000-0000-0000490D0000}"/>
    <cellStyle name="20 % - Markeringsfarve2 3 3 2 4 2 2 2" xfId="37055" xr:uid="{00000000-0005-0000-0000-00004A0D0000}"/>
    <cellStyle name="20 % - Markeringsfarve2 3 3 2 4 2 3" xfId="30054" xr:uid="{00000000-0005-0000-0000-00004B0D0000}"/>
    <cellStyle name="20 % - Markeringsfarve2 3 3 2 4 3" xfId="12800" xr:uid="{00000000-0005-0000-0000-00004C0D0000}"/>
    <cellStyle name="20 % - Markeringsfarve2 3 3 2 4 3 2" xfId="30967" xr:uid="{00000000-0005-0000-0000-00004D0D0000}"/>
    <cellStyle name="20 % - Markeringsfarve2 3 3 2 4 4" xfId="23965" xr:uid="{00000000-0005-0000-0000-00004E0D0000}"/>
    <cellStyle name="20 % - Markeringsfarve2 3 3 2 5" xfId="7721" xr:uid="{00000000-0005-0000-0000-00004F0D0000}"/>
    <cellStyle name="20 % - Markeringsfarve2 3 3 2 5 2" xfId="15639" xr:uid="{00000000-0005-0000-0000-0000500D0000}"/>
    <cellStyle name="20 % - Markeringsfarve2 3 3 2 5 2 2" xfId="33799" xr:uid="{00000000-0005-0000-0000-0000510D0000}"/>
    <cellStyle name="20 % - Markeringsfarve2 3 3 2 5 3" xfId="26798" xr:uid="{00000000-0005-0000-0000-0000520D0000}"/>
    <cellStyle name="20 % - Markeringsfarve2 3 3 2 6" xfId="12796" xr:uid="{00000000-0005-0000-0000-0000530D0000}"/>
    <cellStyle name="20 % - Markeringsfarve2 3 3 2 6 2" xfId="30963" xr:uid="{00000000-0005-0000-0000-0000540D0000}"/>
    <cellStyle name="20 % - Markeringsfarve2 3 3 2 7" xfId="23961" xr:uid="{00000000-0005-0000-0000-0000550D0000}"/>
    <cellStyle name="20 % - Markeringsfarve2 3 3 3" xfId="4247" xr:uid="{00000000-0005-0000-0000-0000560D0000}"/>
    <cellStyle name="20 % - Markeringsfarve2 3 3 3 2" xfId="4248" xr:uid="{00000000-0005-0000-0000-0000570D0000}"/>
    <cellStyle name="20 % - Markeringsfarve2 3 3 3 2 2" xfId="4249" xr:uid="{00000000-0005-0000-0000-0000580D0000}"/>
    <cellStyle name="20 % - Markeringsfarve2 3 3 3 2 2 2" xfId="9968" xr:uid="{00000000-0005-0000-0000-0000590D0000}"/>
    <cellStyle name="20 % - Markeringsfarve2 3 3 3 2 2 2 2" xfId="17869" xr:uid="{00000000-0005-0000-0000-00005A0D0000}"/>
    <cellStyle name="20 % - Markeringsfarve2 3 3 3 2 2 2 2 2" xfId="36029" xr:uid="{00000000-0005-0000-0000-00005B0D0000}"/>
    <cellStyle name="20 % - Markeringsfarve2 3 3 3 2 2 2 3" xfId="29028" xr:uid="{00000000-0005-0000-0000-00005C0D0000}"/>
    <cellStyle name="20 % - Markeringsfarve2 3 3 3 2 2 3" xfId="12803" xr:uid="{00000000-0005-0000-0000-00005D0D0000}"/>
    <cellStyle name="20 % - Markeringsfarve2 3 3 3 2 2 3 2" xfId="30970" xr:uid="{00000000-0005-0000-0000-00005E0D0000}"/>
    <cellStyle name="20 % - Markeringsfarve2 3 3 3 2 2 4" xfId="23968" xr:uid="{00000000-0005-0000-0000-00005F0D0000}"/>
    <cellStyle name="20 % - Markeringsfarve2 3 3 3 2 3" xfId="8532" xr:uid="{00000000-0005-0000-0000-0000600D0000}"/>
    <cellStyle name="20 % - Markeringsfarve2 3 3 3 2 3 2" xfId="16449" xr:uid="{00000000-0005-0000-0000-0000610D0000}"/>
    <cellStyle name="20 % - Markeringsfarve2 3 3 3 2 3 2 2" xfId="34609" xr:uid="{00000000-0005-0000-0000-0000620D0000}"/>
    <cellStyle name="20 % - Markeringsfarve2 3 3 3 2 3 3" xfId="27608" xr:uid="{00000000-0005-0000-0000-0000630D0000}"/>
    <cellStyle name="20 % - Markeringsfarve2 3 3 3 2 4" xfId="12802" xr:uid="{00000000-0005-0000-0000-0000640D0000}"/>
    <cellStyle name="20 % - Markeringsfarve2 3 3 3 2 4 2" xfId="30969" xr:uid="{00000000-0005-0000-0000-0000650D0000}"/>
    <cellStyle name="20 % - Markeringsfarve2 3 3 3 2 5" xfId="23967" xr:uid="{00000000-0005-0000-0000-0000660D0000}"/>
    <cellStyle name="20 % - Markeringsfarve2 3 3 3 3" xfId="4250" xr:uid="{00000000-0005-0000-0000-0000670D0000}"/>
    <cellStyle name="20 % - Markeringsfarve2 3 3 3 3 2" xfId="9198" xr:uid="{00000000-0005-0000-0000-0000680D0000}"/>
    <cellStyle name="20 % - Markeringsfarve2 3 3 3 3 2 2" xfId="17109" xr:uid="{00000000-0005-0000-0000-0000690D0000}"/>
    <cellStyle name="20 % - Markeringsfarve2 3 3 3 3 2 2 2" xfId="35269" xr:uid="{00000000-0005-0000-0000-00006A0D0000}"/>
    <cellStyle name="20 % - Markeringsfarve2 3 3 3 3 2 3" xfId="28268" xr:uid="{00000000-0005-0000-0000-00006B0D0000}"/>
    <cellStyle name="20 % - Markeringsfarve2 3 3 3 3 3" xfId="12804" xr:uid="{00000000-0005-0000-0000-00006C0D0000}"/>
    <cellStyle name="20 % - Markeringsfarve2 3 3 3 3 3 2" xfId="30971" xr:uid="{00000000-0005-0000-0000-00006D0D0000}"/>
    <cellStyle name="20 % - Markeringsfarve2 3 3 3 3 4" xfId="23969" xr:uid="{00000000-0005-0000-0000-00006E0D0000}"/>
    <cellStyle name="20 % - Markeringsfarve2 3 3 3 4" xfId="4251" xr:uid="{00000000-0005-0000-0000-00006F0D0000}"/>
    <cellStyle name="20 % - Markeringsfarve2 3 3 3 4 2" xfId="10739" xr:uid="{00000000-0005-0000-0000-0000700D0000}"/>
    <cellStyle name="20 % - Markeringsfarve2 3 3 3 4 2 2" xfId="18628" xr:uid="{00000000-0005-0000-0000-0000710D0000}"/>
    <cellStyle name="20 % - Markeringsfarve2 3 3 3 4 2 2 2" xfId="36788" xr:uid="{00000000-0005-0000-0000-0000720D0000}"/>
    <cellStyle name="20 % - Markeringsfarve2 3 3 3 4 2 3" xfId="29787" xr:uid="{00000000-0005-0000-0000-0000730D0000}"/>
    <cellStyle name="20 % - Markeringsfarve2 3 3 3 4 3" xfId="12805" xr:uid="{00000000-0005-0000-0000-0000740D0000}"/>
    <cellStyle name="20 % - Markeringsfarve2 3 3 3 4 3 2" xfId="30972" xr:uid="{00000000-0005-0000-0000-0000750D0000}"/>
    <cellStyle name="20 % - Markeringsfarve2 3 3 3 4 4" xfId="23970" xr:uid="{00000000-0005-0000-0000-0000760D0000}"/>
    <cellStyle name="20 % - Markeringsfarve2 3 3 3 5" xfId="7722" xr:uid="{00000000-0005-0000-0000-0000770D0000}"/>
    <cellStyle name="20 % - Markeringsfarve2 3 3 3 5 2" xfId="15640" xr:uid="{00000000-0005-0000-0000-0000780D0000}"/>
    <cellStyle name="20 % - Markeringsfarve2 3 3 3 5 2 2" xfId="33800" xr:uid="{00000000-0005-0000-0000-0000790D0000}"/>
    <cellStyle name="20 % - Markeringsfarve2 3 3 3 5 3" xfId="26799" xr:uid="{00000000-0005-0000-0000-00007A0D0000}"/>
    <cellStyle name="20 % - Markeringsfarve2 3 3 3 6" xfId="12801" xr:uid="{00000000-0005-0000-0000-00007B0D0000}"/>
    <cellStyle name="20 % - Markeringsfarve2 3 3 3 6 2" xfId="30968" xr:uid="{00000000-0005-0000-0000-00007C0D0000}"/>
    <cellStyle name="20 % - Markeringsfarve2 3 3 3 7" xfId="23966" xr:uid="{00000000-0005-0000-0000-00007D0D0000}"/>
    <cellStyle name="20 % - Markeringsfarve2 3 3 4" xfId="4252" xr:uid="{00000000-0005-0000-0000-00007E0D0000}"/>
    <cellStyle name="20 % - Markeringsfarve2 3 3 4 2" xfId="4253" xr:uid="{00000000-0005-0000-0000-00007F0D0000}"/>
    <cellStyle name="20 % - Markeringsfarve2 3 3 4 2 2" xfId="4254" xr:uid="{00000000-0005-0000-0000-0000800D0000}"/>
    <cellStyle name="20 % - Markeringsfarve2 3 3 4 2 2 2" xfId="10168" xr:uid="{00000000-0005-0000-0000-0000810D0000}"/>
    <cellStyle name="20 % - Markeringsfarve2 3 3 4 2 2 2 2" xfId="18069" xr:uid="{00000000-0005-0000-0000-0000820D0000}"/>
    <cellStyle name="20 % - Markeringsfarve2 3 3 4 2 2 2 2 2" xfId="36229" xr:uid="{00000000-0005-0000-0000-0000830D0000}"/>
    <cellStyle name="20 % - Markeringsfarve2 3 3 4 2 2 2 3" xfId="29228" xr:uid="{00000000-0005-0000-0000-0000840D0000}"/>
    <cellStyle name="20 % - Markeringsfarve2 3 3 4 2 2 3" xfId="12808" xr:uid="{00000000-0005-0000-0000-0000850D0000}"/>
    <cellStyle name="20 % - Markeringsfarve2 3 3 4 2 2 3 2" xfId="30975" xr:uid="{00000000-0005-0000-0000-0000860D0000}"/>
    <cellStyle name="20 % - Markeringsfarve2 3 3 4 2 2 4" xfId="23973" xr:uid="{00000000-0005-0000-0000-0000870D0000}"/>
    <cellStyle name="20 % - Markeringsfarve2 3 3 4 2 3" xfId="8701" xr:uid="{00000000-0005-0000-0000-0000880D0000}"/>
    <cellStyle name="20 % - Markeringsfarve2 3 3 4 2 3 2" xfId="16615" xr:uid="{00000000-0005-0000-0000-0000890D0000}"/>
    <cellStyle name="20 % - Markeringsfarve2 3 3 4 2 3 2 2" xfId="34775" xr:uid="{00000000-0005-0000-0000-00008A0D0000}"/>
    <cellStyle name="20 % - Markeringsfarve2 3 3 4 2 3 3" xfId="27774" xr:uid="{00000000-0005-0000-0000-00008B0D0000}"/>
    <cellStyle name="20 % - Markeringsfarve2 3 3 4 2 4" xfId="12807" xr:uid="{00000000-0005-0000-0000-00008C0D0000}"/>
    <cellStyle name="20 % - Markeringsfarve2 3 3 4 2 4 2" xfId="30974" xr:uid="{00000000-0005-0000-0000-00008D0D0000}"/>
    <cellStyle name="20 % - Markeringsfarve2 3 3 4 2 5" xfId="23972" xr:uid="{00000000-0005-0000-0000-00008E0D0000}"/>
    <cellStyle name="20 % - Markeringsfarve2 3 3 4 3" xfId="4255" xr:uid="{00000000-0005-0000-0000-00008F0D0000}"/>
    <cellStyle name="20 % - Markeringsfarve2 3 3 4 3 2" xfId="9444" xr:uid="{00000000-0005-0000-0000-0000900D0000}"/>
    <cellStyle name="20 % - Markeringsfarve2 3 3 4 3 2 2" xfId="17354" xr:uid="{00000000-0005-0000-0000-0000910D0000}"/>
    <cellStyle name="20 % - Markeringsfarve2 3 3 4 3 2 2 2" xfId="35514" xr:uid="{00000000-0005-0000-0000-0000920D0000}"/>
    <cellStyle name="20 % - Markeringsfarve2 3 3 4 3 2 3" xfId="28513" xr:uid="{00000000-0005-0000-0000-0000930D0000}"/>
    <cellStyle name="20 % - Markeringsfarve2 3 3 4 3 3" xfId="12809" xr:uid="{00000000-0005-0000-0000-0000940D0000}"/>
    <cellStyle name="20 % - Markeringsfarve2 3 3 4 3 3 2" xfId="30976" xr:uid="{00000000-0005-0000-0000-0000950D0000}"/>
    <cellStyle name="20 % - Markeringsfarve2 3 3 4 3 4" xfId="23974" xr:uid="{00000000-0005-0000-0000-0000960D0000}"/>
    <cellStyle name="20 % - Markeringsfarve2 3 3 4 4" xfId="4256" xr:uid="{00000000-0005-0000-0000-0000970D0000}"/>
    <cellStyle name="20 % - Markeringsfarve2 3 3 4 4 2" xfId="10887" xr:uid="{00000000-0005-0000-0000-0000980D0000}"/>
    <cellStyle name="20 % - Markeringsfarve2 3 3 4 4 2 2" xfId="18770" xr:uid="{00000000-0005-0000-0000-0000990D0000}"/>
    <cellStyle name="20 % - Markeringsfarve2 3 3 4 4 2 2 2" xfId="36930" xr:uid="{00000000-0005-0000-0000-00009A0D0000}"/>
    <cellStyle name="20 % - Markeringsfarve2 3 3 4 4 2 3" xfId="29929" xr:uid="{00000000-0005-0000-0000-00009B0D0000}"/>
    <cellStyle name="20 % - Markeringsfarve2 3 3 4 4 3" xfId="12810" xr:uid="{00000000-0005-0000-0000-00009C0D0000}"/>
    <cellStyle name="20 % - Markeringsfarve2 3 3 4 4 3 2" xfId="30977" xr:uid="{00000000-0005-0000-0000-00009D0D0000}"/>
    <cellStyle name="20 % - Markeringsfarve2 3 3 4 4 4" xfId="23975" xr:uid="{00000000-0005-0000-0000-00009E0D0000}"/>
    <cellStyle name="20 % - Markeringsfarve2 3 3 4 5" xfId="7723" xr:uid="{00000000-0005-0000-0000-00009F0D0000}"/>
    <cellStyle name="20 % - Markeringsfarve2 3 3 4 5 2" xfId="15641" xr:uid="{00000000-0005-0000-0000-0000A00D0000}"/>
    <cellStyle name="20 % - Markeringsfarve2 3 3 4 5 2 2" xfId="33801" xr:uid="{00000000-0005-0000-0000-0000A10D0000}"/>
    <cellStyle name="20 % - Markeringsfarve2 3 3 4 5 3" xfId="26800" xr:uid="{00000000-0005-0000-0000-0000A20D0000}"/>
    <cellStyle name="20 % - Markeringsfarve2 3 3 4 6" xfId="12806" xr:uid="{00000000-0005-0000-0000-0000A30D0000}"/>
    <cellStyle name="20 % - Markeringsfarve2 3 3 4 6 2" xfId="30973" xr:uid="{00000000-0005-0000-0000-0000A40D0000}"/>
    <cellStyle name="20 % - Markeringsfarve2 3 3 4 7" xfId="23971" xr:uid="{00000000-0005-0000-0000-0000A50D0000}"/>
    <cellStyle name="20 % - Markeringsfarve2 3 3 5" xfId="4257" xr:uid="{00000000-0005-0000-0000-0000A60D0000}"/>
    <cellStyle name="20 % - Markeringsfarve2 3 3 5 2" xfId="4258" xr:uid="{00000000-0005-0000-0000-0000A70D0000}"/>
    <cellStyle name="20 % - Markeringsfarve2 3 3 5 2 2" xfId="4259" xr:uid="{00000000-0005-0000-0000-0000A80D0000}"/>
    <cellStyle name="20 % - Markeringsfarve2 3 3 5 2 2 2" xfId="10285" xr:uid="{00000000-0005-0000-0000-0000A90D0000}"/>
    <cellStyle name="20 % - Markeringsfarve2 3 3 5 2 2 2 2" xfId="18186" xr:uid="{00000000-0005-0000-0000-0000AA0D0000}"/>
    <cellStyle name="20 % - Markeringsfarve2 3 3 5 2 2 2 2 2" xfId="36346" xr:uid="{00000000-0005-0000-0000-0000AB0D0000}"/>
    <cellStyle name="20 % - Markeringsfarve2 3 3 5 2 2 2 3" xfId="29345" xr:uid="{00000000-0005-0000-0000-0000AC0D0000}"/>
    <cellStyle name="20 % - Markeringsfarve2 3 3 5 2 2 3" xfId="12813" xr:uid="{00000000-0005-0000-0000-0000AD0D0000}"/>
    <cellStyle name="20 % - Markeringsfarve2 3 3 5 2 2 3 2" xfId="30980" xr:uid="{00000000-0005-0000-0000-0000AE0D0000}"/>
    <cellStyle name="20 % - Markeringsfarve2 3 3 5 2 2 4" xfId="23978" xr:uid="{00000000-0005-0000-0000-0000AF0D0000}"/>
    <cellStyle name="20 % - Markeringsfarve2 3 3 5 2 3" xfId="8800" xr:uid="{00000000-0005-0000-0000-0000B00D0000}"/>
    <cellStyle name="20 % - Markeringsfarve2 3 3 5 2 3 2" xfId="16714" xr:uid="{00000000-0005-0000-0000-0000B10D0000}"/>
    <cellStyle name="20 % - Markeringsfarve2 3 3 5 2 3 2 2" xfId="34874" xr:uid="{00000000-0005-0000-0000-0000B20D0000}"/>
    <cellStyle name="20 % - Markeringsfarve2 3 3 5 2 3 3" xfId="27873" xr:uid="{00000000-0005-0000-0000-0000B30D0000}"/>
    <cellStyle name="20 % - Markeringsfarve2 3 3 5 2 4" xfId="12812" xr:uid="{00000000-0005-0000-0000-0000B40D0000}"/>
    <cellStyle name="20 % - Markeringsfarve2 3 3 5 2 4 2" xfId="30979" xr:uid="{00000000-0005-0000-0000-0000B50D0000}"/>
    <cellStyle name="20 % - Markeringsfarve2 3 3 5 2 5" xfId="23977" xr:uid="{00000000-0005-0000-0000-0000B60D0000}"/>
    <cellStyle name="20 % - Markeringsfarve2 3 3 5 3" xfId="4260" xr:uid="{00000000-0005-0000-0000-0000B70D0000}"/>
    <cellStyle name="20 % - Markeringsfarve2 3 3 5 3 2" xfId="9561" xr:uid="{00000000-0005-0000-0000-0000B80D0000}"/>
    <cellStyle name="20 % - Markeringsfarve2 3 3 5 3 2 2" xfId="17471" xr:uid="{00000000-0005-0000-0000-0000B90D0000}"/>
    <cellStyle name="20 % - Markeringsfarve2 3 3 5 3 2 2 2" xfId="35631" xr:uid="{00000000-0005-0000-0000-0000BA0D0000}"/>
    <cellStyle name="20 % - Markeringsfarve2 3 3 5 3 2 3" xfId="28630" xr:uid="{00000000-0005-0000-0000-0000BB0D0000}"/>
    <cellStyle name="20 % - Markeringsfarve2 3 3 5 3 3" xfId="12814" xr:uid="{00000000-0005-0000-0000-0000BC0D0000}"/>
    <cellStyle name="20 % - Markeringsfarve2 3 3 5 3 3 2" xfId="30981" xr:uid="{00000000-0005-0000-0000-0000BD0D0000}"/>
    <cellStyle name="20 % - Markeringsfarve2 3 3 5 3 4" xfId="23979" xr:uid="{00000000-0005-0000-0000-0000BE0D0000}"/>
    <cellStyle name="20 % - Markeringsfarve2 3 3 5 4" xfId="4261" xr:uid="{00000000-0005-0000-0000-0000BF0D0000}"/>
    <cellStyle name="20 % - Markeringsfarve2 3 3 5 4 2" xfId="10552" xr:uid="{00000000-0005-0000-0000-0000C00D0000}"/>
    <cellStyle name="20 % - Markeringsfarve2 3 3 5 4 2 2" xfId="18446" xr:uid="{00000000-0005-0000-0000-0000C10D0000}"/>
    <cellStyle name="20 % - Markeringsfarve2 3 3 5 4 2 2 2" xfId="36606" xr:uid="{00000000-0005-0000-0000-0000C20D0000}"/>
    <cellStyle name="20 % - Markeringsfarve2 3 3 5 4 2 3" xfId="29605" xr:uid="{00000000-0005-0000-0000-0000C30D0000}"/>
    <cellStyle name="20 % - Markeringsfarve2 3 3 5 4 3" xfId="12815" xr:uid="{00000000-0005-0000-0000-0000C40D0000}"/>
    <cellStyle name="20 % - Markeringsfarve2 3 3 5 4 3 2" xfId="30982" xr:uid="{00000000-0005-0000-0000-0000C50D0000}"/>
    <cellStyle name="20 % - Markeringsfarve2 3 3 5 4 4" xfId="23980" xr:uid="{00000000-0005-0000-0000-0000C60D0000}"/>
    <cellStyle name="20 % - Markeringsfarve2 3 3 5 5" xfId="7724" xr:uid="{00000000-0005-0000-0000-0000C70D0000}"/>
    <cellStyle name="20 % - Markeringsfarve2 3 3 5 5 2" xfId="15642" xr:uid="{00000000-0005-0000-0000-0000C80D0000}"/>
    <cellStyle name="20 % - Markeringsfarve2 3 3 5 5 2 2" xfId="33802" xr:uid="{00000000-0005-0000-0000-0000C90D0000}"/>
    <cellStyle name="20 % - Markeringsfarve2 3 3 5 5 3" xfId="26801" xr:uid="{00000000-0005-0000-0000-0000CA0D0000}"/>
    <cellStyle name="20 % - Markeringsfarve2 3 3 5 6" xfId="12811" xr:uid="{00000000-0005-0000-0000-0000CB0D0000}"/>
    <cellStyle name="20 % - Markeringsfarve2 3 3 5 6 2" xfId="30978" xr:uid="{00000000-0005-0000-0000-0000CC0D0000}"/>
    <cellStyle name="20 % - Markeringsfarve2 3 3 5 7" xfId="23976" xr:uid="{00000000-0005-0000-0000-0000CD0D0000}"/>
    <cellStyle name="20 % - Markeringsfarve2 3 3 6" xfId="4262" xr:uid="{00000000-0005-0000-0000-0000CE0D0000}"/>
    <cellStyle name="20 % - Markeringsfarve2 3 3 6 2" xfId="4263" xr:uid="{00000000-0005-0000-0000-0000CF0D0000}"/>
    <cellStyle name="20 % - Markeringsfarve2 3 3 6 2 2" xfId="4264" xr:uid="{00000000-0005-0000-0000-0000D00D0000}"/>
    <cellStyle name="20 % - Markeringsfarve2 3 3 6 2 2 2" xfId="10323" xr:uid="{00000000-0005-0000-0000-0000D10D0000}"/>
    <cellStyle name="20 % - Markeringsfarve2 3 3 6 2 2 2 2" xfId="18224" xr:uid="{00000000-0005-0000-0000-0000D20D0000}"/>
    <cellStyle name="20 % - Markeringsfarve2 3 3 6 2 2 2 2 2" xfId="36384" xr:uid="{00000000-0005-0000-0000-0000D30D0000}"/>
    <cellStyle name="20 % - Markeringsfarve2 3 3 6 2 2 2 3" xfId="29383" xr:uid="{00000000-0005-0000-0000-0000D40D0000}"/>
    <cellStyle name="20 % - Markeringsfarve2 3 3 6 2 2 3" xfId="12818" xr:uid="{00000000-0005-0000-0000-0000D50D0000}"/>
    <cellStyle name="20 % - Markeringsfarve2 3 3 6 2 2 3 2" xfId="30985" xr:uid="{00000000-0005-0000-0000-0000D60D0000}"/>
    <cellStyle name="20 % - Markeringsfarve2 3 3 6 2 2 4" xfId="23983" xr:uid="{00000000-0005-0000-0000-0000D70D0000}"/>
    <cellStyle name="20 % - Markeringsfarve2 3 3 6 2 3" xfId="8834" xr:uid="{00000000-0005-0000-0000-0000D80D0000}"/>
    <cellStyle name="20 % - Markeringsfarve2 3 3 6 2 3 2" xfId="16748" xr:uid="{00000000-0005-0000-0000-0000D90D0000}"/>
    <cellStyle name="20 % - Markeringsfarve2 3 3 6 2 3 2 2" xfId="34908" xr:uid="{00000000-0005-0000-0000-0000DA0D0000}"/>
    <cellStyle name="20 % - Markeringsfarve2 3 3 6 2 3 3" xfId="27907" xr:uid="{00000000-0005-0000-0000-0000DB0D0000}"/>
    <cellStyle name="20 % - Markeringsfarve2 3 3 6 2 4" xfId="12817" xr:uid="{00000000-0005-0000-0000-0000DC0D0000}"/>
    <cellStyle name="20 % - Markeringsfarve2 3 3 6 2 4 2" xfId="30984" xr:uid="{00000000-0005-0000-0000-0000DD0D0000}"/>
    <cellStyle name="20 % - Markeringsfarve2 3 3 6 2 5" xfId="23982" xr:uid="{00000000-0005-0000-0000-0000DE0D0000}"/>
    <cellStyle name="20 % - Markeringsfarve2 3 3 6 3" xfId="4265" xr:uid="{00000000-0005-0000-0000-0000DF0D0000}"/>
    <cellStyle name="20 % - Markeringsfarve2 3 3 6 3 2" xfId="9600" xr:uid="{00000000-0005-0000-0000-0000E00D0000}"/>
    <cellStyle name="20 % - Markeringsfarve2 3 3 6 3 2 2" xfId="17510" xr:uid="{00000000-0005-0000-0000-0000E10D0000}"/>
    <cellStyle name="20 % - Markeringsfarve2 3 3 6 3 2 2 2" xfId="35670" xr:uid="{00000000-0005-0000-0000-0000E20D0000}"/>
    <cellStyle name="20 % - Markeringsfarve2 3 3 6 3 2 3" xfId="28669" xr:uid="{00000000-0005-0000-0000-0000E30D0000}"/>
    <cellStyle name="20 % - Markeringsfarve2 3 3 6 3 3" xfId="12819" xr:uid="{00000000-0005-0000-0000-0000E40D0000}"/>
    <cellStyle name="20 % - Markeringsfarve2 3 3 6 3 3 2" xfId="30986" xr:uid="{00000000-0005-0000-0000-0000E50D0000}"/>
    <cellStyle name="20 % - Markeringsfarve2 3 3 6 3 4" xfId="23984" xr:uid="{00000000-0005-0000-0000-0000E60D0000}"/>
    <cellStyle name="20 % - Markeringsfarve2 3 3 6 4" xfId="4266" xr:uid="{00000000-0005-0000-0000-0000E70D0000}"/>
    <cellStyle name="20 % - Markeringsfarve2 3 3 6 4 2" xfId="10445" xr:uid="{00000000-0005-0000-0000-0000E80D0000}"/>
    <cellStyle name="20 % - Markeringsfarve2 3 3 6 4 2 2" xfId="18342" xr:uid="{00000000-0005-0000-0000-0000E90D0000}"/>
    <cellStyle name="20 % - Markeringsfarve2 3 3 6 4 2 2 2" xfId="36502" xr:uid="{00000000-0005-0000-0000-0000EA0D0000}"/>
    <cellStyle name="20 % - Markeringsfarve2 3 3 6 4 2 3" xfId="29501" xr:uid="{00000000-0005-0000-0000-0000EB0D0000}"/>
    <cellStyle name="20 % - Markeringsfarve2 3 3 6 4 3" xfId="12820" xr:uid="{00000000-0005-0000-0000-0000EC0D0000}"/>
    <cellStyle name="20 % - Markeringsfarve2 3 3 6 4 3 2" xfId="30987" xr:uid="{00000000-0005-0000-0000-0000ED0D0000}"/>
    <cellStyle name="20 % - Markeringsfarve2 3 3 6 4 4" xfId="23985" xr:uid="{00000000-0005-0000-0000-0000EE0D0000}"/>
    <cellStyle name="20 % - Markeringsfarve2 3 3 6 5" xfId="7725" xr:uid="{00000000-0005-0000-0000-0000EF0D0000}"/>
    <cellStyle name="20 % - Markeringsfarve2 3 3 6 5 2" xfId="15643" xr:uid="{00000000-0005-0000-0000-0000F00D0000}"/>
    <cellStyle name="20 % - Markeringsfarve2 3 3 6 5 2 2" xfId="33803" xr:uid="{00000000-0005-0000-0000-0000F10D0000}"/>
    <cellStyle name="20 % - Markeringsfarve2 3 3 6 5 3" xfId="26802" xr:uid="{00000000-0005-0000-0000-0000F20D0000}"/>
    <cellStyle name="20 % - Markeringsfarve2 3 3 6 6" xfId="12816" xr:uid="{00000000-0005-0000-0000-0000F30D0000}"/>
    <cellStyle name="20 % - Markeringsfarve2 3 3 6 6 2" xfId="30983" xr:uid="{00000000-0005-0000-0000-0000F40D0000}"/>
    <cellStyle name="20 % - Markeringsfarve2 3 3 6 7" xfId="23981" xr:uid="{00000000-0005-0000-0000-0000F50D0000}"/>
    <cellStyle name="20 % - Markeringsfarve2 3 3 7" xfId="4267" xr:uid="{00000000-0005-0000-0000-0000F60D0000}"/>
    <cellStyle name="20 % - Markeringsfarve2 3 3 7 2" xfId="4268" xr:uid="{00000000-0005-0000-0000-0000F70D0000}"/>
    <cellStyle name="20 % - Markeringsfarve2 3 3 7 2 2" xfId="9811" xr:uid="{00000000-0005-0000-0000-0000F80D0000}"/>
    <cellStyle name="20 % - Markeringsfarve2 3 3 7 2 2 2" xfId="17712" xr:uid="{00000000-0005-0000-0000-0000F90D0000}"/>
    <cellStyle name="20 % - Markeringsfarve2 3 3 7 2 2 2 2" xfId="35872" xr:uid="{00000000-0005-0000-0000-0000FA0D0000}"/>
    <cellStyle name="20 % - Markeringsfarve2 3 3 7 2 2 3" xfId="28871" xr:uid="{00000000-0005-0000-0000-0000FB0D0000}"/>
    <cellStyle name="20 % - Markeringsfarve2 3 3 7 2 3" xfId="12822" xr:uid="{00000000-0005-0000-0000-0000FC0D0000}"/>
    <cellStyle name="20 % - Markeringsfarve2 3 3 7 2 3 2" xfId="30989" xr:uid="{00000000-0005-0000-0000-0000FD0D0000}"/>
    <cellStyle name="20 % - Markeringsfarve2 3 3 7 2 4" xfId="23987" xr:uid="{00000000-0005-0000-0000-0000FE0D0000}"/>
    <cellStyle name="20 % - Markeringsfarve2 3 3 7 3" xfId="8400" xr:uid="{00000000-0005-0000-0000-0000FF0D0000}"/>
    <cellStyle name="20 % - Markeringsfarve2 3 3 7 3 2" xfId="16317" xr:uid="{00000000-0005-0000-0000-0000000E0000}"/>
    <cellStyle name="20 % - Markeringsfarve2 3 3 7 3 2 2" xfId="34477" xr:uid="{00000000-0005-0000-0000-0000010E0000}"/>
    <cellStyle name="20 % - Markeringsfarve2 3 3 7 3 3" xfId="27476" xr:uid="{00000000-0005-0000-0000-0000020E0000}"/>
    <cellStyle name="20 % - Markeringsfarve2 3 3 7 4" xfId="12821" xr:uid="{00000000-0005-0000-0000-0000030E0000}"/>
    <cellStyle name="20 % - Markeringsfarve2 3 3 7 4 2" xfId="30988" xr:uid="{00000000-0005-0000-0000-0000040E0000}"/>
    <cellStyle name="20 % - Markeringsfarve2 3 3 7 5" xfId="23986" xr:uid="{00000000-0005-0000-0000-0000050E0000}"/>
    <cellStyle name="20 % - Markeringsfarve2 3 3 8" xfId="4269" xr:uid="{00000000-0005-0000-0000-0000060E0000}"/>
    <cellStyle name="20 % - Markeringsfarve2 3 3 8 2" xfId="9039" xr:uid="{00000000-0005-0000-0000-0000070E0000}"/>
    <cellStyle name="20 % - Markeringsfarve2 3 3 8 2 2" xfId="16950" xr:uid="{00000000-0005-0000-0000-0000080E0000}"/>
    <cellStyle name="20 % - Markeringsfarve2 3 3 8 2 2 2" xfId="35110" xr:uid="{00000000-0005-0000-0000-0000090E0000}"/>
    <cellStyle name="20 % - Markeringsfarve2 3 3 8 2 3" xfId="28109" xr:uid="{00000000-0005-0000-0000-00000A0E0000}"/>
    <cellStyle name="20 % - Markeringsfarve2 3 3 8 3" xfId="12823" xr:uid="{00000000-0005-0000-0000-00000B0E0000}"/>
    <cellStyle name="20 % - Markeringsfarve2 3 3 8 3 2" xfId="30990" xr:uid="{00000000-0005-0000-0000-00000C0E0000}"/>
    <cellStyle name="20 % - Markeringsfarve2 3 3 8 4" xfId="23988" xr:uid="{00000000-0005-0000-0000-00000D0E0000}"/>
    <cellStyle name="20 % - Markeringsfarve2 3 3 9" xfId="4270" xr:uid="{00000000-0005-0000-0000-00000E0E0000}"/>
    <cellStyle name="20 % - Markeringsfarve2 3 3 9 2" xfId="10798" xr:uid="{00000000-0005-0000-0000-00000F0E0000}"/>
    <cellStyle name="20 % - Markeringsfarve2 3 3 9 2 2" xfId="18685" xr:uid="{00000000-0005-0000-0000-0000100E0000}"/>
    <cellStyle name="20 % - Markeringsfarve2 3 3 9 2 2 2" xfId="36845" xr:uid="{00000000-0005-0000-0000-0000110E0000}"/>
    <cellStyle name="20 % - Markeringsfarve2 3 3 9 2 3" xfId="29844" xr:uid="{00000000-0005-0000-0000-0000120E0000}"/>
    <cellStyle name="20 % - Markeringsfarve2 3 3 9 3" xfId="12824" xr:uid="{00000000-0005-0000-0000-0000130E0000}"/>
    <cellStyle name="20 % - Markeringsfarve2 3 3 9 3 2" xfId="30991" xr:uid="{00000000-0005-0000-0000-0000140E0000}"/>
    <cellStyle name="20 % - Markeringsfarve2 3 3 9 4" xfId="23989" xr:uid="{00000000-0005-0000-0000-0000150E0000}"/>
    <cellStyle name="20 % - Markeringsfarve2 3 4" xfId="4271" xr:uid="{00000000-0005-0000-0000-0000160E0000}"/>
    <cellStyle name="20 % - Markeringsfarve2 3 4 2" xfId="4272" xr:uid="{00000000-0005-0000-0000-0000170E0000}"/>
    <cellStyle name="20 % - Markeringsfarve2 3 4 2 2" xfId="4273" xr:uid="{00000000-0005-0000-0000-0000180E0000}"/>
    <cellStyle name="20 % - Markeringsfarve2 3 4 2 2 2" xfId="9852" xr:uid="{00000000-0005-0000-0000-0000190E0000}"/>
    <cellStyle name="20 % - Markeringsfarve2 3 4 2 2 2 2" xfId="17753" xr:uid="{00000000-0005-0000-0000-00001A0E0000}"/>
    <cellStyle name="20 % - Markeringsfarve2 3 4 2 2 2 2 2" xfId="35913" xr:uid="{00000000-0005-0000-0000-00001B0E0000}"/>
    <cellStyle name="20 % - Markeringsfarve2 3 4 2 2 2 3" xfId="28912" xr:uid="{00000000-0005-0000-0000-00001C0E0000}"/>
    <cellStyle name="20 % - Markeringsfarve2 3 4 2 2 3" xfId="12827" xr:uid="{00000000-0005-0000-0000-00001D0E0000}"/>
    <cellStyle name="20 % - Markeringsfarve2 3 4 2 2 3 2" xfId="30994" xr:uid="{00000000-0005-0000-0000-00001E0E0000}"/>
    <cellStyle name="20 % - Markeringsfarve2 3 4 2 2 4" xfId="23992" xr:uid="{00000000-0005-0000-0000-00001F0E0000}"/>
    <cellStyle name="20 % - Markeringsfarve2 3 4 2 3" xfId="8433" xr:uid="{00000000-0005-0000-0000-0000200E0000}"/>
    <cellStyle name="20 % - Markeringsfarve2 3 4 2 3 2" xfId="16350" xr:uid="{00000000-0005-0000-0000-0000210E0000}"/>
    <cellStyle name="20 % - Markeringsfarve2 3 4 2 3 2 2" xfId="34510" xr:uid="{00000000-0005-0000-0000-0000220E0000}"/>
    <cellStyle name="20 % - Markeringsfarve2 3 4 2 3 3" xfId="27509" xr:uid="{00000000-0005-0000-0000-0000230E0000}"/>
    <cellStyle name="20 % - Markeringsfarve2 3 4 2 4" xfId="12826" xr:uid="{00000000-0005-0000-0000-0000240E0000}"/>
    <cellStyle name="20 % - Markeringsfarve2 3 4 2 4 2" xfId="30993" xr:uid="{00000000-0005-0000-0000-0000250E0000}"/>
    <cellStyle name="20 % - Markeringsfarve2 3 4 2 5" xfId="23991" xr:uid="{00000000-0005-0000-0000-0000260E0000}"/>
    <cellStyle name="20 % - Markeringsfarve2 3 4 3" xfId="4274" xr:uid="{00000000-0005-0000-0000-0000270E0000}"/>
    <cellStyle name="20 % - Markeringsfarve2 3 4 3 2" xfId="9082" xr:uid="{00000000-0005-0000-0000-0000280E0000}"/>
    <cellStyle name="20 % - Markeringsfarve2 3 4 3 2 2" xfId="16993" xr:uid="{00000000-0005-0000-0000-0000290E0000}"/>
    <cellStyle name="20 % - Markeringsfarve2 3 4 3 2 2 2" xfId="35153" xr:uid="{00000000-0005-0000-0000-00002A0E0000}"/>
    <cellStyle name="20 % - Markeringsfarve2 3 4 3 2 3" xfId="28152" xr:uid="{00000000-0005-0000-0000-00002B0E0000}"/>
    <cellStyle name="20 % - Markeringsfarve2 3 4 3 3" xfId="12828" xr:uid="{00000000-0005-0000-0000-00002C0E0000}"/>
    <cellStyle name="20 % - Markeringsfarve2 3 4 3 3 2" xfId="30995" xr:uid="{00000000-0005-0000-0000-00002D0E0000}"/>
    <cellStyle name="20 % - Markeringsfarve2 3 4 3 4" xfId="23993" xr:uid="{00000000-0005-0000-0000-00002E0E0000}"/>
    <cellStyle name="20 % - Markeringsfarve2 3 4 4" xfId="4275" xr:uid="{00000000-0005-0000-0000-00002F0E0000}"/>
    <cellStyle name="20 % - Markeringsfarve2 3 4 4 2" xfId="8947" xr:uid="{00000000-0005-0000-0000-0000300E0000}"/>
    <cellStyle name="20 % - Markeringsfarve2 3 4 4 2 2" xfId="16860" xr:uid="{00000000-0005-0000-0000-0000310E0000}"/>
    <cellStyle name="20 % - Markeringsfarve2 3 4 4 2 2 2" xfId="35020" xr:uid="{00000000-0005-0000-0000-0000320E0000}"/>
    <cellStyle name="20 % - Markeringsfarve2 3 4 4 2 3" xfId="28019" xr:uid="{00000000-0005-0000-0000-0000330E0000}"/>
    <cellStyle name="20 % - Markeringsfarve2 3 4 4 3" xfId="12829" xr:uid="{00000000-0005-0000-0000-0000340E0000}"/>
    <cellStyle name="20 % - Markeringsfarve2 3 4 4 3 2" xfId="30996" xr:uid="{00000000-0005-0000-0000-0000350E0000}"/>
    <cellStyle name="20 % - Markeringsfarve2 3 4 4 4" xfId="23994" xr:uid="{00000000-0005-0000-0000-0000360E0000}"/>
    <cellStyle name="20 % - Markeringsfarve2 3 4 5" xfId="7726" xr:uid="{00000000-0005-0000-0000-0000370E0000}"/>
    <cellStyle name="20 % - Markeringsfarve2 3 4 5 2" xfId="15644" xr:uid="{00000000-0005-0000-0000-0000380E0000}"/>
    <cellStyle name="20 % - Markeringsfarve2 3 4 5 2 2" xfId="33804" xr:uid="{00000000-0005-0000-0000-0000390E0000}"/>
    <cellStyle name="20 % - Markeringsfarve2 3 4 5 3" xfId="26803" xr:uid="{00000000-0005-0000-0000-00003A0E0000}"/>
    <cellStyle name="20 % - Markeringsfarve2 3 4 6" xfId="12825" xr:uid="{00000000-0005-0000-0000-00003B0E0000}"/>
    <cellStyle name="20 % - Markeringsfarve2 3 4 6 2" xfId="30992" xr:uid="{00000000-0005-0000-0000-00003C0E0000}"/>
    <cellStyle name="20 % - Markeringsfarve2 3 4 7" xfId="23990" xr:uid="{00000000-0005-0000-0000-00003D0E0000}"/>
    <cellStyle name="20 % - Markeringsfarve2 3 5" xfId="4276" xr:uid="{00000000-0005-0000-0000-00003E0E0000}"/>
    <cellStyle name="20 % - Markeringsfarve2 3 5 2" xfId="4277" xr:uid="{00000000-0005-0000-0000-00003F0E0000}"/>
    <cellStyle name="20 % - Markeringsfarve2 3 5 2 2" xfId="4278" xr:uid="{00000000-0005-0000-0000-0000400E0000}"/>
    <cellStyle name="20 % - Markeringsfarve2 3 5 2 2 2" xfId="9966" xr:uid="{00000000-0005-0000-0000-0000410E0000}"/>
    <cellStyle name="20 % - Markeringsfarve2 3 5 2 2 2 2" xfId="17867" xr:uid="{00000000-0005-0000-0000-0000420E0000}"/>
    <cellStyle name="20 % - Markeringsfarve2 3 5 2 2 2 2 2" xfId="36027" xr:uid="{00000000-0005-0000-0000-0000430E0000}"/>
    <cellStyle name="20 % - Markeringsfarve2 3 5 2 2 2 3" xfId="29026" xr:uid="{00000000-0005-0000-0000-0000440E0000}"/>
    <cellStyle name="20 % - Markeringsfarve2 3 5 2 2 3" xfId="12832" xr:uid="{00000000-0005-0000-0000-0000450E0000}"/>
    <cellStyle name="20 % - Markeringsfarve2 3 5 2 2 3 2" xfId="30999" xr:uid="{00000000-0005-0000-0000-0000460E0000}"/>
    <cellStyle name="20 % - Markeringsfarve2 3 5 2 2 4" xfId="23997" xr:uid="{00000000-0005-0000-0000-0000470E0000}"/>
    <cellStyle name="20 % - Markeringsfarve2 3 5 2 3" xfId="8530" xr:uid="{00000000-0005-0000-0000-0000480E0000}"/>
    <cellStyle name="20 % - Markeringsfarve2 3 5 2 3 2" xfId="16447" xr:uid="{00000000-0005-0000-0000-0000490E0000}"/>
    <cellStyle name="20 % - Markeringsfarve2 3 5 2 3 2 2" xfId="34607" xr:uid="{00000000-0005-0000-0000-00004A0E0000}"/>
    <cellStyle name="20 % - Markeringsfarve2 3 5 2 3 3" xfId="27606" xr:uid="{00000000-0005-0000-0000-00004B0E0000}"/>
    <cellStyle name="20 % - Markeringsfarve2 3 5 2 4" xfId="12831" xr:uid="{00000000-0005-0000-0000-00004C0E0000}"/>
    <cellStyle name="20 % - Markeringsfarve2 3 5 2 4 2" xfId="30998" xr:uid="{00000000-0005-0000-0000-00004D0E0000}"/>
    <cellStyle name="20 % - Markeringsfarve2 3 5 2 5" xfId="23996" xr:uid="{00000000-0005-0000-0000-00004E0E0000}"/>
    <cellStyle name="20 % - Markeringsfarve2 3 5 3" xfId="4279" xr:uid="{00000000-0005-0000-0000-00004F0E0000}"/>
    <cellStyle name="20 % - Markeringsfarve2 3 5 3 2" xfId="9196" xr:uid="{00000000-0005-0000-0000-0000500E0000}"/>
    <cellStyle name="20 % - Markeringsfarve2 3 5 3 2 2" xfId="17107" xr:uid="{00000000-0005-0000-0000-0000510E0000}"/>
    <cellStyle name="20 % - Markeringsfarve2 3 5 3 2 2 2" xfId="35267" xr:uid="{00000000-0005-0000-0000-0000520E0000}"/>
    <cellStyle name="20 % - Markeringsfarve2 3 5 3 2 3" xfId="28266" xr:uid="{00000000-0005-0000-0000-0000530E0000}"/>
    <cellStyle name="20 % - Markeringsfarve2 3 5 3 3" xfId="12833" xr:uid="{00000000-0005-0000-0000-0000540E0000}"/>
    <cellStyle name="20 % - Markeringsfarve2 3 5 3 3 2" xfId="31000" xr:uid="{00000000-0005-0000-0000-0000550E0000}"/>
    <cellStyle name="20 % - Markeringsfarve2 3 5 3 4" xfId="23998" xr:uid="{00000000-0005-0000-0000-0000560E0000}"/>
    <cellStyle name="20 % - Markeringsfarve2 3 5 4" xfId="4280" xr:uid="{00000000-0005-0000-0000-0000570E0000}"/>
    <cellStyle name="20 % - Markeringsfarve2 3 5 4 2" xfId="9953" xr:uid="{00000000-0005-0000-0000-0000580E0000}"/>
    <cellStyle name="20 % - Markeringsfarve2 3 5 4 2 2" xfId="17854" xr:uid="{00000000-0005-0000-0000-0000590E0000}"/>
    <cellStyle name="20 % - Markeringsfarve2 3 5 4 2 2 2" xfId="36014" xr:uid="{00000000-0005-0000-0000-00005A0E0000}"/>
    <cellStyle name="20 % - Markeringsfarve2 3 5 4 2 3" xfId="29013" xr:uid="{00000000-0005-0000-0000-00005B0E0000}"/>
    <cellStyle name="20 % - Markeringsfarve2 3 5 4 3" xfId="12834" xr:uid="{00000000-0005-0000-0000-00005C0E0000}"/>
    <cellStyle name="20 % - Markeringsfarve2 3 5 4 3 2" xfId="31001" xr:uid="{00000000-0005-0000-0000-00005D0E0000}"/>
    <cellStyle name="20 % - Markeringsfarve2 3 5 4 4" xfId="23999" xr:uid="{00000000-0005-0000-0000-00005E0E0000}"/>
    <cellStyle name="20 % - Markeringsfarve2 3 5 5" xfId="7727" xr:uid="{00000000-0005-0000-0000-00005F0E0000}"/>
    <cellStyle name="20 % - Markeringsfarve2 3 5 5 2" xfId="15645" xr:uid="{00000000-0005-0000-0000-0000600E0000}"/>
    <cellStyle name="20 % - Markeringsfarve2 3 5 5 2 2" xfId="33805" xr:uid="{00000000-0005-0000-0000-0000610E0000}"/>
    <cellStyle name="20 % - Markeringsfarve2 3 5 5 3" xfId="26804" xr:uid="{00000000-0005-0000-0000-0000620E0000}"/>
    <cellStyle name="20 % - Markeringsfarve2 3 5 6" xfId="12830" xr:uid="{00000000-0005-0000-0000-0000630E0000}"/>
    <cellStyle name="20 % - Markeringsfarve2 3 5 6 2" xfId="30997" xr:uid="{00000000-0005-0000-0000-0000640E0000}"/>
    <cellStyle name="20 % - Markeringsfarve2 3 5 7" xfId="23995" xr:uid="{00000000-0005-0000-0000-0000650E0000}"/>
    <cellStyle name="20 % - Markeringsfarve2 3 6" xfId="4281" xr:uid="{00000000-0005-0000-0000-0000660E0000}"/>
    <cellStyle name="20 % - Markeringsfarve2 3 6 2" xfId="4282" xr:uid="{00000000-0005-0000-0000-0000670E0000}"/>
    <cellStyle name="20 % - Markeringsfarve2 3 6 2 2" xfId="4283" xr:uid="{00000000-0005-0000-0000-0000680E0000}"/>
    <cellStyle name="20 % - Markeringsfarve2 3 6 2 2 2" xfId="10090" xr:uid="{00000000-0005-0000-0000-0000690E0000}"/>
    <cellStyle name="20 % - Markeringsfarve2 3 6 2 2 2 2" xfId="17991" xr:uid="{00000000-0005-0000-0000-00006A0E0000}"/>
    <cellStyle name="20 % - Markeringsfarve2 3 6 2 2 2 2 2" xfId="36151" xr:uid="{00000000-0005-0000-0000-00006B0E0000}"/>
    <cellStyle name="20 % - Markeringsfarve2 3 6 2 2 2 3" xfId="29150" xr:uid="{00000000-0005-0000-0000-00006C0E0000}"/>
    <cellStyle name="20 % - Markeringsfarve2 3 6 2 2 3" xfId="12837" xr:uid="{00000000-0005-0000-0000-00006D0E0000}"/>
    <cellStyle name="20 % - Markeringsfarve2 3 6 2 2 3 2" xfId="31004" xr:uid="{00000000-0005-0000-0000-00006E0E0000}"/>
    <cellStyle name="20 % - Markeringsfarve2 3 6 2 2 4" xfId="24002" xr:uid="{00000000-0005-0000-0000-00006F0E0000}"/>
    <cellStyle name="20 % - Markeringsfarve2 3 6 2 3" xfId="8635" xr:uid="{00000000-0005-0000-0000-0000700E0000}"/>
    <cellStyle name="20 % - Markeringsfarve2 3 6 2 3 2" xfId="16549" xr:uid="{00000000-0005-0000-0000-0000710E0000}"/>
    <cellStyle name="20 % - Markeringsfarve2 3 6 2 3 2 2" xfId="34709" xr:uid="{00000000-0005-0000-0000-0000720E0000}"/>
    <cellStyle name="20 % - Markeringsfarve2 3 6 2 3 3" xfId="27708" xr:uid="{00000000-0005-0000-0000-0000730E0000}"/>
    <cellStyle name="20 % - Markeringsfarve2 3 6 2 4" xfId="12836" xr:uid="{00000000-0005-0000-0000-0000740E0000}"/>
    <cellStyle name="20 % - Markeringsfarve2 3 6 2 4 2" xfId="31003" xr:uid="{00000000-0005-0000-0000-0000750E0000}"/>
    <cellStyle name="20 % - Markeringsfarve2 3 6 2 5" xfId="24001" xr:uid="{00000000-0005-0000-0000-0000760E0000}"/>
    <cellStyle name="20 % - Markeringsfarve2 3 6 3" xfId="4284" xr:uid="{00000000-0005-0000-0000-0000770E0000}"/>
    <cellStyle name="20 % - Markeringsfarve2 3 6 3 2" xfId="9366" xr:uid="{00000000-0005-0000-0000-0000780E0000}"/>
    <cellStyle name="20 % - Markeringsfarve2 3 6 3 2 2" xfId="17276" xr:uid="{00000000-0005-0000-0000-0000790E0000}"/>
    <cellStyle name="20 % - Markeringsfarve2 3 6 3 2 2 2" xfId="35436" xr:uid="{00000000-0005-0000-0000-00007A0E0000}"/>
    <cellStyle name="20 % - Markeringsfarve2 3 6 3 2 3" xfId="28435" xr:uid="{00000000-0005-0000-0000-00007B0E0000}"/>
    <cellStyle name="20 % - Markeringsfarve2 3 6 3 3" xfId="12838" xr:uid="{00000000-0005-0000-0000-00007C0E0000}"/>
    <cellStyle name="20 % - Markeringsfarve2 3 6 3 3 2" xfId="31005" xr:uid="{00000000-0005-0000-0000-00007D0E0000}"/>
    <cellStyle name="20 % - Markeringsfarve2 3 6 3 4" xfId="24003" xr:uid="{00000000-0005-0000-0000-00007E0E0000}"/>
    <cellStyle name="20 % - Markeringsfarve2 3 6 4" xfId="4285" xr:uid="{00000000-0005-0000-0000-00007F0E0000}"/>
    <cellStyle name="20 % - Markeringsfarve2 3 6 4 2" xfId="10551" xr:uid="{00000000-0005-0000-0000-0000800E0000}"/>
    <cellStyle name="20 % - Markeringsfarve2 3 6 4 2 2" xfId="18445" xr:uid="{00000000-0005-0000-0000-0000810E0000}"/>
    <cellStyle name="20 % - Markeringsfarve2 3 6 4 2 2 2" xfId="36605" xr:uid="{00000000-0005-0000-0000-0000820E0000}"/>
    <cellStyle name="20 % - Markeringsfarve2 3 6 4 2 3" xfId="29604" xr:uid="{00000000-0005-0000-0000-0000830E0000}"/>
    <cellStyle name="20 % - Markeringsfarve2 3 6 4 3" xfId="12839" xr:uid="{00000000-0005-0000-0000-0000840E0000}"/>
    <cellStyle name="20 % - Markeringsfarve2 3 6 4 3 2" xfId="31006" xr:uid="{00000000-0005-0000-0000-0000850E0000}"/>
    <cellStyle name="20 % - Markeringsfarve2 3 6 4 4" xfId="24004" xr:uid="{00000000-0005-0000-0000-0000860E0000}"/>
    <cellStyle name="20 % - Markeringsfarve2 3 6 5" xfId="7728" xr:uid="{00000000-0005-0000-0000-0000870E0000}"/>
    <cellStyle name="20 % - Markeringsfarve2 3 6 5 2" xfId="15646" xr:uid="{00000000-0005-0000-0000-0000880E0000}"/>
    <cellStyle name="20 % - Markeringsfarve2 3 6 5 2 2" xfId="33806" xr:uid="{00000000-0005-0000-0000-0000890E0000}"/>
    <cellStyle name="20 % - Markeringsfarve2 3 6 5 3" xfId="26805" xr:uid="{00000000-0005-0000-0000-00008A0E0000}"/>
    <cellStyle name="20 % - Markeringsfarve2 3 6 6" xfId="12835" xr:uid="{00000000-0005-0000-0000-00008B0E0000}"/>
    <cellStyle name="20 % - Markeringsfarve2 3 6 6 2" xfId="31002" xr:uid="{00000000-0005-0000-0000-00008C0E0000}"/>
    <cellStyle name="20 % - Markeringsfarve2 3 6 7" xfId="24000" xr:uid="{00000000-0005-0000-0000-00008D0E0000}"/>
    <cellStyle name="20 % - Markeringsfarve2 3 7" xfId="4286" xr:uid="{00000000-0005-0000-0000-00008E0E0000}"/>
    <cellStyle name="20 % - Markeringsfarve2 3 7 2" xfId="4287" xr:uid="{00000000-0005-0000-0000-00008F0E0000}"/>
    <cellStyle name="20 % - Markeringsfarve2 3 7 2 2" xfId="4288" xr:uid="{00000000-0005-0000-0000-0000900E0000}"/>
    <cellStyle name="20 % - Markeringsfarve2 3 7 2 2 2" xfId="10207" xr:uid="{00000000-0005-0000-0000-0000910E0000}"/>
    <cellStyle name="20 % - Markeringsfarve2 3 7 2 2 2 2" xfId="18108" xr:uid="{00000000-0005-0000-0000-0000920E0000}"/>
    <cellStyle name="20 % - Markeringsfarve2 3 7 2 2 2 2 2" xfId="36268" xr:uid="{00000000-0005-0000-0000-0000930E0000}"/>
    <cellStyle name="20 % - Markeringsfarve2 3 7 2 2 2 3" xfId="29267" xr:uid="{00000000-0005-0000-0000-0000940E0000}"/>
    <cellStyle name="20 % - Markeringsfarve2 3 7 2 2 3" xfId="12842" xr:uid="{00000000-0005-0000-0000-0000950E0000}"/>
    <cellStyle name="20 % - Markeringsfarve2 3 7 2 2 3 2" xfId="31009" xr:uid="{00000000-0005-0000-0000-0000960E0000}"/>
    <cellStyle name="20 % - Markeringsfarve2 3 7 2 2 4" xfId="24007" xr:uid="{00000000-0005-0000-0000-0000970E0000}"/>
    <cellStyle name="20 % - Markeringsfarve2 3 7 2 3" xfId="8734" xr:uid="{00000000-0005-0000-0000-0000980E0000}"/>
    <cellStyle name="20 % - Markeringsfarve2 3 7 2 3 2" xfId="16648" xr:uid="{00000000-0005-0000-0000-0000990E0000}"/>
    <cellStyle name="20 % - Markeringsfarve2 3 7 2 3 2 2" xfId="34808" xr:uid="{00000000-0005-0000-0000-00009A0E0000}"/>
    <cellStyle name="20 % - Markeringsfarve2 3 7 2 3 3" xfId="27807" xr:uid="{00000000-0005-0000-0000-00009B0E0000}"/>
    <cellStyle name="20 % - Markeringsfarve2 3 7 2 4" xfId="12841" xr:uid="{00000000-0005-0000-0000-00009C0E0000}"/>
    <cellStyle name="20 % - Markeringsfarve2 3 7 2 4 2" xfId="31008" xr:uid="{00000000-0005-0000-0000-00009D0E0000}"/>
    <cellStyle name="20 % - Markeringsfarve2 3 7 2 5" xfId="24006" xr:uid="{00000000-0005-0000-0000-00009E0E0000}"/>
    <cellStyle name="20 % - Markeringsfarve2 3 7 3" xfId="4289" xr:uid="{00000000-0005-0000-0000-00009F0E0000}"/>
    <cellStyle name="20 % - Markeringsfarve2 3 7 3 2" xfId="9483" xr:uid="{00000000-0005-0000-0000-0000A00E0000}"/>
    <cellStyle name="20 % - Markeringsfarve2 3 7 3 2 2" xfId="17393" xr:uid="{00000000-0005-0000-0000-0000A10E0000}"/>
    <cellStyle name="20 % - Markeringsfarve2 3 7 3 2 2 2" xfId="35553" xr:uid="{00000000-0005-0000-0000-0000A20E0000}"/>
    <cellStyle name="20 % - Markeringsfarve2 3 7 3 2 3" xfId="28552" xr:uid="{00000000-0005-0000-0000-0000A30E0000}"/>
    <cellStyle name="20 % - Markeringsfarve2 3 7 3 3" xfId="12843" xr:uid="{00000000-0005-0000-0000-0000A40E0000}"/>
    <cellStyle name="20 % - Markeringsfarve2 3 7 3 3 2" xfId="31010" xr:uid="{00000000-0005-0000-0000-0000A50E0000}"/>
    <cellStyle name="20 % - Markeringsfarve2 3 7 3 4" xfId="24008" xr:uid="{00000000-0005-0000-0000-0000A60E0000}"/>
    <cellStyle name="20 % - Markeringsfarve2 3 7 4" xfId="4290" xr:uid="{00000000-0005-0000-0000-0000A70E0000}"/>
    <cellStyle name="20 % - Markeringsfarve2 3 7 4 2" xfId="9312" xr:uid="{00000000-0005-0000-0000-0000A80E0000}"/>
    <cellStyle name="20 % - Markeringsfarve2 3 7 4 2 2" xfId="17223" xr:uid="{00000000-0005-0000-0000-0000A90E0000}"/>
    <cellStyle name="20 % - Markeringsfarve2 3 7 4 2 2 2" xfId="35383" xr:uid="{00000000-0005-0000-0000-0000AA0E0000}"/>
    <cellStyle name="20 % - Markeringsfarve2 3 7 4 2 3" xfId="28382" xr:uid="{00000000-0005-0000-0000-0000AB0E0000}"/>
    <cellStyle name="20 % - Markeringsfarve2 3 7 4 3" xfId="12844" xr:uid="{00000000-0005-0000-0000-0000AC0E0000}"/>
    <cellStyle name="20 % - Markeringsfarve2 3 7 4 3 2" xfId="31011" xr:uid="{00000000-0005-0000-0000-0000AD0E0000}"/>
    <cellStyle name="20 % - Markeringsfarve2 3 7 4 4" xfId="24009" xr:uid="{00000000-0005-0000-0000-0000AE0E0000}"/>
    <cellStyle name="20 % - Markeringsfarve2 3 7 5" xfId="7729" xr:uid="{00000000-0005-0000-0000-0000AF0E0000}"/>
    <cellStyle name="20 % - Markeringsfarve2 3 7 5 2" xfId="15647" xr:uid="{00000000-0005-0000-0000-0000B00E0000}"/>
    <cellStyle name="20 % - Markeringsfarve2 3 7 5 2 2" xfId="33807" xr:uid="{00000000-0005-0000-0000-0000B10E0000}"/>
    <cellStyle name="20 % - Markeringsfarve2 3 7 5 3" xfId="26806" xr:uid="{00000000-0005-0000-0000-0000B20E0000}"/>
    <cellStyle name="20 % - Markeringsfarve2 3 7 6" xfId="12840" xr:uid="{00000000-0005-0000-0000-0000B30E0000}"/>
    <cellStyle name="20 % - Markeringsfarve2 3 7 6 2" xfId="31007" xr:uid="{00000000-0005-0000-0000-0000B40E0000}"/>
    <cellStyle name="20 % - Markeringsfarve2 3 7 7" xfId="24005" xr:uid="{00000000-0005-0000-0000-0000B50E0000}"/>
    <cellStyle name="20 % - Markeringsfarve2 3 8" xfId="4291" xr:uid="{00000000-0005-0000-0000-0000B60E0000}"/>
    <cellStyle name="20 % - Markeringsfarve2 3 8 2" xfId="4292" xr:uid="{00000000-0005-0000-0000-0000B70E0000}"/>
    <cellStyle name="20 % - Markeringsfarve2 3 8 2 2" xfId="4293" xr:uid="{00000000-0005-0000-0000-0000B80E0000}"/>
    <cellStyle name="20 % - Markeringsfarve2 3 8 2 2 2" xfId="10321" xr:uid="{00000000-0005-0000-0000-0000B90E0000}"/>
    <cellStyle name="20 % - Markeringsfarve2 3 8 2 2 2 2" xfId="18222" xr:uid="{00000000-0005-0000-0000-0000BA0E0000}"/>
    <cellStyle name="20 % - Markeringsfarve2 3 8 2 2 2 2 2" xfId="36382" xr:uid="{00000000-0005-0000-0000-0000BB0E0000}"/>
    <cellStyle name="20 % - Markeringsfarve2 3 8 2 2 2 3" xfId="29381" xr:uid="{00000000-0005-0000-0000-0000BC0E0000}"/>
    <cellStyle name="20 % - Markeringsfarve2 3 8 2 2 3" xfId="12847" xr:uid="{00000000-0005-0000-0000-0000BD0E0000}"/>
    <cellStyle name="20 % - Markeringsfarve2 3 8 2 2 3 2" xfId="31014" xr:uid="{00000000-0005-0000-0000-0000BE0E0000}"/>
    <cellStyle name="20 % - Markeringsfarve2 3 8 2 2 4" xfId="24012" xr:uid="{00000000-0005-0000-0000-0000BF0E0000}"/>
    <cellStyle name="20 % - Markeringsfarve2 3 8 2 3" xfId="8832" xr:uid="{00000000-0005-0000-0000-0000C00E0000}"/>
    <cellStyle name="20 % - Markeringsfarve2 3 8 2 3 2" xfId="16746" xr:uid="{00000000-0005-0000-0000-0000C10E0000}"/>
    <cellStyle name="20 % - Markeringsfarve2 3 8 2 3 2 2" xfId="34906" xr:uid="{00000000-0005-0000-0000-0000C20E0000}"/>
    <cellStyle name="20 % - Markeringsfarve2 3 8 2 3 3" xfId="27905" xr:uid="{00000000-0005-0000-0000-0000C30E0000}"/>
    <cellStyle name="20 % - Markeringsfarve2 3 8 2 4" xfId="12846" xr:uid="{00000000-0005-0000-0000-0000C40E0000}"/>
    <cellStyle name="20 % - Markeringsfarve2 3 8 2 4 2" xfId="31013" xr:uid="{00000000-0005-0000-0000-0000C50E0000}"/>
    <cellStyle name="20 % - Markeringsfarve2 3 8 2 5" xfId="24011" xr:uid="{00000000-0005-0000-0000-0000C60E0000}"/>
    <cellStyle name="20 % - Markeringsfarve2 3 8 3" xfId="4294" xr:uid="{00000000-0005-0000-0000-0000C70E0000}"/>
    <cellStyle name="20 % - Markeringsfarve2 3 8 3 2" xfId="9598" xr:uid="{00000000-0005-0000-0000-0000C80E0000}"/>
    <cellStyle name="20 % - Markeringsfarve2 3 8 3 2 2" xfId="17508" xr:uid="{00000000-0005-0000-0000-0000C90E0000}"/>
    <cellStyle name="20 % - Markeringsfarve2 3 8 3 2 2 2" xfId="35668" xr:uid="{00000000-0005-0000-0000-0000CA0E0000}"/>
    <cellStyle name="20 % - Markeringsfarve2 3 8 3 2 3" xfId="28667" xr:uid="{00000000-0005-0000-0000-0000CB0E0000}"/>
    <cellStyle name="20 % - Markeringsfarve2 3 8 3 3" xfId="12848" xr:uid="{00000000-0005-0000-0000-0000CC0E0000}"/>
    <cellStyle name="20 % - Markeringsfarve2 3 8 3 3 2" xfId="31015" xr:uid="{00000000-0005-0000-0000-0000CD0E0000}"/>
    <cellStyle name="20 % - Markeringsfarve2 3 8 3 4" xfId="24013" xr:uid="{00000000-0005-0000-0000-0000CE0E0000}"/>
    <cellStyle name="20 % - Markeringsfarve2 3 8 4" xfId="4295" xr:uid="{00000000-0005-0000-0000-0000CF0E0000}"/>
    <cellStyle name="20 % - Markeringsfarve2 3 8 4 2" xfId="9313" xr:uid="{00000000-0005-0000-0000-0000D00E0000}"/>
    <cellStyle name="20 % - Markeringsfarve2 3 8 4 2 2" xfId="17224" xr:uid="{00000000-0005-0000-0000-0000D10E0000}"/>
    <cellStyle name="20 % - Markeringsfarve2 3 8 4 2 2 2" xfId="35384" xr:uid="{00000000-0005-0000-0000-0000D20E0000}"/>
    <cellStyle name="20 % - Markeringsfarve2 3 8 4 2 3" xfId="28383" xr:uid="{00000000-0005-0000-0000-0000D30E0000}"/>
    <cellStyle name="20 % - Markeringsfarve2 3 8 4 3" xfId="12849" xr:uid="{00000000-0005-0000-0000-0000D40E0000}"/>
    <cellStyle name="20 % - Markeringsfarve2 3 8 4 3 2" xfId="31016" xr:uid="{00000000-0005-0000-0000-0000D50E0000}"/>
    <cellStyle name="20 % - Markeringsfarve2 3 8 4 4" xfId="24014" xr:uid="{00000000-0005-0000-0000-0000D60E0000}"/>
    <cellStyle name="20 % - Markeringsfarve2 3 8 5" xfId="7730" xr:uid="{00000000-0005-0000-0000-0000D70E0000}"/>
    <cellStyle name="20 % - Markeringsfarve2 3 8 5 2" xfId="15648" xr:uid="{00000000-0005-0000-0000-0000D80E0000}"/>
    <cellStyle name="20 % - Markeringsfarve2 3 8 5 2 2" xfId="33808" xr:uid="{00000000-0005-0000-0000-0000D90E0000}"/>
    <cellStyle name="20 % - Markeringsfarve2 3 8 5 3" xfId="26807" xr:uid="{00000000-0005-0000-0000-0000DA0E0000}"/>
    <cellStyle name="20 % - Markeringsfarve2 3 8 6" xfId="12845" xr:uid="{00000000-0005-0000-0000-0000DB0E0000}"/>
    <cellStyle name="20 % - Markeringsfarve2 3 8 6 2" xfId="31012" xr:uid="{00000000-0005-0000-0000-0000DC0E0000}"/>
    <cellStyle name="20 % - Markeringsfarve2 3 8 7" xfId="24010" xr:uid="{00000000-0005-0000-0000-0000DD0E0000}"/>
    <cellStyle name="20 % - Markeringsfarve2 3 9" xfId="4296" xr:uid="{00000000-0005-0000-0000-0000DE0E0000}"/>
    <cellStyle name="20 % - Markeringsfarve2 3 9 2" xfId="4297" xr:uid="{00000000-0005-0000-0000-0000DF0E0000}"/>
    <cellStyle name="20 % - Markeringsfarve2 3 9 2 2" xfId="9733" xr:uid="{00000000-0005-0000-0000-0000E00E0000}"/>
    <cellStyle name="20 % - Markeringsfarve2 3 9 2 2 2" xfId="17634" xr:uid="{00000000-0005-0000-0000-0000E10E0000}"/>
    <cellStyle name="20 % - Markeringsfarve2 3 9 2 2 2 2" xfId="35794" xr:uid="{00000000-0005-0000-0000-0000E20E0000}"/>
    <cellStyle name="20 % - Markeringsfarve2 3 9 2 2 3" xfId="28793" xr:uid="{00000000-0005-0000-0000-0000E30E0000}"/>
    <cellStyle name="20 % - Markeringsfarve2 3 9 2 3" xfId="12851" xr:uid="{00000000-0005-0000-0000-0000E40E0000}"/>
    <cellStyle name="20 % - Markeringsfarve2 3 9 2 3 2" xfId="31018" xr:uid="{00000000-0005-0000-0000-0000E50E0000}"/>
    <cellStyle name="20 % - Markeringsfarve2 3 9 2 4" xfId="24016" xr:uid="{00000000-0005-0000-0000-0000E60E0000}"/>
    <cellStyle name="20 % - Markeringsfarve2 3 9 3" xfId="8334" xr:uid="{00000000-0005-0000-0000-0000E70E0000}"/>
    <cellStyle name="20 % - Markeringsfarve2 3 9 3 2" xfId="16251" xr:uid="{00000000-0005-0000-0000-0000E80E0000}"/>
    <cellStyle name="20 % - Markeringsfarve2 3 9 3 2 2" xfId="34411" xr:uid="{00000000-0005-0000-0000-0000E90E0000}"/>
    <cellStyle name="20 % - Markeringsfarve2 3 9 3 3" xfId="27410" xr:uid="{00000000-0005-0000-0000-0000EA0E0000}"/>
    <cellStyle name="20 % - Markeringsfarve2 3 9 4" xfId="12850" xr:uid="{00000000-0005-0000-0000-0000EB0E0000}"/>
    <cellStyle name="20 % - Markeringsfarve2 3 9 4 2" xfId="31017" xr:uid="{00000000-0005-0000-0000-0000EC0E0000}"/>
    <cellStyle name="20 % - Markeringsfarve2 3 9 5" xfId="24015" xr:uid="{00000000-0005-0000-0000-0000ED0E0000}"/>
    <cellStyle name="20 % - Markeringsfarve2 4" xfId="1792" xr:uid="{00000000-0005-0000-0000-0000EE0E0000}"/>
    <cellStyle name="20 % - Markeringsfarve2 4 10" xfId="7731" xr:uid="{00000000-0005-0000-0000-0000EF0E0000}"/>
    <cellStyle name="20 % - Markeringsfarve2 4 10 2" xfId="15649" xr:uid="{00000000-0005-0000-0000-0000F00E0000}"/>
    <cellStyle name="20 % - Markeringsfarve2 4 10 2 2" xfId="33809" xr:uid="{00000000-0005-0000-0000-0000F10E0000}"/>
    <cellStyle name="20 % - Markeringsfarve2 4 10 3" xfId="26808" xr:uid="{00000000-0005-0000-0000-0000F20E0000}"/>
    <cellStyle name="20 % - Markeringsfarve2 4 11" xfId="12852" xr:uid="{00000000-0005-0000-0000-0000F30E0000}"/>
    <cellStyle name="20 % - Markeringsfarve2 4 11 2" xfId="31019" xr:uid="{00000000-0005-0000-0000-0000F40E0000}"/>
    <cellStyle name="20 % - Markeringsfarve2 4 12" xfId="4298" xr:uid="{00000000-0005-0000-0000-0000F50E0000}"/>
    <cellStyle name="20 % - Markeringsfarve2 4 12 2" xfId="24017" xr:uid="{00000000-0005-0000-0000-0000F60E0000}"/>
    <cellStyle name="20 % - Markeringsfarve2 4 13" xfId="21916" xr:uid="{00000000-0005-0000-0000-0000F70E0000}"/>
    <cellStyle name="20 % - Markeringsfarve2 4 2" xfId="1793" xr:uid="{00000000-0005-0000-0000-0000F80E0000}"/>
    <cellStyle name="20 % - Markeringsfarve2 4 2 2" xfId="4300" xr:uid="{00000000-0005-0000-0000-0000F90E0000}"/>
    <cellStyle name="20 % - Markeringsfarve2 4 2 2 2" xfId="4301" xr:uid="{00000000-0005-0000-0000-0000FA0E0000}"/>
    <cellStyle name="20 % - Markeringsfarve2 4 2 2 2 2" xfId="9877" xr:uid="{00000000-0005-0000-0000-0000FB0E0000}"/>
    <cellStyle name="20 % - Markeringsfarve2 4 2 2 2 2 2" xfId="17778" xr:uid="{00000000-0005-0000-0000-0000FC0E0000}"/>
    <cellStyle name="20 % - Markeringsfarve2 4 2 2 2 2 2 2" xfId="35938" xr:uid="{00000000-0005-0000-0000-0000FD0E0000}"/>
    <cellStyle name="20 % - Markeringsfarve2 4 2 2 2 2 3" xfId="28937" xr:uid="{00000000-0005-0000-0000-0000FE0E0000}"/>
    <cellStyle name="20 % - Markeringsfarve2 4 2 2 2 3" xfId="12855" xr:uid="{00000000-0005-0000-0000-0000FF0E0000}"/>
    <cellStyle name="20 % - Markeringsfarve2 4 2 2 2 3 2" xfId="31022" xr:uid="{00000000-0005-0000-0000-0000000F0000}"/>
    <cellStyle name="20 % - Markeringsfarve2 4 2 2 2 4" xfId="24020" xr:uid="{00000000-0005-0000-0000-0000010F0000}"/>
    <cellStyle name="20 % - Markeringsfarve2 4 2 2 3" xfId="8454" xr:uid="{00000000-0005-0000-0000-0000020F0000}"/>
    <cellStyle name="20 % - Markeringsfarve2 4 2 2 3 2" xfId="16371" xr:uid="{00000000-0005-0000-0000-0000030F0000}"/>
    <cellStyle name="20 % - Markeringsfarve2 4 2 2 3 2 2" xfId="34531" xr:uid="{00000000-0005-0000-0000-0000040F0000}"/>
    <cellStyle name="20 % - Markeringsfarve2 4 2 2 3 3" xfId="27530" xr:uid="{00000000-0005-0000-0000-0000050F0000}"/>
    <cellStyle name="20 % - Markeringsfarve2 4 2 2 4" xfId="12854" xr:uid="{00000000-0005-0000-0000-0000060F0000}"/>
    <cellStyle name="20 % - Markeringsfarve2 4 2 2 4 2" xfId="31021" xr:uid="{00000000-0005-0000-0000-0000070F0000}"/>
    <cellStyle name="20 % - Markeringsfarve2 4 2 2 5" xfId="24019" xr:uid="{00000000-0005-0000-0000-0000080F0000}"/>
    <cellStyle name="20 % - Markeringsfarve2 4 2 3" xfId="4302" xr:uid="{00000000-0005-0000-0000-0000090F0000}"/>
    <cellStyle name="20 % - Markeringsfarve2 4 2 3 2" xfId="9107" xr:uid="{00000000-0005-0000-0000-00000A0F0000}"/>
    <cellStyle name="20 % - Markeringsfarve2 4 2 3 2 2" xfId="17018" xr:uid="{00000000-0005-0000-0000-00000B0F0000}"/>
    <cellStyle name="20 % - Markeringsfarve2 4 2 3 2 2 2" xfId="35178" xr:uid="{00000000-0005-0000-0000-00000C0F0000}"/>
    <cellStyle name="20 % - Markeringsfarve2 4 2 3 2 3" xfId="28177" xr:uid="{00000000-0005-0000-0000-00000D0F0000}"/>
    <cellStyle name="20 % - Markeringsfarve2 4 2 3 3" xfId="12856" xr:uid="{00000000-0005-0000-0000-00000E0F0000}"/>
    <cellStyle name="20 % - Markeringsfarve2 4 2 3 3 2" xfId="31023" xr:uid="{00000000-0005-0000-0000-00000F0F0000}"/>
    <cellStyle name="20 % - Markeringsfarve2 4 2 3 4" xfId="24021" xr:uid="{00000000-0005-0000-0000-0000100F0000}"/>
    <cellStyle name="20 % - Markeringsfarve2 4 2 4" xfId="4303" xr:uid="{00000000-0005-0000-0000-0000110F0000}"/>
    <cellStyle name="20 % - Markeringsfarve2 4 2 4 2" xfId="10740" xr:uid="{00000000-0005-0000-0000-0000120F0000}"/>
    <cellStyle name="20 % - Markeringsfarve2 4 2 4 2 2" xfId="18629" xr:uid="{00000000-0005-0000-0000-0000130F0000}"/>
    <cellStyle name="20 % - Markeringsfarve2 4 2 4 2 2 2" xfId="36789" xr:uid="{00000000-0005-0000-0000-0000140F0000}"/>
    <cellStyle name="20 % - Markeringsfarve2 4 2 4 2 3" xfId="29788" xr:uid="{00000000-0005-0000-0000-0000150F0000}"/>
    <cellStyle name="20 % - Markeringsfarve2 4 2 4 3" xfId="12857" xr:uid="{00000000-0005-0000-0000-0000160F0000}"/>
    <cellStyle name="20 % - Markeringsfarve2 4 2 4 3 2" xfId="31024" xr:uid="{00000000-0005-0000-0000-0000170F0000}"/>
    <cellStyle name="20 % - Markeringsfarve2 4 2 4 4" xfId="24022" xr:uid="{00000000-0005-0000-0000-0000180F0000}"/>
    <cellStyle name="20 % - Markeringsfarve2 4 2 5" xfId="7732" xr:uid="{00000000-0005-0000-0000-0000190F0000}"/>
    <cellStyle name="20 % - Markeringsfarve2 4 2 5 2" xfId="15650" xr:uid="{00000000-0005-0000-0000-00001A0F0000}"/>
    <cellStyle name="20 % - Markeringsfarve2 4 2 5 2 2" xfId="33810" xr:uid="{00000000-0005-0000-0000-00001B0F0000}"/>
    <cellStyle name="20 % - Markeringsfarve2 4 2 5 3" xfId="26809" xr:uid="{00000000-0005-0000-0000-00001C0F0000}"/>
    <cellStyle name="20 % - Markeringsfarve2 4 2 6" xfId="12853" xr:uid="{00000000-0005-0000-0000-00001D0F0000}"/>
    <cellStyle name="20 % - Markeringsfarve2 4 2 6 2" xfId="31020" xr:uid="{00000000-0005-0000-0000-00001E0F0000}"/>
    <cellStyle name="20 % - Markeringsfarve2 4 2 7" xfId="4299" xr:uid="{00000000-0005-0000-0000-00001F0F0000}"/>
    <cellStyle name="20 % - Markeringsfarve2 4 2 7 2" xfId="24018" xr:uid="{00000000-0005-0000-0000-0000200F0000}"/>
    <cellStyle name="20 % - Markeringsfarve2 4 2 8" xfId="21917" xr:uid="{00000000-0005-0000-0000-0000210F0000}"/>
    <cellStyle name="20 % - Markeringsfarve2 4 3" xfId="4304" xr:uid="{00000000-0005-0000-0000-0000220F0000}"/>
    <cellStyle name="20 % - Markeringsfarve2 4 3 2" xfId="4305" xr:uid="{00000000-0005-0000-0000-0000230F0000}"/>
    <cellStyle name="20 % - Markeringsfarve2 4 3 2 2" xfId="4306" xr:uid="{00000000-0005-0000-0000-0000240F0000}"/>
    <cellStyle name="20 % - Markeringsfarve2 4 3 2 2 2" xfId="9969" xr:uid="{00000000-0005-0000-0000-0000250F0000}"/>
    <cellStyle name="20 % - Markeringsfarve2 4 3 2 2 2 2" xfId="17870" xr:uid="{00000000-0005-0000-0000-0000260F0000}"/>
    <cellStyle name="20 % - Markeringsfarve2 4 3 2 2 2 2 2" xfId="36030" xr:uid="{00000000-0005-0000-0000-0000270F0000}"/>
    <cellStyle name="20 % - Markeringsfarve2 4 3 2 2 2 3" xfId="29029" xr:uid="{00000000-0005-0000-0000-0000280F0000}"/>
    <cellStyle name="20 % - Markeringsfarve2 4 3 2 2 3" xfId="12860" xr:uid="{00000000-0005-0000-0000-0000290F0000}"/>
    <cellStyle name="20 % - Markeringsfarve2 4 3 2 2 3 2" xfId="31027" xr:uid="{00000000-0005-0000-0000-00002A0F0000}"/>
    <cellStyle name="20 % - Markeringsfarve2 4 3 2 2 4" xfId="24025" xr:uid="{00000000-0005-0000-0000-00002B0F0000}"/>
    <cellStyle name="20 % - Markeringsfarve2 4 3 2 3" xfId="8533" xr:uid="{00000000-0005-0000-0000-00002C0F0000}"/>
    <cellStyle name="20 % - Markeringsfarve2 4 3 2 3 2" xfId="16450" xr:uid="{00000000-0005-0000-0000-00002D0F0000}"/>
    <cellStyle name="20 % - Markeringsfarve2 4 3 2 3 2 2" xfId="34610" xr:uid="{00000000-0005-0000-0000-00002E0F0000}"/>
    <cellStyle name="20 % - Markeringsfarve2 4 3 2 3 3" xfId="27609" xr:uid="{00000000-0005-0000-0000-00002F0F0000}"/>
    <cellStyle name="20 % - Markeringsfarve2 4 3 2 4" xfId="12859" xr:uid="{00000000-0005-0000-0000-0000300F0000}"/>
    <cellStyle name="20 % - Markeringsfarve2 4 3 2 4 2" xfId="31026" xr:uid="{00000000-0005-0000-0000-0000310F0000}"/>
    <cellStyle name="20 % - Markeringsfarve2 4 3 2 5" xfId="24024" xr:uid="{00000000-0005-0000-0000-0000320F0000}"/>
    <cellStyle name="20 % - Markeringsfarve2 4 3 3" xfId="4307" xr:uid="{00000000-0005-0000-0000-0000330F0000}"/>
    <cellStyle name="20 % - Markeringsfarve2 4 3 3 2" xfId="9199" xr:uid="{00000000-0005-0000-0000-0000340F0000}"/>
    <cellStyle name="20 % - Markeringsfarve2 4 3 3 2 2" xfId="17110" xr:uid="{00000000-0005-0000-0000-0000350F0000}"/>
    <cellStyle name="20 % - Markeringsfarve2 4 3 3 2 2 2" xfId="35270" xr:uid="{00000000-0005-0000-0000-0000360F0000}"/>
    <cellStyle name="20 % - Markeringsfarve2 4 3 3 2 3" xfId="28269" xr:uid="{00000000-0005-0000-0000-0000370F0000}"/>
    <cellStyle name="20 % - Markeringsfarve2 4 3 3 3" xfId="12861" xr:uid="{00000000-0005-0000-0000-0000380F0000}"/>
    <cellStyle name="20 % - Markeringsfarve2 4 3 3 3 2" xfId="31028" xr:uid="{00000000-0005-0000-0000-0000390F0000}"/>
    <cellStyle name="20 % - Markeringsfarve2 4 3 3 4" xfId="24026" xr:uid="{00000000-0005-0000-0000-00003A0F0000}"/>
    <cellStyle name="20 % - Markeringsfarve2 4 3 4" xfId="4308" xr:uid="{00000000-0005-0000-0000-00003B0F0000}"/>
    <cellStyle name="20 % - Markeringsfarve2 4 3 4 2" xfId="10799" xr:uid="{00000000-0005-0000-0000-00003C0F0000}"/>
    <cellStyle name="20 % - Markeringsfarve2 4 3 4 2 2" xfId="18686" xr:uid="{00000000-0005-0000-0000-00003D0F0000}"/>
    <cellStyle name="20 % - Markeringsfarve2 4 3 4 2 2 2" xfId="36846" xr:uid="{00000000-0005-0000-0000-00003E0F0000}"/>
    <cellStyle name="20 % - Markeringsfarve2 4 3 4 2 3" xfId="29845" xr:uid="{00000000-0005-0000-0000-00003F0F0000}"/>
    <cellStyle name="20 % - Markeringsfarve2 4 3 4 3" xfId="12862" xr:uid="{00000000-0005-0000-0000-0000400F0000}"/>
    <cellStyle name="20 % - Markeringsfarve2 4 3 4 3 2" xfId="31029" xr:uid="{00000000-0005-0000-0000-0000410F0000}"/>
    <cellStyle name="20 % - Markeringsfarve2 4 3 4 4" xfId="24027" xr:uid="{00000000-0005-0000-0000-0000420F0000}"/>
    <cellStyle name="20 % - Markeringsfarve2 4 3 5" xfId="7733" xr:uid="{00000000-0005-0000-0000-0000430F0000}"/>
    <cellStyle name="20 % - Markeringsfarve2 4 3 5 2" xfId="15651" xr:uid="{00000000-0005-0000-0000-0000440F0000}"/>
    <cellStyle name="20 % - Markeringsfarve2 4 3 5 2 2" xfId="33811" xr:uid="{00000000-0005-0000-0000-0000450F0000}"/>
    <cellStyle name="20 % - Markeringsfarve2 4 3 5 3" xfId="26810" xr:uid="{00000000-0005-0000-0000-0000460F0000}"/>
    <cellStyle name="20 % - Markeringsfarve2 4 3 6" xfId="12858" xr:uid="{00000000-0005-0000-0000-0000470F0000}"/>
    <cellStyle name="20 % - Markeringsfarve2 4 3 6 2" xfId="31025" xr:uid="{00000000-0005-0000-0000-0000480F0000}"/>
    <cellStyle name="20 % - Markeringsfarve2 4 3 7" xfId="24023" xr:uid="{00000000-0005-0000-0000-0000490F0000}"/>
    <cellStyle name="20 % - Markeringsfarve2 4 4" xfId="4309" xr:uid="{00000000-0005-0000-0000-00004A0F0000}"/>
    <cellStyle name="20 % - Markeringsfarve2 4 4 2" xfId="4310" xr:uid="{00000000-0005-0000-0000-00004B0F0000}"/>
    <cellStyle name="20 % - Markeringsfarve2 4 4 2 2" xfId="4311" xr:uid="{00000000-0005-0000-0000-00004C0F0000}"/>
    <cellStyle name="20 % - Markeringsfarve2 4 4 2 2 2" xfId="10115" xr:uid="{00000000-0005-0000-0000-00004D0F0000}"/>
    <cellStyle name="20 % - Markeringsfarve2 4 4 2 2 2 2" xfId="18016" xr:uid="{00000000-0005-0000-0000-00004E0F0000}"/>
    <cellStyle name="20 % - Markeringsfarve2 4 4 2 2 2 2 2" xfId="36176" xr:uid="{00000000-0005-0000-0000-00004F0F0000}"/>
    <cellStyle name="20 % - Markeringsfarve2 4 4 2 2 2 3" xfId="29175" xr:uid="{00000000-0005-0000-0000-0000500F0000}"/>
    <cellStyle name="20 % - Markeringsfarve2 4 4 2 2 3" xfId="12865" xr:uid="{00000000-0005-0000-0000-0000510F0000}"/>
    <cellStyle name="20 % - Markeringsfarve2 4 4 2 2 3 2" xfId="31032" xr:uid="{00000000-0005-0000-0000-0000520F0000}"/>
    <cellStyle name="20 % - Markeringsfarve2 4 4 2 2 4" xfId="24030" xr:uid="{00000000-0005-0000-0000-0000530F0000}"/>
    <cellStyle name="20 % - Markeringsfarve2 4 4 2 3" xfId="8656" xr:uid="{00000000-0005-0000-0000-0000540F0000}"/>
    <cellStyle name="20 % - Markeringsfarve2 4 4 2 3 2" xfId="16570" xr:uid="{00000000-0005-0000-0000-0000550F0000}"/>
    <cellStyle name="20 % - Markeringsfarve2 4 4 2 3 2 2" xfId="34730" xr:uid="{00000000-0005-0000-0000-0000560F0000}"/>
    <cellStyle name="20 % - Markeringsfarve2 4 4 2 3 3" xfId="27729" xr:uid="{00000000-0005-0000-0000-0000570F0000}"/>
    <cellStyle name="20 % - Markeringsfarve2 4 4 2 4" xfId="12864" xr:uid="{00000000-0005-0000-0000-0000580F0000}"/>
    <cellStyle name="20 % - Markeringsfarve2 4 4 2 4 2" xfId="31031" xr:uid="{00000000-0005-0000-0000-0000590F0000}"/>
    <cellStyle name="20 % - Markeringsfarve2 4 4 2 5" xfId="24029" xr:uid="{00000000-0005-0000-0000-00005A0F0000}"/>
    <cellStyle name="20 % - Markeringsfarve2 4 4 3" xfId="4312" xr:uid="{00000000-0005-0000-0000-00005B0F0000}"/>
    <cellStyle name="20 % - Markeringsfarve2 4 4 3 2" xfId="9391" xr:uid="{00000000-0005-0000-0000-00005C0F0000}"/>
    <cellStyle name="20 % - Markeringsfarve2 4 4 3 2 2" xfId="17301" xr:uid="{00000000-0005-0000-0000-00005D0F0000}"/>
    <cellStyle name="20 % - Markeringsfarve2 4 4 3 2 2 2" xfId="35461" xr:uid="{00000000-0005-0000-0000-00005E0F0000}"/>
    <cellStyle name="20 % - Markeringsfarve2 4 4 3 2 3" xfId="28460" xr:uid="{00000000-0005-0000-0000-00005F0F0000}"/>
    <cellStyle name="20 % - Markeringsfarve2 4 4 3 3" xfId="12866" xr:uid="{00000000-0005-0000-0000-0000600F0000}"/>
    <cellStyle name="20 % - Markeringsfarve2 4 4 3 3 2" xfId="31033" xr:uid="{00000000-0005-0000-0000-0000610F0000}"/>
    <cellStyle name="20 % - Markeringsfarve2 4 4 3 4" xfId="24031" xr:uid="{00000000-0005-0000-0000-0000620F0000}"/>
    <cellStyle name="20 % - Markeringsfarve2 4 4 4" xfId="4313" xr:uid="{00000000-0005-0000-0000-0000630F0000}"/>
    <cellStyle name="20 % - Markeringsfarve2 4 4 4 2" xfId="10886" xr:uid="{00000000-0005-0000-0000-0000640F0000}"/>
    <cellStyle name="20 % - Markeringsfarve2 4 4 4 2 2" xfId="18769" xr:uid="{00000000-0005-0000-0000-0000650F0000}"/>
    <cellStyle name="20 % - Markeringsfarve2 4 4 4 2 2 2" xfId="36929" xr:uid="{00000000-0005-0000-0000-0000660F0000}"/>
    <cellStyle name="20 % - Markeringsfarve2 4 4 4 2 3" xfId="29928" xr:uid="{00000000-0005-0000-0000-0000670F0000}"/>
    <cellStyle name="20 % - Markeringsfarve2 4 4 4 3" xfId="12867" xr:uid="{00000000-0005-0000-0000-0000680F0000}"/>
    <cellStyle name="20 % - Markeringsfarve2 4 4 4 3 2" xfId="31034" xr:uid="{00000000-0005-0000-0000-0000690F0000}"/>
    <cellStyle name="20 % - Markeringsfarve2 4 4 4 4" xfId="24032" xr:uid="{00000000-0005-0000-0000-00006A0F0000}"/>
    <cellStyle name="20 % - Markeringsfarve2 4 4 5" xfId="7734" xr:uid="{00000000-0005-0000-0000-00006B0F0000}"/>
    <cellStyle name="20 % - Markeringsfarve2 4 4 5 2" xfId="15652" xr:uid="{00000000-0005-0000-0000-00006C0F0000}"/>
    <cellStyle name="20 % - Markeringsfarve2 4 4 5 2 2" xfId="33812" xr:uid="{00000000-0005-0000-0000-00006D0F0000}"/>
    <cellStyle name="20 % - Markeringsfarve2 4 4 5 3" xfId="26811" xr:uid="{00000000-0005-0000-0000-00006E0F0000}"/>
    <cellStyle name="20 % - Markeringsfarve2 4 4 6" xfId="12863" xr:uid="{00000000-0005-0000-0000-00006F0F0000}"/>
    <cellStyle name="20 % - Markeringsfarve2 4 4 6 2" xfId="31030" xr:uid="{00000000-0005-0000-0000-0000700F0000}"/>
    <cellStyle name="20 % - Markeringsfarve2 4 4 7" xfId="24028" xr:uid="{00000000-0005-0000-0000-0000710F0000}"/>
    <cellStyle name="20 % - Markeringsfarve2 4 5" xfId="4314" xr:uid="{00000000-0005-0000-0000-0000720F0000}"/>
    <cellStyle name="20 % - Markeringsfarve2 4 5 2" xfId="4315" xr:uid="{00000000-0005-0000-0000-0000730F0000}"/>
    <cellStyle name="20 % - Markeringsfarve2 4 5 2 2" xfId="4316" xr:uid="{00000000-0005-0000-0000-0000740F0000}"/>
    <cellStyle name="20 % - Markeringsfarve2 4 5 2 2 2" xfId="10232" xr:uid="{00000000-0005-0000-0000-0000750F0000}"/>
    <cellStyle name="20 % - Markeringsfarve2 4 5 2 2 2 2" xfId="18133" xr:uid="{00000000-0005-0000-0000-0000760F0000}"/>
    <cellStyle name="20 % - Markeringsfarve2 4 5 2 2 2 2 2" xfId="36293" xr:uid="{00000000-0005-0000-0000-0000770F0000}"/>
    <cellStyle name="20 % - Markeringsfarve2 4 5 2 2 2 3" xfId="29292" xr:uid="{00000000-0005-0000-0000-0000780F0000}"/>
    <cellStyle name="20 % - Markeringsfarve2 4 5 2 2 3" xfId="12870" xr:uid="{00000000-0005-0000-0000-0000790F0000}"/>
    <cellStyle name="20 % - Markeringsfarve2 4 5 2 2 3 2" xfId="31037" xr:uid="{00000000-0005-0000-0000-00007A0F0000}"/>
    <cellStyle name="20 % - Markeringsfarve2 4 5 2 2 4" xfId="24035" xr:uid="{00000000-0005-0000-0000-00007B0F0000}"/>
    <cellStyle name="20 % - Markeringsfarve2 4 5 2 3" xfId="8755" xr:uid="{00000000-0005-0000-0000-00007C0F0000}"/>
    <cellStyle name="20 % - Markeringsfarve2 4 5 2 3 2" xfId="16669" xr:uid="{00000000-0005-0000-0000-00007D0F0000}"/>
    <cellStyle name="20 % - Markeringsfarve2 4 5 2 3 2 2" xfId="34829" xr:uid="{00000000-0005-0000-0000-00007E0F0000}"/>
    <cellStyle name="20 % - Markeringsfarve2 4 5 2 3 3" xfId="27828" xr:uid="{00000000-0005-0000-0000-00007F0F0000}"/>
    <cellStyle name="20 % - Markeringsfarve2 4 5 2 4" xfId="12869" xr:uid="{00000000-0005-0000-0000-0000800F0000}"/>
    <cellStyle name="20 % - Markeringsfarve2 4 5 2 4 2" xfId="31036" xr:uid="{00000000-0005-0000-0000-0000810F0000}"/>
    <cellStyle name="20 % - Markeringsfarve2 4 5 2 5" xfId="24034" xr:uid="{00000000-0005-0000-0000-0000820F0000}"/>
    <cellStyle name="20 % - Markeringsfarve2 4 5 3" xfId="4317" xr:uid="{00000000-0005-0000-0000-0000830F0000}"/>
    <cellStyle name="20 % - Markeringsfarve2 4 5 3 2" xfId="9508" xr:uid="{00000000-0005-0000-0000-0000840F0000}"/>
    <cellStyle name="20 % - Markeringsfarve2 4 5 3 2 2" xfId="17418" xr:uid="{00000000-0005-0000-0000-0000850F0000}"/>
    <cellStyle name="20 % - Markeringsfarve2 4 5 3 2 2 2" xfId="35578" xr:uid="{00000000-0005-0000-0000-0000860F0000}"/>
    <cellStyle name="20 % - Markeringsfarve2 4 5 3 2 3" xfId="28577" xr:uid="{00000000-0005-0000-0000-0000870F0000}"/>
    <cellStyle name="20 % - Markeringsfarve2 4 5 3 3" xfId="12871" xr:uid="{00000000-0005-0000-0000-0000880F0000}"/>
    <cellStyle name="20 % - Markeringsfarve2 4 5 3 3 2" xfId="31038" xr:uid="{00000000-0005-0000-0000-0000890F0000}"/>
    <cellStyle name="20 % - Markeringsfarve2 4 5 3 4" xfId="24036" xr:uid="{00000000-0005-0000-0000-00008A0F0000}"/>
    <cellStyle name="20 % - Markeringsfarve2 4 5 4" xfId="4318" xr:uid="{00000000-0005-0000-0000-00008B0F0000}"/>
    <cellStyle name="20 % - Markeringsfarve2 4 5 4 2" xfId="10550" xr:uid="{00000000-0005-0000-0000-00008C0F0000}"/>
    <cellStyle name="20 % - Markeringsfarve2 4 5 4 2 2" xfId="18444" xr:uid="{00000000-0005-0000-0000-00008D0F0000}"/>
    <cellStyle name="20 % - Markeringsfarve2 4 5 4 2 2 2" xfId="36604" xr:uid="{00000000-0005-0000-0000-00008E0F0000}"/>
    <cellStyle name="20 % - Markeringsfarve2 4 5 4 2 3" xfId="29603" xr:uid="{00000000-0005-0000-0000-00008F0F0000}"/>
    <cellStyle name="20 % - Markeringsfarve2 4 5 4 3" xfId="12872" xr:uid="{00000000-0005-0000-0000-0000900F0000}"/>
    <cellStyle name="20 % - Markeringsfarve2 4 5 4 3 2" xfId="31039" xr:uid="{00000000-0005-0000-0000-0000910F0000}"/>
    <cellStyle name="20 % - Markeringsfarve2 4 5 4 4" xfId="24037" xr:uid="{00000000-0005-0000-0000-0000920F0000}"/>
    <cellStyle name="20 % - Markeringsfarve2 4 5 5" xfId="7735" xr:uid="{00000000-0005-0000-0000-0000930F0000}"/>
    <cellStyle name="20 % - Markeringsfarve2 4 5 5 2" xfId="15653" xr:uid="{00000000-0005-0000-0000-0000940F0000}"/>
    <cellStyle name="20 % - Markeringsfarve2 4 5 5 2 2" xfId="33813" xr:uid="{00000000-0005-0000-0000-0000950F0000}"/>
    <cellStyle name="20 % - Markeringsfarve2 4 5 5 3" xfId="26812" xr:uid="{00000000-0005-0000-0000-0000960F0000}"/>
    <cellStyle name="20 % - Markeringsfarve2 4 5 6" xfId="12868" xr:uid="{00000000-0005-0000-0000-0000970F0000}"/>
    <cellStyle name="20 % - Markeringsfarve2 4 5 6 2" xfId="31035" xr:uid="{00000000-0005-0000-0000-0000980F0000}"/>
    <cellStyle name="20 % - Markeringsfarve2 4 5 7" xfId="24033" xr:uid="{00000000-0005-0000-0000-0000990F0000}"/>
    <cellStyle name="20 % - Markeringsfarve2 4 6" xfId="4319" xr:uid="{00000000-0005-0000-0000-00009A0F0000}"/>
    <cellStyle name="20 % - Markeringsfarve2 4 6 2" xfId="4320" xr:uid="{00000000-0005-0000-0000-00009B0F0000}"/>
    <cellStyle name="20 % - Markeringsfarve2 4 6 2 2" xfId="4321" xr:uid="{00000000-0005-0000-0000-00009C0F0000}"/>
    <cellStyle name="20 % - Markeringsfarve2 4 6 2 2 2" xfId="10324" xr:uid="{00000000-0005-0000-0000-00009D0F0000}"/>
    <cellStyle name="20 % - Markeringsfarve2 4 6 2 2 2 2" xfId="18225" xr:uid="{00000000-0005-0000-0000-00009E0F0000}"/>
    <cellStyle name="20 % - Markeringsfarve2 4 6 2 2 2 2 2" xfId="36385" xr:uid="{00000000-0005-0000-0000-00009F0F0000}"/>
    <cellStyle name="20 % - Markeringsfarve2 4 6 2 2 2 3" xfId="29384" xr:uid="{00000000-0005-0000-0000-0000A00F0000}"/>
    <cellStyle name="20 % - Markeringsfarve2 4 6 2 2 3" xfId="12875" xr:uid="{00000000-0005-0000-0000-0000A10F0000}"/>
    <cellStyle name="20 % - Markeringsfarve2 4 6 2 2 3 2" xfId="31042" xr:uid="{00000000-0005-0000-0000-0000A20F0000}"/>
    <cellStyle name="20 % - Markeringsfarve2 4 6 2 2 4" xfId="24040" xr:uid="{00000000-0005-0000-0000-0000A30F0000}"/>
    <cellStyle name="20 % - Markeringsfarve2 4 6 2 3" xfId="8835" xr:uid="{00000000-0005-0000-0000-0000A40F0000}"/>
    <cellStyle name="20 % - Markeringsfarve2 4 6 2 3 2" xfId="16749" xr:uid="{00000000-0005-0000-0000-0000A50F0000}"/>
    <cellStyle name="20 % - Markeringsfarve2 4 6 2 3 2 2" xfId="34909" xr:uid="{00000000-0005-0000-0000-0000A60F0000}"/>
    <cellStyle name="20 % - Markeringsfarve2 4 6 2 3 3" xfId="27908" xr:uid="{00000000-0005-0000-0000-0000A70F0000}"/>
    <cellStyle name="20 % - Markeringsfarve2 4 6 2 4" xfId="12874" xr:uid="{00000000-0005-0000-0000-0000A80F0000}"/>
    <cellStyle name="20 % - Markeringsfarve2 4 6 2 4 2" xfId="31041" xr:uid="{00000000-0005-0000-0000-0000A90F0000}"/>
    <cellStyle name="20 % - Markeringsfarve2 4 6 2 5" xfId="24039" xr:uid="{00000000-0005-0000-0000-0000AA0F0000}"/>
    <cellStyle name="20 % - Markeringsfarve2 4 6 3" xfId="4322" xr:uid="{00000000-0005-0000-0000-0000AB0F0000}"/>
    <cellStyle name="20 % - Markeringsfarve2 4 6 3 2" xfId="9601" xr:uid="{00000000-0005-0000-0000-0000AC0F0000}"/>
    <cellStyle name="20 % - Markeringsfarve2 4 6 3 2 2" xfId="17511" xr:uid="{00000000-0005-0000-0000-0000AD0F0000}"/>
    <cellStyle name="20 % - Markeringsfarve2 4 6 3 2 2 2" xfId="35671" xr:uid="{00000000-0005-0000-0000-0000AE0F0000}"/>
    <cellStyle name="20 % - Markeringsfarve2 4 6 3 2 3" xfId="28670" xr:uid="{00000000-0005-0000-0000-0000AF0F0000}"/>
    <cellStyle name="20 % - Markeringsfarve2 4 6 3 3" xfId="12876" xr:uid="{00000000-0005-0000-0000-0000B00F0000}"/>
    <cellStyle name="20 % - Markeringsfarve2 4 6 3 3 2" xfId="31043" xr:uid="{00000000-0005-0000-0000-0000B10F0000}"/>
    <cellStyle name="20 % - Markeringsfarve2 4 6 3 4" xfId="24041" xr:uid="{00000000-0005-0000-0000-0000B20F0000}"/>
    <cellStyle name="20 % - Markeringsfarve2 4 6 4" xfId="4323" xr:uid="{00000000-0005-0000-0000-0000B30F0000}"/>
    <cellStyle name="20 % - Markeringsfarve2 4 6 4 2" xfId="10448" xr:uid="{00000000-0005-0000-0000-0000B40F0000}"/>
    <cellStyle name="20 % - Markeringsfarve2 4 6 4 2 2" xfId="18345" xr:uid="{00000000-0005-0000-0000-0000B50F0000}"/>
    <cellStyle name="20 % - Markeringsfarve2 4 6 4 2 2 2" xfId="36505" xr:uid="{00000000-0005-0000-0000-0000B60F0000}"/>
    <cellStyle name="20 % - Markeringsfarve2 4 6 4 2 3" xfId="29504" xr:uid="{00000000-0005-0000-0000-0000B70F0000}"/>
    <cellStyle name="20 % - Markeringsfarve2 4 6 4 3" xfId="12877" xr:uid="{00000000-0005-0000-0000-0000B80F0000}"/>
    <cellStyle name="20 % - Markeringsfarve2 4 6 4 3 2" xfId="31044" xr:uid="{00000000-0005-0000-0000-0000B90F0000}"/>
    <cellStyle name="20 % - Markeringsfarve2 4 6 4 4" xfId="24042" xr:uid="{00000000-0005-0000-0000-0000BA0F0000}"/>
    <cellStyle name="20 % - Markeringsfarve2 4 6 5" xfId="7736" xr:uid="{00000000-0005-0000-0000-0000BB0F0000}"/>
    <cellStyle name="20 % - Markeringsfarve2 4 6 5 2" xfId="15654" xr:uid="{00000000-0005-0000-0000-0000BC0F0000}"/>
    <cellStyle name="20 % - Markeringsfarve2 4 6 5 2 2" xfId="33814" xr:uid="{00000000-0005-0000-0000-0000BD0F0000}"/>
    <cellStyle name="20 % - Markeringsfarve2 4 6 5 3" xfId="26813" xr:uid="{00000000-0005-0000-0000-0000BE0F0000}"/>
    <cellStyle name="20 % - Markeringsfarve2 4 6 6" xfId="12873" xr:uid="{00000000-0005-0000-0000-0000BF0F0000}"/>
    <cellStyle name="20 % - Markeringsfarve2 4 6 6 2" xfId="31040" xr:uid="{00000000-0005-0000-0000-0000C00F0000}"/>
    <cellStyle name="20 % - Markeringsfarve2 4 6 7" xfId="24038" xr:uid="{00000000-0005-0000-0000-0000C10F0000}"/>
    <cellStyle name="20 % - Markeringsfarve2 4 7" xfId="4324" xr:uid="{00000000-0005-0000-0000-0000C20F0000}"/>
    <cellStyle name="20 % - Markeringsfarve2 4 7 2" xfId="4325" xr:uid="{00000000-0005-0000-0000-0000C30F0000}"/>
    <cellStyle name="20 % - Markeringsfarve2 4 7 2 2" xfId="9758" xr:uid="{00000000-0005-0000-0000-0000C40F0000}"/>
    <cellStyle name="20 % - Markeringsfarve2 4 7 2 2 2" xfId="17659" xr:uid="{00000000-0005-0000-0000-0000C50F0000}"/>
    <cellStyle name="20 % - Markeringsfarve2 4 7 2 2 2 2" xfId="35819" xr:uid="{00000000-0005-0000-0000-0000C60F0000}"/>
    <cellStyle name="20 % - Markeringsfarve2 4 7 2 2 3" xfId="28818" xr:uid="{00000000-0005-0000-0000-0000C70F0000}"/>
    <cellStyle name="20 % - Markeringsfarve2 4 7 2 3" xfId="12879" xr:uid="{00000000-0005-0000-0000-0000C80F0000}"/>
    <cellStyle name="20 % - Markeringsfarve2 4 7 2 3 2" xfId="31046" xr:uid="{00000000-0005-0000-0000-0000C90F0000}"/>
    <cellStyle name="20 % - Markeringsfarve2 4 7 2 4" xfId="24044" xr:uid="{00000000-0005-0000-0000-0000CA0F0000}"/>
    <cellStyle name="20 % - Markeringsfarve2 4 7 3" xfId="8355" xr:uid="{00000000-0005-0000-0000-0000CB0F0000}"/>
    <cellStyle name="20 % - Markeringsfarve2 4 7 3 2" xfId="16272" xr:uid="{00000000-0005-0000-0000-0000CC0F0000}"/>
    <cellStyle name="20 % - Markeringsfarve2 4 7 3 2 2" xfId="34432" xr:uid="{00000000-0005-0000-0000-0000CD0F0000}"/>
    <cellStyle name="20 % - Markeringsfarve2 4 7 3 3" xfId="27431" xr:uid="{00000000-0005-0000-0000-0000CE0F0000}"/>
    <cellStyle name="20 % - Markeringsfarve2 4 7 4" xfId="12878" xr:uid="{00000000-0005-0000-0000-0000CF0F0000}"/>
    <cellStyle name="20 % - Markeringsfarve2 4 7 4 2" xfId="31045" xr:uid="{00000000-0005-0000-0000-0000D00F0000}"/>
    <cellStyle name="20 % - Markeringsfarve2 4 7 5" xfId="24043" xr:uid="{00000000-0005-0000-0000-0000D10F0000}"/>
    <cellStyle name="20 % - Markeringsfarve2 4 8" xfId="4326" xr:uid="{00000000-0005-0000-0000-0000D20F0000}"/>
    <cellStyle name="20 % - Markeringsfarve2 4 8 2" xfId="8986" xr:uid="{00000000-0005-0000-0000-0000D30F0000}"/>
    <cellStyle name="20 % - Markeringsfarve2 4 8 2 2" xfId="16897" xr:uid="{00000000-0005-0000-0000-0000D40F0000}"/>
    <cellStyle name="20 % - Markeringsfarve2 4 8 2 2 2" xfId="35057" xr:uid="{00000000-0005-0000-0000-0000D50F0000}"/>
    <cellStyle name="20 % - Markeringsfarve2 4 8 2 3" xfId="28056" xr:uid="{00000000-0005-0000-0000-0000D60F0000}"/>
    <cellStyle name="20 % - Markeringsfarve2 4 8 3" xfId="12880" xr:uid="{00000000-0005-0000-0000-0000D70F0000}"/>
    <cellStyle name="20 % - Markeringsfarve2 4 8 3 2" xfId="31047" xr:uid="{00000000-0005-0000-0000-0000D80F0000}"/>
    <cellStyle name="20 % - Markeringsfarve2 4 8 4" xfId="24045" xr:uid="{00000000-0005-0000-0000-0000D90F0000}"/>
    <cellStyle name="20 % - Markeringsfarve2 4 9" xfId="4327" xr:uid="{00000000-0005-0000-0000-0000DA0F0000}"/>
    <cellStyle name="20 % - Markeringsfarve2 4 9 2" xfId="11020" xr:uid="{00000000-0005-0000-0000-0000DB0F0000}"/>
    <cellStyle name="20 % - Markeringsfarve2 4 9 2 2" xfId="18896" xr:uid="{00000000-0005-0000-0000-0000DC0F0000}"/>
    <cellStyle name="20 % - Markeringsfarve2 4 9 2 2 2" xfId="37056" xr:uid="{00000000-0005-0000-0000-0000DD0F0000}"/>
    <cellStyle name="20 % - Markeringsfarve2 4 9 2 3" xfId="30055" xr:uid="{00000000-0005-0000-0000-0000DE0F0000}"/>
    <cellStyle name="20 % - Markeringsfarve2 4 9 3" xfId="12881" xr:uid="{00000000-0005-0000-0000-0000DF0F0000}"/>
    <cellStyle name="20 % - Markeringsfarve2 4 9 3 2" xfId="31048" xr:uid="{00000000-0005-0000-0000-0000E00F0000}"/>
    <cellStyle name="20 % - Markeringsfarve2 4 9 4" xfId="24046" xr:uid="{00000000-0005-0000-0000-0000E10F0000}"/>
    <cellStyle name="20 % - Markeringsfarve2 5" xfId="1794" xr:uid="{00000000-0005-0000-0000-0000E20F0000}"/>
    <cellStyle name="20 % - Markeringsfarve2 5 10" xfId="7737" xr:uid="{00000000-0005-0000-0000-0000E30F0000}"/>
    <cellStyle name="20 % - Markeringsfarve2 5 10 2" xfId="15655" xr:uid="{00000000-0005-0000-0000-0000E40F0000}"/>
    <cellStyle name="20 % - Markeringsfarve2 5 10 2 2" xfId="33815" xr:uid="{00000000-0005-0000-0000-0000E50F0000}"/>
    <cellStyle name="20 % - Markeringsfarve2 5 10 3" xfId="26814" xr:uid="{00000000-0005-0000-0000-0000E60F0000}"/>
    <cellStyle name="20 % - Markeringsfarve2 5 11" xfId="12882" xr:uid="{00000000-0005-0000-0000-0000E70F0000}"/>
    <cellStyle name="20 % - Markeringsfarve2 5 11 2" xfId="31049" xr:uid="{00000000-0005-0000-0000-0000E80F0000}"/>
    <cellStyle name="20 % - Markeringsfarve2 5 12" xfId="4328" xr:uid="{00000000-0005-0000-0000-0000E90F0000}"/>
    <cellStyle name="20 % - Markeringsfarve2 5 12 2" xfId="24047" xr:uid="{00000000-0005-0000-0000-0000EA0F0000}"/>
    <cellStyle name="20 % - Markeringsfarve2 5 13" xfId="21918" xr:uid="{00000000-0005-0000-0000-0000EB0F0000}"/>
    <cellStyle name="20 % - Markeringsfarve2 5 2" xfId="1795" xr:uid="{00000000-0005-0000-0000-0000EC0F0000}"/>
    <cellStyle name="20 % - Markeringsfarve2 5 2 2" xfId="4330" xr:uid="{00000000-0005-0000-0000-0000ED0F0000}"/>
    <cellStyle name="20 % - Markeringsfarve2 5 2 2 2" xfId="4331" xr:uid="{00000000-0005-0000-0000-0000EE0F0000}"/>
    <cellStyle name="20 % - Markeringsfarve2 5 2 2 2 2" xfId="9916" xr:uid="{00000000-0005-0000-0000-0000EF0F0000}"/>
    <cellStyle name="20 % - Markeringsfarve2 5 2 2 2 2 2" xfId="17817" xr:uid="{00000000-0005-0000-0000-0000F00F0000}"/>
    <cellStyle name="20 % - Markeringsfarve2 5 2 2 2 2 2 2" xfId="35977" xr:uid="{00000000-0005-0000-0000-0000F10F0000}"/>
    <cellStyle name="20 % - Markeringsfarve2 5 2 2 2 2 3" xfId="28976" xr:uid="{00000000-0005-0000-0000-0000F20F0000}"/>
    <cellStyle name="20 % - Markeringsfarve2 5 2 2 2 3" xfId="12885" xr:uid="{00000000-0005-0000-0000-0000F30F0000}"/>
    <cellStyle name="20 % - Markeringsfarve2 5 2 2 2 3 2" xfId="31052" xr:uid="{00000000-0005-0000-0000-0000F40F0000}"/>
    <cellStyle name="20 % - Markeringsfarve2 5 2 2 2 4" xfId="24050" xr:uid="{00000000-0005-0000-0000-0000F50F0000}"/>
    <cellStyle name="20 % - Markeringsfarve2 5 2 2 3" xfId="8487" xr:uid="{00000000-0005-0000-0000-0000F60F0000}"/>
    <cellStyle name="20 % - Markeringsfarve2 5 2 2 3 2" xfId="16404" xr:uid="{00000000-0005-0000-0000-0000F70F0000}"/>
    <cellStyle name="20 % - Markeringsfarve2 5 2 2 3 2 2" xfId="34564" xr:uid="{00000000-0005-0000-0000-0000F80F0000}"/>
    <cellStyle name="20 % - Markeringsfarve2 5 2 2 3 3" xfId="27563" xr:uid="{00000000-0005-0000-0000-0000F90F0000}"/>
    <cellStyle name="20 % - Markeringsfarve2 5 2 2 4" xfId="12884" xr:uid="{00000000-0005-0000-0000-0000FA0F0000}"/>
    <cellStyle name="20 % - Markeringsfarve2 5 2 2 4 2" xfId="31051" xr:uid="{00000000-0005-0000-0000-0000FB0F0000}"/>
    <cellStyle name="20 % - Markeringsfarve2 5 2 2 5" xfId="24049" xr:uid="{00000000-0005-0000-0000-0000FC0F0000}"/>
    <cellStyle name="20 % - Markeringsfarve2 5 2 3" xfId="4332" xr:uid="{00000000-0005-0000-0000-0000FD0F0000}"/>
    <cellStyle name="20 % - Markeringsfarve2 5 2 3 2" xfId="9146" xr:uid="{00000000-0005-0000-0000-0000FE0F0000}"/>
    <cellStyle name="20 % - Markeringsfarve2 5 2 3 2 2" xfId="17057" xr:uid="{00000000-0005-0000-0000-0000FF0F0000}"/>
    <cellStyle name="20 % - Markeringsfarve2 5 2 3 2 2 2" xfId="35217" xr:uid="{00000000-0005-0000-0000-000000100000}"/>
    <cellStyle name="20 % - Markeringsfarve2 5 2 3 2 3" xfId="28216" xr:uid="{00000000-0005-0000-0000-000001100000}"/>
    <cellStyle name="20 % - Markeringsfarve2 5 2 3 3" xfId="12886" xr:uid="{00000000-0005-0000-0000-000002100000}"/>
    <cellStyle name="20 % - Markeringsfarve2 5 2 3 3 2" xfId="31053" xr:uid="{00000000-0005-0000-0000-000003100000}"/>
    <cellStyle name="20 % - Markeringsfarve2 5 2 3 4" xfId="24051" xr:uid="{00000000-0005-0000-0000-000004100000}"/>
    <cellStyle name="20 % - Markeringsfarve2 5 2 4" xfId="4333" xr:uid="{00000000-0005-0000-0000-000005100000}"/>
    <cellStyle name="20 % - Markeringsfarve2 5 2 4 2" xfId="10549" xr:uid="{00000000-0005-0000-0000-000006100000}"/>
    <cellStyle name="20 % - Markeringsfarve2 5 2 4 2 2" xfId="18443" xr:uid="{00000000-0005-0000-0000-000007100000}"/>
    <cellStyle name="20 % - Markeringsfarve2 5 2 4 2 2 2" xfId="36603" xr:uid="{00000000-0005-0000-0000-000008100000}"/>
    <cellStyle name="20 % - Markeringsfarve2 5 2 4 2 3" xfId="29602" xr:uid="{00000000-0005-0000-0000-000009100000}"/>
    <cellStyle name="20 % - Markeringsfarve2 5 2 4 3" xfId="12887" xr:uid="{00000000-0005-0000-0000-00000A100000}"/>
    <cellStyle name="20 % - Markeringsfarve2 5 2 4 3 2" xfId="31054" xr:uid="{00000000-0005-0000-0000-00000B100000}"/>
    <cellStyle name="20 % - Markeringsfarve2 5 2 4 4" xfId="24052" xr:uid="{00000000-0005-0000-0000-00000C100000}"/>
    <cellStyle name="20 % - Markeringsfarve2 5 2 5" xfId="7738" xr:uid="{00000000-0005-0000-0000-00000D100000}"/>
    <cellStyle name="20 % - Markeringsfarve2 5 2 5 2" xfId="15656" xr:uid="{00000000-0005-0000-0000-00000E100000}"/>
    <cellStyle name="20 % - Markeringsfarve2 5 2 5 2 2" xfId="33816" xr:uid="{00000000-0005-0000-0000-00000F100000}"/>
    <cellStyle name="20 % - Markeringsfarve2 5 2 5 3" xfId="26815" xr:uid="{00000000-0005-0000-0000-000010100000}"/>
    <cellStyle name="20 % - Markeringsfarve2 5 2 6" xfId="12883" xr:uid="{00000000-0005-0000-0000-000011100000}"/>
    <cellStyle name="20 % - Markeringsfarve2 5 2 6 2" xfId="31050" xr:uid="{00000000-0005-0000-0000-000012100000}"/>
    <cellStyle name="20 % - Markeringsfarve2 5 2 7" xfId="4329" xr:uid="{00000000-0005-0000-0000-000013100000}"/>
    <cellStyle name="20 % - Markeringsfarve2 5 2 7 2" xfId="24048" xr:uid="{00000000-0005-0000-0000-000014100000}"/>
    <cellStyle name="20 % - Markeringsfarve2 5 2 8" xfId="21919" xr:uid="{00000000-0005-0000-0000-000015100000}"/>
    <cellStyle name="20 % - Markeringsfarve2 5 3" xfId="4334" xr:uid="{00000000-0005-0000-0000-000016100000}"/>
    <cellStyle name="20 % - Markeringsfarve2 5 3 2" xfId="4335" xr:uid="{00000000-0005-0000-0000-000017100000}"/>
    <cellStyle name="20 % - Markeringsfarve2 5 3 2 2" xfId="4336" xr:uid="{00000000-0005-0000-0000-000018100000}"/>
    <cellStyle name="20 % - Markeringsfarve2 5 3 2 2 2" xfId="9970" xr:uid="{00000000-0005-0000-0000-000019100000}"/>
    <cellStyle name="20 % - Markeringsfarve2 5 3 2 2 2 2" xfId="17871" xr:uid="{00000000-0005-0000-0000-00001A100000}"/>
    <cellStyle name="20 % - Markeringsfarve2 5 3 2 2 2 2 2" xfId="36031" xr:uid="{00000000-0005-0000-0000-00001B100000}"/>
    <cellStyle name="20 % - Markeringsfarve2 5 3 2 2 2 3" xfId="29030" xr:uid="{00000000-0005-0000-0000-00001C100000}"/>
    <cellStyle name="20 % - Markeringsfarve2 5 3 2 2 3" xfId="12890" xr:uid="{00000000-0005-0000-0000-00001D100000}"/>
    <cellStyle name="20 % - Markeringsfarve2 5 3 2 2 3 2" xfId="31057" xr:uid="{00000000-0005-0000-0000-00001E100000}"/>
    <cellStyle name="20 % - Markeringsfarve2 5 3 2 2 4" xfId="24055" xr:uid="{00000000-0005-0000-0000-00001F100000}"/>
    <cellStyle name="20 % - Markeringsfarve2 5 3 2 3" xfId="8534" xr:uid="{00000000-0005-0000-0000-000020100000}"/>
    <cellStyle name="20 % - Markeringsfarve2 5 3 2 3 2" xfId="16451" xr:uid="{00000000-0005-0000-0000-000021100000}"/>
    <cellStyle name="20 % - Markeringsfarve2 5 3 2 3 2 2" xfId="34611" xr:uid="{00000000-0005-0000-0000-000022100000}"/>
    <cellStyle name="20 % - Markeringsfarve2 5 3 2 3 3" xfId="27610" xr:uid="{00000000-0005-0000-0000-000023100000}"/>
    <cellStyle name="20 % - Markeringsfarve2 5 3 2 4" xfId="12889" xr:uid="{00000000-0005-0000-0000-000024100000}"/>
    <cellStyle name="20 % - Markeringsfarve2 5 3 2 4 2" xfId="31056" xr:uid="{00000000-0005-0000-0000-000025100000}"/>
    <cellStyle name="20 % - Markeringsfarve2 5 3 2 5" xfId="24054" xr:uid="{00000000-0005-0000-0000-000026100000}"/>
    <cellStyle name="20 % - Markeringsfarve2 5 3 3" xfId="4337" xr:uid="{00000000-0005-0000-0000-000027100000}"/>
    <cellStyle name="20 % - Markeringsfarve2 5 3 3 2" xfId="9200" xr:uid="{00000000-0005-0000-0000-000028100000}"/>
    <cellStyle name="20 % - Markeringsfarve2 5 3 3 2 2" xfId="17111" xr:uid="{00000000-0005-0000-0000-000029100000}"/>
    <cellStyle name="20 % - Markeringsfarve2 5 3 3 2 2 2" xfId="35271" xr:uid="{00000000-0005-0000-0000-00002A100000}"/>
    <cellStyle name="20 % - Markeringsfarve2 5 3 3 2 3" xfId="28270" xr:uid="{00000000-0005-0000-0000-00002B100000}"/>
    <cellStyle name="20 % - Markeringsfarve2 5 3 3 3" xfId="12891" xr:uid="{00000000-0005-0000-0000-00002C100000}"/>
    <cellStyle name="20 % - Markeringsfarve2 5 3 3 3 2" xfId="31058" xr:uid="{00000000-0005-0000-0000-00002D100000}"/>
    <cellStyle name="20 % - Markeringsfarve2 5 3 3 4" xfId="24056" xr:uid="{00000000-0005-0000-0000-00002E100000}"/>
    <cellStyle name="20 % - Markeringsfarve2 5 3 4" xfId="4338" xr:uid="{00000000-0005-0000-0000-00002F100000}"/>
    <cellStyle name="20 % - Markeringsfarve2 5 3 4 2" xfId="10548" xr:uid="{00000000-0005-0000-0000-000030100000}"/>
    <cellStyle name="20 % - Markeringsfarve2 5 3 4 2 2" xfId="18442" xr:uid="{00000000-0005-0000-0000-000031100000}"/>
    <cellStyle name="20 % - Markeringsfarve2 5 3 4 2 2 2" xfId="36602" xr:uid="{00000000-0005-0000-0000-000032100000}"/>
    <cellStyle name="20 % - Markeringsfarve2 5 3 4 2 3" xfId="29601" xr:uid="{00000000-0005-0000-0000-000033100000}"/>
    <cellStyle name="20 % - Markeringsfarve2 5 3 4 3" xfId="12892" xr:uid="{00000000-0005-0000-0000-000034100000}"/>
    <cellStyle name="20 % - Markeringsfarve2 5 3 4 3 2" xfId="31059" xr:uid="{00000000-0005-0000-0000-000035100000}"/>
    <cellStyle name="20 % - Markeringsfarve2 5 3 4 4" xfId="24057" xr:uid="{00000000-0005-0000-0000-000036100000}"/>
    <cellStyle name="20 % - Markeringsfarve2 5 3 5" xfId="7739" xr:uid="{00000000-0005-0000-0000-000037100000}"/>
    <cellStyle name="20 % - Markeringsfarve2 5 3 5 2" xfId="15657" xr:uid="{00000000-0005-0000-0000-000038100000}"/>
    <cellStyle name="20 % - Markeringsfarve2 5 3 5 2 2" xfId="33817" xr:uid="{00000000-0005-0000-0000-000039100000}"/>
    <cellStyle name="20 % - Markeringsfarve2 5 3 5 3" xfId="26816" xr:uid="{00000000-0005-0000-0000-00003A100000}"/>
    <cellStyle name="20 % - Markeringsfarve2 5 3 6" xfId="12888" xr:uid="{00000000-0005-0000-0000-00003B100000}"/>
    <cellStyle name="20 % - Markeringsfarve2 5 3 6 2" xfId="31055" xr:uid="{00000000-0005-0000-0000-00003C100000}"/>
    <cellStyle name="20 % - Markeringsfarve2 5 3 7" xfId="24053" xr:uid="{00000000-0005-0000-0000-00003D100000}"/>
    <cellStyle name="20 % - Markeringsfarve2 5 4" xfId="4339" xr:uid="{00000000-0005-0000-0000-00003E100000}"/>
    <cellStyle name="20 % - Markeringsfarve2 5 4 2" xfId="4340" xr:uid="{00000000-0005-0000-0000-00003F100000}"/>
    <cellStyle name="20 % - Markeringsfarve2 5 4 2 2" xfId="4341" xr:uid="{00000000-0005-0000-0000-000040100000}"/>
    <cellStyle name="20 % - Markeringsfarve2 5 4 2 2 2" xfId="10154" xr:uid="{00000000-0005-0000-0000-000041100000}"/>
    <cellStyle name="20 % - Markeringsfarve2 5 4 2 2 2 2" xfId="18055" xr:uid="{00000000-0005-0000-0000-000042100000}"/>
    <cellStyle name="20 % - Markeringsfarve2 5 4 2 2 2 2 2" xfId="36215" xr:uid="{00000000-0005-0000-0000-000043100000}"/>
    <cellStyle name="20 % - Markeringsfarve2 5 4 2 2 2 3" xfId="29214" xr:uid="{00000000-0005-0000-0000-000044100000}"/>
    <cellStyle name="20 % - Markeringsfarve2 5 4 2 2 3" xfId="12895" xr:uid="{00000000-0005-0000-0000-000045100000}"/>
    <cellStyle name="20 % - Markeringsfarve2 5 4 2 2 3 2" xfId="31062" xr:uid="{00000000-0005-0000-0000-000046100000}"/>
    <cellStyle name="20 % - Markeringsfarve2 5 4 2 2 4" xfId="24060" xr:uid="{00000000-0005-0000-0000-000047100000}"/>
    <cellStyle name="20 % - Markeringsfarve2 5 4 2 3" xfId="8689" xr:uid="{00000000-0005-0000-0000-000048100000}"/>
    <cellStyle name="20 % - Markeringsfarve2 5 4 2 3 2" xfId="16603" xr:uid="{00000000-0005-0000-0000-000049100000}"/>
    <cellStyle name="20 % - Markeringsfarve2 5 4 2 3 2 2" xfId="34763" xr:uid="{00000000-0005-0000-0000-00004A100000}"/>
    <cellStyle name="20 % - Markeringsfarve2 5 4 2 3 3" xfId="27762" xr:uid="{00000000-0005-0000-0000-00004B100000}"/>
    <cellStyle name="20 % - Markeringsfarve2 5 4 2 4" xfId="12894" xr:uid="{00000000-0005-0000-0000-00004C100000}"/>
    <cellStyle name="20 % - Markeringsfarve2 5 4 2 4 2" xfId="31061" xr:uid="{00000000-0005-0000-0000-00004D100000}"/>
    <cellStyle name="20 % - Markeringsfarve2 5 4 2 5" xfId="24059" xr:uid="{00000000-0005-0000-0000-00004E100000}"/>
    <cellStyle name="20 % - Markeringsfarve2 5 4 3" xfId="4342" xr:uid="{00000000-0005-0000-0000-00004F100000}"/>
    <cellStyle name="20 % - Markeringsfarve2 5 4 3 2" xfId="9430" xr:uid="{00000000-0005-0000-0000-000050100000}"/>
    <cellStyle name="20 % - Markeringsfarve2 5 4 3 2 2" xfId="17340" xr:uid="{00000000-0005-0000-0000-000051100000}"/>
    <cellStyle name="20 % - Markeringsfarve2 5 4 3 2 2 2" xfId="35500" xr:uid="{00000000-0005-0000-0000-000052100000}"/>
    <cellStyle name="20 % - Markeringsfarve2 5 4 3 2 3" xfId="28499" xr:uid="{00000000-0005-0000-0000-000053100000}"/>
    <cellStyle name="20 % - Markeringsfarve2 5 4 3 3" xfId="12896" xr:uid="{00000000-0005-0000-0000-000054100000}"/>
    <cellStyle name="20 % - Markeringsfarve2 5 4 3 3 2" xfId="31063" xr:uid="{00000000-0005-0000-0000-000055100000}"/>
    <cellStyle name="20 % - Markeringsfarve2 5 4 3 4" xfId="24061" xr:uid="{00000000-0005-0000-0000-000056100000}"/>
    <cellStyle name="20 % - Markeringsfarve2 5 4 4" xfId="4343" xr:uid="{00000000-0005-0000-0000-000057100000}"/>
    <cellStyle name="20 % - Markeringsfarve2 5 4 4 2" xfId="10547" xr:uid="{00000000-0005-0000-0000-000058100000}"/>
    <cellStyle name="20 % - Markeringsfarve2 5 4 4 2 2" xfId="18441" xr:uid="{00000000-0005-0000-0000-000059100000}"/>
    <cellStyle name="20 % - Markeringsfarve2 5 4 4 2 2 2" xfId="36601" xr:uid="{00000000-0005-0000-0000-00005A100000}"/>
    <cellStyle name="20 % - Markeringsfarve2 5 4 4 2 3" xfId="29600" xr:uid="{00000000-0005-0000-0000-00005B100000}"/>
    <cellStyle name="20 % - Markeringsfarve2 5 4 4 3" xfId="12897" xr:uid="{00000000-0005-0000-0000-00005C100000}"/>
    <cellStyle name="20 % - Markeringsfarve2 5 4 4 3 2" xfId="31064" xr:uid="{00000000-0005-0000-0000-00005D100000}"/>
    <cellStyle name="20 % - Markeringsfarve2 5 4 4 4" xfId="24062" xr:uid="{00000000-0005-0000-0000-00005E100000}"/>
    <cellStyle name="20 % - Markeringsfarve2 5 4 5" xfId="7740" xr:uid="{00000000-0005-0000-0000-00005F100000}"/>
    <cellStyle name="20 % - Markeringsfarve2 5 4 5 2" xfId="15658" xr:uid="{00000000-0005-0000-0000-000060100000}"/>
    <cellStyle name="20 % - Markeringsfarve2 5 4 5 2 2" xfId="33818" xr:uid="{00000000-0005-0000-0000-000061100000}"/>
    <cellStyle name="20 % - Markeringsfarve2 5 4 5 3" xfId="26817" xr:uid="{00000000-0005-0000-0000-000062100000}"/>
    <cellStyle name="20 % - Markeringsfarve2 5 4 6" xfId="12893" xr:uid="{00000000-0005-0000-0000-000063100000}"/>
    <cellStyle name="20 % - Markeringsfarve2 5 4 6 2" xfId="31060" xr:uid="{00000000-0005-0000-0000-000064100000}"/>
    <cellStyle name="20 % - Markeringsfarve2 5 4 7" xfId="24058" xr:uid="{00000000-0005-0000-0000-000065100000}"/>
    <cellStyle name="20 % - Markeringsfarve2 5 5" xfId="4344" xr:uid="{00000000-0005-0000-0000-000066100000}"/>
    <cellStyle name="20 % - Markeringsfarve2 5 5 2" xfId="4345" xr:uid="{00000000-0005-0000-0000-000067100000}"/>
    <cellStyle name="20 % - Markeringsfarve2 5 5 2 2" xfId="4346" xr:uid="{00000000-0005-0000-0000-000068100000}"/>
    <cellStyle name="20 % - Markeringsfarve2 5 5 2 2 2" xfId="10271" xr:uid="{00000000-0005-0000-0000-000069100000}"/>
    <cellStyle name="20 % - Markeringsfarve2 5 5 2 2 2 2" xfId="18172" xr:uid="{00000000-0005-0000-0000-00006A100000}"/>
    <cellStyle name="20 % - Markeringsfarve2 5 5 2 2 2 2 2" xfId="36332" xr:uid="{00000000-0005-0000-0000-00006B100000}"/>
    <cellStyle name="20 % - Markeringsfarve2 5 5 2 2 2 3" xfId="29331" xr:uid="{00000000-0005-0000-0000-00006C100000}"/>
    <cellStyle name="20 % - Markeringsfarve2 5 5 2 2 3" xfId="12900" xr:uid="{00000000-0005-0000-0000-00006D100000}"/>
    <cellStyle name="20 % - Markeringsfarve2 5 5 2 2 3 2" xfId="31067" xr:uid="{00000000-0005-0000-0000-00006E100000}"/>
    <cellStyle name="20 % - Markeringsfarve2 5 5 2 2 4" xfId="24065" xr:uid="{00000000-0005-0000-0000-00006F100000}"/>
    <cellStyle name="20 % - Markeringsfarve2 5 5 2 3" xfId="8788" xr:uid="{00000000-0005-0000-0000-000070100000}"/>
    <cellStyle name="20 % - Markeringsfarve2 5 5 2 3 2" xfId="16702" xr:uid="{00000000-0005-0000-0000-000071100000}"/>
    <cellStyle name="20 % - Markeringsfarve2 5 5 2 3 2 2" xfId="34862" xr:uid="{00000000-0005-0000-0000-000072100000}"/>
    <cellStyle name="20 % - Markeringsfarve2 5 5 2 3 3" xfId="27861" xr:uid="{00000000-0005-0000-0000-000073100000}"/>
    <cellStyle name="20 % - Markeringsfarve2 5 5 2 4" xfId="12899" xr:uid="{00000000-0005-0000-0000-000074100000}"/>
    <cellStyle name="20 % - Markeringsfarve2 5 5 2 4 2" xfId="31066" xr:uid="{00000000-0005-0000-0000-000075100000}"/>
    <cellStyle name="20 % - Markeringsfarve2 5 5 2 5" xfId="24064" xr:uid="{00000000-0005-0000-0000-000076100000}"/>
    <cellStyle name="20 % - Markeringsfarve2 5 5 3" xfId="4347" xr:uid="{00000000-0005-0000-0000-000077100000}"/>
    <cellStyle name="20 % - Markeringsfarve2 5 5 3 2" xfId="9547" xr:uid="{00000000-0005-0000-0000-000078100000}"/>
    <cellStyle name="20 % - Markeringsfarve2 5 5 3 2 2" xfId="17457" xr:uid="{00000000-0005-0000-0000-000079100000}"/>
    <cellStyle name="20 % - Markeringsfarve2 5 5 3 2 2 2" xfId="35617" xr:uid="{00000000-0005-0000-0000-00007A100000}"/>
    <cellStyle name="20 % - Markeringsfarve2 5 5 3 2 3" xfId="28616" xr:uid="{00000000-0005-0000-0000-00007B100000}"/>
    <cellStyle name="20 % - Markeringsfarve2 5 5 3 3" xfId="12901" xr:uid="{00000000-0005-0000-0000-00007C100000}"/>
    <cellStyle name="20 % - Markeringsfarve2 5 5 3 3 2" xfId="31068" xr:uid="{00000000-0005-0000-0000-00007D100000}"/>
    <cellStyle name="20 % - Markeringsfarve2 5 5 3 4" xfId="24066" xr:uid="{00000000-0005-0000-0000-00007E100000}"/>
    <cellStyle name="20 % - Markeringsfarve2 5 5 4" xfId="4348" xr:uid="{00000000-0005-0000-0000-00007F100000}"/>
    <cellStyle name="20 % - Markeringsfarve2 5 5 4 2" xfId="9064" xr:uid="{00000000-0005-0000-0000-000080100000}"/>
    <cellStyle name="20 % - Markeringsfarve2 5 5 4 2 2" xfId="16975" xr:uid="{00000000-0005-0000-0000-000081100000}"/>
    <cellStyle name="20 % - Markeringsfarve2 5 5 4 2 2 2" xfId="35135" xr:uid="{00000000-0005-0000-0000-000082100000}"/>
    <cellStyle name="20 % - Markeringsfarve2 5 5 4 2 3" xfId="28134" xr:uid="{00000000-0005-0000-0000-000083100000}"/>
    <cellStyle name="20 % - Markeringsfarve2 5 5 4 3" xfId="12902" xr:uid="{00000000-0005-0000-0000-000084100000}"/>
    <cellStyle name="20 % - Markeringsfarve2 5 5 4 3 2" xfId="31069" xr:uid="{00000000-0005-0000-0000-000085100000}"/>
    <cellStyle name="20 % - Markeringsfarve2 5 5 4 4" xfId="24067" xr:uid="{00000000-0005-0000-0000-000086100000}"/>
    <cellStyle name="20 % - Markeringsfarve2 5 5 5" xfId="7741" xr:uid="{00000000-0005-0000-0000-000087100000}"/>
    <cellStyle name="20 % - Markeringsfarve2 5 5 5 2" xfId="15659" xr:uid="{00000000-0005-0000-0000-000088100000}"/>
    <cellStyle name="20 % - Markeringsfarve2 5 5 5 2 2" xfId="33819" xr:uid="{00000000-0005-0000-0000-000089100000}"/>
    <cellStyle name="20 % - Markeringsfarve2 5 5 5 3" xfId="26818" xr:uid="{00000000-0005-0000-0000-00008A100000}"/>
    <cellStyle name="20 % - Markeringsfarve2 5 5 6" xfId="12898" xr:uid="{00000000-0005-0000-0000-00008B100000}"/>
    <cellStyle name="20 % - Markeringsfarve2 5 5 6 2" xfId="31065" xr:uid="{00000000-0005-0000-0000-00008C100000}"/>
    <cellStyle name="20 % - Markeringsfarve2 5 5 7" xfId="24063" xr:uid="{00000000-0005-0000-0000-00008D100000}"/>
    <cellStyle name="20 % - Markeringsfarve2 5 6" xfId="4349" xr:uid="{00000000-0005-0000-0000-00008E100000}"/>
    <cellStyle name="20 % - Markeringsfarve2 5 6 2" xfId="4350" xr:uid="{00000000-0005-0000-0000-00008F100000}"/>
    <cellStyle name="20 % - Markeringsfarve2 5 6 2 2" xfId="4351" xr:uid="{00000000-0005-0000-0000-000090100000}"/>
    <cellStyle name="20 % - Markeringsfarve2 5 6 2 2 2" xfId="10325" xr:uid="{00000000-0005-0000-0000-000091100000}"/>
    <cellStyle name="20 % - Markeringsfarve2 5 6 2 2 2 2" xfId="18226" xr:uid="{00000000-0005-0000-0000-000092100000}"/>
    <cellStyle name="20 % - Markeringsfarve2 5 6 2 2 2 2 2" xfId="36386" xr:uid="{00000000-0005-0000-0000-000093100000}"/>
    <cellStyle name="20 % - Markeringsfarve2 5 6 2 2 2 3" xfId="29385" xr:uid="{00000000-0005-0000-0000-000094100000}"/>
    <cellStyle name="20 % - Markeringsfarve2 5 6 2 2 3" xfId="12905" xr:uid="{00000000-0005-0000-0000-000095100000}"/>
    <cellStyle name="20 % - Markeringsfarve2 5 6 2 2 3 2" xfId="31072" xr:uid="{00000000-0005-0000-0000-000096100000}"/>
    <cellStyle name="20 % - Markeringsfarve2 5 6 2 2 4" xfId="24070" xr:uid="{00000000-0005-0000-0000-000097100000}"/>
    <cellStyle name="20 % - Markeringsfarve2 5 6 2 3" xfId="8836" xr:uid="{00000000-0005-0000-0000-000098100000}"/>
    <cellStyle name="20 % - Markeringsfarve2 5 6 2 3 2" xfId="16750" xr:uid="{00000000-0005-0000-0000-000099100000}"/>
    <cellStyle name="20 % - Markeringsfarve2 5 6 2 3 2 2" xfId="34910" xr:uid="{00000000-0005-0000-0000-00009A100000}"/>
    <cellStyle name="20 % - Markeringsfarve2 5 6 2 3 3" xfId="27909" xr:uid="{00000000-0005-0000-0000-00009B100000}"/>
    <cellStyle name="20 % - Markeringsfarve2 5 6 2 4" xfId="12904" xr:uid="{00000000-0005-0000-0000-00009C100000}"/>
    <cellStyle name="20 % - Markeringsfarve2 5 6 2 4 2" xfId="31071" xr:uid="{00000000-0005-0000-0000-00009D100000}"/>
    <cellStyle name="20 % - Markeringsfarve2 5 6 2 5" xfId="24069" xr:uid="{00000000-0005-0000-0000-00009E100000}"/>
    <cellStyle name="20 % - Markeringsfarve2 5 6 3" xfId="4352" xr:uid="{00000000-0005-0000-0000-00009F100000}"/>
    <cellStyle name="20 % - Markeringsfarve2 5 6 3 2" xfId="9602" xr:uid="{00000000-0005-0000-0000-0000A0100000}"/>
    <cellStyle name="20 % - Markeringsfarve2 5 6 3 2 2" xfId="17512" xr:uid="{00000000-0005-0000-0000-0000A1100000}"/>
    <cellStyle name="20 % - Markeringsfarve2 5 6 3 2 2 2" xfId="35672" xr:uid="{00000000-0005-0000-0000-0000A2100000}"/>
    <cellStyle name="20 % - Markeringsfarve2 5 6 3 2 3" xfId="28671" xr:uid="{00000000-0005-0000-0000-0000A3100000}"/>
    <cellStyle name="20 % - Markeringsfarve2 5 6 3 3" xfId="12906" xr:uid="{00000000-0005-0000-0000-0000A4100000}"/>
    <cellStyle name="20 % - Markeringsfarve2 5 6 3 3 2" xfId="31073" xr:uid="{00000000-0005-0000-0000-0000A5100000}"/>
    <cellStyle name="20 % - Markeringsfarve2 5 6 3 4" xfId="24071" xr:uid="{00000000-0005-0000-0000-0000A6100000}"/>
    <cellStyle name="20 % - Markeringsfarve2 5 6 4" xfId="4353" xr:uid="{00000000-0005-0000-0000-0000A7100000}"/>
    <cellStyle name="20 % - Markeringsfarve2 5 6 4 2" xfId="8922" xr:uid="{00000000-0005-0000-0000-0000A8100000}"/>
    <cellStyle name="20 % - Markeringsfarve2 5 6 4 2 2" xfId="16835" xr:uid="{00000000-0005-0000-0000-0000A9100000}"/>
    <cellStyle name="20 % - Markeringsfarve2 5 6 4 2 2 2" xfId="34995" xr:uid="{00000000-0005-0000-0000-0000AA100000}"/>
    <cellStyle name="20 % - Markeringsfarve2 5 6 4 2 3" xfId="27994" xr:uid="{00000000-0005-0000-0000-0000AB100000}"/>
    <cellStyle name="20 % - Markeringsfarve2 5 6 4 3" xfId="12907" xr:uid="{00000000-0005-0000-0000-0000AC100000}"/>
    <cellStyle name="20 % - Markeringsfarve2 5 6 4 3 2" xfId="31074" xr:uid="{00000000-0005-0000-0000-0000AD100000}"/>
    <cellStyle name="20 % - Markeringsfarve2 5 6 4 4" xfId="24072" xr:uid="{00000000-0005-0000-0000-0000AE100000}"/>
    <cellStyle name="20 % - Markeringsfarve2 5 6 5" xfId="7742" xr:uid="{00000000-0005-0000-0000-0000AF100000}"/>
    <cellStyle name="20 % - Markeringsfarve2 5 6 5 2" xfId="15660" xr:uid="{00000000-0005-0000-0000-0000B0100000}"/>
    <cellStyle name="20 % - Markeringsfarve2 5 6 5 2 2" xfId="33820" xr:uid="{00000000-0005-0000-0000-0000B1100000}"/>
    <cellStyle name="20 % - Markeringsfarve2 5 6 5 3" xfId="26819" xr:uid="{00000000-0005-0000-0000-0000B2100000}"/>
    <cellStyle name="20 % - Markeringsfarve2 5 6 6" xfId="12903" xr:uid="{00000000-0005-0000-0000-0000B3100000}"/>
    <cellStyle name="20 % - Markeringsfarve2 5 6 6 2" xfId="31070" xr:uid="{00000000-0005-0000-0000-0000B4100000}"/>
    <cellStyle name="20 % - Markeringsfarve2 5 6 7" xfId="24068" xr:uid="{00000000-0005-0000-0000-0000B5100000}"/>
    <cellStyle name="20 % - Markeringsfarve2 5 7" xfId="4354" xr:uid="{00000000-0005-0000-0000-0000B6100000}"/>
    <cellStyle name="20 % - Markeringsfarve2 5 7 2" xfId="4355" xr:uid="{00000000-0005-0000-0000-0000B7100000}"/>
    <cellStyle name="20 % - Markeringsfarve2 5 7 2 2" xfId="9797" xr:uid="{00000000-0005-0000-0000-0000B8100000}"/>
    <cellStyle name="20 % - Markeringsfarve2 5 7 2 2 2" xfId="17698" xr:uid="{00000000-0005-0000-0000-0000B9100000}"/>
    <cellStyle name="20 % - Markeringsfarve2 5 7 2 2 2 2" xfId="35858" xr:uid="{00000000-0005-0000-0000-0000BA100000}"/>
    <cellStyle name="20 % - Markeringsfarve2 5 7 2 2 3" xfId="28857" xr:uid="{00000000-0005-0000-0000-0000BB100000}"/>
    <cellStyle name="20 % - Markeringsfarve2 5 7 2 3" xfId="12909" xr:uid="{00000000-0005-0000-0000-0000BC100000}"/>
    <cellStyle name="20 % - Markeringsfarve2 5 7 2 3 2" xfId="31076" xr:uid="{00000000-0005-0000-0000-0000BD100000}"/>
    <cellStyle name="20 % - Markeringsfarve2 5 7 2 4" xfId="24074" xr:uid="{00000000-0005-0000-0000-0000BE100000}"/>
    <cellStyle name="20 % - Markeringsfarve2 5 7 3" xfId="8388" xr:uid="{00000000-0005-0000-0000-0000BF100000}"/>
    <cellStyle name="20 % - Markeringsfarve2 5 7 3 2" xfId="16305" xr:uid="{00000000-0005-0000-0000-0000C0100000}"/>
    <cellStyle name="20 % - Markeringsfarve2 5 7 3 2 2" xfId="34465" xr:uid="{00000000-0005-0000-0000-0000C1100000}"/>
    <cellStyle name="20 % - Markeringsfarve2 5 7 3 3" xfId="27464" xr:uid="{00000000-0005-0000-0000-0000C2100000}"/>
    <cellStyle name="20 % - Markeringsfarve2 5 7 4" xfId="12908" xr:uid="{00000000-0005-0000-0000-0000C3100000}"/>
    <cellStyle name="20 % - Markeringsfarve2 5 7 4 2" xfId="31075" xr:uid="{00000000-0005-0000-0000-0000C4100000}"/>
    <cellStyle name="20 % - Markeringsfarve2 5 7 5" xfId="24073" xr:uid="{00000000-0005-0000-0000-0000C5100000}"/>
    <cellStyle name="20 % - Markeringsfarve2 5 8" xfId="4356" xr:uid="{00000000-0005-0000-0000-0000C6100000}"/>
    <cellStyle name="20 % - Markeringsfarve2 5 8 2" xfId="9025" xr:uid="{00000000-0005-0000-0000-0000C7100000}"/>
    <cellStyle name="20 % - Markeringsfarve2 5 8 2 2" xfId="16936" xr:uid="{00000000-0005-0000-0000-0000C8100000}"/>
    <cellStyle name="20 % - Markeringsfarve2 5 8 2 2 2" xfId="35096" xr:uid="{00000000-0005-0000-0000-0000C9100000}"/>
    <cellStyle name="20 % - Markeringsfarve2 5 8 2 3" xfId="28095" xr:uid="{00000000-0005-0000-0000-0000CA100000}"/>
    <cellStyle name="20 % - Markeringsfarve2 5 8 3" xfId="12910" xr:uid="{00000000-0005-0000-0000-0000CB100000}"/>
    <cellStyle name="20 % - Markeringsfarve2 5 8 3 2" xfId="31077" xr:uid="{00000000-0005-0000-0000-0000CC100000}"/>
    <cellStyle name="20 % - Markeringsfarve2 5 8 4" xfId="24075" xr:uid="{00000000-0005-0000-0000-0000CD100000}"/>
    <cellStyle name="20 % - Markeringsfarve2 5 9" xfId="4357" xr:uid="{00000000-0005-0000-0000-0000CE100000}"/>
    <cellStyle name="20 % - Markeringsfarve2 5 9 2" xfId="10885" xr:uid="{00000000-0005-0000-0000-0000CF100000}"/>
    <cellStyle name="20 % - Markeringsfarve2 5 9 2 2" xfId="18768" xr:uid="{00000000-0005-0000-0000-0000D0100000}"/>
    <cellStyle name="20 % - Markeringsfarve2 5 9 2 2 2" xfId="36928" xr:uid="{00000000-0005-0000-0000-0000D1100000}"/>
    <cellStyle name="20 % - Markeringsfarve2 5 9 2 3" xfId="29927" xr:uid="{00000000-0005-0000-0000-0000D2100000}"/>
    <cellStyle name="20 % - Markeringsfarve2 5 9 3" xfId="12911" xr:uid="{00000000-0005-0000-0000-0000D3100000}"/>
    <cellStyle name="20 % - Markeringsfarve2 5 9 3 2" xfId="31078" xr:uid="{00000000-0005-0000-0000-0000D4100000}"/>
    <cellStyle name="20 % - Markeringsfarve2 5 9 4" xfId="24076" xr:uid="{00000000-0005-0000-0000-0000D5100000}"/>
    <cellStyle name="20 % - Markeringsfarve2 6" xfId="1796" xr:uid="{00000000-0005-0000-0000-0000D6100000}"/>
    <cellStyle name="20 % - Markeringsfarve2 6 2" xfId="1797" xr:uid="{00000000-0005-0000-0000-0000D7100000}"/>
    <cellStyle name="20 % - Markeringsfarve2 6 2 2" xfId="4360" xr:uid="{00000000-0005-0000-0000-0000D8100000}"/>
    <cellStyle name="20 % - Markeringsfarve2 6 2 2 2" xfId="4361" xr:uid="{00000000-0005-0000-0000-0000D9100000}"/>
    <cellStyle name="20 % - Markeringsfarve2 6 2 2 2 2" xfId="9971" xr:uid="{00000000-0005-0000-0000-0000DA100000}"/>
    <cellStyle name="20 % - Markeringsfarve2 6 2 2 2 2 2" xfId="17872" xr:uid="{00000000-0005-0000-0000-0000DB100000}"/>
    <cellStyle name="20 % - Markeringsfarve2 6 2 2 2 2 2 2" xfId="36032" xr:uid="{00000000-0005-0000-0000-0000DC100000}"/>
    <cellStyle name="20 % - Markeringsfarve2 6 2 2 2 2 3" xfId="29031" xr:uid="{00000000-0005-0000-0000-0000DD100000}"/>
    <cellStyle name="20 % - Markeringsfarve2 6 2 2 2 3" xfId="12915" xr:uid="{00000000-0005-0000-0000-0000DE100000}"/>
    <cellStyle name="20 % - Markeringsfarve2 6 2 2 2 3 2" xfId="31082" xr:uid="{00000000-0005-0000-0000-0000DF100000}"/>
    <cellStyle name="20 % - Markeringsfarve2 6 2 2 2 4" xfId="24080" xr:uid="{00000000-0005-0000-0000-0000E0100000}"/>
    <cellStyle name="20 % - Markeringsfarve2 6 2 2 3" xfId="8535" xr:uid="{00000000-0005-0000-0000-0000E1100000}"/>
    <cellStyle name="20 % - Markeringsfarve2 6 2 2 3 2" xfId="16452" xr:uid="{00000000-0005-0000-0000-0000E2100000}"/>
    <cellStyle name="20 % - Markeringsfarve2 6 2 2 3 2 2" xfId="34612" xr:uid="{00000000-0005-0000-0000-0000E3100000}"/>
    <cellStyle name="20 % - Markeringsfarve2 6 2 2 3 3" xfId="27611" xr:uid="{00000000-0005-0000-0000-0000E4100000}"/>
    <cellStyle name="20 % - Markeringsfarve2 6 2 2 4" xfId="12914" xr:uid="{00000000-0005-0000-0000-0000E5100000}"/>
    <cellStyle name="20 % - Markeringsfarve2 6 2 2 4 2" xfId="31081" xr:uid="{00000000-0005-0000-0000-0000E6100000}"/>
    <cellStyle name="20 % - Markeringsfarve2 6 2 2 5" xfId="24079" xr:uid="{00000000-0005-0000-0000-0000E7100000}"/>
    <cellStyle name="20 % - Markeringsfarve2 6 2 3" xfId="4362" xr:uid="{00000000-0005-0000-0000-0000E8100000}"/>
    <cellStyle name="20 % - Markeringsfarve2 6 2 3 2" xfId="9201" xr:uid="{00000000-0005-0000-0000-0000E9100000}"/>
    <cellStyle name="20 % - Markeringsfarve2 6 2 3 2 2" xfId="17112" xr:uid="{00000000-0005-0000-0000-0000EA100000}"/>
    <cellStyle name="20 % - Markeringsfarve2 6 2 3 2 2 2" xfId="35272" xr:uid="{00000000-0005-0000-0000-0000EB100000}"/>
    <cellStyle name="20 % - Markeringsfarve2 6 2 3 2 3" xfId="28271" xr:uid="{00000000-0005-0000-0000-0000EC100000}"/>
    <cellStyle name="20 % - Markeringsfarve2 6 2 3 3" xfId="12916" xr:uid="{00000000-0005-0000-0000-0000ED100000}"/>
    <cellStyle name="20 % - Markeringsfarve2 6 2 3 3 2" xfId="31083" xr:uid="{00000000-0005-0000-0000-0000EE100000}"/>
    <cellStyle name="20 % - Markeringsfarve2 6 2 3 4" xfId="24081" xr:uid="{00000000-0005-0000-0000-0000EF100000}"/>
    <cellStyle name="20 % - Markeringsfarve2 6 2 4" xfId="4363" xr:uid="{00000000-0005-0000-0000-0000F0100000}"/>
    <cellStyle name="20 % - Markeringsfarve2 6 2 4 2" xfId="10759" xr:uid="{00000000-0005-0000-0000-0000F1100000}"/>
    <cellStyle name="20 % - Markeringsfarve2 6 2 4 2 2" xfId="18647" xr:uid="{00000000-0005-0000-0000-0000F2100000}"/>
    <cellStyle name="20 % - Markeringsfarve2 6 2 4 2 2 2" xfId="36807" xr:uid="{00000000-0005-0000-0000-0000F3100000}"/>
    <cellStyle name="20 % - Markeringsfarve2 6 2 4 2 3" xfId="29806" xr:uid="{00000000-0005-0000-0000-0000F4100000}"/>
    <cellStyle name="20 % - Markeringsfarve2 6 2 4 3" xfId="12917" xr:uid="{00000000-0005-0000-0000-0000F5100000}"/>
    <cellStyle name="20 % - Markeringsfarve2 6 2 4 3 2" xfId="31084" xr:uid="{00000000-0005-0000-0000-0000F6100000}"/>
    <cellStyle name="20 % - Markeringsfarve2 6 2 4 4" xfId="24082" xr:uid="{00000000-0005-0000-0000-0000F7100000}"/>
    <cellStyle name="20 % - Markeringsfarve2 6 2 5" xfId="7744" xr:uid="{00000000-0005-0000-0000-0000F8100000}"/>
    <cellStyle name="20 % - Markeringsfarve2 6 2 5 2" xfId="15662" xr:uid="{00000000-0005-0000-0000-0000F9100000}"/>
    <cellStyle name="20 % - Markeringsfarve2 6 2 5 2 2" xfId="33822" xr:uid="{00000000-0005-0000-0000-0000FA100000}"/>
    <cellStyle name="20 % - Markeringsfarve2 6 2 5 3" xfId="26821" xr:uid="{00000000-0005-0000-0000-0000FB100000}"/>
    <cellStyle name="20 % - Markeringsfarve2 6 2 6" xfId="12913" xr:uid="{00000000-0005-0000-0000-0000FC100000}"/>
    <cellStyle name="20 % - Markeringsfarve2 6 2 6 2" xfId="31080" xr:uid="{00000000-0005-0000-0000-0000FD100000}"/>
    <cellStyle name="20 % - Markeringsfarve2 6 2 7" xfId="4359" xr:uid="{00000000-0005-0000-0000-0000FE100000}"/>
    <cellStyle name="20 % - Markeringsfarve2 6 2 7 2" xfId="24078" xr:uid="{00000000-0005-0000-0000-0000FF100000}"/>
    <cellStyle name="20 % - Markeringsfarve2 6 2 8" xfId="21921" xr:uid="{00000000-0005-0000-0000-000000110000}"/>
    <cellStyle name="20 % - Markeringsfarve2 6 3" xfId="4364" xr:uid="{00000000-0005-0000-0000-000001110000}"/>
    <cellStyle name="20 % - Markeringsfarve2 6 3 2" xfId="4365" xr:uid="{00000000-0005-0000-0000-000002110000}"/>
    <cellStyle name="20 % - Markeringsfarve2 6 3 2 2" xfId="9838" xr:uid="{00000000-0005-0000-0000-000003110000}"/>
    <cellStyle name="20 % - Markeringsfarve2 6 3 2 2 2" xfId="17739" xr:uid="{00000000-0005-0000-0000-000004110000}"/>
    <cellStyle name="20 % - Markeringsfarve2 6 3 2 2 2 2" xfId="35899" xr:uid="{00000000-0005-0000-0000-000005110000}"/>
    <cellStyle name="20 % - Markeringsfarve2 6 3 2 2 3" xfId="28898" xr:uid="{00000000-0005-0000-0000-000006110000}"/>
    <cellStyle name="20 % - Markeringsfarve2 6 3 2 3" xfId="12919" xr:uid="{00000000-0005-0000-0000-000007110000}"/>
    <cellStyle name="20 % - Markeringsfarve2 6 3 2 3 2" xfId="31086" xr:uid="{00000000-0005-0000-0000-000008110000}"/>
    <cellStyle name="20 % - Markeringsfarve2 6 3 2 4" xfId="24084" xr:uid="{00000000-0005-0000-0000-000009110000}"/>
    <cellStyle name="20 % - Markeringsfarve2 6 3 3" xfId="8421" xr:uid="{00000000-0005-0000-0000-00000A110000}"/>
    <cellStyle name="20 % - Markeringsfarve2 6 3 3 2" xfId="16338" xr:uid="{00000000-0005-0000-0000-00000B110000}"/>
    <cellStyle name="20 % - Markeringsfarve2 6 3 3 2 2" xfId="34498" xr:uid="{00000000-0005-0000-0000-00000C110000}"/>
    <cellStyle name="20 % - Markeringsfarve2 6 3 3 3" xfId="27497" xr:uid="{00000000-0005-0000-0000-00000D110000}"/>
    <cellStyle name="20 % - Markeringsfarve2 6 3 4" xfId="12918" xr:uid="{00000000-0005-0000-0000-00000E110000}"/>
    <cellStyle name="20 % - Markeringsfarve2 6 3 4 2" xfId="31085" xr:uid="{00000000-0005-0000-0000-00000F110000}"/>
    <cellStyle name="20 % - Markeringsfarve2 6 3 5" xfId="24083" xr:uid="{00000000-0005-0000-0000-000010110000}"/>
    <cellStyle name="20 % - Markeringsfarve2 6 4" xfId="4366" xr:uid="{00000000-0005-0000-0000-000011110000}"/>
    <cellStyle name="20 % - Markeringsfarve2 6 4 2" xfId="9068" xr:uid="{00000000-0005-0000-0000-000012110000}"/>
    <cellStyle name="20 % - Markeringsfarve2 6 4 2 2" xfId="16979" xr:uid="{00000000-0005-0000-0000-000013110000}"/>
    <cellStyle name="20 % - Markeringsfarve2 6 4 2 2 2" xfId="35139" xr:uid="{00000000-0005-0000-0000-000014110000}"/>
    <cellStyle name="20 % - Markeringsfarve2 6 4 2 3" xfId="28138" xr:uid="{00000000-0005-0000-0000-000015110000}"/>
    <cellStyle name="20 % - Markeringsfarve2 6 4 3" xfId="12920" xr:uid="{00000000-0005-0000-0000-000016110000}"/>
    <cellStyle name="20 % - Markeringsfarve2 6 4 3 2" xfId="31087" xr:uid="{00000000-0005-0000-0000-000017110000}"/>
    <cellStyle name="20 % - Markeringsfarve2 6 4 4" xfId="24085" xr:uid="{00000000-0005-0000-0000-000018110000}"/>
    <cellStyle name="20 % - Markeringsfarve2 6 5" xfId="4367" xr:uid="{00000000-0005-0000-0000-000019110000}"/>
    <cellStyle name="20 % - Markeringsfarve2 6 5 2" xfId="10754" xr:uid="{00000000-0005-0000-0000-00001A110000}"/>
    <cellStyle name="20 % - Markeringsfarve2 6 5 2 2" xfId="18643" xr:uid="{00000000-0005-0000-0000-00001B110000}"/>
    <cellStyle name="20 % - Markeringsfarve2 6 5 2 2 2" xfId="36803" xr:uid="{00000000-0005-0000-0000-00001C110000}"/>
    <cellStyle name="20 % - Markeringsfarve2 6 5 2 3" xfId="29802" xr:uid="{00000000-0005-0000-0000-00001D110000}"/>
    <cellStyle name="20 % - Markeringsfarve2 6 5 3" xfId="12921" xr:uid="{00000000-0005-0000-0000-00001E110000}"/>
    <cellStyle name="20 % - Markeringsfarve2 6 5 3 2" xfId="31088" xr:uid="{00000000-0005-0000-0000-00001F110000}"/>
    <cellStyle name="20 % - Markeringsfarve2 6 5 4" xfId="24086" xr:uid="{00000000-0005-0000-0000-000020110000}"/>
    <cellStyle name="20 % - Markeringsfarve2 6 6" xfId="7743" xr:uid="{00000000-0005-0000-0000-000021110000}"/>
    <cellStyle name="20 % - Markeringsfarve2 6 6 2" xfId="15661" xr:uid="{00000000-0005-0000-0000-000022110000}"/>
    <cellStyle name="20 % - Markeringsfarve2 6 6 2 2" xfId="33821" xr:uid="{00000000-0005-0000-0000-000023110000}"/>
    <cellStyle name="20 % - Markeringsfarve2 6 6 3" xfId="26820" xr:uid="{00000000-0005-0000-0000-000024110000}"/>
    <cellStyle name="20 % - Markeringsfarve2 6 7" xfId="12912" xr:uid="{00000000-0005-0000-0000-000025110000}"/>
    <cellStyle name="20 % - Markeringsfarve2 6 7 2" xfId="31079" xr:uid="{00000000-0005-0000-0000-000026110000}"/>
    <cellStyle name="20 % - Markeringsfarve2 6 8" xfId="4358" xr:uid="{00000000-0005-0000-0000-000027110000}"/>
    <cellStyle name="20 % - Markeringsfarve2 6 8 2" xfId="24077" xr:uid="{00000000-0005-0000-0000-000028110000}"/>
    <cellStyle name="20 % - Markeringsfarve2 6 9" xfId="21920" xr:uid="{00000000-0005-0000-0000-000029110000}"/>
    <cellStyle name="20 % - Markeringsfarve2 7" xfId="1798" xr:uid="{00000000-0005-0000-0000-00002A110000}"/>
    <cellStyle name="20 % - Markeringsfarve2 7 2" xfId="4369" xr:uid="{00000000-0005-0000-0000-00002B110000}"/>
    <cellStyle name="20 % - Markeringsfarve2 7 2 2" xfId="4370" xr:uid="{00000000-0005-0000-0000-00002C110000}"/>
    <cellStyle name="20 % - Markeringsfarve2 7 2 2 2" xfId="10076" xr:uid="{00000000-0005-0000-0000-00002D110000}"/>
    <cellStyle name="20 % - Markeringsfarve2 7 2 2 2 2" xfId="17977" xr:uid="{00000000-0005-0000-0000-00002E110000}"/>
    <cellStyle name="20 % - Markeringsfarve2 7 2 2 2 2 2" xfId="36137" xr:uid="{00000000-0005-0000-0000-00002F110000}"/>
    <cellStyle name="20 % - Markeringsfarve2 7 2 2 2 3" xfId="29136" xr:uid="{00000000-0005-0000-0000-000030110000}"/>
    <cellStyle name="20 % - Markeringsfarve2 7 2 2 3" xfId="12924" xr:uid="{00000000-0005-0000-0000-000031110000}"/>
    <cellStyle name="20 % - Markeringsfarve2 7 2 2 3 2" xfId="31091" xr:uid="{00000000-0005-0000-0000-000032110000}"/>
    <cellStyle name="20 % - Markeringsfarve2 7 2 2 4" xfId="24089" xr:uid="{00000000-0005-0000-0000-000033110000}"/>
    <cellStyle name="20 % - Markeringsfarve2 7 2 3" xfId="8623" xr:uid="{00000000-0005-0000-0000-000034110000}"/>
    <cellStyle name="20 % - Markeringsfarve2 7 2 3 2" xfId="16537" xr:uid="{00000000-0005-0000-0000-000035110000}"/>
    <cellStyle name="20 % - Markeringsfarve2 7 2 3 2 2" xfId="34697" xr:uid="{00000000-0005-0000-0000-000036110000}"/>
    <cellStyle name="20 % - Markeringsfarve2 7 2 3 3" xfId="27696" xr:uid="{00000000-0005-0000-0000-000037110000}"/>
    <cellStyle name="20 % - Markeringsfarve2 7 2 4" xfId="12923" xr:uid="{00000000-0005-0000-0000-000038110000}"/>
    <cellStyle name="20 % - Markeringsfarve2 7 2 4 2" xfId="31090" xr:uid="{00000000-0005-0000-0000-000039110000}"/>
    <cellStyle name="20 % - Markeringsfarve2 7 2 5" xfId="24088" xr:uid="{00000000-0005-0000-0000-00003A110000}"/>
    <cellStyle name="20 % - Markeringsfarve2 7 3" xfId="4371" xr:uid="{00000000-0005-0000-0000-00003B110000}"/>
    <cellStyle name="20 % - Markeringsfarve2 7 3 2" xfId="9352" xr:uid="{00000000-0005-0000-0000-00003C110000}"/>
    <cellStyle name="20 % - Markeringsfarve2 7 3 2 2" xfId="17262" xr:uid="{00000000-0005-0000-0000-00003D110000}"/>
    <cellStyle name="20 % - Markeringsfarve2 7 3 2 2 2" xfId="35422" xr:uid="{00000000-0005-0000-0000-00003E110000}"/>
    <cellStyle name="20 % - Markeringsfarve2 7 3 2 3" xfId="28421" xr:uid="{00000000-0005-0000-0000-00003F110000}"/>
    <cellStyle name="20 % - Markeringsfarve2 7 3 3" xfId="12925" xr:uid="{00000000-0005-0000-0000-000040110000}"/>
    <cellStyle name="20 % - Markeringsfarve2 7 3 3 2" xfId="31092" xr:uid="{00000000-0005-0000-0000-000041110000}"/>
    <cellStyle name="20 % - Markeringsfarve2 7 3 4" xfId="24090" xr:uid="{00000000-0005-0000-0000-000042110000}"/>
    <cellStyle name="20 % - Markeringsfarve2 7 4" xfId="4372" xr:uid="{00000000-0005-0000-0000-000043110000}"/>
    <cellStyle name="20 % - Markeringsfarve2 7 4 2" xfId="11024" xr:uid="{00000000-0005-0000-0000-000044110000}"/>
    <cellStyle name="20 % - Markeringsfarve2 7 4 2 2" xfId="18900" xr:uid="{00000000-0005-0000-0000-000045110000}"/>
    <cellStyle name="20 % - Markeringsfarve2 7 4 2 2 2" xfId="37060" xr:uid="{00000000-0005-0000-0000-000046110000}"/>
    <cellStyle name="20 % - Markeringsfarve2 7 4 2 3" xfId="30059" xr:uid="{00000000-0005-0000-0000-000047110000}"/>
    <cellStyle name="20 % - Markeringsfarve2 7 4 3" xfId="12926" xr:uid="{00000000-0005-0000-0000-000048110000}"/>
    <cellStyle name="20 % - Markeringsfarve2 7 4 3 2" xfId="31093" xr:uid="{00000000-0005-0000-0000-000049110000}"/>
    <cellStyle name="20 % - Markeringsfarve2 7 4 4" xfId="24091" xr:uid="{00000000-0005-0000-0000-00004A110000}"/>
    <cellStyle name="20 % - Markeringsfarve2 7 5" xfId="7745" xr:uid="{00000000-0005-0000-0000-00004B110000}"/>
    <cellStyle name="20 % - Markeringsfarve2 7 5 2" xfId="15663" xr:uid="{00000000-0005-0000-0000-00004C110000}"/>
    <cellStyle name="20 % - Markeringsfarve2 7 5 2 2" xfId="33823" xr:uid="{00000000-0005-0000-0000-00004D110000}"/>
    <cellStyle name="20 % - Markeringsfarve2 7 5 3" xfId="26822" xr:uid="{00000000-0005-0000-0000-00004E110000}"/>
    <cellStyle name="20 % - Markeringsfarve2 7 6" xfId="12922" xr:uid="{00000000-0005-0000-0000-00004F110000}"/>
    <cellStyle name="20 % - Markeringsfarve2 7 6 2" xfId="31089" xr:uid="{00000000-0005-0000-0000-000050110000}"/>
    <cellStyle name="20 % - Markeringsfarve2 7 7" xfId="4368" xr:uid="{00000000-0005-0000-0000-000051110000}"/>
    <cellStyle name="20 % - Markeringsfarve2 7 7 2" xfId="24087" xr:uid="{00000000-0005-0000-0000-000052110000}"/>
    <cellStyle name="20 % - Markeringsfarve2 7 8" xfId="21922" xr:uid="{00000000-0005-0000-0000-000053110000}"/>
    <cellStyle name="20 % - Markeringsfarve2 8" xfId="4373" xr:uid="{00000000-0005-0000-0000-000054110000}"/>
    <cellStyle name="20 % - Markeringsfarve2 8 2" xfId="4374" xr:uid="{00000000-0005-0000-0000-000055110000}"/>
    <cellStyle name="20 % - Markeringsfarve2 8 2 2" xfId="4375" xr:uid="{00000000-0005-0000-0000-000056110000}"/>
    <cellStyle name="20 % - Markeringsfarve2 8 2 2 2" xfId="10193" xr:uid="{00000000-0005-0000-0000-000057110000}"/>
    <cellStyle name="20 % - Markeringsfarve2 8 2 2 2 2" xfId="18094" xr:uid="{00000000-0005-0000-0000-000058110000}"/>
    <cellStyle name="20 % - Markeringsfarve2 8 2 2 2 2 2" xfId="36254" xr:uid="{00000000-0005-0000-0000-000059110000}"/>
    <cellStyle name="20 % - Markeringsfarve2 8 2 2 2 3" xfId="29253" xr:uid="{00000000-0005-0000-0000-00005A110000}"/>
    <cellStyle name="20 % - Markeringsfarve2 8 2 2 3" xfId="12929" xr:uid="{00000000-0005-0000-0000-00005B110000}"/>
    <cellStyle name="20 % - Markeringsfarve2 8 2 2 3 2" xfId="31096" xr:uid="{00000000-0005-0000-0000-00005C110000}"/>
    <cellStyle name="20 % - Markeringsfarve2 8 2 2 4" xfId="24094" xr:uid="{00000000-0005-0000-0000-00005D110000}"/>
    <cellStyle name="20 % - Markeringsfarve2 8 2 3" xfId="8722" xr:uid="{00000000-0005-0000-0000-00005E110000}"/>
    <cellStyle name="20 % - Markeringsfarve2 8 2 3 2" xfId="16636" xr:uid="{00000000-0005-0000-0000-00005F110000}"/>
    <cellStyle name="20 % - Markeringsfarve2 8 2 3 2 2" xfId="34796" xr:uid="{00000000-0005-0000-0000-000060110000}"/>
    <cellStyle name="20 % - Markeringsfarve2 8 2 3 3" xfId="27795" xr:uid="{00000000-0005-0000-0000-000061110000}"/>
    <cellStyle name="20 % - Markeringsfarve2 8 2 4" xfId="12928" xr:uid="{00000000-0005-0000-0000-000062110000}"/>
    <cellStyle name="20 % - Markeringsfarve2 8 2 4 2" xfId="31095" xr:uid="{00000000-0005-0000-0000-000063110000}"/>
    <cellStyle name="20 % - Markeringsfarve2 8 2 5" xfId="24093" xr:uid="{00000000-0005-0000-0000-000064110000}"/>
    <cellStyle name="20 % - Markeringsfarve2 8 3" xfId="4376" xr:uid="{00000000-0005-0000-0000-000065110000}"/>
    <cellStyle name="20 % - Markeringsfarve2 8 3 2" xfId="9469" xr:uid="{00000000-0005-0000-0000-000066110000}"/>
    <cellStyle name="20 % - Markeringsfarve2 8 3 2 2" xfId="17379" xr:uid="{00000000-0005-0000-0000-000067110000}"/>
    <cellStyle name="20 % - Markeringsfarve2 8 3 2 2 2" xfId="35539" xr:uid="{00000000-0005-0000-0000-000068110000}"/>
    <cellStyle name="20 % - Markeringsfarve2 8 3 2 3" xfId="28538" xr:uid="{00000000-0005-0000-0000-000069110000}"/>
    <cellStyle name="20 % - Markeringsfarve2 8 3 3" xfId="12930" xr:uid="{00000000-0005-0000-0000-00006A110000}"/>
    <cellStyle name="20 % - Markeringsfarve2 8 3 3 2" xfId="31097" xr:uid="{00000000-0005-0000-0000-00006B110000}"/>
    <cellStyle name="20 % - Markeringsfarve2 8 3 4" xfId="24095" xr:uid="{00000000-0005-0000-0000-00006C110000}"/>
    <cellStyle name="20 % - Markeringsfarve2 8 4" xfId="4377" xr:uid="{00000000-0005-0000-0000-00006D110000}"/>
    <cellStyle name="20 % - Markeringsfarve2 8 4 2" xfId="10745" xr:uid="{00000000-0005-0000-0000-00006E110000}"/>
    <cellStyle name="20 % - Markeringsfarve2 8 4 2 2" xfId="18634" xr:uid="{00000000-0005-0000-0000-00006F110000}"/>
    <cellStyle name="20 % - Markeringsfarve2 8 4 2 2 2" xfId="36794" xr:uid="{00000000-0005-0000-0000-000070110000}"/>
    <cellStyle name="20 % - Markeringsfarve2 8 4 2 3" xfId="29793" xr:uid="{00000000-0005-0000-0000-000071110000}"/>
    <cellStyle name="20 % - Markeringsfarve2 8 4 3" xfId="12931" xr:uid="{00000000-0005-0000-0000-000072110000}"/>
    <cellStyle name="20 % - Markeringsfarve2 8 4 3 2" xfId="31098" xr:uid="{00000000-0005-0000-0000-000073110000}"/>
    <cellStyle name="20 % - Markeringsfarve2 8 4 4" xfId="24096" xr:uid="{00000000-0005-0000-0000-000074110000}"/>
    <cellStyle name="20 % - Markeringsfarve2 8 5" xfId="7746" xr:uid="{00000000-0005-0000-0000-000075110000}"/>
    <cellStyle name="20 % - Markeringsfarve2 8 5 2" xfId="15664" xr:uid="{00000000-0005-0000-0000-000076110000}"/>
    <cellStyle name="20 % - Markeringsfarve2 8 5 2 2" xfId="33824" xr:uid="{00000000-0005-0000-0000-000077110000}"/>
    <cellStyle name="20 % - Markeringsfarve2 8 5 3" xfId="26823" xr:uid="{00000000-0005-0000-0000-000078110000}"/>
    <cellStyle name="20 % - Markeringsfarve2 8 6" xfId="12927" xr:uid="{00000000-0005-0000-0000-000079110000}"/>
    <cellStyle name="20 % - Markeringsfarve2 8 6 2" xfId="31094" xr:uid="{00000000-0005-0000-0000-00007A110000}"/>
    <cellStyle name="20 % - Markeringsfarve2 8 7" xfId="24092" xr:uid="{00000000-0005-0000-0000-00007B110000}"/>
    <cellStyle name="20 % - Markeringsfarve2 9" xfId="4378" xr:uid="{00000000-0005-0000-0000-00007C110000}"/>
    <cellStyle name="20 % - Markeringsfarve2 9 2" xfId="4379" xr:uid="{00000000-0005-0000-0000-00007D110000}"/>
    <cellStyle name="20 % - Markeringsfarve2 9 2 2" xfId="4380" xr:uid="{00000000-0005-0000-0000-00007E110000}"/>
    <cellStyle name="20 % - Markeringsfarve2 9 2 2 2" xfId="10317" xr:uid="{00000000-0005-0000-0000-00007F110000}"/>
    <cellStyle name="20 % - Markeringsfarve2 9 2 2 2 2" xfId="18218" xr:uid="{00000000-0005-0000-0000-000080110000}"/>
    <cellStyle name="20 % - Markeringsfarve2 9 2 2 2 2 2" xfId="36378" xr:uid="{00000000-0005-0000-0000-000081110000}"/>
    <cellStyle name="20 % - Markeringsfarve2 9 2 2 2 3" xfId="29377" xr:uid="{00000000-0005-0000-0000-000082110000}"/>
    <cellStyle name="20 % - Markeringsfarve2 9 2 2 3" xfId="12934" xr:uid="{00000000-0005-0000-0000-000083110000}"/>
    <cellStyle name="20 % - Markeringsfarve2 9 2 2 3 2" xfId="31101" xr:uid="{00000000-0005-0000-0000-000084110000}"/>
    <cellStyle name="20 % - Markeringsfarve2 9 2 2 4" xfId="24099" xr:uid="{00000000-0005-0000-0000-000085110000}"/>
    <cellStyle name="20 % - Markeringsfarve2 9 2 3" xfId="8828" xr:uid="{00000000-0005-0000-0000-000086110000}"/>
    <cellStyle name="20 % - Markeringsfarve2 9 2 3 2" xfId="16742" xr:uid="{00000000-0005-0000-0000-000087110000}"/>
    <cellStyle name="20 % - Markeringsfarve2 9 2 3 2 2" xfId="34902" xr:uid="{00000000-0005-0000-0000-000088110000}"/>
    <cellStyle name="20 % - Markeringsfarve2 9 2 3 3" xfId="27901" xr:uid="{00000000-0005-0000-0000-000089110000}"/>
    <cellStyle name="20 % - Markeringsfarve2 9 2 4" xfId="12933" xr:uid="{00000000-0005-0000-0000-00008A110000}"/>
    <cellStyle name="20 % - Markeringsfarve2 9 2 4 2" xfId="31100" xr:uid="{00000000-0005-0000-0000-00008B110000}"/>
    <cellStyle name="20 % - Markeringsfarve2 9 2 5" xfId="24098" xr:uid="{00000000-0005-0000-0000-00008C110000}"/>
    <cellStyle name="20 % - Markeringsfarve2 9 3" xfId="4381" xr:uid="{00000000-0005-0000-0000-00008D110000}"/>
    <cellStyle name="20 % - Markeringsfarve2 9 3 2" xfId="9594" xr:uid="{00000000-0005-0000-0000-00008E110000}"/>
    <cellStyle name="20 % - Markeringsfarve2 9 3 2 2" xfId="17504" xr:uid="{00000000-0005-0000-0000-00008F110000}"/>
    <cellStyle name="20 % - Markeringsfarve2 9 3 2 2 2" xfId="35664" xr:uid="{00000000-0005-0000-0000-000090110000}"/>
    <cellStyle name="20 % - Markeringsfarve2 9 3 2 3" xfId="28663" xr:uid="{00000000-0005-0000-0000-000091110000}"/>
    <cellStyle name="20 % - Markeringsfarve2 9 3 3" xfId="12935" xr:uid="{00000000-0005-0000-0000-000092110000}"/>
    <cellStyle name="20 % - Markeringsfarve2 9 3 3 2" xfId="31102" xr:uid="{00000000-0005-0000-0000-000093110000}"/>
    <cellStyle name="20 % - Markeringsfarve2 9 3 4" xfId="24100" xr:uid="{00000000-0005-0000-0000-000094110000}"/>
    <cellStyle name="20 % - Markeringsfarve2 9 4" xfId="4382" xr:uid="{00000000-0005-0000-0000-000095110000}"/>
    <cellStyle name="20 % - Markeringsfarve2 9 4 2" xfId="11023" xr:uid="{00000000-0005-0000-0000-000096110000}"/>
    <cellStyle name="20 % - Markeringsfarve2 9 4 2 2" xfId="18899" xr:uid="{00000000-0005-0000-0000-000097110000}"/>
    <cellStyle name="20 % - Markeringsfarve2 9 4 2 2 2" xfId="37059" xr:uid="{00000000-0005-0000-0000-000098110000}"/>
    <cellStyle name="20 % - Markeringsfarve2 9 4 2 3" xfId="30058" xr:uid="{00000000-0005-0000-0000-000099110000}"/>
    <cellStyle name="20 % - Markeringsfarve2 9 4 3" xfId="12936" xr:uid="{00000000-0005-0000-0000-00009A110000}"/>
    <cellStyle name="20 % - Markeringsfarve2 9 4 3 2" xfId="31103" xr:uid="{00000000-0005-0000-0000-00009B110000}"/>
    <cellStyle name="20 % - Markeringsfarve2 9 4 4" xfId="24101" xr:uid="{00000000-0005-0000-0000-00009C110000}"/>
    <cellStyle name="20 % - Markeringsfarve2 9 5" xfId="7747" xr:uid="{00000000-0005-0000-0000-00009D110000}"/>
    <cellStyle name="20 % - Markeringsfarve2 9 5 2" xfId="15665" xr:uid="{00000000-0005-0000-0000-00009E110000}"/>
    <cellStyle name="20 % - Markeringsfarve2 9 5 2 2" xfId="33825" xr:uid="{00000000-0005-0000-0000-00009F110000}"/>
    <cellStyle name="20 % - Markeringsfarve2 9 5 3" xfId="26824" xr:uid="{00000000-0005-0000-0000-0000A0110000}"/>
    <cellStyle name="20 % - Markeringsfarve2 9 6" xfId="12932" xr:uid="{00000000-0005-0000-0000-0000A1110000}"/>
    <cellStyle name="20 % - Markeringsfarve2 9 6 2" xfId="31099" xr:uid="{00000000-0005-0000-0000-0000A2110000}"/>
    <cellStyle name="20 % - Markeringsfarve2 9 7" xfId="24097" xr:uid="{00000000-0005-0000-0000-0000A3110000}"/>
    <cellStyle name="20 % - Markeringsfarve3 10" xfId="4384" xr:uid="{00000000-0005-0000-0000-0000A4110000}"/>
    <cellStyle name="20 % - Markeringsfarve3 10 2" xfId="4385" xr:uid="{00000000-0005-0000-0000-0000A5110000}"/>
    <cellStyle name="20 % - Markeringsfarve3 10 2 2" xfId="9720" xr:uid="{00000000-0005-0000-0000-0000A6110000}"/>
    <cellStyle name="20 % - Markeringsfarve3 10 2 2 2" xfId="17621" xr:uid="{00000000-0005-0000-0000-0000A7110000}"/>
    <cellStyle name="20 % - Markeringsfarve3 10 2 2 2 2" xfId="35781" xr:uid="{00000000-0005-0000-0000-0000A8110000}"/>
    <cellStyle name="20 % - Markeringsfarve3 10 2 2 3" xfId="28780" xr:uid="{00000000-0005-0000-0000-0000A9110000}"/>
    <cellStyle name="20 % - Markeringsfarve3 10 2 3" xfId="12939" xr:uid="{00000000-0005-0000-0000-0000AA110000}"/>
    <cellStyle name="20 % - Markeringsfarve3 10 2 3 2" xfId="31106" xr:uid="{00000000-0005-0000-0000-0000AB110000}"/>
    <cellStyle name="20 % - Markeringsfarve3 10 2 4" xfId="24104" xr:uid="{00000000-0005-0000-0000-0000AC110000}"/>
    <cellStyle name="20 % - Markeringsfarve3 10 3" xfId="4386" xr:uid="{00000000-0005-0000-0000-0000AD110000}"/>
    <cellStyle name="20 % - Markeringsfarve3 10 3 2" xfId="11022" xr:uid="{00000000-0005-0000-0000-0000AE110000}"/>
    <cellStyle name="20 % - Markeringsfarve3 10 3 2 2" xfId="18898" xr:uid="{00000000-0005-0000-0000-0000AF110000}"/>
    <cellStyle name="20 % - Markeringsfarve3 10 3 2 2 2" xfId="37058" xr:uid="{00000000-0005-0000-0000-0000B0110000}"/>
    <cellStyle name="20 % - Markeringsfarve3 10 3 2 3" xfId="30057" xr:uid="{00000000-0005-0000-0000-0000B1110000}"/>
    <cellStyle name="20 % - Markeringsfarve3 10 3 3" xfId="12940" xr:uid="{00000000-0005-0000-0000-0000B2110000}"/>
    <cellStyle name="20 % - Markeringsfarve3 10 3 3 2" xfId="31107" xr:uid="{00000000-0005-0000-0000-0000B3110000}"/>
    <cellStyle name="20 % - Markeringsfarve3 10 3 4" xfId="24105" xr:uid="{00000000-0005-0000-0000-0000B4110000}"/>
    <cellStyle name="20 % - Markeringsfarve3 10 4" xfId="7749" xr:uid="{00000000-0005-0000-0000-0000B5110000}"/>
    <cellStyle name="20 % - Markeringsfarve3 10 4 2" xfId="15667" xr:uid="{00000000-0005-0000-0000-0000B6110000}"/>
    <cellStyle name="20 % - Markeringsfarve3 10 4 2 2" xfId="33827" xr:uid="{00000000-0005-0000-0000-0000B7110000}"/>
    <cellStyle name="20 % - Markeringsfarve3 10 4 3" xfId="26826" xr:uid="{00000000-0005-0000-0000-0000B8110000}"/>
    <cellStyle name="20 % - Markeringsfarve3 10 5" xfId="12938" xr:uid="{00000000-0005-0000-0000-0000B9110000}"/>
    <cellStyle name="20 % - Markeringsfarve3 10 5 2" xfId="31105" xr:uid="{00000000-0005-0000-0000-0000BA110000}"/>
    <cellStyle name="20 % - Markeringsfarve3 10 6" xfId="24103" xr:uid="{00000000-0005-0000-0000-0000BB110000}"/>
    <cellStyle name="20 % - Markeringsfarve3 11" xfId="4387" xr:uid="{00000000-0005-0000-0000-0000BC110000}"/>
    <cellStyle name="20 % - Markeringsfarve3 11 2" xfId="4388" xr:uid="{00000000-0005-0000-0000-0000BD110000}"/>
    <cellStyle name="20 % - Markeringsfarve3 11 2 2" xfId="10743" xr:uid="{00000000-0005-0000-0000-0000BE110000}"/>
    <cellStyle name="20 % - Markeringsfarve3 11 2 2 2" xfId="18632" xr:uid="{00000000-0005-0000-0000-0000BF110000}"/>
    <cellStyle name="20 % - Markeringsfarve3 11 2 2 2 2" xfId="36792" xr:uid="{00000000-0005-0000-0000-0000C0110000}"/>
    <cellStyle name="20 % - Markeringsfarve3 11 2 2 3" xfId="29791" xr:uid="{00000000-0005-0000-0000-0000C1110000}"/>
    <cellStyle name="20 % - Markeringsfarve3 11 2 3" xfId="12942" xr:uid="{00000000-0005-0000-0000-0000C2110000}"/>
    <cellStyle name="20 % - Markeringsfarve3 11 2 3 2" xfId="31109" xr:uid="{00000000-0005-0000-0000-0000C3110000}"/>
    <cellStyle name="20 % - Markeringsfarve3 11 2 4" xfId="24107" xr:uid="{00000000-0005-0000-0000-0000C4110000}"/>
    <cellStyle name="20 % - Markeringsfarve3 11 3" xfId="7750" xr:uid="{00000000-0005-0000-0000-0000C5110000}"/>
    <cellStyle name="20 % - Markeringsfarve3 11 3 2" xfId="15668" xr:uid="{00000000-0005-0000-0000-0000C6110000}"/>
    <cellStyle name="20 % - Markeringsfarve3 11 3 2 2" xfId="33828" xr:uid="{00000000-0005-0000-0000-0000C7110000}"/>
    <cellStyle name="20 % - Markeringsfarve3 11 3 3" xfId="26827" xr:uid="{00000000-0005-0000-0000-0000C8110000}"/>
    <cellStyle name="20 % - Markeringsfarve3 11 4" xfId="12941" xr:uid="{00000000-0005-0000-0000-0000C9110000}"/>
    <cellStyle name="20 % - Markeringsfarve3 11 4 2" xfId="31108" xr:uid="{00000000-0005-0000-0000-0000CA110000}"/>
    <cellStyle name="20 % - Markeringsfarve3 11 5" xfId="24106" xr:uid="{00000000-0005-0000-0000-0000CB110000}"/>
    <cellStyle name="20 % - Markeringsfarve3 12" xfId="4389" xr:uid="{00000000-0005-0000-0000-0000CC110000}"/>
    <cellStyle name="20 % - Markeringsfarve3 12 2" xfId="4390" xr:uid="{00000000-0005-0000-0000-0000CD110000}"/>
    <cellStyle name="20 % - Markeringsfarve3 12 2 2" xfId="10972" xr:uid="{00000000-0005-0000-0000-0000CE110000}"/>
    <cellStyle name="20 % - Markeringsfarve3 12 2 2 2" xfId="18851" xr:uid="{00000000-0005-0000-0000-0000CF110000}"/>
    <cellStyle name="20 % - Markeringsfarve3 12 2 2 2 2" xfId="37011" xr:uid="{00000000-0005-0000-0000-0000D0110000}"/>
    <cellStyle name="20 % - Markeringsfarve3 12 2 2 3" xfId="30010" xr:uid="{00000000-0005-0000-0000-0000D1110000}"/>
    <cellStyle name="20 % - Markeringsfarve3 12 2 3" xfId="12944" xr:uid="{00000000-0005-0000-0000-0000D2110000}"/>
    <cellStyle name="20 % - Markeringsfarve3 12 2 3 2" xfId="31111" xr:uid="{00000000-0005-0000-0000-0000D3110000}"/>
    <cellStyle name="20 % - Markeringsfarve3 12 2 4" xfId="24109" xr:uid="{00000000-0005-0000-0000-0000D4110000}"/>
    <cellStyle name="20 % - Markeringsfarve3 12 3" xfId="7751" xr:uid="{00000000-0005-0000-0000-0000D5110000}"/>
    <cellStyle name="20 % - Markeringsfarve3 12 3 2" xfId="15669" xr:uid="{00000000-0005-0000-0000-0000D6110000}"/>
    <cellStyle name="20 % - Markeringsfarve3 12 3 2 2" xfId="33829" xr:uid="{00000000-0005-0000-0000-0000D7110000}"/>
    <cellStyle name="20 % - Markeringsfarve3 12 3 3" xfId="26828" xr:uid="{00000000-0005-0000-0000-0000D8110000}"/>
    <cellStyle name="20 % - Markeringsfarve3 12 4" xfId="12943" xr:uid="{00000000-0005-0000-0000-0000D9110000}"/>
    <cellStyle name="20 % - Markeringsfarve3 12 4 2" xfId="31110" xr:uid="{00000000-0005-0000-0000-0000DA110000}"/>
    <cellStyle name="20 % - Markeringsfarve3 12 5" xfId="24108" xr:uid="{00000000-0005-0000-0000-0000DB110000}"/>
    <cellStyle name="20 % - Markeringsfarve3 13" xfId="4391" xr:uid="{00000000-0005-0000-0000-0000DC110000}"/>
    <cellStyle name="20 % - Markeringsfarve3 13 2" xfId="4392" xr:uid="{00000000-0005-0000-0000-0000DD110000}"/>
    <cellStyle name="20 % - Markeringsfarve3 13 2 2" xfId="10497" xr:uid="{00000000-0005-0000-0000-0000DE110000}"/>
    <cellStyle name="20 % - Markeringsfarve3 13 2 2 2" xfId="18392" xr:uid="{00000000-0005-0000-0000-0000DF110000}"/>
    <cellStyle name="20 % - Markeringsfarve3 13 2 2 2 2" xfId="36552" xr:uid="{00000000-0005-0000-0000-0000E0110000}"/>
    <cellStyle name="20 % - Markeringsfarve3 13 2 2 3" xfId="29551" xr:uid="{00000000-0005-0000-0000-0000E1110000}"/>
    <cellStyle name="20 % - Markeringsfarve3 13 2 3" xfId="12946" xr:uid="{00000000-0005-0000-0000-0000E2110000}"/>
    <cellStyle name="20 % - Markeringsfarve3 13 2 3 2" xfId="31113" xr:uid="{00000000-0005-0000-0000-0000E3110000}"/>
    <cellStyle name="20 % - Markeringsfarve3 13 2 4" xfId="24111" xr:uid="{00000000-0005-0000-0000-0000E4110000}"/>
    <cellStyle name="20 % - Markeringsfarve3 13 3" xfId="7748" xr:uid="{00000000-0005-0000-0000-0000E5110000}"/>
    <cellStyle name="20 % - Markeringsfarve3 13 3 2" xfId="15666" xr:uid="{00000000-0005-0000-0000-0000E6110000}"/>
    <cellStyle name="20 % - Markeringsfarve3 13 3 2 2" xfId="33826" xr:uid="{00000000-0005-0000-0000-0000E7110000}"/>
    <cellStyle name="20 % - Markeringsfarve3 13 3 3" xfId="26825" xr:uid="{00000000-0005-0000-0000-0000E8110000}"/>
    <cellStyle name="20 % - Markeringsfarve3 13 4" xfId="12945" xr:uid="{00000000-0005-0000-0000-0000E9110000}"/>
    <cellStyle name="20 % - Markeringsfarve3 13 4 2" xfId="31112" xr:uid="{00000000-0005-0000-0000-0000EA110000}"/>
    <cellStyle name="20 % - Markeringsfarve3 13 5" xfId="24110" xr:uid="{00000000-0005-0000-0000-0000EB110000}"/>
    <cellStyle name="20 % - Markeringsfarve3 14" xfId="4393" xr:uid="{00000000-0005-0000-0000-0000EC110000}"/>
    <cellStyle name="20 % - Markeringsfarve3 14 2" xfId="8942" xr:uid="{00000000-0005-0000-0000-0000ED110000}"/>
    <cellStyle name="20 % - Markeringsfarve3 14 2 2" xfId="16855" xr:uid="{00000000-0005-0000-0000-0000EE110000}"/>
    <cellStyle name="20 % - Markeringsfarve3 14 2 2 2" xfId="35015" xr:uid="{00000000-0005-0000-0000-0000EF110000}"/>
    <cellStyle name="20 % - Markeringsfarve3 14 2 3" xfId="28014" xr:uid="{00000000-0005-0000-0000-0000F0110000}"/>
    <cellStyle name="20 % - Markeringsfarve3 14 3" xfId="12947" xr:uid="{00000000-0005-0000-0000-0000F1110000}"/>
    <cellStyle name="20 % - Markeringsfarve3 14 3 2" xfId="31114" xr:uid="{00000000-0005-0000-0000-0000F2110000}"/>
    <cellStyle name="20 % - Markeringsfarve3 14 4" xfId="24112" xr:uid="{00000000-0005-0000-0000-0000F3110000}"/>
    <cellStyle name="20 % - Markeringsfarve3 15" xfId="4394" xr:uid="{00000000-0005-0000-0000-0000F4110000}"/>
    <cellStyle name="20 % - Markeringsfarve3 15 2" xfId="10920" xr:uid="{00000000-0005-0000-0000-0000F5110000}"/>
    <cellStyle name="20 % - Markeringsfarve3 15 2 2" xfId="18801" xr:uid="{00000000-0005-0000-0000-0000F6110000}"/>
    <cellStyle name="20 % - Markeringsfarve3 15 2 2 2" xfId="36961" xr:uid="{00000000-0005-0000-0000-0000F7110000}"/>
    <cellStyle name="20 % - Markeringsfarve3 15 2 3" xfId="29960" xr:uid="{00000000-0005-0000-0000-0000F8110000}"/>
    <cellStyle name="20 % - Markeringsfarve3 15 3" xfId="12948" xr:uid="{00000000-0005-0000-0000-0000F9110000}"/>
    <cellStyle name="20 % - Markeringsfarve3 15 3 2" xfId="31115" xr:uid="{00000000-0005-0000-0000-0000FA110000}"/>
    <cellStyle name="20 % - Markeringsfarve3 15 4" xfId="24113" xr:uid="{00000000-0005-0000-0000-0000FB110000}"/>
    <cellStyle name="20 % - Markeringsfarve3 16" xfId="4395" xr:uid="{00000000-0005-0000-0000-0000FC110000}"/>
    <cellStyle name="20 % - Markeringsfarve3 16 2" xfId="10744" xr:uid="{00000000-0005-0000-0000-0000FD110000}"/>
    <cellStyle name="20 % - Markeringsfarve3 16 2 2" xfId="18633" xr:uid="{00000000-0005-0000-0000-0000FE110000}"/>
    <cellStyle name="20 % - Markeringsfarve3 16 2 2 2" xfId="36793" xr:uid="{00000000-0005-0000-0000-0000FF110000}"/>
    <cellStyle name="20 % - Markeringsfarve3 16 2 3" xfId="29792" xr:uid="{00000000-0005-0000-0000-000000120000}"/>
    <cellStyle name="20 % - Markeringsfarve3 16 3" xfId="12949" xr:uid="{00000000-0005-0000-0000-000001120000}"/>
    <cellStyle name="20 % - Markeringsfarve3 16 3 2" xfId="31116" xr:uid="{00000000-0005-0000-0000-000002120000}"/>
    <cellStyle name="20 % - Markeringsfarve3 16 4" xfId="24114" xr:uid="{00000000-0005-0000-0000-000003120000}"/>
    <cellStyle name="20 % - Markeringsfarve3 17" xfId="7620" xr:uid="{00000000-0005-0000-0000-000004120000}"/>
    <cellStyle name="20 % - Markeringsfarve3 17 2" xfId="15544" xr:uid="{00000000-0005-0000-0000-000005120000}"/>
    <cellStyle name="20 % - Markeringsfarve3 17 2 2" xfId="33704" xr:uid="{00000000-0005-0000-0000-000006120000}"/>
    <cellStyle name="20 % - Markeringsfarve3 17 3" xfId="26703" xr:uid="{00000000-0005-0000-0000-000007120000}"/>
    <cellStyle name="20 % - Markeringsfarve3 18" xfId="4383" xr:uid="{00000000-0005-0000-0000-000008120000}"/>
    <cellStyle name="20 % - Markeringsfarve3 18 2" xfId="12937" xr:uid="{00000000-0005-0000-0000-000009120000}"/>
    <cellStyle name="20 % - Markeringsfarve3 18 2 2" xfId="31104" xr:uid="{00000000-0005-0000-0000-00000A120000}"/>
    <cellStyle name="20 % - Markeringsfarve3 18 3" xfId="24102" xr:uid="{00000000-0005-0000-0000-00000B120000}"/>
    <cellStyle name="20 % - Markeringsfarve3 2" xfId="1799" xr:uid="{00000000-0005-0000-0000-00000C120000}"/>
    <cellStyle name="20 % - Markeringsfarve3 2 10" xfId="4397" xr:uid="{00000000-0005-0000-0000-00000D120000}"/>
    <cellStyle name="20 % - Markeringsfarve3 2 10 2" xfId="8974" xr:uid="{00000000-0005-0000-0000-00000E120000}"/>
    <cellStyle name="20 % - Markeringsfarve3 2 10 2 2" xfId="16885" xr:uid="{00000000-0005-0000-0000-00000F120000}"/>
    <cellStyle name="20 % - Markeringsfarve3 2 10 2 2 2" xfId="35045" xr:uid="{00000000-0005-0000-0000-000010120000}"/>
    <cellStyle name="20 % - Markeringsfarve3 2 10 2 3" xfId="28044" xr:uid="{00000000-0005-0000-0000-000011120000}"/>
    <cellStyle name="20 % - Markeringsfarve3 2 10 3" xfId="12951" xr:uid="{00000000-0005-0000-0000-000012120000}"/>
    <cellStyle name="20 % - Markeringsfarve3 2 10 3 2" xfId="31118" xr:uid="{00000000-0005-0000-0000-000013120000}"/>
    <cellStyle name="20 % - Markeringsfarve3 2 10 4" xfId="24116" xr:uid="{00000000-0005-0000-0000-000014120000}"/>
    <cellStyle name="20 % - Markeringsfarve3 2 11" xfId="4398" xr:uid="{00000000-0005-0000-0000-000015120000}"/>
    <cellStyle name="20 % - Markeringsfarve3 2 11 2" xfId="10696" xr:uid="{00000000-0005-0000-0000-000016120000}"/>
    <cellStyle name="20 % - Markeringsfarve3 2 11 2 2" xfId="18587" xr:uid="{00000000-0005-0000-0000-000017120000}"/>
    <cellStyle name="20 % - Markeringsfarve3 2 11 2 2 2" xfId="36747" xr:uid="{00000000-0005-0000-0000-000018120000}"/>
    <cellStyle name="20 % - Markeringsfarve3 2 11 2 3" xfId="29746" xr:uid="{00000000-0005-0000-0000-000019120000}"/>
    <cellStyle name="20 % - Markeringsfarve3 2 11 3" xfId="12952" xr:uid="{00000000-0005-0000-0000-00001A120000}"/>
    <cellStyle name="20 % - Markeringsfarve3 2 11 3 2" xfId="31119" xr:uid="{00000000-0005-0000-0000-00001B120000}"/>
    <cellStyle name="20 % - Markeringsfarve3 2 11 4" xfId="24117" xr:uid="{00000000-0005-0000-0000-00001C120000}"/>
    <cellStyle name="20 % - Markeringsfarve3 2 12" xfId="7752" xr:uid="{00000000-0005-0000-0000-00001D120000}"/>
    <cellStyle name="20 % - Markeringsfarve3 2 12 2" xfId="15670" xr:uid="{00000000-0005-0000-0000-00001E120000}"/>
    <cellStyle name="20 % - Markeringsfarve3 2 12 2 2" xfId="33830" xr:uid="{00000000-0005-0000-0000-00001F120000}"/>
    <cellStyle name="20 % - Markeringsfarve3 2 12 3" xfId="26829" xr:uid="{00000000-0005-0000-0000-000020120000}"/>
    <cellStyle name="20 % - Markeringsfarve3 2 13" xfId="12950" xr:uid="{00000000-0005-0000-0000-000021120000}"/>
    <cellStyle name="20 % - Markeringsfarve3 2 13 2" xfId="31117" xr:uid="{00000000-0005-0000-0000-000022120000}"/>
    <cellStyle name="20 % - Markeringsfarve3 2 14" xfId="4396" xr:uid="{00000000-0005-0000-0000-000023120000}"/>
    <cellStyle name="20 % - Markeringsfarve3 2 14 2" xfId="24115" xr:uid="{00000000-0005-0000-0000-000024120000}"/>
    <cellStyle name="20 % - Markeringsfarve3 2 15" xfId="21923" xr:uid="{00000000-0005-0000-0000-000025120000}"/>
    <cellStyle name="20 % - Markeringsfarve3 2 2" xfId="1800" xr:uid="{00000000-0005-0000-0000-000026120000}"/>
    <cellStyle name="20 % - Markeringsfarve3 2 2 10" xfId="7753" xr:uid="{00000000-0005-0000-0000-000027120000}"/>
    <cellStyle name="20 % - Markeringsfarve3 2 2 10 2" xfId="15671" xr:uid="{00000000-0005-0000-0000-000028120000}"/>
    <cellStyle name="20 % - Markeringsfarve3 2 2 10 2 2" xfId="33831" xr:uid="{00000000-0005-0000-0000-000029120000}"/>
    <cellStyle name="20 % - Markeringsfarve3 2 2 10 3" xfId="26830" xr:uid="{00000000-0005-0000-0000-00002A120000}"/>
    <cellStyle name="20 % - Markeringsfarve3 2 2 11" xfId="12953" xr:uid="{00000000-0005-0000-0000-00002B120000}"/>
    <cellStyle name="20 % - Markeringsfarve3 2 2 11 2" xfId="31120" xr:uid="{00000000-0005-0000-0000-00002C120000}"/>
    <cellStyle name="20 % - Markeringsfarve3 2 2 12" xfId="4399" xr:uid="{00000000-0005-0000-0000-00002D120000}"/>
    <cellStyle name="20 % - Markeringsfarve3 2 2 12 2" xfId="24118" xr:uid="{00000000-0005-0000-0000-00002E120000}"/>
    <cellStyle name="20 % - Markeringsfarve3 2 2 13" xfId="21924" xr:uid="{00000000-0005-0000-0000-00002F120000}"/>
    <cellStyle name="20 % - Markeringsfarve3 2 2 2" xfId="1801" xr:uid="{00000000-0005-0000-0000-000030120000}"/>
    <cellStyle name="20 % - Markeringsfarve3 2 2 2 2" xfId="4401" xr:uid="{00000000-0005-0000-0000-000031120000}"/>
    <cellStyle name="20 % - Markeringsfarve3 2 2 2 2 2" xfId="4402" xr:uid="{00000000-0005-0000-0000-000032120000}"/>
    <cellStyle name="20 % - Markeringsfarve3 2 2 2 2 2 2" xfId="9905" xr:uid="{00000000-0005-0000-0000-000033120000}"/>
    <cellStyle name="20 % - Markeringsfarve3 2 2 2 2 2 2 2" xfId="17806" xr:uid="{00000000-0005-0000-0000-000034120000}"/>
    <cellStyle name="20 % - Markeringsfarve3 2 2 2 2 2 2 2 2" xfId="35966" xr:uid="{00000000-0005-0000-0000-000035120000}"/>
    <cellStyle name="20 % - Markeringsfarve3 2 2 2 2 2 2 3" xfId="28965" xr:uid="{00000000-0005-0000-0000-000036120000}"/>
    <cellStyle name="20 % - Markeringsfarve3 2 2 2 2 2 3" xfId="12956" xr:uid="{00000000-0005-0000-0000-000037120000}"/>
    <cellStyle name="20 % - Markeringsfarve3 2 2 2 2 2 3 2" xfId="31123" xr:uid="{00000000-0005-0000-0000-000038120000}"/>
    <cellStyle name="20 % - Markeringsfarve3 2 2 2 2 2 4" xfId="24121" xr:uid="{00000000-0005-0000-0000-000039120000}"/>
    <cellStyle name="20 % - Markeringsfarve3 2 2 2 2 3" xfId="8477" xr:uid="{00000000-0005-0000-0000-00003A120000}"/>
    <cellStyle name="20 % - Markeringsfarve3 2 2 2 2 3 2" xfId="16394" xr:uid="{00000000-0005-0000-0000-00003B120000}"/>
    <cellStyle name="20 % - Markeringsfarve3 2 2 2 2 3 2 2" xfId="34554" xr:uid="{00000000-0005-0000-0000-00003C120000}"/>
    <cellStyle name="20 % - Markeringsfarve3 2 2 2 2 3 3" xfId="27553" xr:uid="{00000000-0005-0000-0000-00003D120000}"/>
    <cellStyle name="20 % - Markeringsfarve3 2 2 2 2 4" xfId="12955" xr:uid="{00000000-0005-0000-0000-00003E120000}"/>
    <cellStyle name="20 % - Markeringsfarve3 2 2 2 2 4 2" xfId="31122" xr:uid="{00000000-0005-0000-0000-00003F120000}"/>
    <cellStyle name="20 % - Markeringsfarve3 2 2 2 2 5" xfId="24120" xr:uid="{00000000-0005-0000-0000-000040120000}"/>
    <cellStyle name="20 % - Markeringsfarve3 2 2 2 3" xfId="4403" xr:uid="{00000000-0005-0000-0000-000041120000}"/>
    <cellStyle name="20 % - Markeringsfarve3 2 2 2 3 2" xfId="9135" xr:uid="{00000000-0005-0000-0000-000042120000}"/>
    <cellStyle name="20 % - Markeringsfarve3 2 2 2 3 2 2" xfId="17046" xr:uid="{00000000-0005-0000-0000-000043120000}"/>
    <cellStyle name="20 % - Markeringsfarve3 2 2 2 3 2 2 2" xfId="35206" xr:uid="{00000000-0005-0000-0000-000044120000}"/>
    <cellStyle name="20 % - Markeringsfarve3 2 2 2 3 2 3" xfId="28205" xr:uid="{00000000-0005-0000-0000-000045120000}"/>
    <cellStyle name="20 % - Markeringsfarve3 2 2 2 3 3" xfId="12957" xr:uid="{00000000-0005-0000-0000-000046120000}"/>
    <cellStyle name="20 % - Markeringsfarve3 2 2 2 3 3 2" xfId="31124" xr:uid="{00000000-0005-0000-0000-000047120000}"/>
    <cellStyle name="20 % - Markeringsfarve3 2 2 2 3 4" xfId="24122" xr:uid="{00000000-0005-0000-0000-000048120000}"/>
    <cellStyle name="20 % - Markeringsfarve3 2 2 2 4" xfId="4404" xr:uid="{00000000-0005-0000-0000-000049120000}"/>
    <cellStyle name="20 % - Markeringsfarve3 2 2 2 4 2" xfId="10492" xr:uid="{00000000-0005-0000-0000-00004A120000}"/>
    <cellStyle name="20 % - Markeringsfarve3 2 2 2 4 2 2" xfId="18388" xr:uid="{00000000-0005-0000-0000-00004B120000}"/>
    <cellStyle name="20 % - Markeringsfarve3 2 2 2 4 2 2 2" xfId="36548" xr:uid="{00000000-0005-0000-0000-00004C120000}"/>
    <cellStyle name="20 % - Markeringsfarve3 2 2 2 4 2 3" xfId="29547" xr:uid="{00000000-0005-0000-0000-00004D120000}"/>
    <cellStyle name="20 % - Markeringsfarve3 2 2 2 4 3" xfId="12958" xr:uid="{00000000-0005-0000-0000-00004E120000}"/>
    <cellStyle name="20 % - Markeringsfarve3 2 2 2 4 3 2" xfId="31125" xr:uid="{00000000-0005-0000-0000-00004F120000}"/>
    <cellStyle name="20 % - Markeringsfarve3 2 2 2 4 4" xfId="24123" xr:uid="{00000000-0005-0000-0000-000050120000}"/>
    <cellStyle name="20 % - Markeringsfarve3 2 2 2 5" xfId="7754" xr:uid="{00000000-0005-0000-0000-000051120000}"/>
    <cellStyle name="20 % - Markeringsfarve3 2 2 2 5 2" xfId="15672" xr:uid="{00000000-0005-0000-0000-000052120000}"/>
    <cellStyle name="20 % - Markeringsfarve3 2 2 2 5 2 2" xfId="33832" xr:uid="{00000000-0005-0000-0000-000053120000}"/>
    <cellStyle name="20 % - Markeringsfarve3 2 2 2 5 3" xfId="26831" xr:uid="{00000000-0005-0000-0000-000054120000}"/>
    <cellStyle name="20 % - Markeringsfarve3 2 2 2 6" xfId="12954" xr:uid="{00000000-0005-0000-0000-000055120000}"/>
    <cellStyle name="20 % - Markeringsfarve3 2 2 2 6 2" xfId="31121" xr:uid="{00000000-0005-0000-0000-000056120000}"/>
    <cellStyle name="20 % - Markeringsfarve3 2 2 2 7" xfId="4400" xr:uid="{00000000-0005-0000-0000-000057120000}"/>
    <cellStyle name="20 % - Markeringsfarve3 2 2 2 7 2" xfId="24119" xr:uid="{00000000-0005-0000-0000-000058120000}"/>
    <cellStyle name="20 % - Markeringsfarve3 2 2 2 8" xfId="21925" xr:uid="{00000000-0005-0000-0000-000059120000}"/>
    <cellStyle name="20 % - Markeringsfarve3 2 2 3" xfId="4405" xr:uid="{00000000-0005-0000-0000-00005A120000}"/>
    <cellStyle name="20 % - Markeringsfarve3 2 2 3 2" xfId="4406" xr:uid="{00000000-0005-0000-0000-00005B120000}"/>
    <cellStyle name="20 % - Markeringsfarve3 2 2 3 2 2" xfId="4407" xr:uid="{00000000-0005-0000-0000-00005C120000}"/>
    <cellStyle name="20 % - Markeringsfarve3 2 2 3 2 2 2" xfId="9973" xr:uid="{00000000-0005-0000-0000-00005D120000}"/>
    <cellStyle name="20 % - Markeringsfarve3 2 2 3 2 2 2 2" xfId="17874" xr:uid="{00000000-0005-0000-0000-00005E120000}"/>
    <cellStyle name="20 % - Markeringsfarve3 2 2 3 2 2 2 2 2" xfId="36034" xr:uid="{00000000-0005-0000-0000-00005F120000}"/>
    <cellStyle name="20 % - Markeringsfarve3 2 2 3 2 2 2 3" xfId="29033" xr:uid="{00000000-0005-0000-0000-000060120000}"/>
    <cellStyle name="20 % - Markeringsfarve3 2 2 3 2 2 3" xfId="12961" xr:uid="{00000000-0005-0000-0000-000061120000}"/>
    <cellStyle name="20 % - Markeringsfarve3 2 2 3 2 2 3 2" xfId="31128" xr:uid="{00000000-0005-0000-0000-000062120000}"/>
    <cellStyle name="20 % - Markeringsfarve3 2 2 3 2 2 4" xfId="24126" xr:uid="{00000000-0005-0000-0000-000063120000}"/>
    <cellStyle name="20 % - Markeringsfarve3 2 2 3 2 3" xfId="8537" xr:uid="{00000000-0005-0000-0000-000064120000}"/>
    <cellStyle name="20 % - Markeringsfarve3 2 2 3 2 3 2" xfId="16454" xr:uid="{00000000-0005-0000-0000-000065120000}"/>
    <cellStyle name="20 % - Markeringsfarve3 2 2 3 2 3 2 2" xfId="34614" xr:uid="{00000000-0005-0000-0000-000066120000}"/>
    <cellStyle name="20 % - Markeringsfarve3 2 2 3 2 3 3" xfId="27613" xr:uid="{00000000-0005-0000-0000-000067120000}"/>
    <cellStyle name="20 % - Markeringsfarve3 2 2 3 2 4" xfId="12960" xr:uid="{00000000-0005-0000-0000-000068120000}"/>
    <cellStyle name="20 % - Markeringsfarve3 2 2 3 2 4 2" xfId="31127" xr:uid="{00000000-0005-0000-0000-000069120000}"/>
    <cellStyle name="20 % - Markeringsfarve3 2 2 3 2 5" xfId="24125" xr:uid="{00000000-0005-0000-0000-00006A120000}"/>
    <cellStyle name="20 % - Markeringsfarve3 2 2 3 3" xfId="4408" xr:uid="{00000000-0005-0000-0000-00006B120000}"/>
    <cellStyle name="20 % - Markeringsfarve3 2 2 3 3 2" xfId="9203" xr:uid="{00000000-0005-0000-0000-00006C120000}"/>
    <cellStyle name="20 % - Markeringsfarve3 2 2 3 3 2 2" xfId="17114" xr:uid="{00000000-0005-0000-0000-00006D120000}"/>
    <cellStyle name="20 % - Markeringsfarve3 2 2 3 3 2 2 2" xfId="35274" xr:uid="{00000000-0005-0000-0000-00006E120000}"/>
    <cellStyle name="20 % - Markeringsfarve3 2 2 3 3 2 3" xfId="28273" xr:uid="{00000000-0005-0000-0000-00006F120000}"/>
    <cellStyle name="20 % - Markeringsfarve3 2 2 3 3 3" xfId="12962" xr:uid="{00000000-0005-0000-0000-000070120000}"/>
    <cellStyle name="20 % - Markeringsfarve3 2 2 3 3 3 2" xfId="31129" xr:uid="{00000000-0005-0000-0000-000071120000}"/>
    <cellStyle name="20 % - Markeringsfarve3 2 2 3 3 4" xfId="24127" xr:uid="{00000000-0005-0000-0000-000072120000}"/>
    <cellStyle name="20 % - Markeringsfarve3 2 2 3 4" xfId="4409" xr:uid="{00000000-0005-0000-0000-000073120000}"/>
    <cellStyle name="20 % - Markeringsfarve3 2 2 3 4 2" xfId="10884" xr:uid="{00000000-0005-0000-0000-000074120000}"/>
    <cellStyle name="20 % - Markeringsfarve3 2 2 3 4 2 2" xfId="18767" xr:uid="{00000000-0005-0000-0000-000075120000}"/>
    <cellStyle name="20 % - Markeringsfarve3 2 2 3 4 2 2 2" xfId="36927" xr:uid="{00000000-0005-0000-0000-000076120000}"/>
    <cellStyle name="20 % - Markeringsfarve3 2 2 3 4 2 3" xfId="29926" xr:uid="{00000000-0005-0000-0000-000077120000}"/>
    <cellStyle name="20 % - Markeringsfarve3 2 2 3 4 3" xfId="12963" xr:uid="{00000000-0005-0000-0000-000078120000}"/>
    <cellStyle name="20 % - Markeringsfarve3 2 2 3 4 3 2" xfId="31130" xr:uid="{00000000-0005-0000-0000-000079120000}"/>
    <cellStyle name="20 % - Markeringsfarve3 2 2 3 4 4" xfId="24128" xr:uid="{00000000-0005-0000-0000-00007A120000}"/>
    <cellStyle name="20 % - Markeringsfarve3 2 2 3 5" xfId="7755" xr:uid="{00000000-0005-0000-0000-00007B120000}"/>
    <cellStyle name="20 % - Markeringsfarve3 2 2 3 5 2" xfId="15673" xr:uid="{00000000-0005-0000-0000-00007C120000}"/>
    <cellStyle name="20 % - Markeringsfarve3 2 2 3 5 2 2" xfId="33833" xr:uid="{00000000-0005-0000-0000-00007D120000}"/>
    <cellStyle name="20 % - Markeringsfarve3 2 2 3 5 3" xfId="26832" xr:uid="{00000000-0005-0000-0000-00007E120000}"/>
    <cellStyle name="20 % - Markeringsfarve3 2 2 3 6" xfId="12959" xr:uid="{00000000-0005-0000-0000-00007F120000}"/>
    <cellStyle name="20 % - Markeringsfarve3 2 2 3 6 2" xfId="31126" xr:uid="{00000000-0005-0000-0000-000080120000}"/>
    <cellStyle name="20 % - Markeringsfarve3 2 2 3 7" xfId="24124" xr:uid="{00000000-0005-0000-0000-000081120000}"/>
    <cellStyle name="20 % - Markeringsfarve3 2 2 4" xfId="4410" xr:uid="{00000000-0005-0000-0000-000082120000}"/>
    <cellStyle name="20 % - Markeringsfarve3 2 2 4 2" xfId="4411" xr:uid="{00000000-0005-0000-0000-000083120000}"/>
    <cellStyle name="20 % - Markeringsfarve3 2 2 4 2 2" xfId="4412" xr:uid="{00000000-0005-0000-0000-000084120000}"/>
    <cellStyle name="20 % - Markeringsfarve3 2 2 4 2 2 2" xfId="10143" xr:uid="{00000000-0005-0000-0000-000085120000}"/>
    <cellStyle name="20 % - Markeringsfarve3 2 2 4 2 2 2 2" xfId="18044" xr:uid="{00000000-0005-0000-0000-000086120000}"/>
    <cellStyle name="20 % - Markeringsfarve3 2 2 4 2 2 2 2 2" xfId="36204" xr:uid="{00000000-0005-0000-0000-000087120000}"/>
    <cellStyle name="20 % - Markeringsfarve3 2 2 4 2 2 2 3" xfId="29203" xr:uid="{00000000-0005-0000-0000-000088120000}"/>
    <cellStyle name="20 % - Markeringsfarve3 2 2 4 2 2 3" xfId="12966" xr:uid="{00000000-0005-0000-0000-000089120000}"/>
    <cellStyle name="20 % - Markeringsfarve3 2 2 4 2 2 3 2" xfId="31133" xr:uid="{00000000-0005-0000-0000-00008A120000}"/>
    <cellStyle name="20 % - Markeringsfarve3 2 2 4 2 2 4" xfId="24131" xr:uid="{00000000-0005-0000-0000-00008B120000}"/>
    <cellStyle name="20 % - Markeringsfarve3 2 2 4 2 3" xfId="8679" xr:uid="{00000000-0005-0000-0000-00008C120000}"/>
    <cellStyle name="20 % - Markeringsfarve3 2 2 4 2 3 2" xfId="16593" xr:uid="{00000000-0005-0000-0000-00008D120000}"/>
    <cellStyle name="20 % - Markeringsfarve3 2 2 4 2 3 2 2" xfId="34753" xr:uid="{00000000-0005-0000-0000-00008E120000}"/>
    <cellStyle name="20 % - Markeringsfarve3 2 2 4 2 3 3" xfId="27752" xr:uid="{00000000-0005-0000-0000-00008F120000}"/>
    <cellStyle name="20 % - Markeringsfarve3 2 2 4 2 4" xfId="12965" xr:uid="{00000000-0005-0000-0000-000090120000}"/>
    <cellStyle name="20 % - Markeringsfarve3 2 2 4 2 4 2" xfId="31132" xr:uid="{00000000-0005-0000-0000-000091120000}"/>
    <cellStyle name="20 % - Markeringsfarve3 2 2 4 2 5" xfId="24130" xr:uid="{00000000-0005-0000-0000-000092120000}"/>
    <cellStyle name="20 % - Markeringsfarve3 2 2 4 3" xfId="4413" xr:uid="{00000000-0005-0000-0000-000093120000}"/>
    <cellStyle name="20 % - Markeringsfarve3 2 2 4 3 2" xfId="9419" xr:uid="{00000000-0005-0000-0000-000094120000}"/>
    <cellStyle name="20 % - Markeringsfarve3 2 2 4 3 2 2" xfId="17329" xr:uid="{00000000-0005-0000-0000-000095120000}"/>
    <cellStyle name="20 % - Markeringsfarve3 2 2 4 3 2 2 2" xfId="35489" xr:uid="{00000000-0005-0000-0000-000096120000}"/>
    <cellStyle name="20 % - Markeringsfarve3 2 2 4 3 2 3" xfId="28488" xr:uid="{00000000-0005-0000-0000-000097120000}"/>
    <cellStyle name="20 % - Markeringsfarve3 2 2 4 3 3" xfId="12967" xr:uid="{00000000-0005-0000-0000-000098120000}"/>
    <cellStyle name="20 % - Markeringsfarve3 2 2 4 3 3 2" xfId="31134" xr:uid="{00000000-0005-0000-0000-000099120000}"/>
    <cellStyle name="20 % - Markeringsfarve3 2 2 4 3 4" xfId="24132" xr:uid="{00000000-0005-0000-0000-00009A120000}"/>
    <cellStyle name="20 % - Markeringsfarve3 2 2 4 4" xfId="4414" xr:uid="{00000000-0005-0000-0000-00009B120000}"/>
    <cellStyle name="20 % - Markeringsfarve3 2 2 4 4 2" xfId="10546" xr:uid="{00000000-0005-0000-0000-00009C120000}"/>
    <cellStyle name="20 % - Markeringsfarve3 2 2 4 4 2 2" xfId="18440" xr:uid="{00000000-0005-0000-0000-00009D120000}"/>
    <cellStyle name="20 % - Markeringsfarve3 2 2 4 4 2 2 2" xfId="36600" xr:uid="{00000000-0005-0000-0000-00009E120000}"/>
    <cellStyle name="20 % - Markeringsfarve3 2 2 4 4 2 3" xfId="29599" xr:uid="{00000000-0005-0000-0000-00009F120000}"/>
    <cellStyle name="20 % - Markeringsfarve3 2 2 4 4 3" xfId="12968" xr:uid="{00000000-0005-0000-0000-0000A0120000}"/>
    <cellStyle name="20 % - Markeringsfarve3 2 2 4 4 3 2" xfId="31135" xr:uid="{00000000-0005-0000-0000-0000A1120000}"/>
    <cellStyle name="20 % - Markeringsfarve3 2 2 4 4 4" xfId="24133" xr:uid="{00000000-0005-0000-0000-0000A2120000}"/>
    <cellStyle name="20 % - Markeringsfarve3 2 2 4 5" xfId="7756" xr:uid="{00000000-0005-0000-0000-0000A3120000}"/>
    <cellStyle name="20 % - Markeringsfarve3 2 2 4 5 2" xfId="15674" xr:uid="{00000000-0005-0000-0000-0000A4120000}"/>
    <cellStyle name="20 % - Markeringsfarve3 2 2 4 5 2 2" xfId="33834" xr:uid="{00000000-0005-0000-0000-0000A5120000}"/>
    <cellStyle name="20 % - Markeringsfarve3 2 2 4 5 3" xfId="26833" xr:uid="{00000000-0005-0000-0000-0000A6120000}"/>
    <cellStyle name="20 % - Markeringsfarve3 2 2 4 6" xfId="12964" xr:uid="{00000000-0005-0000-0000-0000A7120000}"/>
    <cellStyle name="20 % - Markeringsfarve3 2 2 4 6 2" xfId="31131" xr:uid="{00000000-0005-0000-0000-0000A8120000}"/>
    <cellStyle name="20 % - Markeringsfarve3 2 2 4 7" xfId="24129" xr:uid="{00000000-0005-0000-0000-0000A9120000}"/>
    <cellStyle name="20 % - Markeringsfarve3 2 2 5" xfId="4415" xr:uid="{00000000-0005-0000-0000-0000AA120000}"/>
    <cellStyle name="20 % - Markeringsfarve3 2 2 5 2" xfId="4416" xr:uid="{00000000-0005-0000-0000-0000AB120000}"/>
    <cellStyle name="20 % - Markeringsfarve3 2 2 5 2 2" xfId="4417" xr:uid="{00000000-0005-0000-0000-0000AC120000}"/>
    <cellStyle name="20 % - Markeringsfarve3 2 2 5 2 2 2" xfId="10260" xr:uid="{00000000-0005-0000-0000-0000AD120000}"/>
    <cellStyle name="20 % - Markeringsfarve3 2 2 5 2 2 2 2" xfId="18161" xr:uid="{00000000-0005-0000-0000-0000AE120000}"/>
    <cellStyle name="20 % - Markeringsfarve3 2 2 5 2 2 2 2 2" xfId="36321" xr:uid="{00000000-0005-0000-0000-0000AF120000}"/>
    <cellStyle name="20 % - Markeringsfarve3 2 2 5 2 2 2 3" xfId="29320" xr:uid="{00000000-0005-0000-0000-0000B0120000}"/>
    <cellStyle name="20 % - Markeringsfarve3 2 2 5 2 2 3" xfId="12971" xr:uid="{00000000-0005-0000-0000-0000B1120000}"/>
    <cellStyle name="20 % - Markeringsfarve3 2 2 5 2 2 3 2" xfId="31138" xr:uid="{00000000-0005-0000-0000-0000B2120000}"/>
    <cellStyle name="20 % - Markeringsfarve3 2 2 5 2 2 4" xfId="24136" xr:uid="{00000000-0005-0000-0000-0000B3120000}"/>
    <cellStyle name="20 % - Markeringsfarve3 2 2 5 2 3" xfId="8778" xr:uid="{00000000-0005-0000-0000-0000B4120000}"/>
    <cellStyle name="20 % - Markeringsfarve3 2 2 5 2 3 2" xfId="16692" xr:uid="{00000000-0005-0000-0000-0000B5120000}"/>
    <cellStyle name="20 % - Markeringsfarve3 2 2 5 2 3 2 2" xfId="34852" xr:uid="{00000000-0005-0000-0000-0000B6120000}"/>
    <cellStyle name="20 % - Markeringsfarve3 2 2 5 2 3 3" xfId="27851" xr:uid="{00000000-0005-0000-0000-0000B7120000}"/>
    <cellStyle name="20 % - Markeringsfarve3 2 2 5 2 4" xfId="12970" xr:uid="{00000000-0005-0000-0000-0000B8120000}"/>
    <cellStyle name="20 % - Markeringsfarve3 2 2 5 2 4 2" xfId="31137" xr:uid="{00000000-0005-0000-0000-0000B9120000}"/>
    <cellStyle name="20 % - Markeringsfarve3 2 2 5 2 5" xfId="24135" xr:uid="{00000000-0005-0000-0000-0000BA120000}"/>
    <cellStyle name="20 % - Markeringsfarve3 2 2 5 3" xfId="4418" xr:uid="{00000000-0005-0000-0000-0000BB120000}"/>
    <cellStyle name="20 % - Markeringsfarve3 2 2 5 3 2" xfId="9536" xr:uid="{00000000-0005-0000-0000-0000BC120000}"/>
    <cellStyle name="20 % - Markeringsfarve3 2 2 5 3 2 2" xfId="17446" xr:uid="{00000000-0005-0000-0000-0000BD120000}"/>
    <cellStyle name="20 % - Markeringsfarve3 2 2 5 3 2 2 2" xfId="35606" xr:uid="{00000000-0005-0000-0000-0000BE120000}"/>
    <cellStyle name="20 % - Markeringsfarve3 2 2 5 3 2 3" xfId="28605" xr:uid="{00000000-0005-0000-0000-0000BF120000}"/>
    <cellStyle name="20 % - Markeringsfarve3 2 2 5 3 3" xfId="12972" xr:uid="{00000000-0005-0000-0000-0000C0120000}"/>
    <cellStyle name="20 % - Markeringsfarve3 2 2 5 3 3 2" xfId="31139" xr:uid="{00000000-0005-0000-0000-0000C1120000}"/>
    <cellStyle name="20 % - Markeringsfarve3 2 2 5 3 4" xfId="24137" xr:uid="{00000000-0005-0000-0000-0000C2120000}"/>
    <cellStyle name="20 % - Markeringsfarve3 2 2 5 4" xfId="4419" xr:uid="{00000000-0005-0000-0000-0000C3120000}"/>
    <cellStyle name="20 % - Markeringsfarve3 2 2 5 4 2" xfId="8923" xr:uid="{00000000-0005-0000-0000-0000C4120000}"/>
    <cellStyle name="20 % - Markeringsfarve3 2 2 5 4 2 2" xfId="16836" xr:uid="{00000000-0005-0000-0000-0000C5120000}"/>
    <cellStyle name="20 % - Markeringsfarve3 2 2 5 4 2 2 2" xfId="34996" xr:uid="{00000000-0005-0000-0000-0000C6120000}"/>
    <cellStyle name="20 % - Markeringsfarve3 2 2 5 4 2 3" xfId="27995" xr:uid="{00000000-0005-0000-0000-0000C7120000}"/>
    <cellStyle name="20 % - Markeringsfarve3 2 2 5 4 3" xfId="12973" xr:uid="{00000000-0005-0000-0000-0000C8120000}"/>
    <cellStyle name="20 % - Markeringsfarve3 2 2 5 4 3 2" xfId="31140" xr:uid="{00000000-0005-0000-0000-0000C9120000}"/>
    <cellStyle name="20 % - Markeringsfarve3 2 2 5 4 4" xfId="24138" xr:uid="{00000000-0005-0000-0000-0000CA120000}"/>
    <cellStyle name="20 % - Markeringsfarve3 2 2 5 5" xfId="7757" xr:uid="{00000000-0005-0000-0000-0000CB120000}"/>
    <cellStyle name="20 % - Markeringsfarve3 2 2 5 5 2" xfId="15675" xr:uid="{00000000-0005-0000-0000-0000CC120000}"/>
    <cellStyle name="20 % - Markeringsfarve3 2 2 5 5 2 2" xfId="33835" xr:uid="{00000000-0005-0000-0000-0000CD120000}"/>
    <cellStyle name="20 % - Markeringsfarve3 2 2 5 5 3" xfId="26834" xr:uid="{00000000-0005-0000-0000-0000CE120000}"/>
    <cellStyle name="20 % - Markeringsfarve3 2 2 5 6" xfId="12969" xr:uid="{00000000-0005-0000-0000-0000CF120000}"/>
    <cellStyle name="20 % - Markeringsfarve3 2 2 5 6 2" xfId="31136" xr:uid="{00000000-0005-0000-0000-0000D0120000}"/>
    <cellStyle name="20 % - Markeringsfarve3 2 2 5 7" xfId="24134" xr:uid="{00000000-0005-0000-0000-0000D1120000}"/>
    <cellStyle name="20 % - Markeringsfarve3 2 2 6" xfId="4420" xr:uid="{00000000-0005-0000-0000-0000D2120000}"/>
    <cellStyle name="20 % - Markeringsfarve3 2 2 6 2" xfId="4421" xr:uid="{00000000-0005-0000-0000-0000D3120000}"/>
    <cellStyle name="20 % - Markeringsfarve3 2 2 6 2 2" xfId="4422" xr:uid="{00000000-0005-0000-0000-0000D4120000}"/>
    <cellStyle name="20 % - Markeringsfarve3 2 2 6 2 2 2" xfId="10328" xr:uid="{00000000-0005-0000-0000-0000D5120000}"/>
    <cellStyle name="20 % - Markeringsfarve3 2 2 6 2 2 2 2" xfId="18229" xr:uid="{00000000-0005-0000-0000-0000D6120000}"/>
    <cellStyle name="20 % - Markeringsfarve3 2 2 6 2 2 2 2 2" xfId="36389" xr:uid="{00000000-0005-0000-0000-0000D7120000}"/>
    <cellStyle name="20 % - Markeringsfarve3 2 2 6 2 2 2 3" xfId="29388" xr:uid="{00000000-0005-0000-0000-0000D8120000}"/>
    <cellStyle name="20 % - Markeringsfarve3 2 2 6 2 2 3" xfId="12976" xr:uid="{00000000-0005-0000-0000-0000D9120000}"/>
    <cellStyle name="20 % - Markeringsfarve3 2 2 6 2 2 3 2" xfId="31143" xr:uid="{00000000-0005-0000-0000-0000DA120000}"/>
    <cellStyle name="20 % - Markeringsfarve3 2 2 6 2 2 4" xfId="24141" xr:uid="{00000000-0005-0000-0000-0000DB120000}"/>
    <cellStyle name="20 % - Markeringsfarve3 2 2 6 2 3" xfId="8839" xr:uid="{00000000-0005-0000-0000-0000DC120000}"/>
    <cellStyle name="20 % - Markeringsfarve3 2 2 6 2 3 2" xfId="16753" xr:uid="{00000000-0005-0000-0000-0000DD120000}"/>
    <cellStyle name="20 % - Markeringsfarve3 2 2 6 2 3 2 2" xfId="34913" xr:uid="{00000000-0005-0000-0000-0000DE120000}"/>
    <cellStyle name="20 % - Markeringsfarve3 2 2 6 2 3 3" xfId="27912" xr:uid="{00000000-0005-0000-0000-0000DF120000}"/>
    <cellStyle name="20 % - Markeringsfarve3 2 2 6 2 4" xfId="12975" xr:uid="{00000000-0005-0000-0000-0000E0120000}"/>
    <cellStyle name="20 % - Markeringsfarve3 2 2 6 2 4 2" xfId="31142" xr:uid="{00000000-0005-0000-0000-0000E1120000}"/>
    <cellStyle name="20 % - Markeringsfarve3 2 2 6 2 5" xfId="24140" xr:uid="{00000000-0005-0000-0000-0000E2120000}"/>
    <cellStyle name="20 % - Markeringsfarve3 2 2 6 3" xfId="4423" xr:uid="{00000000-0005-0000-0000-0000E3120000}"/>
    <cellStyle name="20 % - Markeringsfarve3 2 2 6 3 2" xfId="9605" xr:uid="{00000000-0005-0000-0000-0000E4120000}"/>
    <cellStyle name="20 % - Markeringsfarve3 2 2 6 3 2 2" xfId="17515" xr:uid="{00000000-0005-0000-0000-0000E5120000}"/>
    <cellStyle name="20 % - Markeringsfarve3 2 2 6 3 2 2 2" xfId="35675" xr:uid="{00000000-0005-0000-0000-0000E6120000}"/>
    <cellStyle name="20 % - Markeringsfarve3 2 2 6 3 2 3" xfId="28674" xr:uid="{00000000-0005-0000-0000-0000E7120000}"/>
    <cellStyle name="20 % - Markeringsfarve3 2 2 6 3 3" xfId="12977" xr:uid="{00000000-0005-0000-0000-0000E8120000}"/>
    <cellStyle name="20 % - Markeringsfarve3 2 2 6 3 3 2" xfId="31144" xr:uid="{00000000-0005-0000-0000-0000E9120000}"/>
    <cellStyle name="20 % - Markeringsfarve3 2 2 6 3 4" xfId="24142" xr:uid="{00000000-0005-0000-0000-0000EA120000}"/>
    <cellStyle name="20 % - Markeringsfarve3 2 2 6 4" xfId="4424" xr:uid="{00000000-0005-0000-0000-0000EB120000}"/>
    <cellStyle name="20 % - Markeringsfarve3 2 2 6 4 2" xfId="9334" xr:uid="{00000000-0005-0000-0000-0000EC120000}"/>
    <cellStyle name="20 % - Markeringsfarve3 2 2 6 4 2 2" xfId="17244" xr:uid="{00000000-0005-0000-0000-0000ED120000}"/>
    <cellStyle name="20 % - Markeringsfarve3 2 2 6 4 2 2 2" xfId="35404" xr:uid="{00000000-0005-0000-0000-0000EE120000}"/>
    <cellStyle name="20 % - Markeringsfarve3 2 2 6 4 2 3" xfId="28403" xr:uid="{00000000-0005-0000-0000-0000EF120000}"/>
    <cellStyle name="20 % - Markeringsfarve3 2 2 6 4 3" xfId="12978" xr:uid="{00000000-0005-0000-0000-0000F0120000}"/>
    <cellStyle name="20 % - Markeringsfarve3 2 2 6 4 3 2" xfId="31145" xr:uid="{00000000-0005-0000-0000-0000F1120000}"/>
    <cellStyle name="20 % - Markeringsfarve3 2 2 6 4 4" xfId="24143" xr:uid="{00000000-0005-0000-0000-0000F2120000}"/>
    <cellStyle name="20 % - Markeringsfarve3 2 2 6 5" xfId="7758" xr:uid="{00000000-0005-0000-0000-0000F3120000}"/>
    <cellStyle name="20 % - Markeringsfarve3 2 2 6 5 2" xfId="15676" xr:uid="{00000000-0005-0000-0000-0000F4120000}"/>
    <cellStyle name="20 % - Markeringsfarve3 2 2 6 5 2 2" xfId="33836" xr:uid="{00000000-0005-0000-0000-0000F5120000}"/>
    <cellStyle name="20 % - Markeringsfarve3 2 2 6 5 3" xfId="26835" xr:uid="{00000000-0005-0000-0000-0000F6120000}"/>
    <cellStyle name="20 % - Markeringsfarve3 2 2 6 6" xfId="12974" xr:uid="{00000000-0005-0000-0000-0000F7120000}"/>
    <cellStyle name="20 % - Markeringsfarve3 2 2 6 6 2" xfId="31141" xr:uid="{00000000-0005-0000-0000-0000F8120000}"/>
    <cellStyle name="20 % - Markeringsfarve3 2 2 6 7" xfId="24139" xr:uid="{00000000-0005-0000-0000-0000F9120000}"/>
    <cellStyle name="20 % - Markeringsfarve3 2 2 7" xfId="4425" xr:uid="{00000000-0005-0000-0000-0000FA120000}"/>
    <cellStyle name="20 % - Markeringsfarve3 2 2 7 2" xfId="4426" xr:uid="{00000000-0005-0000-0000-0000FB120000}"/>
    <cellStyle name="20 % - Markeringsfarve3 2 2 7 2 2" xfId="9786" xr:uid="{00000000-0005-0000-0000-0000FC120000}"/>
    <cellStyle name="20 % - Markeringsfarve3 2 2 7 2 2 2" xfId="17687" xr:uid="{00000000-0005-0000-0000-0000FD120000}"/>
    <cellStyle name="20 % - Markeringsfarve3 2 2 7 2 2 2 2" xfId="35847" xr:uid="{00000000-0005-0000-0000-0000FE120000}"/>
    <cellStyle name="20 % - Markeringsfarve3 2 2 7 2 2 3" xfId="28846" xr:uid="{00000000-0005-0000-0000-0000FF120000}"/>
    <cellStyle name="20 % - Markeringsfarve3 2 2 7 2 3" xfId="12980" xr:uid="{00000000-0005-0000-0000-000000130000}"/>
    <cellStyle name="20 % - Markeringsfarve3 2 2 7 2 3 2" xfId="31147" xr:uid="{00000000-0005-0000-0000-000001130000}"/>
    <cellStyle name="20 % - Markeringsfarve3 2 2 7 2 4" xfId="24145" xr:uid="{00000000-0005-0000-0000-000002130000}"/>
    <cellStyle name="20 % - Markeringsfarve3 2 2 7 3" xfId="8378" xr:uid="{00000000-0005-0000-0000-000003130000}"/>
    <cellStyle name="20 % - Markeringsfarve3 2 2 7 3 2" xfId="16295" xr:uid="{00000000-0005-0000-0000-000004130000}"/>
    <cellStyle name="20 % - Markeringsfarve3 2 2 7 3 2 2" xfId="34455" xr:uid="{00000000-0005-0000-0000-000005130000}"/>
    <cellStyle name="20 % - Markeringsfarve3 2 2 7 3 3" xfId="27454" xr:uid="{00000000-0005-0000-0000-000006130000}"/>
    <cellStyle name="20 % - Markeringsfarve3 2 2 7 4" xfId="12979" xr:uid="{00000000-0005-0000-0000-000007130000}"/>
    <cellStyle name="20 % - Markeringsfarve3 2 2 7 4 2" xfId="31146" xr:uid="{00000000-0005-0000-0000-000008130000}"/>
    <cellStyle name="20 % - Markeringsfarve3 2 2 7 5" xfId="24144" xr:uid="{00000000-0005-0000-0000-000009130000}"/>
    <cellStyle name="20 % - Markeringsfarve3 2 2 8" xfId="4427" xr:uid="{00000000-0005-0000-0000-00000A130000}"/>
    <cellStyle name="20 % - Markeringsfarve3 2 2 8 2" xfId="9014" xr:uid="{00000000-0005-0000-0000-00000B130000}"/>
    <cellStyle name="20 % - Markeringsfarve3 2 2 8 2 2" xfId="16925" xr:uid="{00000000-0005-0000-0000-00000C130000}"/>
    <cellStyle name="20 % - Markeringsfarve3 2 2 8 2 2 2" xfId="35085" xr:uid="{00000000-0005-0000-0000-00000D130000}"/>
    <cellStyle name="20 % - Markeringsfarve3 2 2 8 2 3" xfId="28084" xr:uid="{00000000-0005-0000-0000-00000E130000}"/>
    <cellStyle name="20 % - Markeringsfarve3 2 2 8 3" xfId="12981" xr:uid="{00000000-0005-0000-0000-00000F130000}"/>
    <cellStyle name="20 % - Markeringsfarve3 2 2 8 3 2" xfId="31148" xr:uid="{00000000-0005-0000-0000-000010130000}"/>
    <cellStyle name="20 % - Markeringsfarve3 2 2 8 4" xfId="24146" xr:uid="{00000000-0005-0000-0000-000011130000}"/>
    <cellStyle name="20 % - Markeringsfarve3 2 2 9" xfId="4428" xr:uid="{00000000-0005-0000-0000-000012130000}"/>
    <cellStyle name="20 % - Markeringsfarve3 2 2 9 2" xfId="10841" xr:uid="{00000000-0005-0000-0000-000013130000}"/>
    <cellStyle name="20 % - Markeringsfarve3 2 2 9 2 2" xfId="18727" xr:uid="{00000000-0005-0000-0000-000014130000}"/>
    <cellStyle name="20 % - Markeringsfarve3 2 2 9 2 2 2" xfId="36887" xr:uid="{00000000-0005-0000-0000-000015130000}"/>
    <cellStyle name="20 % - Markeringsfarve3 2 2 9 2 3" xfId="29886" xr:uid="{00000000-0005-0000-0000-000016130000}"/>
    <cellStyle name="20 % - Markeringsfarve3 2 2 9 3" xfId="12982" xr:uid="{00000000-0005-0000-0000-000017130000}"/>
    <cellStyle name="20 % - Markeringsfarve3 2 2 9 3 2" xfId="31149" xr:uid="{00000000-0005-0000-0000-000018130000}"/>
    <cellStyle name="20 % - Markeringsfarve3 2 2 9 4" xfId="24147" xr:uid="{00000000-0005-0000-0000-000019130000}"/>
    <cellStyle name="20 % - Markeringsfarve3 2 3" xfId="1802" xr:uid="{00000000-0005-0000-0000-00001A130000}"/>
    <cellStyle name="20 % - Markeringsfarve3 2 3 10" xfId="7759" xr:uid="{00000000-0005-0000-0000-00001B130000}"/>
    <cellStyle name="20 % - Markeringsfarve3 2 3 10 2" xfId="15677" xr:uid="{00000000-0005-0000-0000-00001C130000}"/>
    <cellStyle name="20 % - Markeringsfarve3 2 3 10 2 2" xfId="33837" xr:uid="{00000000-0005-0000-0000-00001D130000}"/>
    <cellStyle name="20 % - Markeringsfarve3 2 3 10 3" xfId="26836" xr:uid="{00000000-0005-0000-0000-00001E130000}"/>
    <cellStyle name="20 % - Markeringsfarve3 2 3 11" xfId="12983" xr:uid="{00000000-0005-0000-0000-00001F130000}"/>
    <cellStyle name="20 % - Markeringsfarve3 2 3 11 2" xfId="31150" xr:uid="{00000000-0005-0000-0000-000020130000}"/>
    <cellStyle name="20 % - Markeringsfarve3 2 3 12" xfId="4429" xr:uid="{00000000-0005-0000-0000-000021130000}"/>
    <cellStyle name="20 % - Markeringsfarve3 2 3 12 2" xfId="24148" xr:uid="{00000000-0005-0000-0000-000022130000}"/>
    <cellStyle name="20 % - Markeringsfarve3 2 3 13" xfId="21926" xr:uid="{00000000-0005-0000-0000-000023130000}"/>
    <cellStyle name="20 % - Markeringsfarve3 2 3 2" xfId="1803" xr:uid="{00000000-0005-0000-0000-000024130000}"/>
    <cellStyle name="20 % - Markeringsfarve3 2 3 2 2" xfId="4431" xr:uid="{00000000-0005-0000-0000-000025130000}"/>
    <cellStyle name="20 % - Markeringsfarve3 2 3 2 2 2" xfId="4432" xr:uid="{00000000-0005-0000-0000-000026130000}"/>
    <cellStyle name="20 % - Markeringsfarve3 2 3 2 2 2 2" xfId="9944" xr:uid="{00000000-0005-0000-0000-000027130000}"/>
    <cellStyle name="20 % - Markeringsfarve3 2 3 2 2 2 2 2" xfId="17845" xr:uid="{00000000-0005-0000-0000-000028130000}"/>
    <cellStyle name="20 % - Markeringsfarve3 2 3 2 2 2 2 2 2" xfId="36005" xr:uid="{00000000-0005-0000-0000-000029130000}"/>
    <cellStyle name="20 % - Markeringsfarve3 2 3 2 2 2 2 3" xfId="29004" xr:uid="{00000000-0005-0000-0000-00002A130000}"/>
    <cellStyle name="20 % - Markeringsfarve3 2 3 2 2 2 3" xfId="12986" xr:uid="{00000000-0005-0000-0000-00002B130000}"/>
    <cellStyle name="20 % - Markeringsfarve3 2 3 2 2 2 3 2" xfId="31153" xr:uid="{00000000-0005-0000-0000-00002C130000}"/>
    <cellStyle name="20 % - Markeringsfarve3 2 3 2 2 2 4" xfId="24151" xr:uid="{00000000-0005-0000-0000-00002D130000}"/>
    <cellStyle name="20 % - Markeringsfarve3 2 3 2 2 3" xfId="8510" xr:uid="{00000000-0005-0000-0000-00002E130000}"/>
    <cellStyle name="20 % - Markeringsfarve3 2 3 2 2 3 2" xfId="16427" xr:uid="{00000000-0005-0000-0000-00002F130000}"/>
    <cellStyle name="20 % - Markeringsfarve3 2 3 2 2 3 2 2" xfId="34587" xr:uid="{00000000-0005-0000-0000-000030130000}"/>
    <cellStyle name="20 % - Markeringsfarve3 2 3 2 2 3 3" xfId="27586" xr:uid="{00000000-0005-0000-0000-000031130000}"/>
    <cellStyle name="20 % - Markeringsfarve3 2 3 2 2 4" xfId="12985" xr:uid="{00000000-0005-0000-0000-000032130000}"/>
    <cellStyle name="20 % - Markeringsfarve3 2 3 2 2 4 2" xfId="31152" xr:uid="{00000000-0005-0000-0000-000033130000}"/>
    <cellStyle name="20 % - Markeringsfarve3 2 3 2 2 5" xfId="24150" xr:uid="{00000000-0005-0000-0000-000034130000}"/>
    <cellStyle name="20 % - Markeringsfarve3 2 3 2 3" xfId="4433" xr:uid="{00000000-0005-0000-0000-000035130000}"/>
    <cellStyle name="20 % - Markeringsfarve3 2 3 2 3 2" xfId="9174" xr:uid="{00000000-0005-0000-0000-000036130000}"/>
    <cellStyle name="20 % - Markeringsfarve3 2 3 2 3 2 2" xfId="17085" xr:uid="{00000000-0005-0000-0000-000037130000}"/>
    <cellStyle name="20 % - Markeringsfarve3 2 3 2 3 2 2 2" xfId="35245" xr:uid="{00000000-0005-0000-0000-000038130000}"/>
    <cellStyle name="20 % - Markeringsfarve3 2 3 2 3 2 3" xfId="28244" xr:uid="{00000000-0005-0000-0000-000039130000}"/>
    <cellStyle name="20 % - Markeringsfarve3 2 3 2 3 3" xfId="12987" xr:uid="{00000000-0005-0000-0000-00003A130000}"/>
    <cellStyle name="20 % - Markeringsfarve3 2 3 2 3 3 2" xfId="31154" xr:uid="{00000000-0005-0000-0000-00003B130000}"/>
    <cellStyle name="20 % - Markeringsfarve3 2 3 2 3 4" xfId="24152" xr:uid="{00000000-0005-0000-0000-00003C130000}"/>
    <cellStyle name="20 % - Markeringsfarve3 2 3 2 4" xfId="4434" xr:uid="{00000000-0005-0000-0000-00003D130000}"/>
    <cellStyle name="20 % - Markeringsfarve3 2 3 2 4 2" xfId="9319" xr:uid="{00000000-0005-0000-0000-00003E130000}"/>
    <cellStyle name="20 % - Markeringsfarve3 2 3 2 4 2 2" xfId="17229" xr:uid="{00000000-0005-0000-0000-00003F130000}"/>
    <cellStyle name="20 % - Markeringsfarve3 2 3 2 4 2 2 2" xfId="35389" xr:uid="{00000000-0005-0000-0000-000040130000}"/>
    <cellStyle name="20 % - Markeringsfarve3 2 3 2 4 2 3" xfId="28388" xr:uid="{00000000-0005-0000-0000-000041130000}"/>
    <cellStyle name="20 % - Markeringsfarve3 2 3 2 4 3" xfId="12988" xr:uid="{00000000-0005-0000-0000-000042130000}"/>
    <cellStyle name="20 % - Markeringsfarve3 2 3 2 4 3 2" xfId="31155" xr:uid="{00000000-0005-0000-0000-000043130000}"/>
    <cellStyle name="20 % - Markeringsfarve3 2 3 2 4 4" xfId="24153" xr:uid="{00000000-0005-0000-0000-000044130000}"/>
    <cellStyle name="20 % - Markeringsfarve3 2 3 2 5" xfId="7760" xr:uid="{00000000-0005-0000-0000-000045130000}"/>
    <cellStyle name="20 % - Markeringsfarve3 2 3 2 5 2" xfId="15678" xr:uid="{00000000-0005-0000-0000-000046130000}"/>
    <cellStyle name="20 % - Markeringsfarve3 2 3 2 5 2 2" xfId="33838" xr:uid="{00000000-0005-0000-0000-000047130000}"/>
    <cellStyle name="20 % - Markeringsfarve3 2 3 2 5 3" xfId="26837" xr:uid="{00000000-0005-0000-0000-000048130000}"/>
    <cellStyle name="20 % - Markeringsfarve3 2 3 2 6" xfId="12984" xr:uid="{00000000-0005-0000-0000-000049130000}"/>
    <cellStyle name="20 % - Markeringsfarve3 2 3 2 6 2" xfId="31151" xr:uid="{00000000-0005-0000-0000-00004A130000}"/>
    <cellStyle name="20 % - Markeringsfarve3 2 3 2 7" xfId="4430" xr:uid="{00000000-0005-0000-0000-00004B130000}"/>
    <cellStyle name="20 % - Markeringsfarve3 2 3 2 7 2" xfId="24149" xr:uid="{00000000-0005-0000-0000-00004C130000}"/>
    <cellStyle name="20 % - Markeringsfarve3 2 3 2 8" xfId="21927" xr:uid="{00000000-0005-0000-0000-00004D130000}"/>
    <cellStyle name="20 % - Markeringsfarve3 2 3 3" xfId="4435" xr:uid="{00000000-0005-0000-0000-00004E130000}"/>
    <cellStyle name="20 % - Markeringsfarve3 2 3 3 2" xfId="4436" xr:uid="{00000000-0005-0000-0000-00004F130000}"/>
    <cellStyle name="20 % - Markeringsfarve3 2 3 3 2 2" xfId="4437" xr:uid="{00000000-0005-0000-0000-000050130000}"/>
    <cellStyle name="20 % - Markeringsfarve3 2 3 3 2 2 2" xfId="9974" xr:uid="{00000000-0005-0000-0000-000051130000}"/>
    <cellStyle name="20 % - Markeringsfarve3 2 3 3 2 2 2 2" xfId="17875" xr:uid="{00000000-0005-0000-0000-000052130000}"/>
    <cellStyle name="20 % - Markeringsfarve3 2 3 3 2 2 2 2 2" xfId="36035" xr:uid="{00000000-0005-0000-0000-000053130000}"/>
    <cellStyle name="20 % - Markeringsfarve3 2 3 3 2 2 2 3" xfId="29034" xr:uid="{00000000-0005-0000-0000-000054130000}"/>
    <cellStyle name="20 % - Markeringsfarve3 2 3 3 2 2 3" xfId="12991" xr:uid="{00000000-0005-0000-0000-000055130000}"/>
    <cellStyle name="20 % - Markeringsfarve3 2 3 3 2 2 3 2" xfId="31158" xr:uid="{00000000-0005-0000-0000-000056130000}"/>
    <cellStyle name="20 % - Markeringsfarve3 2 3 3 2 2 4" xfId="24156" xr:uid="{00000000-0005-0000-0000-000057130000}"/>
    <cellStyle name="20 % - Markeringsfarve3 2 3 3 2 3" xfId="8538" xr:uid="{00000000-0005-0000-0000-000058130000}"/>
    <cellStyle name="20 % - Markeringsfarve3 2 3 3 2 3 2" xfId="16455" xr:uid="{00000000-0005-0000-0000-000059130000}"/>
    <cellStyle name="20 % - Markeringsfarve3 2 3 3 2 3 2 2" xfId="34615" xr:uid="{00000000-0005-0000-0000-00005A130000}"/>
    <cellStyle name="20 % - Markeringsfarve3 2 3 3 2 3 3" xfId="27614" xr:uid="{00000000-0005-0000-0000-00005B130000}"/>
    <cellStyle name="20 % - Markeringsfarve3 2 3 3 2 4" xfId="12990" xr:uid="{00000000-0005-0000-0000-00005C130000}"/>
    <cellStyle name="20 % - Markeringsfarve3 2 3 3 2 4 2" xfId="31157" xr:uid="{00000000-0005-0000-0000-00005D130000}"/>
    <cellStyle name="20 % - Markeringsfarve3 2 3 3 2 5" xfId="24155" xr:uid="{00000000-0005-0000-0000-00005E130000}"/>
    <cellStyle name="20 % - Markeringsfarve3 2 3 3 3" xfId="4438" xr:uid="{00000000-0005-0000-0000-00005F130000}"/>
    <cellStyle name="20 % - Markeringsfarve3 2 3 3 3 2" xfId="9204" xr:uid="{00000000-0005-0000-0000-000060130000}"/>
    <cellStyle name="20 % - Markeringsfarve3 2 3 3 3 2 2" xfId="17115" xr:uid="{00000000-0005-0000-0000-000061130000}"/>
    <cellStyle name="20 % - Markeringsfarve3 2 3 3 3 2 2 2" xfId="35275" xr:uid="{00000000-0005-0000-0000-000062130000}"/>
    <cellStyle name="20 % - Markeringsfarve3 2 3 3 3 2 3" xfId="28274" xr:uid="{00000000-0005-0000-0000-000063130000}"/>
    <cellStyle name="20 % - Markeringsfarve3 2 3 3 3 3" xfId="12992" xr:uid="{00000000-0005-0000-0000-000064130000}"/>
    <cellStyle name="20 % - Markeringsfarve3 2 3 3 3 3 2" xfId="31159" xr:uid="{00000000-0005-0000-0000-000065130000}"/>
    <cellStyle name="20 % - Markeringsfarve3 2 3 3 3 4" xfId="24157" xr:uid="{00000000-0005-0000-0000-000066130000}"/>
    <cellStyle name="20 % - Markeringsfarve3 2 3 3 4" xfId="4439" xr:uid="{00000000-0005-0000-0000-000067130000}"/>
    <cellStyle name="20 % - Markeringsfarve3 2 3 3 4 2" xfId="9321" xr:uid="{00000000-0005-0000-0000-000068130000}"/>
    <cellStyle name="20 % - Markeringsfarve3 2 3 3 4 2 2" xfId="17231" xr:uid="{00000000-0005-0000-0000-000069130000}"/>
    <cellStyle name="20 % - Markeringsfarve3 2 3 3 4 2 2 2" xfId="35391" xr:uid="{00000000-0005-0000-0000-00006A130000}"/>
    <cellStyle name="20 % - Markeringsfarve3 2 3 3 4 2 3" xfId="28390" xr:uid="{00000000-0005-0000-0000-00006B130000}"/>
    <cellStyle name="20 % - Markeringsfarve3 2 3 3 4 3" xfId="12993" xr:uid="{00000000-0005-0000-0000-00006C130000}"/>
    <cellStyle name="20 % - Markeringsfarve3 2 3 3 4 3 2" xfId="31160" xr:uid="{00000000-0005-0000-0000-00006D130000}"/>
    <cellStyle name="20 % - Markeringsfarve3 2 3 3 4 4" xfId="24158" xr:uid="{00000000-0005-0000-0000-00006E130000}"/>
    <cellStyle name="20 % - Markeringsfarve3 2 3 3 5" xfId="7761" xr:uid="{00000000-0005-0000-0000-00006F130000}"/>
    <cellStyle name="20 % - Markeringsfarve3 2 3 3 5 2" xfId="15679" xr:uid="{00000000-0005-0000-0000-000070130000}"/>
    <cellStyle name="20 % - Markeringsfarve3 2 3 3 5 2 2" xfId="33839" xr:uid="{00000000-0005-0000-0000-000071130000}"/>
    <cellStyle name="20 % - Markeringsfarve3 2 3 3 5 3" xfId="26838" xr:uid="{00000000-0005-0000-0000-000072130000}"/>
    <cellStyle name="20 % - Markeringsfarve3 2 3 3 6" xfId="12989" xr:uid="{00000000-0005-0000-0000-000073130000}"/>
    <cellStyle name="20 % - Markeringsfarve3 2 3 3 6 2" xfId="31156" xr:uid="{00000000-0005-0000-0000-000074130000}"/>
    <cellStyle name="20 % - Markeringsfarve3 2 3 3 7" xfId="24154" xr:uid="{00000000-0005-0000-0000-000075130000}"/>
    <cellStyle name="20 % - Markeringsfarve3 2 3 4" xfId="4440" xr:uid="{00000000-0005-0000-0000-000076130000}"/>
    <cellStyle name="20 % - Markeringsfarve3 2 3 4 2" xfId="4441" xr:uid="{00000000-0005-0000-0000-000077130000}"/>
    <cellStyle name="20 % - Markeringsfarve3 2 3 4 2 2" xfId="4442" xr:uid="{00000000-0005-0000-0000-000078130000}"/>
    <cellStyle name="20 % - Markeringsfarve3 2 3 4 2 2 2" xfId="10182" xr:uid="{00000000-0005-0000-0000-000079130000}"/>
    <cellStyle name="20 % - Markeringsfarve3 2 3 4 2 2 2 2" xfId="18083" xr:uid="{00000000-0005-0000-0000-00007A130000}"/>
    <cellStyle name="20 % - Markeringsfarve3 2 3 4 2 2 2 2 2" xfId="36243" xr:uid="{00000000-0005-0000-0000-00007B130000}"/>
    <cellStyle name="20 % - Markeringsfarve3 2 3 4 2 2 2 3" xfId="29242" xr:uid="{00000000-0005-0000-0000-00007C130000}"/>
    <cellStyle name="20 % - Markeringsfarve3 2 3 4 2 2 3" xfId="12996" xr:uid="{00000000-0005-0000-0000-00007D130000}"/>
    <cellStyle name="20 % - Markeringsfarve3 2 3 4 2 2 3 2" xfId="31163" xr:uid="{00000000-0005-0000-0000-00007E130000}"/>
    <cellStyle name="20 % - Markeringsfarve3 2 3 4 2 2 4" xfId="24161" xr:uid="{00000000-0005-0000-0000-00007F130000}"/>
    <cellStyle name="20 % - Markeringsfarve3 2 3 4 2 3" xfId="8712" xr:uid="{00000000-0005-0000-0000-000080130000}"/>
    <cellStyle name="20 % - Markeringsfarve3 2 3 4 2 3 2" xfId="16626" xr:uid="{00000000-0005-0000-0000-000081130000}"/>
    <cellStyle name="20 % - Markeringsfarve3 2 3 4 2 3 2 2" xfId="34786" xr:uid="{00000000-0005-0000-0000-000082130000}"/>
    <cellStyle name="20 % - Markeringsfarve3 2 3 4 2 3 3" xfId="27785" xr:uid="{00000000-0005-0000-0000-000083130000}"/>
    <cellStyle name="20 % - Markeringsfarve3 2 3 4 2 4" xfId="12995" xr:uid="{00000000-0005-0000-0000-000084130000}"/>
    <cellStyle name="20 % - Markeringsfarve3 2 3 4 2 4 2" xfId="31162" xr:uid="{00000000-0005-0000-0000-000085130000}"/>
    <cellStyle name="20 % - Markeringsfarve3 2 3 4 2 5" xfId="24160" xr:uid="{00000000-0005-0000-0000-000086130000}"/>
    <cellStyle name="20 % - Markeringsfarve3 2 3 4 3" xfId="4443" xr:uid="{00000000-0005-0000-0000-000087130000}"/>
    <cellStyle name="20 % - Markeringsfarve3 2 3 4 3 2" xfId="9458" xr:uid="{00000000-0005-0000-0000-000088130000}"/>
    <cellStyle name="20 % - Markeringsfarve3 2 3 4 3 2 2" xfId="17368" xr:uid="{00000000-0005-0000-0000-000089130000}"/>
    <cellStyle name="20 % - Markeringsfarve3 2 3 4 3 2 2 2" xfId="35528" xr:uid="{00000000-0005-0000-0000-00008A130000}"/>
    <cellStyle name="20 % - Markeringsfarve3 2 3 4 3 2 3" xfId="28527" xr:uid="{00000000-0005-0000-0000-00008B130000}"/>
    <cellStyle name="20 % - Markeringsfarve3 2 3 4 3 3" xfId="12997" xr:uid="{00000000-0005-0000-0000-00008C130000}"/>
    <cellStyle name="20 % - Markeringsfarve3 2 3 4 3 3 2" xfId="31164" xr:uid="{00000000-0005-0000-0000-00008D130000}"/>
    <cellStyle name="20 % - Markeringsfarve3 2 3 4 3 4" xfId="24162" xr:uid="{00000000-0005-0000-0000-00008E130000}"/>
    <cellStyle name="20 % - Markeringsfarve3 2 3 4 4" xfId="4444" xr:uid="{00000000-0005-0000-0000-00008F130000}"/>
    <cellStyle name="20 % - Markeringsfarve3 2 3 4 4 2" xfId="9322" xr:uid="{00000000-0005-0000-0000-000090130000}"/>
    <cellStyle name="20 % - Markeringsfarve3 2 3 4 4 2 2" xfId="17232" xr:uid="{00000000-0005-0000-0000-000091130000}"/>
    <cellStyle name="20 % - Markeringsfarve3 2 3 4 4 2 2 2" xfId="35392" xr:uid="{00000000-0005-0000-0000-000092130000}"/>
    <cellStyle name="20 % - Markeringsfarve3 2 3 4 4 2 3" xfId="28391" xr:uid="{00000000-0005-0000-0000-000093130000}"/>
    <cellStyle name="20 % - Markeringsfarve3 2 3 4 4 3" xfId="12998" xr:uid="{00000000-0005-0000-0000-000094130000}"/>
    <cellStyle name="20 % - Markeringsfarve3 2 3 4 4 3 2" xfId="31165" xr:uid="{00000000-0005-0000-0000-000095130000}"/>
    <cellStyle name="20 % - Markeringsfarve3 2 3 4 4 4" xfId="24163" xr:uid="{00000000-0005-0000-0000-000096130000}"/>
    <cellStyle name="20 % - Markeringsfarve3 2 3 4 5" xfId="7762" xr:uid="{00000000-0005-0000-0000-000097130000}"/>
    <cellStyle name="20 % - Markeringsfarve3 2 3 4 5 2" xfId="15680" xr:uid="{00000000-0005-0000-0000-000098130000}"/>
    <cellStyle name="20 % - Markeringsfarve3 2 3 4 5 2 2" xfId="33840" xr:uid="{00000000-0005-0000-0000-000099130000}"/>
    <cellStyle name="20 % - Markeringsfarve3 2 3 4 5 3" xfId="26839" xr:uid="{00000000-0005-0000-0000-00009A130000}"/>
    <cellStyle name="20 % - Markeringsfarve3 2 3 4 6" xfId="12994" xr:uid="{00000000-0005-0000-0000-00009B130000}"/>
    <cellStyle name="20 % - Markeringsfarve3 2 3 4 6 2" xfId="31161" xr:uid="{00000000-0005-0000-0000-00009C130000}"/>
    <cellStyle name="20 % - Markeringsfarve3 2 3 4 7" xfId="24159" xr:uid="{00000000-0005-0000-0000-00009D130000}"/>
    <cellStyle name="20 % - Markeringsfarve3 2 3 5" xfId="4445" xr:uid="{00000000-0005-0000-0000-00009E130000}"/>
    <cellStyle name="20 % - Markeringsfarve3 2 3 5 2" xfId="4446" xr:uid="{00000000-0005-0000-0000-00009F130000}"/>
    <cellStyle name="20 % - Markeringsfarve3 2 3 5 2 2" xfId="4447" xr:uid="{00000000-0005-0000-0000-0000A0130000}"/>
    <cellStyle name="20 % - Markeringsfarve3 2 3 5 2 2 2" xfId="10299" xr:uid="{00000000-0005-0000-0000-0000A1130000}"/>
    <cellStyle name="20 % - Markeringsfarve3 2 3 5 2 2 2 2" xfId="18200" xr:uid="{00000000-0005-0000-0000-0000A2130000}"/>
    <cellStyle name="20 % - Markeringsfarve3 2 3 5 2 2 2 2 2" xfId="36360" xr:uid="{00000000-0005-0000-0000-0000A3130000}"/>
    <cellStyle name="20 % - Markeringsfarve3 2 3 5 2 2 2 3" xfId="29359" xr:uid="{00000000-0005-0000-0000-0000A4130000}"/>
    <cellStyle name="20 % - Markeringsfarve3 2 3 5 2 2 3" xfId="13001" xr:uid="{00000000-0005-0000-0000-0000A5130000}"/>
    <cellStyle name="20 % - Markeringsfarve3 2 3 5 2 2 3 2" xfId="31168" xr:uid="{00000000-0005-0000-0000-0000A6130000}"/>
    <cellStyle name="20 % - Markeringsfarve3 2 3 5 2 2 4" xfId="24166" xr:uid="{00000000-0005-0000-0000-0000A7130000}"/>
    <cellStyle name="20 % - Markeringsfarve3 2 3 5 2 3" xfId="8811" xr:uid="{00000000-0005-0000-0000-0000A8130000}"/>
    <cellStyle name="20 % - Markeringsfarve3 2 3 5 2 3 2" xfId="16725" xr:uid="{00000000-0005-0000-0000-0000A9130000}"/>
    <cellStyle name="20 % - Markeringsfarve3 2 3 5 2 3 2 2" xfId="34885" xr:uid="{00000000-0005-0000-0000-0000AA130000}"/>
    <cellStyle name="20 % - Markeringsfarve3 2 3 5 2 3 3" xfId="27884" xr:uid="{00000000-0005-0000-0000-0000AB130000}"/>
    <cellStyle name="20 % - Markeringsfarve3 2 3 5 2 4" xfId="13000" xr:uid="{00000000-0005-0000-0000-0000AC130000}"/>
    <cellStyle name="20 % - Markeringsfarve3 2 3 5 2 4 2" xfId="31167" xr:uid="{00000000-0005-0000-0000-0000AD130000}"/>
    <cellStyle name="20 % - Markeringsfarve3 2 3 5 2 5" xfId="24165" xr:uid="{00000000-0005-0000-0000-0000AE130000}"/>
    <cellStyle name="20 % - Markeringsfarve3 2 3 5 3" xfId="4448" xr:uid="{00000000-0005-0000-0000-0000AF130000}"/>
    <cellStyle name="20 % - Markeringsfarve3 2 3 5 3 2" xfId="9575" xr:uid="{00000000-0005-0000-0000-0000B0130000}"/>
    <cellStyle name="20 % - Markeringsfarve3 2 3 5 3 2 2" xfId="17485" xr:uid="{00000000-0005-0000-0000-0000B1130000}"/>
    <cellStyle name="20 % - Markeringsfarve3 2 3 5 3 2 2 2" xfId="35645" xr:uid="{00000000-0005-0000-0000-0000B2130000}"/>
    <cellStyle name="20 % - Markeringsfarve3 2 3 5 3 2 3" xfId="28644" xr:uid="{00000000-0005-0000-0000-0000B3130000}"/>
    <cellStyle name="20 % - Markeringsfarve3 2 3 5 3 3" xfId="13002" xr:uid="{00000000-0005-0000-0000-0000B4130000}"/>
    <cellStyle name="20 % - Markeringsfarve3 2 3 5 3 3 2" xfId="31169" xr:uid="{00000000-0005-0000-0000-0000B5130000}"/>
    <cellStyle name="20 % - Markeringsfarve3 2 3 5 3 4" xfId="24167" xr:uid="{00000000-0005-0000-0000-0000B6130000}"/>
    <cellStyle name="20 % - Markeringsfarve3 2 3 5 4" xfId="4449" xr:uid="{00000000-0005-0000-0000-0000B7130000}"/>
    <cellStyle name="20 % - Markeringsfarve3 2 3 5 4 2" xfId="9324" xr:uid="{00000000-0005-0000-0000-0000B8130000}"/>
    <cellStyle name="20 % - Markeringsfarve3 2 3 5 4 2 2" xfId="17234" xr:uid="{00000000-0005-0000-0000-0000B9130000}"/>
    <cellStyle name="20 % - Markeringsfarve3 2 3 5 4 2 2 2" xfId="35394" xr:uid="{00000000-0005-0000-0000-0000BA130000}"/>
    <cellStyle name="20 % - Markeringsfarve3 2 3 5 4 2 3" xfId="28393" xr:uid="{00000000-0005-0000-0000-0000BB130000}"/>
    <cellStyle name="20 % - Markeringsfarve3 2 3 5 4 3" xfId="13003" xr:uid="{00000000-0005-0000-0000-0000BC130000}"/>
    <cellStyle name="20 % - Markeringsfarve3 2 3 5 4 3 2" xfId="31170" xr:uid="{00000000-0005-0000-0000-0000BD130000}"/>
    <cellStyle name="20 % - Markeringsfarve3 2 3 5 4 4" xfId="24168" xr:uid="{00000000-0005-0000-0000-0000BE130000}"/>
    <cellStyle name="20 % - Markeringsfarve3 2 3 5 5" xfId="7763" xr:uid="{00000000-0005-0000-0000-0000BF130000}"/>
    <cellStyle name="20 % - Markeringsfarve3 2 3 5 5 2" xfId="15681" xr:uid="{00000000-0005-0000-0000-0000C0130000}"/>
    <cellStyle name="20 % - Markeringsfarve3 2 3 5 5 2 2" xfId="33841" xr:uid="{00000000-0005-0000-0000-0000C1130000}"/>
    <cellStyle name="20 % - Markeringsfarve3 2 3 5 5 3" xfId="26840" xr:uid="{00000000-0005-0000-0000-0000C2130000}"/>
    <cellStyle name="20 % - Markeringsfarve3 2 3 5 6" xfId="12999" xr:uid="{00000000-0005-0000-0000-0000C3130000}"/>
    <cellStyle name="20 % - Markeringsfarve3 2 3 5 6 2" xfId="31166" xr:uid="{00000000-0005-0000-0000-0000C4130000}"/>
    <cellStyle name="20 % - Markeringsfarve3 2 3 5 7" xfId="24164" xr:uid="{00000000-0005-0000-0000-0000C5130000}"/>
    <cellStyle name="20 % - Markeringsfarve3 2 3 6" xfId="4450" xr:uid="{00000000-0005-0000-0000-0000C6130000}"/>
    <cellStyle name="20 % - Markeringsfarve3 2 3 6 2" xfId="4451" xr:uid="{00000000-0005-0000-0000-0000C7130000}"/>
    <cellStyle name="20 % - Markeringsfarve3 2 3 6 2 2" xfId="4452" xr:uid="{00000000-0005-0000-0000-0000C8130000}"/>
    <cellStyle name="20 % - Markeringsfarve3 2 3 6 2 2 2" xfId="10329" xr:uid="{00000000-0005-0000-0000-0000C9130000}"/>
    <cellStyle name="20 % - Markeringsfarve3 2 3 6 2 2 2 2" xfId="18230" xr:uid="{00000000-0005-0000-0000-0000CA130000}"/>
    <cellStyle name="20 % - Markeringsfarve3 2 3 6 2 2 2 2 2" xfId="36390" xr:uid="{00000000-0005-0000-0000-0000CB130000}"/>
    <cellStyle name="20 % - Markeringsfarve3 2 3 6 2 2 2 3" xfId="29389" xr:uid="{00000000-0005-0000-0000-0000CC130000}"/>
    <cellStyle name="20 % - Markeringsfarve3 2 3 6 2 2 3" xfId="13006" xr:uid="{00000000-0005-0000-0000-0000CD130000}"/>
    <cellStyle name="20 % - Markeringsfarve3 2 3 6 2 2 3 2" xfId="31173" xr:uid="{00000000-0005-0000-0000-0000CE130000}"/>
    <cellStyle name="20 % - Markeringsfarve3 2 3 6 2 2 4" xfId="24171" xr:uid="{00000000-0005-0000-0000-0000CF130000}"/>
    <cellStyle name="20 % - Markeringsfarve3 2 3 6 2 3" xfId="8840" xr:uid="{00000000-0005-0000-0000-0000D0130000}"/>
    <cellStyle name="20 % - Markeringsfarve3 2 3 6 2 3 2" xfId="16754" xr:uid="{00000000-0005-0000-0000-0000D1130000}"/>
    <cellStyle name="20 % - Markeringsfarve3 2 3 6 2 3 2 2" xfId="34914" xr:uid="{00000000-0005-0000-0000-0000D2130000}"/>
    <cellStyle name="20 % - Markeringsfarve3 2 3 6 2 3 3" xfId="27913" xr:uid="{00000000-0005-0000-0000-0000D3130000}"/>
    <cellStyle name="20 % - Markeringsfarve3 2 3 6 2 4" xfId="13005" xr:uid="{00000000-0005-0000-0000-0000D4130000}"/>
    <cellStyle name="20 % - Markeringsfarve3 2 3 6 2 4 2" xfId="31172" xr:uid="{00000000-0005-0000-0000-0000D5130000}"/>
    <cellStyle name="20 % - Markeringsfarve3 2 3 6 2 5" xfId="24170" xr:uid="{00000000-0005-0000-0000-0000D6130000}"/>
    <cellStyle name="20 % - Markeringsfarve3 2 3 6 3" xfId="4453" xr:uid="{00000000-0005-0000-0000-0000D7130000}"/>
    <cellStyle name="20 % - Markeringsfarve3 2 3 6 3 2" xfId="9606" xr:uid="{00000000-0005-0000-0000-0000D8130000}"/>
    <cellStyle name="20 % - Markeringsfarve3 2 3 6 3 2 2" xfId="17516" xr:uid="{00000000-0005-0000-0000-0000D9130000}"/>
    <cellStyle name="20 % - Markeringsfarve3 2 3 6 3 2 2 2" xfId="35676" xr:uid="{00000000-0005-0000-0000-0000DA130000}"/>
    <cellStyle name="20 % - Markeringsfarve3 2 3 6 3 2 3" xfId="28675" xr:uid="{00000000-0005-0000-0000-0000DB130000}"/>
    <cellStyle name="20 % - Markeringsfarve3 2 3 6 3 3" xfId="13007" xr:uid="{00000000-0005-0000-0000-0000DC130000}"/>
    <cellStyle name="20 % - Markeringsfarve3 2 3 6 3 3 2" xfId="31174" xr:uid="{00000000-0005-0000-0000-0000DD130000}"/>
    <cellStyle name="20 % - Markeringsfarve3 2 3 6 3 4" xfId="24172" xr:uid="{00000000-0005-0000-0000-0000DE130000}"/>
    <cellStyle name="20 % - Markeringsfarve3 2 3 6 4" xfId="4454" xr:uid="{00000000-0005-0000-0000-0000DF130000}"/>
    <cellStyle name="20 % - Markeringsfarve3 2 3 6 4 2" xfId="9326" xr:uid="{00000000-0005-0000-0000-0000E0130000}"/>
    <cellStyle name="20 % - Markeringsfarve3 2 3 6 4 2 2" xfId="17236" xr:uid="{00000000-0005-0000-0000-0000E1130000}"/>
    <cellStyle name="20 % - Markeringsfarve3 2 3 6 4 2 2 2" xfId="35396" xr:uid="{00000000-0005-0000-0000-0000E2130000}"/>
    <cellStyle name="20 % - Markeringsfarve3 2 3 6 4 2 3" xfId="28395" xr:uid="{00000000-0005-0000-0000-0000E3130000}"/>
    <cellStyle name="20 % - Markeringsfarve3 2 3 6 4 3" xfId="13008" xr:uid="{00000000-0005-0000-0000-0000E4130000}"/>
    <cellStyle name="20 % - Markeringsfarve3 2 3 6 4 3 2" xfId="31175" xr:uid="{00000000-0005-0000-0000-0000E5130000}"/>
    <cellStyle name="20 % - Markeringsfarve3 2 3 6 4 4" xfId="24173" xr:uid="{00000000-0005-0000-0000-0000E6130000}"/>
    <cellStyle name="20 % - Markeringsfarve3 2 3 6 5" xfId="7764" xr:uid="{00000000-0005-0000-0000-0000E7130000}"/>
    <cellStyle name="20 % - Markeringsfarve3 2 3 6 5 2" xfId="15682" xr:uid="{00000000-0005-0000-0000-0000E8130000}"/>
    <cellStyle name="20 % - Markeringsfarve3 2 3 6 5 2 2" xfId="33842" xr:uid="{00000000-0005-0000-0000-0000E9130000}"/>
    <cellStyle name="20 % - Markeringsfarve3 2 3 6 5 3" xfId="26841" xr:uid="{00000000-0005-0000-0000-0000EA130000}"/>
    <cellStyle name="20 % - Markeringsfarve3 2 3 6 6" xfId="13004" xr:uid="{00000000-0005-0000-0000-0000EB130000}"/>
    <cellStyle name="20 % - Markeringsfarve3 2 3 6 6 2" xfId="31171" xr:uid="{00000000-0005-0000-0000-0000EC130000}"/>
    <cellStyle name="20 % - Markeringsfarve3 2 3 6 7" xfId="24169" xr:uid="{00000000-0005-0000-0000-0000ED130000}"/>
    <cellStyle name="20 % - Markeringsfarve3 2 3 7" xfId="4455" xr:uid="{00000000-0005-0000-0000-0000EE130000}"/>
    <cellStyle name="20 % - Markeringsfarve3 2 3 7 2" xfId="4456" xr:uid="{00000000-0005-0000-0000-0000EF130000}"/>
    <cellStyle name="20 % - Markeringsfarve3 2 3 7 2 2" xfId="9825" xr:uid="{00000000-0005-0000-0000-0000F0130000}"/>
    <cellStyle name="20 % - Markeringsfarve3 2 3 7 2 2 2" xfId="17726" xr:uid="{00000000-0005-0000-0000-0000F1130000}"/>
    <cellStyle name="20 % - Markeringsfarve3 2 3 7 2 2 2 2" xfId="35886" xr:uid="{00000000-0005-0000-0000-0000F2130000}"/>
    <cellStyle name="20 % - Markeringsfarve3 2 3 7 2 2 3" xfId="28885" xr:uid="{00000000-0005-0000-0000-0000F3130000}"/>
    <cellStyle name="20 % - Markeringsfarve3 2 3 7 2 3" xfId="13010" xr:uid="{00000000-0005-0000-0000-0000F4130000}"/>
    <cellStyle name="20 % - Markeringsfarve3 2 3 7 2 3 2" xfId="31177" xr:uid="{00000000-0005-0000-0000-0000F5130000}"/>
    <cellStyle name="20 % - Markeringsfarve3 2 3 7 2 4" xfId="24175" xr:uid="{00000000-0005-0000-0000-0000F6130000}"/>
    <cellStyle name="20 % - Markeringsfarve3 2 3 7 3" xfId="8411" xr:uid="{00000000-0005-0000-0000-0000F7130000}"/>
    <cellStyle name="20 % - Markeringsfarve3 2 3 7 3 2" xfId="16328" xr:uid="{00000000-0005-0000-0000-0000F8130000}"/>
    <cellStyle name="20 % - Markeringsfarve3 2 3 7 3 2 2" xfId="34488" xr:uid="{00000000-0005-0000-0000-0000F9130000}"/>
    <cellStyle name="20 % - Markeringsfarve3 2 3 7 3 3" xfId="27487" xr:uid="{00000000-0005-0000-0000-0000FA130000}"/>
    <cellStyle name="20 % - Markeringsfarve3 2 3 7 4" xfId="13009" xr:uid="{00000000-0005-0000-0000-0000FB130000}"/>
    <cellStyle name="20 % - Markeringsfarve3 2 3 7 4 2" xfId="31176" xr:uid="{00000000-0005-0000-0000-0000FC130000}"/>
    <cellStyle name="20 % - Markeringsfarve3 2 3 7 5" xfId="24174" xr:uid="{00000000-0005-0000-0000-0000FD130000}"/>
    <cellStyle name="20 % - Markeringsfarve3 2 3 8" xfId="4457" xr:uid="{00000000-0005-0000-0000-0000FE130000}"/>
    <cellStyle name="20 % - Markeringsfarve3 2 3 8 2" xfId="9053" xr:uid="{00000000-0005-0000-0000-0000FF130000}"/>
    <cellStyle name="20 % - Markeringsfarve3 2 3 8 2 2" xfId="16964" xr:uid="{00000000-0005-0000-0000-000000140000}"/>
    <cellStyle name="20 % - Markeringsfarve3 2 3 8 2 2 2" xfId="35124" xr:uid="{00000000-0005-0000-0000-000001140000}"/>
    <cellStyle name="20 % - Markeringsfarve3 2 3 8 2 3" xfId="28123" xr:uid="{00000000-0005-0000-0000-000002140000}"/>
    <cellStyle name="20 % - Markeringsfarve3 2 3 8 3" xfId="13011" xr:uid="{00000000-0005-0000-0000-000003140000}"/>
    <cellStyle name="20 % - Markeringsfarve3 2 3 8 3 2" xfId="31178" xr:uid="{00000000-0005-0000-0000-000004140000}"/>
    <cellStyle name="20 % - Markeringsfarve3 2 3 8 4" xfId="24176" xr:uid="{00000000-0005-0000-0000-000005140000}"/>
    <cellStyle name="20 % - Markeringsfarve3 2 3 9" xfId="4458" xr:uid="{00000000-0005-0000-0000-000006140000}"/>
    <cellStyle name="20 % - Markeringsfarve3 2 3 9 2" xfId="9317" xr:uid="{00000000-0005-0000-0000-000007140000}"/>
    <cellStyle name="20 % - Markeringsfarve3 2 3 9 2 2" xfId="17227" xr:uid="{00000000-0005-0000-0000-000008140000}"/>
    <cellStyle name="20 % - Markeringsfarve3 2 3 9 2 2 2" xfId="35387" xr:uid="{00000000-0005-0000-0000-000009140000}"/>
    <cellStyle name="20 % - Markeringsfarve3 2 3 9 2 3" xfId="28386" xr:uid="{00000000-0005-0000-0000-00000A140000}"/>
    <cellStyle name="20 % - Markeringsfarve3 2 3 9 3" xfId="13012" xr:uid="{00000000-0005-0000-0000-00000B140000}"/>
    <cellStyle name="20 % - Markeringsfarve3 2 3 9 3 2" xfId="31179" xr:uid="{00000000-0005-0000-0000-00000C140000}"/>
    <cellStyle name="20 % - Markeringsfarve3 2 3 9 4" xfId="24177" xr:uid="{00000000-0005-0000-0000-00000D140000}"/>
    <cellStyle name="20 % - Markeringsfarve3 2 4" xfId="1804" xr:uid="{00000000-0005-0000-0000-00000E140000}"/>
    <cellStyle name="20 % - Markeringsfarve3 2 4 2" xfId="1805" xr:uid="{00000000-0005-0000-0000-00000F140000}"/>
    <cellStyle name="20 % - Markeringsfarve3 2 4 2 2" xfId="4461" xr:uid="{00000000-0005-0000-0000-000010140000}"/>
    <cellStyle name="20 % - Markeringsfarve3 2 4 2 2 2" xfId="9866" xr:uid="{00000000-0005-0000-0000-000011140000}"/>
    <cellStyle name="20 % - Markeringsfarve3 2 4 2 2 2 2" xfId="17767" xr:uid="{00000000-0005-0000-0000-000012140000}"/>
    <cellStyle name="20 % - Markeringsfarve3 2 4 2 2 2 2 2" xfId="35927" xr:uid="{00000000-0005-0000-0000-000013140000}"/>
    <cellStyle name="20 % - Markeringsfarve3 2 4 2 2 2 3" xfId="28926" xr:uid="{00000000-0005-0000-0000-000014140000}"/>
    <cellStyle name="20 % - Markeringsfarve3 2 4 2 2 3" xfId="13015" xr:uid="{00000000-0005-0000-0000-000015140000}"/>
    <cellStyle name="20 % - Markeringsfarve3 2 4 2 2 3 2" xfId="31182" xr:uid="{00000000-0005-0000-0000-000016140000}"/>
    <cellStyle name="20 % - Markeringsfarve3 2 4 2 2 4" xfId="24180" xr:uid="{00000000-0005-0000-0000-000017140000}"/>
    <cellStyle name="20 % - Markeringsfarve3 2 4 2 3" xfId="8444" xr:uid="{00000000-0005-0000-0000-000018140000}"/>
    <cellStyle name="20 % - Markeringsfarve3 2 4 2 3 2" xfId="16361" xr:uid="{00000000-0005-0000-0000-000019140000}"/>
    <cellStyle name="20 % - Markeringsfarve3 2 4 2 3 2 2" xfId="34521" xr:uid="{00000000-0005-0000-0000-00001A140000}"/>
    <cellStyle name="20 % - Markeringsfarve3 2 4 2 3 3" xfId="27520" xr:uid="{00000000-0005-0000-0000-00001B140000}"/>
    <cellStyle name="20 % - Markeringsfarve3 2 4 2 4" xfId="13014" xr:uid="{00000000-0005-0000-0000-00001C140000}"/>
    <cellStyle name="20 % - Markeringsfarve3 2 4 2 4 2" xfId="31181" xr:uid="{00000000-0005-0000-0000-00001D140000}"/>
    <cellStyle name="20 % - Markeringsfarve3 2 4 2 5" xfId="4460" xr:uid="{00000000-0005-0000-0000-00001E140000}"/>
    <cellStyle name="20 % - Markeringsfarve3 2 4 2 5 2" xfId="24179" xr:uid="{00000000-0005-0000-0000-00001F140000}"/>
    <cellStyle name="20 % - Markeringsfarve3 2 4 2 6" xfId="21929" xr:uid="{00000000-0005-0000-0000-000020140000}"/>
    <cellStyle name="20 % - Markeringsfarve3 2 4 3" xfId="4462" xr:uid="{00000000-0005-0000-0000-000021140000}"/>
    <cellStyle name="20 % - Markeringsfarve3 2 4 3 2" xfId="9096" xr:uid="{00000000-0005-0000-0000-000022140000}"/>
    <cellStyle name="20 % - Markeringsfarve3 2 4 3 2 2" xfId="17007" xr:uid="{00000000-0005-0000-0000-000023140000}"/>
    <cellStyle name="20 % - Markeringsfarve3 2 4 3 2 2 2" xfId="35167" xr:uid="{00000000-0005-0000-0000-000024140000}"/>
    <cellStyle name="20 % - Markeringsfarve3 2 4 3 2 3" xfId="28166" xr:uid="{00000000-0005-0000-0000-000025140000}"/>
    <cellStyle name="20 % - Markeringsfarve3 2 4 3 3" xfId="13016" xr:uid="{00000000-0005-0000-0000-000026140000}"/>
    <cellStyle name="20 % - Markeringsfarve3 2 4 3 3 2" xfId="31183" xr:uid="{00000000-0005-0000-0000-000027140000}"/>
    <cellStyle name="20 % - Markeringsfarve3 2 4 3 4" xfId="24181" xr:uid="{00000000-0005-0000-0000-000028140000}"/>
    <cellStyle name="20 % - Markeringsfarve3 2 4 4" xfId="4463" xr:uid="{00000000-0005-0000-0000-000029140000}"/>
    <cellStyle name="20 % - Markeringsfarve3 2 4 4 2" xfId="10545" xr:uid="{00000000-0005-0000-0000-00002A140000}"/>
    <cellStyle name="20 % - Markeringsfarve3 2 4 4 2 2" xfId="18439" xr:uid="{00000000-0005-0000-0000-00002B140000}"/>
    <cellStyle name="20 % - Markeringsfarve3 2 4 4 2 2 2" xfId="36599" xr:uid="{00000000-0005-0000-0000-00002C140000}"/>
    <cellStyle name="20 % - Markeringsfarve3 2 4 4 2 3" xfId="29598" xr:uid="{00000000-0005-0000-0000-00002D140000}"/>
    <cellStyle name="20 % - Markeringsfarve3 2 4 4 3" xfId="13017" xr:uid="{00000000-0005-0000-0000-00002E140000}"/>
    <cellStyle name="20 % - Markeringsfarve3 2 4 4 3 2" xfId="31184" xr:uid="{00000000-0005-0000-0000-00002F140000}"/>
    <cellStyle name="20 % - Markeringsfarve3 2 4 4 4" xfId="24182" xr:uid="{00000000-0005-0000-0000-000030140000}"/>
    <cellStyle name="20 % - Markeringsfarve3 2 4 5" xfId="7765" xr:uid="{00000000-0005-0000-0000-000031140000}"/>
    <cellStyle name="20 % - Markeringsfarve3 2 4 5 2" xfId="15683" xr:uid="{00000000-0005-0000-0000-000032140000}"/>
    <cellStyle name="20 % - Markeringsfarve3 2 4 5 2 2" xfId="33843" xr:uid="{00000000-0005-0000-0000-000033140000}"/>
    <cellStyle name="20 % - Markeringsfarve3 2 4 5 3" xfId="26842" xr:uid="{00000000-0005-0000-0000-000034140000}"/>
    <cellStyle name="20 % - Markeringsfarve3 2 4 6" xfId="13013" xr:uid="{00000000-0005-0000-0000-000035140000}"/>
    <cellStyle name="20 % - Markeringsfarve3 2 4 6 2" xfId="31180" xr:uid="{00000000-0005-0000-0000-000036140000}"/>
    <cellStyle name="20 % - Markeringsfarve3 2 4 7" xfId="4459" xr:uid="{00000000-0005-0000-0000-000037140000}"/>
    <cellStyle name="20 % - Markeringsfarve3 2 4 7 2" xfId="24178" xr:uid="{00000000-0005-0000-0000-000038140000}"/>
    <cellStyle name="20 % - Markeringsfarve3 2 4 8" xfId="21928" xr:uid="{00000000-0005-0000-0000-000039140000}"/>
    <cellStyle name="20 % - Markeringsfarve3 2 5" xfId="1806" xr:uid="{00000000-0005-0000-0000-00003A140000}"/>
    <cellStyle name="20 % - Markeringsfarve3 2 5 2" xfId="4465" xr:uid="{00000000-0005-0000-0000-00003B140000}"/>
    <cellStyle name="20 % - Markeringsfarve3 2 5 2 2" xfId="4466" xr:uid="{00000000-0005-0000-0000-00003C140000}"/>
    <cellStyle name="20 % - Markeringsfarve3 2 5 2 2 2" xfId="9972" xr:uid="{00000000-0005-0000-0000-00003D140000}"/>
    <cellStyle name="20 % - Markeringsfarve3 2 5 2 2 2 2" xfId="17873" xr:uid="{00000000-0005-0000-0000-00003E140000}"/>
    <cellStyle name="20 % - Markeringsfarve3 2 5 2 2 2 2 2" xfId="36033" xr:uid="{00000000-0005-0000-0000-00003F140000}"/>
    <cellStyle name="20 % - Markeringsfarve3 2 5 2 2 2 3" xfId="29032" xr:uid="{00000000-0005-0000-0000-000040140000}"/>
    <cellStyle name="20 % - Markeringsfarve3 2 5 2 2 3" xfId="13020" xr:uid="{00000000-0005-0000-0000-000041140000}"/>
    <cellStyle name="20 % - Markeringsfarve3 2 5 2 2 3 2" xfId="31187" xr:uid="{00000000-0005-0000-0000-000042140000}"/>
    <cellStyle name="20 % - Markeringsfarve3 2 5 2 2 4" xfId="24185" xr:uid="{00000000-0005-0000-0000-000043140000}"/>
    <cellStyle name="20 % - Markeringsfarve3 2 5 2 3" xfId="8536" xr:uid="{00000000-0005-0000-0000-000044140000}"/>
    <cellStyle name="20 % - Markeringsfarve3 2 5 2 3 2" xfId="16453" xr:uid="{00000000-0005-0000-0000-000045140000}"/>
    <cellStyle name="20 % - Markeringsfarve3 2 5 2 3 2 2" xfId="34613" xr:uid="{00000000-0005-0000-0000-000046140000}"/>
    <cellStyle name="20 % - Markeringsfarve3 2 5 2 3 3" xfId="27612" xr:uid="{00000000-0005-0000-0000-000047140000}"/>
    <cellStyle name="20 % - Markeringsfarve3 2 5 2 4" xfId="13019" xr:uid="{00000000-0005-0000-0000-000048140000}"/>
    <cellStyle name="20 % - Markeringsfarve3 2 5 2 4 2" xfId="31186" xr:uid="{00000000-0005-0000-0000-000049140000}"/>
    <cellStyle name="20 % - Markeringsfarve3 2 5 2 5" xfId="24184" xr:uid="{00000000-0005-0000-0000-00004A140000}"/>
    <cellStyle name="20 % - Markeringsfarve3 2 5 3" xfId="4467" xr:uid="{00000000-0005-0000-0000-00004B140000}"/>
    <cellStyle name="20 % - Markeringsfarve3 2 5 3 2" xfId="9202" xr:uid="{00000000-0005-0000-0000-00004C140000}"/>
    <cellStyle name="20 % - Markeringsfarve3 2 5 3 2 2" xfId="17113" xr:uid="{00000000-0005-0000-0000-00004D140000}"/>
    <cellStyle name="20 % - Markeringsfarve3 2 5 3 2 2 2" xfId="35273" xr:uid="{00000000-0005-0000-0000-00004E140000}"/>
    <cellStyle name="20 % - Markeringsfarve3 2 5 3 2 3" xfId="28272" xr:uid="{00000000-0005-0000-0000-00004F140000}"/>
    <cellStyle name="20 % - Markeringsfarve3 2 5 3 3" xfId="13021" xr:uid="{00000000-0005-0000-0000-000050140000}"/>
    <cellStyle name="20 % - Markeringsfarve3 2 5 3 3 2" xfId="31188" xr:uid="{00000000-0005-0000-0000-000051140000}"/>
    <cellStyle name="20 % - Markeringsfarve3 2 5 3 4" xfId="24186" xr:uid="{00000000-0005-0000-0000-000052140000}"/>
    <cellStyle name="20 % - Markeringsfarve3 2 5 4" xfId="4468" xr:uid="{00000000-0005-0000-0000-000053140000}"/>
    <cellStyle name="20 % - Markeringsfarve3 2 5 4 2" xfId="9183" xr:uid="{00000000-0005-0000-0000-000054140000}"/>
    <cellStyle name="20 % - Markeringsfarve3 2 5 4 2 2" xfId="17094" xr:uid="{00000000-0005-0000-0000-000055140000}"/>
    <cellStyle name="20 % - Markeringsfarve3 2 5 4 2 2 2" xfId="35254" xr:uid="{00000000-0005-0000-0000-000056140000}"/>
    <cellStyle name="20 % - Markeringsfarve3 2 5 4 2 3" xfId="28253" xr:uid="{00000000-0005-0000-0000-000057140000}"/>
    <cellStyle name="20 % - Markeringsfarve3 2 5 4 3" xfId="13022" xr:uid="{00000000-0005-0000-0000-000058140000}"/>
    <cellStyle name="20 % - Markeringsfarve3 2 5 4 3 2" xfId="31189" xr:uid="{00000000-0005-0000-0000-000059140000}"/>
    <cellStyle name="20 % - Markeringsfarve3 2 5 4 4" xfId="24187" xr:uid="{00000000-0005-0000-0000-00005A140000}"/>
    <cellStyle name="20 % - Markeringsfarve3 2 5 5" xfId="7766" xr:uid="{00000000-0005-0000-0000-00005B140000}"/>
    <cellStyle name="20 % - Markeringsfarve3 2 5 5 2" xfId="15684" xr:uid="{00000000-0005-0000-0000-00005C140000}"/>
    <cellStyle name="20 % - Markeringsfarve3 2 5 5 2 2" xfId="33844" xr:uid="{00000000-0005-0000-0000-00005D140000}"/>
    <cellStyle name="20 % - Markeringsfarve3 2 5 5 3" xfId="26843" xr:uid="{00000000-0005-0000-0000-00005E140000}"/>
    <cellStyle name="20 % - Markeringsfarve3 2 5 6" xfId="13018" xr:uid="{00000000-0005-0000-0000-00005F140000}"/>
    <cellStyle name="20 % - Markeringsfarve3 2 5 6 2" xfId="31185" xr:uid="{00000000-0005-0000-0000-000060140000}"/>
    <cellStyle name="20 % - Markeringsfarve3 2 5 7" xfId="4464" xr:uid="{00000000-0005-0000-0000-000061140000}"/>
    <cellStyle name="20 % - Markeringsfarve3 2 5 7 2" xfId="24183" xr:uid="{00000000-0005-0000-0000-000062140000}"/>
    <cellStyle name="20 % - Markeringsfarve3 2 5 8" xfId="21930" xr:uid="{00000000-0005-0000-0000-000063140000}"/>
    <cellStyle name="20 % - Markeringsfarve3 2 6" xfId="4469" xr:uid="{00000000-0005-0000-0000-000064140000}"/>
    <cellStyle name="20 % - Markeringsfarve3 2 6 2" xfId="4470" xr:uid="{00000000-0005-0000-0000-000065140000}"/>
    <cellStyle name="20 % - Markeringsfarve3 2 6 2 2" xfId="4471" xr:uid="{00000000-0005-0000-0000-000066140000}"/>
    <cellStyle name="20 % - Markeringsfarve3 2 6 2 2 2" xfId="10104" xr:uid="{00000000-0005-0000-0000-000067140000}"/>
    <cellStyle name="20 % - Markeringsfarve3 2 6 2 2 2 2" xfId="18005" xr:uid="{00000000-0005-0000-0000-000068140000}"/>
    <cellStyle name="20 % - Markeringsfarve3 2 6 2 2 2 2 2" xfId="36165" xr:uid="{00000000-0005-0000-0000-000069140000}"/>
    <cellStyle name="20 % - Markeringsfarve3 2 6 2 2 2 3" xfId="29164" xr:uid="{00000000-0005-0000-0000-00006A140000}"/>
    <cellStyle name="20 % - Markeringsfarve3 2 6 2 2 3" xfId="13025" xr:uid="{00000000-0005-0000-0000-00006B140000}"/>
    <cellStyle name="20 % - Markeringsfarve3 2 6 2 2 3 2" xfId="31192" xr:uid="{00000000-0005-0000-0000-00006C140000}"/>
    <cellStyle name="20 % - Markeringsfarve3 2 6 2 2 4" xfId="24190" xr:uid="{00000000-0005-0000-0000-00006D140000}"/>
    <cellStyle name="20 % - Markeringsfarve3 2 6 2 3" xfId="8646" xr:uid="{00000000-0005-0000-0000-00006E140000}"/>
    <cellStyle name="20 % - Markeringsfarve3 2 6 2 3 2" xfId="16560" xr:uid="{00000000-0005-0000-0000-00006F140000}"/>
    <cellStyle name="20 % - Markeringsfarve3 2 6 2 3 2 2" xfId="34720" xr:uid="{00000000-0005-0000-0000-000070140000}"/>
    <cellStyle name="20 % - Markeringsfarve3 2 6 2 3 3" xfId="27719" xr:uid="{00000000-0005-0000-0000-000071140000}"/>
    <cellStyle name="20 % - Markeringsfarve3 2 6 2 4" xfId="13024" xr:uid="{00000000-0005-0000-0000-000072140000}"/>
    <cellStyle name="20 % - Markeringsfarve3 2 6 2 4 2" xfId="31191" xr:uid="{00000000-0005-0000-0000-000073140000}"/>
    <cellStyle name="20 % - Markeringsfarve3 2 6 2 5" xfId="24189" xr:uid="{00000000-0005-0000-0000-000074140000}"/>
    <cellStyle name="20 % - Markeringsfarve3 2 6 3" xfId="4472" xr:uid="{00000000-0005-0000-0000-000075140000}"/>
    <cellStyle name="20 % - Markeringsfarve3 2 6 3 2" xfId="9380" xr:uid="{00000000-0005-0000-0000-000076140000}"/>
    <cellStyle name="20 % - Markeringsfarve3 2 6 3 2 2" xfId="17290" xr:uid="{00000000-0005-0000-0000-000077140000}"/>
    <cellStyle name="20 % - Markeringsfarve3 2 6 3 2 2 2" xfId="35450" xr:uid="{00000000-0005-0000-0000-000078140000}"/>
    <cellStyle name="20 % - Markeringsfarve3 2 6 3 2 3" xfId="28449" xr:uid="{00000000-0005-0000-0000-000079140000}"/>
    <cellStyle name="20 % - Markeringsfarve3 2 6 3 3" xfId="13026" xr:uid="{00000000-0005-0000-0000-00007A140000}"/>
    <cellStyle name="20 % - Markeringsfarve3 2 6 3 3 2" xfId="31193" xr:uid="{00000000-0005-0000-0000-00007B140000}"/>
    <cellStyle name="20 % - Markeringsfarve3 2 6 3 4" xfId="24191" xr:uid="{00000000-0005-0000-0000-00007C140000}"/>
    <cellStyle name="20 % - Markeringsfarve3 2 6 4" xfId="4473" xr:uid="{00000000-0005-0000-0000-00007D140000}"/>
    <cellStyle name="20 % - Markeringsfarve3 2 6 4 2" xfId="9584" xr:uid="{00000000-0005-0000-0000-00007E140000}"/>
    <cellStyle name="20 % - Markeringsfarve3 2 6 4 2 2" xfId="17494" xr:uid="{00000000-0005-0000-0000-00007F140000}"/>
    <cellStyle name="20 % - Markeringsfarve3 2 6 4 2 2 2" xfId="35654" xr:uid="{00000000-0005-0000-0000-000080140000}"/>
    <cellStyle name="20 % - Markeringsfarve3 2 6 4 2 3" xfId="28653" xr:uid="{00000000-0005-0000-0000-000081140000}"/>
    <cellStyle name="20 % - Markeringsfarve3 2 6 4 3" xfId="13027" xr:uid="{00000000-0005-0000-0000-000082140000}"/>
    <cellStyle name="20 % - Markeringsfarve3 2 6 4 3 2" xfId="31194" xr:uid="{00000000-0005-0000-0000-000083140000}"/>
    <cellStyle name="20 % - Markeringsfarve3 2 6 4 4" xfId="24192" xr:uid="{00000000-0005-0000-0000-000084140000}"/>
    <cellStyle name="20 % - Markeringsfarve3 2 6 5" xfId="7767" xr:uid="{00000000-0005-0000-0000-000085140000}"/>
    <cellStyle name="20 % - Markeringsfarve3 2 6 5 2" xfId="15685" xr:uid="{00000000-0005-0000-0000-000086140000}"/>
    <cellStyle name="20 % - Markeringsfarve3 2 6 5 2 2" xfId="33845" xr:uid="{00000000-0005-0000-0000-000087140000}"/>
    <cellStyle name="20 % - Markeringsfarve3 2 6 5 3" xfId="26844" xr:uid="{00000000-0005-0000-0000-000088140000}"/>
    <cellStyle name="20 % - Markeringsfarve3 2 6 6" xfId="13023" xr:uid="{00000000-0005-0000-0000-000089140000}"/>
    <cellStyle name="20 % - Markeringsfarve3 2 6 6 2" xfId="31190" xr:uid="{00000000-0005-0000-0000-00008A140000}"/>
    <cellStyle name="20 % - Markeringsfarve3 2 6 7" xfId="24188" xr:uid="{00000000-0005-0000-0000-00008B140000}"/>
    <cellStyle name="20 % - Markeringsfarve3 2 7" xfId="4474" xr:uid="{00000000-0005-0000-0000-00008C140000}"/>
    <cellStyle name="20 % - Markeringsfarve3 2 7 2" xfId="4475" xr:uid="{00000000-0005-0000-0000-00008D140000}"/>
    <cellStyle name="20 % - Markeringsfarve3 2 7 2 2" xfId="4476" xr:uid="{00000000-0005-0000-0000-00008E140000}"/>
    <cellStyle name="20 % - Markeringsfarve3 2 7 2 2 2" xfId="10221" xr:uid="{00000000-0005-0000-0000-00008F140000}"/>
    <cellStyle name="20 % - Markeringsfarve3 2 7 2 2 2 2" xfId="18122" xr:uid="{00000000-0005-0000-0000-000090140000}"/>
    <cellStyle name="20 % - Markeringsfarve3 2 7 2 2 2 2 2" xfId="36282" xr:uid="{00000000-0005-0000-0000-000091140000}"/>
    <cellStyle name="20 % - Markeringsfarve3 2 7 2 2 2 3" xfId="29281" xr:uid="{00000000-0005-0000-0000-000092140000}"/>
    <cellStyle name="20 % - Markeringsfarve3 2 7 2 2 3" xfId="13030" xr:uid="{00000000-0005-0000-0000-000093140000}"/>
    <cellStyle name="20 % - Markeringsfarve3 2 7 2 2 3 2" xfId="31197" xr:uid="{00000000-0005-0000-0000-000094140000}"/>
    <cellStyle name="20 % - Markeringsfarve3 2 7 2 2 4" xfId="24195" xr:uid="{00000000-0005-0000-0000-000095140000}"/>
    <cellStyle name="20 % - Markeringsfarve3 2 7 2 3" xfId="8745" xr:uid="{00000000-0005-0000-0000-000096140000}"/>
    <cellStyle name="20 % - Markeringsfarve3 2 7 2 3 2" xfId="16659" xr:uid="{00000000-0005-0000-0000-000097140000}"/>
    <cellStyle name="20 % - Markeringsfarve3 2 7 2 3 2 2" xfId="34819" xr:uid="{00000000-0005-0000-0000-000098140000}"/>
    <cellStyle name="20 % - Markeringsfarve3 2 7 2 3 3" xfId="27818" xr:uid="{00000000-0005-0000-0000-000099140000}"/>
    <cellStyle name="20 % - Markeringsfarve3 2 7 2 4" xfId="13029" xr:uid="{00000000-0005-0000-0000-00009A140000}"/>
    <cellStyle name="20 % - Markeringsfarve3 2 7 2 4 2" xfId="31196" xr:uid="{00000000-0005-0000-0000-00009B140000}"/>
    <cellStyle name="20 % - Markeringsfarve3 2 7 2 5" xfId="24194" xr:uid="{00000000-0005-0000-0000-00009C140000}"/>
    <cellStyle name="20 % - Markeringsfarve3 2 7 3" xfId="4477" xr:uid="{00000000-0005-0000-0000-00009D140000}"/>
    <cellStyle name="20 % - Markeringsfarve3 2 7 3 2" xfId="9497" xr:uid="{00000000-0005-0000-0000-00009E140000}"/>
    <cellStyle name="20 % - Markeringsfarve3 2 7 3 2 2" xfId="17407" xr:uid="{00000000-0005-0000-0000-00009F140000}"/>
    <cellStyle name="20 % - Markeringsfarve3 2 7 3 2 2 2" xfId="35567" xr:uid="{00000000-0005-0000-0000-0000A0140000}"/>
    <cellStyle name="20 % - Markeringsfarve3 2 7 3 2 3" xfId="28566" xr:uid="{00000000-0005-0000-0000-0000A1140000}"/>
    <cellStyle name="20 % - Markeringsfarve3 2 7 3 3" xfId="13031" xr:uid="{00000000-0005-0000-0000-0000A2140000}"/>
    <cellStyle name="20 % - Markeringsfarve3 2 7 3 3 2" xfId="31198" xr:uid="{00000000-0005-0000-0000-0000A3140000}"/>
    <cellStyle name="20 % - Markeringsfarve3 2 7 3 4" xfId="24196" xr:uid="{00000000-0005-0000-0000-0000A4140000}"/>
    <cellStyle name="20 % - Markeringsfarve3 2 7 4" xfId="4478" xr:uid="{00000000-0005-0000-0000-0000A5140000}"/>
    <cellStyle name="20 % - Markeringsfarve3 2 7 4 2" xfId="9329" xr:uid="{00000000-0005-0000-0000-0000A6140000}"/>
    <cellStyle name="20 % - Markeringsfarve3 2 7 4 2 2" xfId="17239" xr:uid="{00000000-0005-0000-0000-0000A7140000}"/>
    <cellStyle name="20 % - Markeringsfarve3 2 7 4 2 2 2" xfId="35399" xr:uid="{00000000-0005-0000-0000-0000A8140000}"/>
    <cellStyle name="20 % - Markeringsfarve3 2 7 4 2 3" xfId="28398" xr:uid="{00000000-0005-0000-0000-0000A9140000}"/>
    <cellStyle name="20 % - Markeringsfarve3 2 7 4 3" xfId="13032" xr:uid="{00000000-0005-0000-0000-0000AA140000}"/>
    <cellStyle name="20 % - Markeringsfarve3 2 7 4 3 2" xfId="31199" xr:uid="{00000000-0005-0000-0000-0000AB140000}"/>
    <cellStyle name="20 % - Markeringsfarve3 2 7 4 4" xfId="24197" xr:uid="{00000000-0005-0000-0000-0000AC140000}"/>
    <cellStyle name="20 % - Markeringsfarve3 2 7 5" xfId="7768" xr:uid="{00000000-0005-0000-0000-0000AD140000}"/>
    <cellStyle name="20 % - Markeringsfarve3 2 7 5 2" xfId="15686" xr:uid="{00000000-0005-0000-0000-0000AE140000}"/>
    <cellStyle name="20 % - Markeringsfarve3 2 7 5 2 2" xfId="33846" xr:uid="{00000000-0005-0000-0000-0000AF140000}"/>
    <cellStyle name="20 % - Markeringsfarve3 2 7 5 3" xfId="26845" xr:uid="{00000000-0005-0000-0000-0000B0140000}"/>
    <cellStyle name="20 % - Markeringsfarve3 2 7 6" xfId="13028" xr:uid="{00000000-0005-0000-0000-0000B1140000}"/>
    <cellStyle name="20 % - Markeringsfarve3 2 7 6 2" xfId="31195" xr:uid="{00000000-0005-0000-0000-0000B2140000}"/>
    <cellStyle name="20 % - Markeringsfarve3 2 7 7" xfId="24193" xr:uid="{00000000-0005-0000-0000-0000B3140000}"/>
    <cellStyle name="20 % - Markeringsfarve3 2 8" xfId="4479" xr:uid="{00000000-0005-0000-0000-0000B4140000}"/>
    <cellStyle name="20 % - Markeringsfarve3 2 8 2" xfId="4480" xr:uid="{00000000-0005-0000-0000-0000B5140000}"/>
    <cellStyle name="20 % - Markeringsfarve3 2 8 2 2" xfId="4481" xr:uid="{00000000-0005-0000-0000-0000B6140000}"/>
    <cellStyle name="20 % - Markeringsfarve3 2 8 2 2 2" xfId="10327" xr:uid="{00000000-0005-0000-0000-0000B7140000}"/>
    <cellStyle name="20 % - Markeringsfarve3 2 8 2 2 2 2" xfId="18228" xr:uid="{00000000-0005-0000-0000-0000B8140000}"/>
    <cellStyle name="20 % - Markeringsfarve3 2 8 2 2 2 2 2" xfId="36388" xr:uid="{00000000-0005-0000-0000-0000B9140000}"/>
    <cellStyle name="20 % - Markeringsfarve3 2 8 2 2 2 3" xfId="29387" xr:uid="{00000000-0005-0000-0000-0000BA140000}"/>
    <cellStyle name="20 % - Markeringsfarve3 2 8 2 2 3" xfId="13035" xr:uid="{00000000-0005-0000-0000-0000BB140000}"/>
    <cellStyle name="20 % - Markeringsfarve3 2 8 2 2 3 2" xfId="31202" xr:uid="{00000000-0005-0000-0000-0000BC140000}"/>
    <cellStyle name="20 % - Markeringsfarve3 2 8 2 2 4" xfId="24200" xr:uid="{00000000-0005-0000-0000-0000BD140000}"/>
    <cellStyle name="20 % - Markeringsfarve3 2 8 2 3" xfId="8838" xr:uid="{00000000-0005-0000-0000-0000BE140000}"/>
    <cellStyle name="20 % - Markeringsfarve3 2 8 2 3 2" xfId="16752" xr:uid="{00000000-0005-0000-0000-0000BF140000}"/>
    <cellStyle name="20 % - Markeringsfarve3 2 8 2 3 2 2" xfId="34912" xr:uid="{00000000-0005-0000-0000-0000C0140000}"/>
    <cellStyle name="20 % - Markeringsfarve3 2 8 2 3 3" xfId="27911" xr:uid="{00000000-0005-0000-0000-0000C1140000}"/>
    <cellStyle name="20 % - Markeringsfarve3 2 8 2 4" xfId="13034" xr:uid="{00000000-0005-0000-0000-0000C2140000}"/>
    <cellStyle name="20 % - Markeringsfarve3 2 8 2 4 2" xfId="31201" xr:uid="{00000000-0005-0000-0000-0000C3140000}"/>
    <cellStyle name="20 % - Markeringsfarve3 2 8 2 5" xfId="24199" xr:uid="{00000000-0005-0000-0000-0000C4140000}"/>
    <cellStyle name="20 % - Markeringsfarve3 2 8 3" xfId="4482" xr:uid="{00000000-0005-0000-0000-0000C5140000}"/>
    <cellStyle name="20 % - Markeringsfarve3 2 8 3 2" xfId="9604" xr:uid="{00000000-0005-0000-0000-0000C6140000}"/>
    <cellStyle name="20 % - Markeringsfarve3 2 8 3 2 2" xfId="17514" xr:uid="{00000000-0005-0000-0000-0000C7140000}"/>
    <cellStyle name="20 % - Markeringsfarve3 2 8 3 2 2 2" xfId="35674" xr:uid="{00000000-0005-0000-0000-0000C8140000}"/>
    <cellStyle name="20 % - Markeringsfarve3 2 8 3 2 3" xfId="28673" xr:uid="{00000000-0005-0000-0000-0000C9140000}"/>
    <cellStyle name="20 % - Markeringsfarve3 2 8 3 3" xfId="13036" xr:uid="{00000000-0005-0000-0000-0000CA140000}"/>
    <cellStyle name="20 % - Markeringsfarve3 2 8 3 3 2" xfId="31203" xr:uid="{00000000-0005-0000-0000-0000CB140000}"/>
    <cellStyle name="20 % - Markeringsfarve3 2 8 3 4" xfId="24201" xr:uid="{00000000-0005-0000-0000-0000CC140000}"/>
    <cellStyle name="20 % - Markeringsfarve3 2 8 4" xfId="4483" xr:uid="{00000000-0005-0000-0000-0000CD140000}"/>
    <cellStyle name="20 % - Markeringsfarve3 2 8 4 2" xfId="10761" xr:uid="{00000000-0005-0000-0000-0000CE140000}"/>
    <cellStyle name="20 % - Markeringsfarve3 2 8 4 2 2" xfId="18649" xr:uid="{00000000-0005-0000-0000-0000CF140000}"/>
    <cellStyle name="20 % - Markeringsfarve3 2 8 4 2 2 2" xfId="36809" xr:uid="{00000000-0005-0000-0000-0000D0140000}"/>
    <cellStyle name="20 % - Markeringsfarve3 2 8 4 2 3" xfId="29808" xr:uid="{00000000-0005-0000-0000-0000D1140000}"/>
    <cellStyle name="20 % - Markeringsfarve3 2 8 4 3" xfId="13037" xr:uid="{00000000-0005-0000-0000-0000D2140000}"/>
    <cellStyle name="20 % - Markeringsfarve3 2 8 4 3 2" xfId="31204" xr:uid="{00000000-0005-0000-0000-0000D3140000}"/>
    <cellStyle name="20 % - Markeringsfarve3 2 8 4 4" xfId="24202" xr:uid="{00000000-0005-0000-0000-0000D4140000}"/>
    <cellStyle name="20 % - Markeringsfarve3 2 8 5" xfId="7769" xr:uid="{00000000-0005-0000-0000-0000D5140000}"/>
    <cellStyle name="20 % - Markeringsfarve3 2 8 5 2" xfId="15687" xr:uid="{00000000-0005-0000-0000-0000D6140000}"/>
    <cellStyle name="20 % - Markeringsfarve3 2 8 5 2 2" xfId="33847" xr:uid="{00000000-0005-0000-0000-0000D7140000}"/>
    <cellStyle name="20 % - Markeringsfarve3 2 8 5 3" xfId="26846" xr:uid="{00000000-0005-0000-0000-0000D8140000}"/>
    <cellStyle name="20 % - Markeringsfarve3 2 8 6" xfId="13033" xr:uid="{00000000-0005-0000-0000-0000D9140000}"/>
    <cellStyle name="20 % - Markeringsfarve3 2 8 6 2" xfId="31200" xr:uid="{00000000-0005-0000-0000-0000DA140000}"/>
    <cellStyle name="20 % - Markeringsfarve3 2 8 7" xfId="24198" xr:uid="{00000000-0005-0000-0000-0000DB140000}"/>
    <cellStyle name="20 % - Markeringsfarve3 2 9" xfId="4484" xr:uid="{00000000-0005-0000-0000-0000DC140000}"/>
    <cellStyle name="20 % - Markeringsfarve3 2 9 2" xfId="4485" xr:uid="{00000000-0005-0000-0000-0000DD140000}"/>
    <cellStyle name="20 % - Markeringsfarve3 2 9 2 2" xfId="9747" xr:uid="{00000000-0005-0000-0000-0000DE140000}"/>
    <cellStyle name="20 % - Markeringsfarve3 2 9 2 2 2" xfId="17648" xr:uid="{00000000-0005-0000-0000-0000DF140000}"/>
    <cellStyle name="20 % - Markeringsfarve3 2 9 2 2 2 2" xfId="35808" xr:uid="{00000000-0005-0000-0000-0000E0140000}"/>
    <cellStyle name="20 % - Markeringsfarve3 2 9 2 2 3" xfId="28807" xr:uid="{00000000-0005-0000-0000-0000E1140000}"/>
    <cellStyle name="20 % - Markeringsfarve3 2 9 2 3" xfId="13039" xr:uid="{00000000-0005-0000-0000-0000E2140000}"/>
    <cellStyle name="20 % - Markeringsfarve3 2 9 2 3 2" xfId="31206" xr:uid="{00000000-0005-0000-0000-0000E3140000}"/>
    <cellStyle name="20 % - Markeringsfarve3 2 9 2 4" xfId="24204" xr:uid="{00000000-0005-0000-0000-0000E4140000}"/>
    <cellStyle name="20 % - Markeringsfarve3 2 9 3" xfId="8345" xr:uid="{00000000-0005-0000-0000-0000E5140000}"/>
    <cellStyle name="20 % - Markeringsfarve3 2 9 3 2" xfId="16262" xr:uid="{00000000-0005-0000-0000-0000E6140000}"/>
    <cellStyle name="20 % - Markeringsfarve3 2 9 3 2 2" xfId="34422" xr:uid="{00000000-0005-0000-0000-0000E7140000}"/>
    <cellStyle name="20 % - Markeringsfarve3 2 9 3 3" xfId="27421" xr:uid="{00000000-0005-0000-0000-0000E8140000}"/>
    <cellStyle name="20 % - Markeringsfarve3 2 9 4" xfId="13038" xr:uid="{00000000-0005-0000-0000-0000E9140000}"/>
    <cellStyle name="20 % - Markeringsfarve3 2 9 4 2" xfId="31205" xr:uid="{00000000-0005-0000-0000-0000EA140000}"/>
    <cellStyle name="20 % - Markeringsfarve3 2 9 5" xfId="24203" xr:uid="{00000000-0005-0000-0000-0000EB140000}"/>
    <cellStyle name="20 % - Markeringsfarve3 3" xfId="1807" xr:uid="{00000000-0005-0000-0000-0000EC140000}"/>
    <cellStyle name="20 % - Markeringsfarve3 3 10" xfId="4487" xr:uid="{00000000-0005-0000-0000-0000ED140000}"/>
    <cellStyle name="20 % - Markeringsfarve3 3 10 2" xfId="8960" xr:uid="{00000000-0005-0000-0000-0000EE140000}"/>
    <cellStyle name="20 % - Markeringsfarve3 3 10 2 2" xfId="16872" xr:uid="{00000000-0005-0000-0000-0000EF140000}"/>
    <cellStyle name="20 % - Markeringsfarve3 3 10 2 2 2" xfId="35032" xr:uid="{00000000-0005-0000-0000-0000F0140000}"/>
    <cellStyle name="20 % - Markeringsfarve3 3 10 2 3" xfId="28031" xr:uid="{00000000-0005-0000-0000-0000F1140000}"/>
    <cellStyle name="20 % - Markeringsfarve3 3 10 3" xfId="13041" xr:uid="{00000000-0005-0000-0000-0000F2140000}"/>
    <cellStyle name="20 % - Markeringsfarve3 3 10 3 2" xfId="31208" xr:uid="{00000000-0005-0000-0000-0000F3140000}"/>
    <cellStyle name="20 % - Markeringsfarve3 3 10 4" xfId="24206" xr:uid="{00000000-0005-0000-0000-0000F4140000}"/>
    <cellStyle name="20 % - Markeringsfarve3 3 11" xfId="4488" xr:uid="{00000000-0005-0000-0000-0000F5140000}"/>
    <cellStyle name="20 % - Markeringsfarve3 3 11 2" xfId="10742" xr:uid="{00000000-0005-0000-0000-0000F6140000}"/>
    <cellStyle name="20 % - Markeringsfarve3 3 11 2 2" xfId="18631" xr:uid="{00000000-0005-0000-0000-0000F7140000}"/>
    <cellStyle name="20 % - Markeringsfarve3 3 11 2 2 2" xfId="36791" xr:uid="{00000000-0005-0000-0000-0000F8140000}"/>
    <cellStyle name="20 % - Markeringsfarve3 3 11 2 3" xfId="29790" xr:uid="{00000000-0005-0000-0000-0000F9140000}"/>
    <cellStyle name="20 % - Markeringsfarve3 3 11 3" xfId="13042" xr:uid="{00000000-0005-0000-0000-0000FA140000}"/>
    <cellStyle name="20 % - Markeringsfarve3 3 11 3 2" xfId="31209" xr:uid="{00000000-0005-0000-0000-0000FB140000}"/>
    <cellStyle name="20 % - Markeringsfarve3 3 11 4" xfId="24207" xr:uid="{00000000-0005-0000-0000-0000FC140000}"/>
    <cellStyle name="20 % - Markeringsfarve3 3 12" xfId="7770" xr:uid="{00000000-0005-0000-0000-0000FD140000}"/>
    <cellStyle name="20 % - Markeringsfarve3 3 12 2" xfId="15688" xr:uid="{00000000-0005-0000-0000-0000FE140000}"/>
    <cellStyle name="20 % - Markeringsfarve3 3 12 2 2" xfId="33848" xr:uid="{00000000-0005-0000-0000-0000FF140000}"/>
    <cellStyle name="20 % - Markeringsfarve3 3 12 3" xfId="26847" xr:uid="{00000000-0005-0000-0000-000000150000}"/>
    <cellStyle name="20 % - Markeringsfarve3 3 13" xfId="13040" xr:uid="{00000000-0005-0000-0000-000001150000}"/>
    <cellStyle name="20 % - Markeringsfarve3 3 13 2" xfId="31207" xr:uid="{00000000-0005-0000-0000-000002150000}"/>
    <cellStyle name="20 % - Markeringsfarve3 3 14" xfId="4486" xr:uid="{00000000-0005-0000-0000-000003150000}"/>
    <cellStyle name="20 % - Markeringsfarve3 3 14 2" xfId="24205" xr:uid="{00000000-0005-0000-0000-000004150000}"/>
    <cellStyle name="20 % - Markeringsfarve3 3 15" xfId="21931" xr:uid="{00000000-0005-0000-0000-000005150000}"/>
    <cellStyle name="20 % - Markeringsfarve3 3 2" xfId="1808" xr:uid="{00000000-0005-0000-0000-000006150000}"/>
    <cellStyle name="20 % - Markeringsfarve3 3 2 10" xfId="7771" xr:uid="{00000000-0005-0000-0000-000007150000}"/>
    <cellStyle name="20 % - Markeringsfarve3 3 2 10 2" xfId="15689" xr:uid="{00000000-0005-0000-0000-000008150000}"/>
    <cellStyle name="20 % - Markeringsfarve3 3 2 10 2 2" xfId="33849" xr:uid="{00000000-0005-0000-0000-000009150000}"/>
    <cellStyle name="20 % - Markeringsfarve3 3 2 10 3" xfId="26848" xr:uid="{00000000-0005-0000-0000-00000A150000}"/>
    <cellStyle name="20 % - Markeringsfarve3 3 2 11" xfId="13043" xr:uid="{00000000-0005-0000-0000-00000B150000}"/>
    <cellStyle name="20 % - Markeringsfarve3 3 2 11 2" xfId="31210" xr:uid="{00000000-0005-0000-0000-00000C150000}"/>
    <cellStyle name="20 % - Markeringsfarve3 3 2 12" xfId="4489" xr:uid="{00000000-0005-0000-0000-00000D150000}"/>
    <cellStyle name="20 % - Markeringsfarve3 3 2 12 2" xfId="24208" xr:uid="{00000000-0005-0000-0000-00000E150000}"/>
    <cellStyle name="20 % - Markeringsfarve3 3 2 13" xfId="21932" xr:uid="{00000000-0005-0000-0000-00000F150000}"/>
    <cellStyle name="20 % - Markeringsfarve3 3 2 2" xfId="4490" xr:uid="{00000000-0005-0000-0000-000010150000}"/>
    <cellStyle name="20 % - Markeringsfarve3 3 2 2 2" xfId="4491" xr:uid="{00000000-0005-0000-0000-000011150000}"/>
    <cellStyle name="20 % - Markeringsfarve3 3 2 2 2 2" xfId="4492" xr:uid="{00000000-0005-0000-0000-000012150000}"/>
    <cellStyle name="20 % - Markeringsfarve3 3 2 2 2 2 2" xfId="9893" xr:uid="{00000000-0005-0000-0000-000013150000}"/>
    <cellStyle name="20 % - Markeringsfarve3 3 2 2 2 2 2 2" xfId="17794" xr:uid="{00000000-0005-0000-0000-000014150000}"/>
    <cellStyle name="20 % - Markeringsfarve3 3 2 2 2 2 2 2 2" xfId="35954" xr:uid="{00000000-0005-0000-0000-000015150000}"/>
    <cellStyle name="20 % - Markeringsfarve3 3 2 2 2 2 2 3" xfId="28953" xr:uid="{00000000-0005-0000-0000-000016150000}"/>
    <cellStyle name="20 % - Markeringsfarve3 3 2 2 2 2 3" xfId="13046" xr:uid="{00000000-0005-0000-0000-000017150000}"/>
    <cellStyle name="20 % - Markeringsfarve3 3 2 2 2 2 3 2" xfId="31213" xr:uid="{00000000-0005-0000-0000-000018150000}"/>
    <cellStyle name="20 % - Markeringsfarve3 3 2 2 2 2 4" xfId="24211" xr:uid="{00000000-0005-0000-0000-000019150000}"/>
    <cellStyle name="20 % - Markeringsfarve3 3 2 2 2 3" xfId="8467" xr:uid="{00000000-0005-0000-0000-00001A150000}"/>
    <cellStyle name="20 % - Markeringsfarve3 3 2 2 2 3 2" xfId="16384" xr:uid="{00000000-0005-0000-0000-00001B150000}"/>
    <cellStyle name="20 % - Markeringsfarve3 3 2 2 2 3 2 2" xfId="34544" xr:uid="{00000000-0005-0000-0000-00001C150000}"/>
    <cellStyle name="20 % - Markeringsfarve3 3 2 2 2 3 3" xfId="27543" xr:uid="{00000000-0005-0000-0000-00001D150000}"/>
    <cellStyle name="20 % - Markeringsfarve3 3 2 2 2 4" xfId="13045" xr:uid="{00000000-0005-0000-0000-00001E150000}"/>
    <cellStyle name="20 % - Markeringsfarve3 3 2 2 2 4 2" xfId="31212" xr:uid="{00000000-0005-0000-0000-00001F150000}"/>
    <cellStyle name="20 % - Markeringsfarve3 3 2 2 2 5" xfId="24210" xr:uid="{00000000-0005-0000-0000-000020150000}"/>
    <cellStyle name="20 % - Markeringsfarve3 3 2 2 3" xfId="4493" xr:uid="{00000000-0005-0000-0000-000021150000}"/>
    <cellStyle name="20 % - Markeringsfarve3 3 2 2 3 2" xfId="9123" xr:uid="{00000000-0005-0000-0000-000022150000}"/>
    <cellStyle name="20 % - Markeringsfarve3 3 2 2 3 2 2" xfId="17034" xr:uid="{00000000-0005-0000-0000-000023150000}"/>
    <cellStyle name="20 % - Markeringsfarve3 3 2 2 3 2 2 2" xfId="35194" xr:uid="{00000000-0005-0000-0000-000024150000}"/>
    <cellStyle name="20 % - Markeringsfarve3 3 2 2 3 2 3" xfId="28193" xr:uid="{00000000-0005-0000-0000-000025150000}"/>
    <cellStyle name="20 % - Markeringsfarve3 3 2 2 3 3" xfId="13047" xr:uid="{00000000-0005-0000-0000-000026150000}"/>
    <cellStyle name="20 % - Markeringsfarve3 3 2 2 3 3 2" xfId="31214" xr:uid="{00000000-0005-0000-0000-000027150000}"/>
    <cellStyle name="20 % - Markeringsfarve3 3 2 2 3 4" xfId="24212" xr:uid="{00000000-0005-0000-0000-000028150000}"/>
    <cellStyle name="20 % - Markeringsfarve3 3 2 2 4" xfId="4494" xr:uid="{00000000-0005-0000-0000-000029150000}"/>
    <cellStyle name="20 % - Markeringsfarve3 3 2 2 4 2" xfId="10738" xr:uid="{00000000-0005-0000-0000-00002A150000}"/>
    <cellStyle name="20 % - Markeringsfarve3 3 2 2 4 2 2" xfId="18627" xr:uid="{00000000-0005-0000-0000-00002B150000}"/>
    <cellStyle name="20 % - Markeringsfarve3 3 2 2 4 2 2 2" xfId="36787" xr:uid="{00000000-0005-0000-0000-00002C150000}"/>
    <cellStyle name="20 % - Markeringsfarve3 3 2 2 4 2 3" xfId="29786" xr:uid="{00000000-0005-0000-0000-00002D150000}"/>
    <cellStyle name="20 % - Markeringsfarve3 3 2 2 4 3" xfId="13048" xr:uid="{00000000-0005-0000-0000-00002E150000}"/>
    <cellStyle name="20 % - Markeringsfarve3 3 2 2 4 3 2" xfId="31215" xr:uid="{00000000-0005-0000-0000-00002F150000}"/>
    <cellStyle name="20 % - Markeringsfarve3 3 2 2 4 4" xfId="24213" xr:uid="{00000000-0005-0000-0000-000030150000}"/>
    <cellStyle name="20 % - Markeringsfarve3 3 2 2 5" xfId="7772" xr:uid="{00000000-0005-0000-0000-000031150000}"/>
    <cellStyle name="20 % - Markeringsfarve3 3 2 2 5 2" xfId="15690" xr:uid="{00000000-0005-0000-0000-000032150000}"/>
    <cellStyle name="20 % - Markeringsfarve3 3 2 2 5 2 2" xfId="33850" xr:uid="{00000000-0005-0000-0000-000033150000}"/>
    <cellStyle name="20 % - Markeringsfarve3 3 2 2 5 3" xfId="26849" xr:uid="{00000000-0005-0000-0000-000034150000}"/>
    <cellStyle name="20 % - Markeringsfarve3 3 2 2 6" xfId="13044" xr:uid="{00000000-0005-0000-0000-000035150000}"/>
    <cellStyle name="20 % - Markeringsfarve3 3 2 2 6 2" xfId="31211" xr:uid="{00000000-0005-0000-0000-000036150000}"/>
    <cellStyle name="20 % - Markeringsfarve3 3 2 2 7" xfId="24209" xr:uid="{00000000-0005-0000-0000-000037150000}"/>
    <cellStyle name="20 % - Markeringsfarve3 3 2 3" xfId="4495" xr:uid="{00000000-0005-0000-0000-000038150000}"/>
    <cellStyle name="20 % - Markeringsfarve3 3 2 3 2" xfId="4496" xr:uid="{00000000-0005-0000-0000-000039150000}"/>
    <cellStyle name="20 % - Markeringsfarve3 3 2 3 2 2" xfId="4497" xr:uid="{00000000-0005-0000-0000-00003A150000}"/>
    <cellStyle name="20 % - Markeringsfarve3 3 2 3 2 2 2" xfId="9976" xr:uid="{00000000-0005-0000-0000-00003B150000}"/>
    <cellStyle name="20 % - Markeringsfarve3 3 2 3 2 2 2 2" xfId="17877" xr:uid="{00000000-0005-0000-0000-00003C150000}"/>
    <cellStyle name="20 % - Markeringsfarve3 3 2 3 2 2 2 2 2" xfId="36037" xr:uid="{00000000-0005-0000-0000-00003D150000}"/>
    <cellStyle name="20 % - Markeringsfarve3 3 2 3 2 2 2 3" xfId="29036" xr:uid="{00000000-0005-0000-0000-00003E150000}"/>
    <cellStyle name="20 % - Markeringsfarve3 3 2 3 2 2 3" xfId="13051" xr:uid="{00000000-0005-0000-0000-00003F150000}"/>
    <cellStyle name="20 % - Markeringsfarve3 3 2 3 2 2 3 2" xfId="31218" xr:uid="{00000000-0005-0000-0000-000040150000}"/>
    <cellStyle name="20 % - Markeringsfarve3 3 2 3 2 2 4" xfId="24216" xr:uid="{00000000-0005-0000-0000-000041150000}"/>
    <cellStyle name="20 % - Markeringsfarve3 3 2 3 2 3" xfId="8540" xr:uid="{00000000-0005-0000-0000-000042150000}"/>
    <cellStyle name="20 % - Markeringsfarve3 3 2 3 2 3 2" xfId="16457" xr:uid="{00000000-0005-0000-0000-000043150000}"/>
    <cellStyle name="20 % - Markeringsfarve3 3 2 3 2 3 2 2" xfId="34617" xr:uid="{00000000-0005-0000-0000-000044150000}"/>
    <cellStyle name="20 % - Markeringsfarve3 3 2 3 2 3 3" xfId="27616" xr:uid="{00000000-0005-0000-0000-000045150000}"/>
    <cellStyle name="20 % - Markeringsfarve3 3 2 3 2 4" xfId="13050" xr:uid="{00000000-0005-0000-0000-000046150000}"/>
    <cellStyle name="20 % - Markeringsfarve3 3 2 3 2 4 2" xfId="31217" xr:uid="{00000000-0005-0000-0000-000047150000}"/>
    <cellStyle name="20 % - Markeringsfarve3 3 2 3 2 5" xfId="24215" xr:uid="{00000000-0005-0000-0000-000048150000}"/>
    <cellStyle name="20 % - Markeringsfarve3 3 2 3 3" xfId="4498" xr:uid="{00000000-0005-0000-0000-000049150000}"/>
    <cellStyle name="20 % - Markeringsfarve3 3 2 3 3 2" xfId="9206" xr:uid="{00000000-0005-0000-0000-00004A150000}"/>
    <cellStyle name="20 % - Markeringsfarve3 3 2 3 3 2 2" xfId="17117" xr:uid="{00000000-0005-0000-0000-00004B150000}"/>
    <cellStyle name="20 % - Markeringsfarve3 3 2 3 3 2 2 2" xfId="35277" xr:uid="{00000000-0005-0000-0000-00004C150000}"/>
    <cellStyle name="20 % - Markeringsfarve3 3 2 3 3 2 3" xfId="28276" xr:uid="{00000000-0005-0000-0000-00004D150000}"/>
    <cellStyle name="20 % - Markeringsfarve3 3 2 3 3 3" xfId="13052" xr:uid="{00000000-0005-0000-0000-00004E150000}"/>
    <cellStyle name="20 % - Markeringsfarve3 3 2 3 3 3 2" xfId="31219" xr:uid="{00000000-0005-0000-0000-00004F150000}"/>
    <cellStyle name="20 % - Markeringsfarve3 3 2 3 3 4" xfId="24217" xr:uid="{00000000-0005-0000-0000-000050150000}"/>
    <cellStyle name="20 % - Markeringsfarve3 3 2 3 4" xfId="4499" xr:uid="{00000000-0005-0000-0000-000051150000}"/>
    <cellStyle name="20 % - Markeringsfarve3 3 2 3 4 2" xfId="10544" xr:uid="{00000000-0005-0000-0000-000052150000}"/>
    <cellStyle name="20 % - Markeringsfarve3 3 2 3 4 2 2" xfId="18438" xr:uid="{00000000-0005-0000-0000-000053150000}"/>
    <cellStyle name="20 % - Markeringsfarve3 3 2 3 4 2 2 2" xfId="36598" xr:uid="{00000000-0005-0000-0000-000054150000}"/>
    <cellStyle name="20 % - Markeringsfarve3 3 2 3 4 2 3" xfId="29597" xr:uid="{00000000-0005-0000-0000-000055150000}"/>
    <cellStyle name="20 % - Markeringsfarve3 3 2 3 4 3" xfId="13053" xr:uid="{00000000-0005-0000-0000-000056150000}"/>
    <cellStyle name="20 % - Markeringsfarve3 3 2 3 4 3 2" xfId="31220" xr:uid="{00000000-0005-0000-0000-000057150000}"/>
    <cellStyle name="20 % - Markeringsfarve3 3 2 3 4 4" xfId="24218" xr:uid="{00000000-0005-0000-0000-000058150000}"/>
    <cellStyle name="20 % - Markeringsfarve3 3 2 3 5" xfId="7773" xr:uid="{00000000-0005-0000-0000-000059150000}"/>
    <cellStyle name="20 % - Markeringsfarve3 3 2 3 5 2" xfId="15691" xr:uid="{00000000-0005-0000-0000-00005A150000}"/>
    <cellStyle name="20 % - Markeringsfarve3 3 2 3 5 2 2" xfId="33851" xr:uid="{00000000-0005-0000-0000-00005B150000}"/>
    <cellStyle name="20 % - Markeringsfarve3 3 2 3 5 3" xfId="26850" xr:uid="{00000000-0005-0000-0000-00005C150000}"/>
    <cellStyle name="20 % - Markeringsfarve3 3 2 3 6" xfId="13049" xr:uid="{00000000-0005-0000-0000-00005D150000}"/>
    <cellStyle name="20 % - Markeringsfarve3 3 2 3 6 2" xfId="31216" xr:uid="{00000000-0005-0000-0000-00005E150000}"/>
    <cellStyle name="20 % - Markeringsfarve3 3 2 3 7" xfId="24214" xr:uid="{00000000-0005-0000-0000-00005F150000}"/>
    <cellStyle name="20 % - Markeringsfarve3 3 2 4" xfId="4500" xr:uid="{00000000-0005-0000-0000-000060150000}"/>
    <cellStyle name="20 % - Markeringsfarve3 3 2 4 2" xfId="4501" xr:uid="{00000000-0005-0000-0000-000061150000}"/>
    <cellStyle name="20 % - Markeringsfarve3 3 2 4 2 2" xfId="4502" xr:uid="{00000000-0005-0000-0000-000062150000}"/>
    <cellStyle name="20 % - Markeringsfarve3 3 2 4 2 2 2" xfId="10131" xr:uid="{00000000-0005-0000-0000-000063150000}"/>
    <cellStyle name="20 % - Markeringsfarve3 3 2 4 2 2 2 2" xfId="18032" xr:uid="{00000000-0005-0000-0000-000064150000}"/>
    <cellStyle name="20 % - Markeringsfarve3 3 2 4 2 2 2 2 2" xfId="36192" xr:uid="{00000000-0005-0000-0000-000065150000}"/>
    <cellStyle name="20 % - Markeringsfarve3 3 2 4 2 2 2 3" xfId="29191" xr:uid="{00000000-0005-0000-0000-000066150000}"/>
    <cellStyle name="20 % - Markeringsfarve3 3 2 4 2 2 3" xfId="13056" xr:uid="{00000000-0005-0000-0000-000067150000}"/>
    <cellStyle name="20 % - Markeringsfarve3 3 2 4 2 2 3 2" xfId="31223" xr:uid="{00000000-0005-0000-0000-000068150000}"/>
    <cellStyle name="20 % - Markeringsfarve3 3 2 4 2 2 4" xfId="24221" xr:uid="{00000000-0005-0000-0000-000069150000}"/>
    <cellStyle name="20 % - Markeringsfarve3 3 2 4 2 3" xfId="8669" xr:uid="{00000000-0005-0000-0000-00006A150000}"/>
    <cellStyle name="20 % - Markeringsfarve3 3 2 4 2 3 2" xfId="16583" xr:uid="{00000000-0005-0000-0000-00006B150000}"/>
    <cellStyle name="20 % - Markeringsfarve3 3 2 4 2 3 2 2" xfId="34743" xr:uid="{00000000-0005-0000-0000-00006C150000}"/>
    <cellStyle name="20 % - Markeringsfarve3 3 2 4 2 3 3" xfId="27742" xr:uid="{00000000-0005-0000-0000-00006D150000}"/>
    <cellStyle name="20 % - Markeringsfarve3 3 2 4 2 4" xfId="13055" xr:uid="{00000000-0005-0000-0000-00006E150000}"/>
    <cellStyle name="20 % - Markeringsfarve3 3 2 4 2 4 2" xfId="31222" xr:uid="{00000000-0005-0000-0000-00006F150000}"/>
    <cellStyle name="20 % - Markeringsfarve3 3 2 4 2 5" xfId="24220" xr:uid="{00000000-0005-0000-0000-000070150000}"/>
    <cellStyle name="20 % - Markeringsfarve3 3 2 4 3" xfId="4503" xr:uid="{00000000-0005-0000-0000-000071150000}"/>
    <cellStyle name="20 % - Markeringsfarve3 3 2 4 3 2" xfId="9407" xr:uid="{00000000-0005-0000-0000-000072150000}"/>
    <cellStyle name="20 % - Markeringsfarve3 3 2 4 3 2 2" xfId="17317" xr:uid="{00000000-0005-0000-0000-000073150000}"/>
    <cellStyle name="20 % - Markeringsfarve3 3 2 4 3 2 2 2" xfId="35477" xr:uid="{00000000-0005-0000-0000-000074150000}"/>
    <cellStyle name="20 % - Markeringsfarve3 3 2 4 3 2 3" xfId="28476" xr:uid="{00000000-0005-0000-0000-000075150000}"/>
    <cellStyle name="20 % - Markeringsfarve3 3 2 4 3 3" xfId="13057" xr:uid="{00000000-0005-0000-0000-000076150000}"/>
    <cellStyle name="20 % - Markeringsfarve3 3 2 4 3 3 2" xfId="31224" xr:uid="{00000000-0005-0000-0000-000077150000}"/>
    <cellStyle name="20 % - Markeringsfarve3 3 2 4 3 4" xfId="24222" xr:uid="{00000000-0005-0000-0000-000078150000}"/>
    <cellStyle name="20 % - Markeringsfarve3 3 2 4 4" xfId="4504" xr:uid="{00000000-0005-0000-0000-000079150000}"/>
    <cellStyle name="20 % - Markeringsfarve3 3 2 4 4 2" xfId="10543" xr:uid="{00000000-0005-0000-0000-00007A150000}"/>
    <cellStyle name="20 % - Markeringsfarve3 3 2 4 4 2 2" xfId="18437" xr:uid="{00000000-0005-0000-0000-00007B150000}"/>
    <cellStyle name="20 % - Markeringsfarve3 3 2 4 4 2 2 2" xfId="36597" xr:uid="{00000000-0005-0000-0000-00007C150000}"/>
    <cellStyle name="20 % - Markeringsfarve3 3 2 4 4 2 3" xfId="29596" xr:uid="{00000000-0005-0000-0000-00007D150000}"/>
    <cellStyle name="20 % - Markeringsfarve3 3 2 4 4 3" xfId="13058" xr:uid="{00000000-0005-0000-0000-00007E150000}"/>
    <cellStyle name="20 % - Markeringsfarve3 3 2 4 4 3 2" xfId="31225" xr:uid="{00000000-0005-0000-0000-00007F150000}"/>
    <cellStyle name="20 % - Markeringsfarve3 3 2 4 4 4" xfId="24223" xr:uid="{00000000-0005-0000-0000-000080150000}"/>
    <cellStyle name="20 % - Markeringsfarve3 3 2 4 5" xfId="7774" xr:uid="{00000000-0005-0000-0000-000081150000}"/>
    <cellStyle name="20 % - Markeringsfarve3 3 2 4 5 2" xfId="15692" xr:uid="{00000000-0005-0000-0000-000082150000}"/>
    <cellStyle name="20 % - Markeringsfarve3 3 2 4 5 2 2" xfId="33852" xr:uid="{00000000-0005-0000-0000-000083150000}"/>
    <cellStyle name="20 % - Markeringsfarve3 3 2 4 5 3" xfId="26851" xr:uid="{00000000-0005-0000-0000-000084150000}"/>
    <cellStyle name="20 % - Markeringsfarve3 3 2 4 6" xfId="13054" xr:uid="{00000000-0005-0000-0000-000085150000}"/>
    <cellStyle name="20 % - Markeringsfarve3 3 2 4 6 2" xfId="31221" xr:uid="{00000000-0005-0000-0000-000086150000}"/>
    <cellStyle name="20 % - Markeringsfarve3 3 2 4 7" xfId="24219" xr:uid="{00000000-0005-0000-0000-000087150000}"/>
    <cellStyle name="20 % - Markeringsfarve3 3 2 5" xfId="4505" xr:uid="{00000000-0005-0000-0000-000088150000}"/>
    <cellStyle name="20 % - Markeringsfarve3 3 2 5 2" xfId="4506" xr:uid="{00000000-0005-0000-0000-000089150000}"/>
    <cellStyle name="20 % - Markeringsfarve3 3 2 5 2 2" xfId="4507" xr:uid="{00000000-0005-0000-0000-00008A150000}"/>
    <cellStyle name="20 % - Markeringsfarve3 3 2 5 2 2 2" xfId="10248" xr:uid="{00000000-0005-0000-0000-00008B150000}"/>
    <cellStyle name="20 % - Markeringsfarve3 3 2 5 2 2 2 2" xfId="18149" xr:uid="{00000000-0005-0000-0000-00008C150000}"/>
    <cellStyle name="20 % - Markeringsfarve3 3 2 5 2 2 2 2 2" xfId="36309" xr:uid="{00000000-0005-0000-0000-00008D150000}"/>
    <cellStyle name="20 % - Markeringsfarve3 3 2 5 2 2 2 3" xfId="29308" xr:uid="{00000000-0005-0000-0000-00008E150000}"/>
    <cellStyle name="20 % - Markeringsfarve3 3 2 5 2 2 3" xfId="13061" xr:uid="{00000000-0005-0000-0000-00008F150000}"/>
    <cellStyle name="20 % - Markeringsfarve3 3 2 5 2 2 3 2" xfId="31228" xr:uid="{00000000-0005-0000-0000-000090150000}"/>
    <cellStyle name="20 % - Markeringsfarve3 3 2 5 2 2 4" xfId="24226" xr:uid="{00000000-0005-0000-0000-000091150000}"/>
    <cellStyle name="20 % - Markeringsfarve3 3 2 5 2 3" xfId="8768" xr:uid="{00000000-0005-0000-0000-000092150000}"/>
    <cellStyle name="20 % - Markeringsfarve3 3 2 5 2 3 2" xfId="16682" xr:uid="{00000000-0005-0000-0000-000093150000}"/>
    <cellStyle name="20 % - Markeringsfarve3 3 2 5 2 3 2 2" xfId="34842" xr:uid="{00000000-0005-0000-0000-000094150000}"/>
    <cellStyle name="20 % - Markeringsfarve3 3 2 5 2 3 3" xfId="27841" xr:uid="{00000000-0005-0000-0000-000095150000}"/>
    <cellStyle name="20 % - Markeringsfarve3 3 2 5 2 4" xfId="13060" xr:uid="{00000000-0005-0000-0000-000096150000}"/>
    <cellStyle name="20 % - Markeringsfarve3 3 2 5 2 4 2" xfId="31227" xr:uid="{00000000-0005-0000-0000-000097150000}"/>
    <cellStyle name="20 % - Markeringsfarve3 3 2 5 2 5" xfId="24225" xr:uid="{00000000-0005-0000-0000-000098150000}"/>
    <cellStyle name="20 % - Markeringsfarve3 3 2 5 3" xfId="4508" xr:uid="{00000000-0005-0000-0000-000099150000}"/>
    <cellStyle name="20 % - Markeringsfarve3 3 2 5 3 2" xfId="9524" xr:uid="{00000000-0005-0000-0000-00009A150000}"/>
    <cellStyle name="20 % - Markeringsfarve3 3 2 5 3 2 2" xfId="17434" xr:uid="{00000000-0005-0000-0000-00009B150000}"/>
    <cellStyle name="20 % - Markeringsfarve3 3 2 5 3 2 2 2" xfId="35594" xr:uid="{00000000-0005-0000-0000-00009C150000}"/>
    <cellStyle name="20 % - Markeringsfarve3 3 2 5 3 2 3" xfId="28593" xr:uid="{00000000-0005-0000-0000-00009D150000}"/>
    <cellStyle name="20 % - Markeringsfarve3 3 2 5 3 3" xfId="13062" xr:uid="{00000000-0005-0000-0000-00009E150000}"/>
    <cellStyle name="20 % - Markeringsfarve3 3 2 5 3 3 2" xfId="31229" xr:uid="{00000000-0005-0000-0000-00009F150000}"/>
    <cellStyle name="20 % - Markeringsfarve3 3 2 5 3 4" xfId="24227" xr:uid="{00000000-0005-0000-0000-0000A0150000}"/>
    <cellStyle name="20 % - Markeringsfarve3 3 2 5 4" xfId="4509" xr:uid="{00000000-0005-0000-0000-0000A1150000}"/>
    <cellStyle name="20 % - Markeringsfarve3 3 2 5 4 2" xfId="11021" xr:uid="{00000000-0005-0000-0000-0000A2150000}"/>
    <cellStyle name="20 % - Markeringsfarve3 3 2 5 4 2 2" xfId="18897" xr:uid="{00000000-0005-0000-0000-0000A3150000}"/>
    <cellStyle name="20 % - Markeringsfarve3 3 2 5 4 2 2 2" xfId="37057" xr:uid="{00000000-0005-0000-0000-0000A4150000}"/>
    <cellStyle name="20 % - Markeringsfarve3 3 2 5 4 2 3" xfId="30056" xr:uid="{00000000-0005-0000-0000-0000A5150000}"/>
    <cellStyle name="20 % - Markeringsfarve3 3 2 5 4 3" xfId="13063" xr:uid="{00000000-0005-0000-0000-0000A6150000}"/>
    <cellStyle name="20 % - Markeringsfarve3 3 2 5 4 3 2" xfId="31230" xr:uid="{00000000-0005-0000-0000-0000A7150000}"/>
    <cellStyle name="20 % - Markeringsfarve3 3 2 5 4 4" xfId="24228" xr:uid="{00000000-0005-0000-0000-0000A8150000}"/>
    <cellStyle name="20 % - Markeringsfarve3 3 2 5 5" xfId="7775" xr:uid="{00000000-0005-0000-0000-0000A9150000}"/>
    <cellStyle name="20 % - Markeringsfarve3 3 2 5 5 2" xfId="15693" xr:uid="{00000000-0005-0000-0000-0000AA150000}"/>
    <cellStyle name="20 % - Markeringsfarve3 3 2 5 5 2 2" xfId="33853" xr:uid="{00000000-0005-0000-0000-0000AB150000}"/>
    <cellStyle name="20 % - Markeringsfarve3 3 2 5 5 3" xfId="26852" xr:uid="{00000000-0005-0000-0000-0000AC150000}"/>
    <cellStyle name="20 % - Markeringsfarve3 3 2 5 6" xfId="13059" xr:uid="{00000000-0005-0000-0000-0000AD150000}"/>
    <cellStyle name="20 % - Markeringsfarve3 3 2 5 6 2" xfId="31226" xr:uid="{00000000-0005-0000-0000-0000AE150000}"/>
    <cellStyle name="20 % - Markeringsfarve3 3 2 5 7" xfId="24224" xr:uid="{00000000-0005-0000-0000-0000AF150000}"/>
    <cellStyle name="20 % - Markeringsfarve3 3 2 6" xfId="4510" xr:uid="{00000000-0005-0000-0000-0000B0150000}"/>
    <cellStyle name="20 % - Markeringsfarve3 3 2 6 2" xfId="4511" xr:uid="{00000000-0005-0000-0000-0000B1150000}"/>
    <cellStyle name="20 % - Markeringsfarve3 3 2 6 2 2" xfId="4512" xr:uid="{00000000-0005-0000-0000-0000B2150000}"/>
    <cellStyle name="20 % - Markeringsfarve3 3 2 6 2 2 2" xfId="10331" xr:uid="{00000000-0005-0000-0000-0000B3150000}"/>
    <cellStyle name="20 % - Markeringsfarve3 3 2 6 2 2 2 2" xfId="18232" xr:uid="{00000000-0005-0000-0000-0000B4150000}"/>
    <cellStyle name="20 % - Markeringsfarve3 3 2 6 2 2 2 2 2" xfId="36392" xr:uid="{00000000-0005-0000-0000-0000B5150000}"/>
    <cellStyle name="20 % - Markeringsfarve3 3 2 6 2 2 2 3" xfId="29391" xr:uid="{00000000-0005-0000-0000-0000B6150000}"/>
    <cellStyle name="20 % - Markeringsfarve3 3 2 6 2 2 3" xfId="13066" xr:uid="{00000000-0005-0000-0000-0000B7150000}"/>
    <cellStyle name="20 % - Markeringsfarve3 3 2 6 2 2 3 2" xfId="31233" xr:uid="{00000000-0005-0000-0000-0000B8150000}"/>
    <cellStyle name="20 % - Markeringsfarve3 3 2 6 2 2 4" xfId="24231" xr:uid="{00000000-0005-0000-0000-0000B9150000}"/>
    <cellStyle name="20 % - Markeringsfarve3 3 2 6 2 3" xfId="8842" xr:uid="{00000000-0005-0000-0000-0000BA150000}"/>
    <cellStyle name="20 % - Markeringsfarve3 3 2 6 2 3 2" xfId="16756" xr:uid="{00000000-0005-0000-0000-0000BB150000}"/>
    <cellStyle name="20 % - Markeringsfarve3 3 2 6 2 3 2 2" xfId="34916" xr:uid="{00000000-0005-0000-0000-0000BC150000}"/>
    <cellStyle name="20 % - Markeringsfarve3 3 2 6 2 3 3" xfId="27915" xr:uid="{00000000-0005-0000-0000-0000BD150000}"/>
    <cellStyle name="20 % - Markeringsfarve3 3 2 6 2 4" xfId="13065" xr:uid="{00000000-0005-0000-0000-0000BE150000}"/>
    <cellStyle name="20 % - Markeringsfarve3 3 2 6 2 4 2" xfId="31232" xr:uid="{00000000-0005-0000-0000-0000BF150000}"/>
    <cellStyle name="20 % - Markeringsfarve3 3 2 6 2 5" xfId="24230" xr:uid="{00000000-0005-0000-0000-0000C0150000}"/>
    <cellStyle name="20 % - Markeringsfarve3 3 2 6 3" xfId="4513" xr:uid="{00000000-0005-0000-0000-0000C1150000}"/>
    <cellStyle name="20 % - Markeringsfarve3 3 2 6 3 2" xfId="9608" xr:uid="{00000000-0005-0000-0000-0000C2150000}"/>
    <cellStyle name="20 % - Markeringsfarve3 3 2 6 3 2 2" xfId="17518" xr:uid="{00000000-0005-0000-0000-0000C3150000}"/>
    <cellStyle name="20 % - Markeringsfarve3 3 2 6 3 2 2 2" xfId="35678" xr:uid="{00000000-0005-0000-0000-0000C4150000}"/>
    <cellStyle name="20 % - Markeringsfarve3 3 2 6 3 2 3" xfId="28677" xr:uid="{00000000-0005-0000-0000-0000C5150000}"/>
    <cellStyle name="20 % - Markeringsfarve3 3 2 6 3 3" xfId="13067" xr:uid="{00000000-0005-0000-0000-0000C6150000}"/>
    <cellStyle name="20 % - Markeringsfarve3 3 2 6 3 3 2" xfId="31234" xr:uid="{00000000-0005-0000-0000-0000C7150000}"/>
    <cellStyle name="20 % - Markeringsfarve3 3 2 6 3 4" xfId="24232" xr:uid="{00000000-0005-0000-0000-0000C8150000}"/>
    <cellStyle name="20 % - Markeringsfarve3 3 2 6 4" xfId="4514" xr:uid="{00000000-0005-0000-0000-0000C9150000}"/>
    <cellStyle name="20 % - Markeringsfarve3 3 2 6 4 2" xfId="10741" xr:uid="{00000000-0005-0000-0000-0000CA150000}"/>
    <cellStyle name="20 % - Markeringsfarve3 3 2 6 4 2 2" xfId="18630" xr:uid="{00000000-0005-0000-0000-0000CB150000}"/>
    <cellStyle name="20 % - Markeringsfarve3 3 2 6 4 2 2 2" xfId="36790" xr:uid="{00000000-0005-0000-0000-0000CC150000}"/>
    <cellStyle name="20 % - Markeringsfarve3 3 2 6 4 2 3" xfId="29789" xr:uid="{00000000-0005-0000-0000-0000CD150000}"/>
    <cellStyle name="20 % - Markeringsfarve3 3 2 6 4 3" xfId="13068" xr:uid="{00000000-0005-0000-0000-0000CE150000}"/>
    <cellStyle name="20 % - Markeringsfarve3 3 2 6 4 3 2" xfId="31235" xr:uid="{00000000-0005-0000-0000-0000CF150000}"/>
    <cellStyle name="20 % - Markeringsfarve3 3 2 6 4 4" xfId="24233" xr:uid="{00000000-0005-0000-0000-0000D0150000}"/>
    <cellStyle name="20 % - Markeringsfarve3 3 2 6 5" xfId="7776" xr:uid="{00000000-0005-0000-0000-0000D1150000}"/>
    <cellStyle name="20 % - Markeringsfarve3 3 2 6 5 2" xfId="15694" xr:uid="{00000000-0005-0000-0000-0000D2150000}"/>
    <cellStyle name="20 % - Markeringsfarve3 3 2 6 5 2 2" xfId="33854" xr:uid="{00000000-0005-0000-0000-0000D3150000}"/>
    <cellStyle name="20 % - Markeringsfarve3 3 2 6 5 3" xfId="26853" xr:uid="{00000000-0005-0000-0000-0000D4150000}"/>
    <cellStyle name="20 % - Markeringsfarve3 3 2 6 6" xfId="13064" xr:uid="{00000000-0005-0000-0000-0000D5150000}"/>
    <cellStyle name="20 % - Markeringsfarve3 3 2 6 6 2" xfId="31231" xr:uid="{00000000-0005-0000-0000-0000D6150000}"/>
    <cellStyle name="20 % - Markeringsfarve3 3 2 6 7" xfId="24229" xr:uid="{00000000-0005-0000-0000-0000D7150000}"/>
    <cellStyle name="20 % - Markeringsfarve3 3 2 7" xfId="4515" xr:uid="{00000000-0005-0000-0000-0000D8150000}"/>
    <cellStyle name="20 % - Markeringsfarve3 3 2 7 2" xfId="4516" xr:uid="{00000000-0005-0000-0000-0000D9150000}"/>
    <cellStyle name="20 % - Markeringsfarve3 3 2 7 2 2" xfId="9774" xr:uid="{00000000-0005-0000-0000-0000DA150000}"/>
    <cellStyle name="20 % - Markeringsfarve3 3 2 7 2 2 2" xfId="17675" xr:uid="{00000000-0005-0000-0000-0000DB150000}"/>
    <cellStyle name="20 % - Markeringsfarve3 3 2 7 2 2 2 2" xfId="35835" xr:uid="{00000000-0005-0000-0000-0000DC150000}"/>
    <cellStyle name="20 % - Markeringsfarve3 3 2 7 2 2 3" xfId="28834" xr:uid="{00000000-0005-0000-0000-0000DD150000}"/>
    <cellStyle name="20 % - Markeringsfarve3 3 2 7 2 3" xfId="13070" xr:uid="{00000000-0005-0000-0000-0000DE150000}"/>
    <cellStyle name="20 % - Markeringsfarve3 3 2 7 2 3 2" xfId="31237" xr:uid="{00000000-0005-0000-0000-0000DF150000}"/>
    <cellStyle name="20 % - Markeringsfarve3 3 2 7 2 4" xfId="24235" xr:uid="{00000000-0005-0000-0000-0000E0150000}"/>
    <cellStyle name="20 % - Markeringsfarve3 3 2 7 3" xfId="8368" xr:uid="{00000000-0005-0000-0000-0000E1150000}"/>
    <cellStyle name="20 % - Markeringsfarve3 3 2 7 3 2" xfId="16285" xr:uid="{00000000-0005-0000-0000-0000E2150000}"/>
    <cellStyle name="20 % - Markeringsfarve3 3 2 7 3 2 2" xfId="34445" xr:uid="{00000000-0005-0000-0000-0000E3150000}"/>
    <cellStyle name="20 % - Markeringsfarve3 3 2 7 3 3" xfId="27444" xr:uid="{00000000-0005-0000-0000-0000E4150000}"/>
    <cellStyle name="20 % - Markeringsfarve3 3 2 7 4" xfId="13069" xr:uid="{00000000-0005-0000-0000-0000E5150000}"/>
    <cellStyle name="20 % - Markeringsfarve3 3 2 7 4 2" xfId="31236" xr:uid="{00000000-0005-0000-0000-0000E6150000}"/>
    <cellStyle name="20 % - Markeringsfarve3 3 2 7 5" xfId="24234" xr:uid="{00000000-0005-0000-0000-0000E7150000}"/>
    <cellStyle name="20 % - Markeringsfarve3 3 2 8" xfId="4517" xr:uid="{00000000-0005-0000-0000-0000E8150000}"/>
    <cellStyle name="20 % - Markeringsfarve3 3 2 8 2" xfId="9002" xr:uid="{00000000-0005-0000-0000-0000E9150000}"/>
    <cellStyle name="20 % - Markeringsfarve3 3 2 8 2 2" xfId="16913" xr:uid="{00000000-0005-0000-0000-0000EA150000}"/>
    <cellStyle name="20 % - Markeringsfarve3 3 2 8 2 2 2" xfId="35073" xr:uid="{00000000-0005-0000-0000-0000EB150000}"/>
    <cellStyle name="20 % - Markeringsfarve3 3 2 8 2 3" xfId="28072" xr:uid="{00000000-0005-0000-0000-0000EC150000}"/>
    <cellStyle name="20 % - Markeringsfarve3 3 2 8 3" xfId="13071" xr:uid="{00000000-0005-0000-0000-0000ED150000}"/>
    <cellStyle name="20 % - Markeringsfarve3 3 2 8 3 2" xfId="31238" xr:uid="{00000000-0005-0000-0000-0000EE150000}"/>
    <cellStyle name="20 % - Markeringsfarve3 3 2 8 4" xfId="24236" xr:uid="{00000000-0005-0000-0000-0000EF150000}"/>
    <cellStyle name="20 % - Markeringsfarve3 3 2 9" xfId="4518" xr:uid="{00000000-0005-0000-0000-0000F0150000}"/>
    <cellStyle name="20 % - Markeringsfarve3 3 2 9 2" xfId="11018" xr:uid="{00000000-0005-0000-0000-0000F1150000}"/>
    <cellStyle name="20 % - Markeringsfarve3 3 2 9 2 2" xfId="18894" xr:uid="{00000000-0005-0000-0000-0000F2150000}"/>
    <cellStyle name="20 % - Markeringsfarve3 3 2 9 2 2 2" xfId="37054" xr:uid="{00000000-0005-0000-0000-0000F3150000}"/>
    <cellStyle name="20 % - Markeringsfarve3 3 2 9 2 3" xfId="30053" xr:uid="{00000000-0005-0000-0000-0000F4150000}"/>
    <cellStyle name="20 % - Markeringsfarve3 3 2 9 3" xfId="13072" xr:uid="{00000000-0005-0000-0000-0000F5150000}"/>
    <cellStyle name="20 % - Markeringsfarve3 3 2 9 3 2" xfId="31239" xr:uid="{00000000-0005-0000-0000-0000F6150000}"/>
    <cellStyle name="20 % - Markeringsfarve3 3 2 9 4" xfId="24237" xr:uid="{00000000-0005-0000-0000-0000F7150000}"/>
    <cellStyle name="20 % - Markeringsfarve3 3 3" xfId="4519" xr:uid="{00000000-0005-0000-0000-0000F8150000}"/>
    <cellStyle name="20 % - Markeringsfarve3 3 3 10" xfId="7777" xr:uid="{00000000-0005-0000-0000-0000F9150000}"/>
    <cellStyle name="20 % - Markeringsfarve3 3 3 10 2" xfId="15695" xr:uid="{00000000-0005-0000-0000-0000FA150000}"/>
    <cellStyle name="20 % - Markeringsfarve3 3 3 10 2 2" xfId="33855" xr:uid="{00000000-0005-0000-0000-0000FB150000}"/>
    <cellStyle name="20 % - Markeringsfarve3 3 3 10 3" xfId="26854" xr:uid="{00000000-0005-0000-0000-0000FC150000}"/>
    <cellStyle name="20 % - Markeringsfarve3 3 3 11" xfId="13073" xr:uid="{00000000-0005-0000-0000-0000FD150000}"/>
    <cellStyle name="20 % - Markeringsfarve3 3 3 11 2" xfId="31240" xr:uid="{00000000-0005-0000-0000-0000FE150000}"/>
    <cellStyle name="20 % - Markeringsfarve3 3 3 12" xfId="24238" xr:uid="{00000000-0005-0000-0000-0000FF150000}"/>
    <cellStyle name="20 % - Markeringsfarve3 3 3 2" xfId="4520" xr:uid="{00000000-0005-0000-0000-000000160000}"/>
    <cellStyle name="20 % - Markeringsfarve3 3 3 2 2" xfId="4521" xr:uid="{00000000-0005-0000-0000-000001160000}"/>
    <cellStyle name="20 % - Markeringsfarve3 3 3 2 2 2" xfId="4522" xr:uid="{00000000-0005-0000-0000-000002160000}"/>
    <cellStyle name="20 % - Markeringsfarve3 3 3 2 2 2 2" xfId="9932" xr:uid="{00000000-0005-0000-0000-000003160000}"/>
    <cellStyle name="20 % - Markeringsfarve3 3 3 2 2 2 2 2" xfId="17833" xr:uid="{00000000-0005-0000-0000-000004160000}"/>
    <cellStyle name="20 % - Markeringsfarve3 3 3 2 2 2 2 2 2" xfId="35993" xr:uid="{00000000-0005-0000-0000-000005160000}"/>
    <cellStyle name="20 % - Markeringsfarve3 3 3 2 2 2 2 3" xfId="28992" xr:uid="{00000000-0005-0000-0000-000006160000}"/>
    <cellStyle name="20 % - Markeringsfarve3 3 3 2 2 2 3" xfId="13076" xr:uid="{00000000-0005-0000-0000-000007160000}"/>
    <cellStyle name="20 % - Markeringsfarve3 3 3 2 2 2 3 2" xfId="31243" xr:uid="{00000000-0005-0000-0000-000008160000}"/>
    <cellStyle name="20 % - Markeringsfarve3 3 3 2 2 2 4" xfId="24241" xr:uid="{00000000-0005-0000-0000-000009160000}"/>
    <cellStyle name="20 % - Markeringsfarve3 3 3 2 2 3" xfId="8500" xr:uid="{00000000-0005-0000-0000-00000A160000}"/>
    <cellStyle name="20 % - Markeringsfarve3 3 3 2 2 3 2" xfId="16417" xr:uid="{00000000-0005-0000-0000-00000B160000}"/>
    <cellStyle name="20 % - Markeringsfarve3 3 3 2 2 3 2 2" xfId="34577" xr:uid="{00000000-0005-0000-0000-00000C160000}"/>
    <cellStyle name="20 % - Markeringsfarve3 3 3 2 2 3 3" xfId="27576" xr:uid="{00000000-0005-0000-0000-00000D160000}"/>
    <cellStyle name="20 % - Markeringsfarve3 3 3 2 2 4" xfId="13075" xr:uid="{00000000-0005-0000-0000-00000E160000}"/>
    <cellStyle name="20 % - Markeringsfarve3 3 3 2 2 4 2" xfId="31242" xr:uid="{00000000-0005-0000-0000-00000F160000}"/>
    <cellStyle name="20 % - Markeringsfarve3 3 3 2 2 5" xfId="24240" xr:uid="{00000000-0005-0000-0000-000010160000}"/>
    <cellStyle name="20 % - Markeringsfarve3 3 3 2 3" xfId="4523" xr:uid="{00000000-0005-0000-0000-000011160000}"/>
    <cellStyle name="20 % - Markeringsfarve3 3 3 2 3 2" xfId="9162" xr:uid="{00000000-0005-0000-0000-000012160000}"/>
    <cellStyle name="20 % - Markeringsfarve3 3 3 2 3 2 2" xfId="17073" xr:uid="{00000000-0005-0000-0000-000013160000}"/>
    <cellStyle name="20 % - Markeringsfarve3 3 3 2 3 2 2 2" xfId="35233" xr:uid="{00000000-0005-0000-0000-000014160000}"/>
    <cellStyle name="20 % - Markeringsfarve3 3 3 2 3 2 3" xfId="28232" xr:uid="{00000000-0005-0000-0000-000015160000}"/>
    <cellStyle name="20 % - Markeringsfarve3 3 3 2 3 3" xfId="13077" xr:uid="{00000000-0005-0000-0000-000016160000}"/>
    <cellStyle name="20 % - Markeringsfarve3 3 3 2 3 3 2" xfId="31244" xr:uid="{00000000-0005-0000-0000-000017160000}"/>
    <cellStyle name="20 % - Markeringsfarve3 3 3 2 3 4" xfId="24242" xr:uid="{00000000-0005-0000-0000-000018160000}"/>
    <cellStyle name="20 % - Markeringsfarve3 3 3 2 4" xfId="4524" xr:uid="{00000000-0005-0000-0000-000019160000}"/>
    <cellStyle name="20 % - Markeringsfarve3 3 3 2 4 2" xfId="10541" xr:uid="{00000000-0005-0000-0000-00001A160000}"/>
    <cellStyle name="20 % - Markeringsfarve3 3 3 2 4 2 2" xfId="18435" xr:uid="{00000000-0005-0000-0000-00001B160000}"/>
    <cellStyle name="20 % - Markeringsfarve3 3 3 2 4 2 2 2" xfId="36595" xr:uid="{00000000-0005-0000-0000-00001C160000}"/>
    <cellStyle name="20 % - Markeringsfarve3 3 3 2 4 2 3" xfId="29594" xr:uid="{00000000-0005-0000-0000-00001D160000}"/>
    <cellStyle name="20 % - Markeringsfarve3 3 3 2 4 3" xfId="13078" xr:uid="{00000000-0005-0000-0000-00001E160000}"/>
    <cellStyle name="20 % - Markeringsfarve3 3 3 2 4 3 2" xfId="31245" xr:uid="{00000000-0005-0000-0000-00001F160000}"/>
    <cellStyle name="20 % - Markeringsfarve3 3 3 2 4 4" xfId="24243" xr:uid="{00000000-0005-0000-0000-000020160000}"/>
    <cellStyle name="20 % - Markeringsfarve3 3 3 2 5" xfId="7778" xr:uid="{00000000-0005-0000-0000-000021160000}"/>
    <cellStyle name="20 % - Markeringsfarve3 3 3 2 5 2" xfId="15696" xr:uid="{00000000-0005-0000-0000-000022160000}"/>
    <cellStyle name="20 % - Markeringsfarve3 3 3 2 5 2 2" xfId="33856" xr:uid="{00000000-0005-0000-0000-000023160000}"/>
    <cellStyle name="20 % - Markeringsfarve3 3 3 2 5 3" xfId="26855" xr:uid="{00000000-0005-0000-0000-000024160000}"/>
    <cellStyle name="20 % - Markeringsfarve3 3 3 2 6" xfId="13074" xr:uid="{00000000-0005-0000-0000-000025160000}"/>
    <cellStyle name="20 % - Markeringsfarve3 3 3 2 6 2" xfId="31241" xr:uid="{00000000-0005-0000-0000-000026160000}"/>
    <cellStyle name="20 % - Markeringsfarve3 3 3 2 7" xfId="24239" xr:uid="{00000000-0005-0000-0000-000027160000}"/>
    <cellStyle name="20 % - Markeringsfarve3 3 3 3" xfId="4525" xr:uid="{00000000-0005-0000-0000-000028160000}"/>
    <cellStyle name="20 % - Markeringsfarve3 3 3 3 2" xfId="4526" xr:uid="{00000000-0005-0000-0000-000029160000}"/>
    <cellStyle name="20 % - Markeringsfarve3 3 3 3 2 2" xfId="4527" xr:uid="{00000000-0005-0000-0000-00002A160000}"/>
    <cellStyle name="20 % - Markeringsfarve3 3 3 3 2 2 2" xfId="9977" xr:uid="{00000000-0005-0000-0000-00002B160000}"/>
    <cellStyle name="20 % - Markeringsfarve3 3 3 3 2 2 2 2" xfId="17878" xr:uid="{00000000-0005-0000-0000-00002C160000}"/>
    <cellStyle name="20 % - Markeringsfarve3 3 3 3 2 2 2 2 2" xfId="36038" xr:uid="{00000000-0005-0000-0000-00002D160000}"/>
    <cellStyle name="20 % - Markeringsfarve3 3 3 3 2 2 2 3" xfId="29037" xr:uid="{00000000-0005-0000-0000-00002E160000}"/>
    <cellStyle name="20 % - Markeringsfarve3 3 3 3 2 2 3" xfId="13081" xr:uid="{00000000-0005-0000-0000-00002F160000}"/>
    <cellStyle name="20 % - Markeringsfarve3 3 3 3 2 2 3 2" xfId="31248" xr:uid="{00000000-0005-0000-0000-000030160000}"/>
    <cellStyle name="20 % - Markeringsfarve3 3 3 3 2 2 4" xfId="24246" xr:uid="{00000000-0005-0000-0000-000031160000}"/>
    <cellStyle name="20 % - Markeringsfarve3 3 3 3 2 3" xfId="8541" xr:uid="{00000000-0005-0000-0000-000032160000}"/>
    <cellStyle name="20 % - Markeringsfarve3 3 3 3 2 3 2" xfId="16458" xr:uid="{00000000-0005-0000-0000-000033160000}"/>
    <cellStyle name="20 % - Markeringsfarve3 3 3 3 2 3 2 2" xfId="34618" xr:uid="{00000000-0005-0000-0000-000034160000}"/>
    <cellStyle name="20 % - Markeringsfarve3 3 3 3 2 3 3" xfId="27617" xr:uid="{00000000-0005-0000-0000-000035160000}"/>
    <cellStyle name="20 % - Markeringsfarve3 3 3 3 2 4" xfId="13080" xr:uid="{00000000-0005-0000-0000-000036160000}"/>
    <cellStyle name="20 % - Markeringsfarve3 3 3 3 2 4 2" xfId="31247" xr:uid="{00000000-0005-0000-0000-000037160000}"/>
    <cellStyle name="20 % - Markeringsfarve3 3 3 3 2 5" xfId="24245" xr:uid="{00000000-0005-0000-0000-000038160000}"/>
    <cellStyle name="20 % - Markeringsfarve3 3 3 3 3" xfId="4528" xr:uid="{00000000-0005-0000-0000-000039160000}"/>
    <cellStyle name="20 % - Markeringsfarve3 3 3 3 3 2" xfId="9207" xr:uid="{00000000-0005-0000-0000-00003A160000}"/>
    <cellStyle name="20 % - Markeringsfarve3 3 3 3 3 2 2" xfId="17118" xr:uid="{00000000-0005-0000-0000-00003B160000}"/>
    <cellStyle name="20 % - Markeringsfarve3 3 3 3 3 2 2 2" xfId="35278" xr:uid="{00000000-0005-0000-0000-00003C160000}"/>
    <cellStyle name="20 % - Markeringsfarve3 3 3 3 3 2 3" xfId="28277" xr:uid="{00000000-0005-0000-0000-00003D160000}"/>
    <cellStyle name="20 % - Markeringsfarve3 3 3 3 3 3" xfId="13082" xr:uid="{00000000-0005-0000-0000-00003E160000}"/>
    <cellStyle name="20 % - Markeringsfarve3 3 3 3 3 3 2" xfId="31249" xr:uid="{00000000-0005-0000-0000-00003F160000}"/>
    <cellStyle name="20 % - Markeringsfarve3 3 3 3 3 4" xfId="24247" xr:uid="{00000000-0005-0000-0000-000040160000}"/>
    <cellStyle name="20 % - Markeringsfarve3 3 3 3 4" xfId="4529" xr:uid="{00000000-0005-0000-0000-000041160000}"/>
    <cellStyle name="20 % - Markeringsfarve3 3 3 3 4 2" xfId="10540" xr:uid="{00000000-0005-0000-0000-000042160000}"/>
    <cellStyle name="20 % - Markeringsfarve3 3 3 3 4 2 2" xfId="18434" xr:uid="{00000000-0005-0000-0000-000043160000}"/>
    <cellStyle name="20 % - Markeringsfarve3 3 3 3 4 2 2 2" xfId="36594" xr:uid="{00000000-0005-0000-0000-000044160000}"/>
    <cellStyle name="20 % - Markeringsfarve3 3 3 3 4 2 3" xfId="29593" xr:uid="{00000000-0005-0000-0000-000045160000}"/>
    <cellStyle name="20 % - Markeringsfarve3 3 3 3 4 3" xfId="13083" xr:uid="{00000000-0005-0000-0000-000046160000}"/>
    <cellStyle name="20 % - Markeringsfarve3 3 3 3 4 3 2" xfId="31250" xr:uid="{00000000-0005-0000-0000-000047160000}"/>
    <cellStyle name="20 % - Markeringsfarve3 3 3 3 4 4" xfId="24248" xr:uid="{00000000-0005-0000-0000-000048160000}"/>
    <cellStyle name="20 % - Markeringsfarve3 3 3 3 5" xfId="7779" xr:uid="{00000000-0005-0000-0000-000049160000}"/>
    <cellStyle name="20 % - Markeringsfarve3 3 3 3 5 2" xfId="15697" xr:uid="{00000000-0005-0000-0000-00004A160000}"/>
    <cellStyle name="20 % - Markeringsfarve3 3 3 3 5 2 2" xfId="33857" xr:uid="{00000000-0005-0000-0000-00004B160000}"/>
    <cellStyle name="20 % - Markeringsfarve3 3 3 3 5 3" xfId="26856" xr:uid="{00000000-0005-0000-0000-00004C160000}"/>
    <cellStyle name="20 % - Markeringsfarve3 3 3 3 6" xfId="13079" xr:uid="{00000000-0005-0000-0000-00004D160000}"/>
    <cellStyle name="20 % - Markeringsfarve3 3 3 3 6 2" xfId="31246" xr:uid="{00000000-0005-0000-0000-00004E160000}"/>
    <cellStyle name="20 % - Markeringsfarve3 3 3 3 7" xfId="24244" xr:uid="{00000000-0005-0000-0000-00004F160000}"/>
    <cellStyle name="20 % - Markeringsfarve3 3 3 4" xfId="4530" xr:uid="{00000000-0005-0000-0000-000050160000}"/>
    <cellStyle name="20 % - Markeringsfarve3 3 3 4 2" xfId="4531" xr:uid="{00000000-0005-0000-0000-000051160000}"/>
    <cellStyle name="20 % - Markeringsfarve3 3 3 4 2 2" xfId="4532" xr:uid="{00000000-0005-0000-0000-000052160000}"/>
    <cellStyle name="20 % - Markeringsfarve3 3 3 4 2 2 2" xfId="10170" xr:uid="{00000000-0005-0000-0000-000053160000}"/>
    <cellStyle name="20 % - Markeringsfarve3 3 3 4 2 2 2 2" xfId="18071" xr:uid="{00000000-0005-0000-0000-000054160000}"/>
    <cellStyle name="20 % - Markeringsfarve3 3 3 4 2 2 2 2 2" xfId="36231" xr:uid="{00000000-0005-0000-0000-000055160000}"/>
    <cellStyle name="20 % - Markeringsfarve3 3 3 4 2 2 2 3" xfId="29230" xr:uid="{00000000-0005-0000-0000-000056160000}"/>
    <cellStyle name="20 % - Markeringsfarve3 3 3 4 2 2 3" xfId="13086" xr:uid="{00000000-0005-0000-0000-000057160000}"/>
    <cellStyle name="20 % - Markeringsfarve3 3 3 4 2 2 3 2" xfId="31253" xr:uid="{00000000-0005-0000-0000-000058160000}"/>
    <cellStyle name="20 % - Markeringsfarve3 3 3 4 2 2 4" xfId="24251" xr:uid="{00000000-0005-0000-0000-000059160000}"/>
    <cellStyle name="20 % - Markeringsfarve3 3 3 4 2 3" xfId="8702" xr:uid="{00000000-0005-0000-0000-00005A160000}"/>
    <cellStyle name="20 % - Markeringsfarve3 3 3 4 2 3 2" xfId="16616" xr:uid="{00000000-0005-0000-0000-00005B160000}"/>
    <cellStyle name="20 % - Markeringsfarve3 3 3 4 2 3 2 2" xfId="34776" xr:uid="{00000000-0005-0000-0000-00005C160000}"/>
    <cellStyle name="20 % - Markeringsfarve3 3 3 4 2 3 3" xfId="27775" xr:uid="{00000000-0005-0000-0000-00005D160000}"/>
    <cellStyle name="20 % - Markeringsfarve3 3 3 4 2 4" xfId="13085" xr:uid="{00000000-0005-0000-0000-00005E160000}"/>
    <cellStyle name="20 % - Markeringsfarve3 3 3 4 2 4 2" xfId="31252" xr:uid="{00000000-0005-0000-0000-00005F160000}"/>
    <cellStyle name="20 % - Markeringsfarve3 3 3 4 2 5" xfId="24250" xr:uid="{00000000-0005-0000-0000-000060160000}"/>
    <cellStyle name="20 % - Markeringsfarve3 3 3 4 3" xfId="4533" xr:uid="{00000000-0005-0000-0000-000061160000}"/>
    <cellStyle name="20 % - Markeringsfarve3 3 3 4 3 2" xfId="9446" xr:uid="{00000000-0005-0000-0000-000062160000}"/>
    <cellStyle name="20 % - Markeringsfarve3 3 3 4 3 2 2" xfId="17356" xr:uid="{00000000-0005-0000-0000-000063160000}"/>
    <cellStyle name="20 % - Markeringsfarve3 3 3 4 3 2 2 2" xfId="35516" xr:uid="{00000000-0005-0000-0000-000064160000}"/>
    <cellStyle name="20 % - Markeringsfarve3 3 3 4 3 2 3" xfId="28515" xr:uid="{00000000-0005-0000-0000-000065160000}"/>
    <cellStyle name="20 % - Markeringsfarve3 3 3 4 3 3" xfId="13087" xr:uid="{00000000-0005-0000-0000-000066160000}"/>
    <cellStyle name="20 % - Markeringsfarve3 3 3 4 3 3 2" xfId="31254" xr:uid="{00000000-0005-0000-0000-000067160000}"/>
    <cellStyle name="20 % - Markeringsfarve3 3 3 4 3 4" xfId="24252" xr:uid="{00000000-0005-0000-0000-000068160000}"/>
    <cellStyle name="20 % - Markeringsfarve3 3 3 4 4" xfId="4534" xr:uid="{00000000-0005-0000-0000-000069160000}"/>
    <cellStyle name="20 % - Markeringsfarve3 3 3 4 4 2" xfId="9063" xr:uid="{00000000-0005-0000-0000-00006A160000}"/>
    <cellStyle name="20 % - Markeringsfarve3 3 3 4 4 2 2" xfId="16974" xr:uid="{00000000-0005-0000-0000-00006B160000}"/>
    <cellStyle name="20 % - Markeringsfarve3 3 3 4 4 2 2 2" xfId="35134" xr:uid="{00000000-0005-0000-0000-00006C160000}"/>
    <cellStyle name="20 % - Markeringsfarve3 3 3 4 4 2 3" xfId="28133" xr:uid="{00000000-0005-0000-0000-00006D160000}"/>
    <cellStyle name="20 % - Markeringsfarve3 3 3 4 4 3" xfId="13088" xr:uid="{00000000-0005-0000-0000-00006E160000}"/>
    <cellStyle name="20 % - Markeringsfarve3 3 3 4 4 3 2" xfId="31255" xr:uid="{00000000-0005-0000-0000-00006F160000}"/>
    <cellStyle name="20 % - Markeringsfarve3 3 3 4 4 4" xfId="24253" xr:uid="{00000000-0005-0000-0000-000070160000}"/>
    <cellStyle name="20 % - Markeringsfarve3 3 3 4 5" xfId="7780" xr:uid="{00000000-0005-0000-0000-000071160000}"/>
    <cellStyle name="20 % - Markeringsfarve3 3 3 4 5 2" xfId="15698" xr:uid="{00000000-0005-0000-0000-000072160000}"/>
    <cellStyle name="20 % - Markeringsfarve3 3 3 4 5 2 2" xfId="33858" xr:uid="{00000000-0005-0000-0000-000073160000}"/>
    <cellStyle name="20 % - Markeringsfarve3 3 3 4 5 3" xfId="26857" xr:uid="{00000000-0005-0000-0000-000074160000}"/>
    <cellStyle name="20 % - Markeringsfarve3 3 3 4 6" xfId="13084" xr:uid="{00000000-0005-0000-0000-000075160000}"/>
    <cellStyle name="20 % - Markeringsfarve3 3 3 4 6 2" xfId="31251" xr:uid="{00000000-0005-0000-0000-000076160000}"/>
    <cellStyle name="20 % - Markeringsfarve3 3 3 4 7" xfId="24249" xr:uid="{00000000-0005-0000-0000-000077160000}"/>
    <cellStyle name="20 % - Markeringsfarve3 3 3 5" xfId="4535" xr:uid="{00000000-0005-0000-0000-000078160000}"/>
    <cellStyle name="20 % - Markeringsfarve3 3 3 5 2" xfId="4536" xr:uid="{00000000-0005-0000-0000-000079160000}"/>
    <cellStyle name="20 % - Markeringsfarve3 3 3 5 2 2" xfId="4537" xr:uid="{00000000-0005-0000-0000-00007A160000}"/>
    <cellStyle name="20 % - Markeringsfarve3 3 3 5 2 2 2" xfId="10287" xr:uid="{00000000-0005-0000-0000-00007B160000}"/>
    <cellStyle name="20 % - Markeringsfarve3 3 3 5 2 2 2 2" xfId="18188" xr:uid="{00000000-0005-0000-0000-00007C160000}"/>
    <cellStyle name="20 % - Markeringsfarve3 3 3 5 2 2 2 2 2" xfId="36348" xr:uid="{00000000-0005-0000-0000-00007D160000}"/>
    <cellStyle name="20 % - Markeringsfarve3 3 3 5 2 2 2 3" xfId="29347" xr:uid="{00000000-0005-0000-0000-00007E160000}"/>
    <cellStyle name="20 % - Markeringsfarve3 3 3 5 2 2 3" xfId="13091" xr:uid="{00000000-0005-0000-0000-00007F160000}"/>
    <cellStyle name="20 % - Markeringsfarve3 3 3 5 2 2 3 2" xfId="31258" xr:uid="{00000000-0005-0000-0000-000080160000}"/>
    <cellStyle name="20 % - Markeringsfarve3 3 3 5 2 2 4" xfId="24256" xr:uid="{00000000-0005-0000-0000-000081160000}"/>
    <cellStyle name="20 % - Markeringsfarve3 3 3 5 2 3" xfId="8801" xr:uid="{00000000-0005-0000-0000-000082160000}"/>
    <cellStyle name="20 % - Markeringsfarve3 3 3 5 2 3 2" xfId="16715" xr:uid="{00000000-0005-0000-0000-000083160000}"/>
    <cellStyle name="20 % - Markeringsfarve3 3 3 5 2 3 2 2" xfId="34875" xr:uid="{00000000-0005-0000-0000-000084160000}"/>
    <cellStyle name="20 % - Markeringsfarve3 3 3 5 2 3 3" xfId="27874" xr:uid="{00000000-0005-0000-0000-000085160000}"/>
    <cellStyle name="20 % - Markeringsfarve3 3 3 5 2 4" xfId="13090" xr:uid="{00000000-0005-0000-0000-000086160000}"/>
    <cellStyle name="20 % - Markeringsfarve3 3 3 5 2 4 2" xfId="31257" xr:uid="{00000000-0005-0000-0000-000087160000}"/>
    <cellStyle name="20 % - Markeringsfarve3 3 3 5 2 5" xfId="24255" xr:uid="{00000000-0005-0000-0000-000088160000}"/>
    <cellStyle name="20 % - Markeringsfarve3 3 3 5 3" xfId="4538" xr:uid="{00000000-0005-0000-0000-000089160000}"/>
    <cellStyle name="20 % - Markeringsfarve3 3 3 5 3 2" xfId="9563" xr:uid="{00000000-0005-0000-0000-00008A160000}"/>
    <cellStyle name="20 % - Markeringsfarve3 3 3 5 3 2 2" xfId="17473" xr:uid="{00000000-0005-0000-0000-00008B160000}"/>
    <cellStyle name="20 % - Markeringsfarve3 3 3 5 3 2 2 2" xfId="35633" xr:uid="{00000000-0005-0000-0000-00008C160000}"/>
    <cellStyle name="20 % - Markeringsfarve3 3 3 5 3 2 3" xfId="28632" xr:uid="{00000000-0005-0000-0000-00008D160000}"/>
    <cellStyle name="20 % - Markeringsfarve3 3 3 5 3 3" xfId="13092" xr:uid="{00000000-0005-0000-0000-00008E160000}"/>
    <cellStyle name="20 % - Markeringsfarve3 3 3 5 3 3 2" xfId="31259" xr:uid="{00000000-0005-0000-0000-00008F160000}"/>
    <cellStyle name="20 % - Markeringsfarve3 3 3 5 3 4" xfId="24257" xr:uid="{00000000-0005-0000-0000-000090160000}"/>
    <cellStyle name="20 % - Markeringsfarve3 3 3 5 4" xfId="4539" xr:uid="{00000000-0005-0000-0000-000091160000}"/>
    <cellStyle name="20 % - Markeringsfarve3 3 3 5 4 2" xfId="9342" xr:uid="{00000000-0005-0000-0000-000092160000}"/>
    <cellStyle name="20 % - Markeringsfarve3 3 3 5 4 2 2" xfId="17252" xr:uid="{00000000-0005-0000-0000-000093160000}"/>
    <cellStyle name="20 % - Markeringsfarve3 3 3 5 4 2 2 2" xfId="35412" xr:uid="{00000000-0005-0000-0000-000094160000}"/>
    <cellStyle name="20 % - Markeringsfarve3 3 3 5 4 2 3" xfId="28411" xr:uid="{00000000-0005-0000-0000-000095160000}"/>
    <cellStyle name="20 % - Markeringsfarve3 3 3 5 4 3" xfId="13093" xr:uid="{00000000-0005-0000-0000-000096160000}"/>
    <cellStyle name="20 % - Markeringsfarve3 3 3 5 4 3 2" xfId="31260" xr:uid="{00000000-0005-0000-0000-000097160000}"/>
    <cellStyle name="20 % - Markeringsfarve3 3 3 5 4 4" xfId="24258" xr:uid="{00000000-0005-0000-0000-000098160000}"/>
    <cellStyle name="20 % - Markeringsfarve3 3 3 5 5" xfId="7781" xr:uid="{00000000-0005-0000-0000-000099160000}"/>
    <cellStyle name="20 % - Markeringsfarve3 3 3 5 5 2" xfId="15699" xr:uid="{00000000-0005-0000-0000-00009A160000}"/>
    <cellStyle name="20 % - Markeringsfarve3 3 3 5 5 2 2" xfId="33859" xr:uid="{00000000-0005-0000-0000-00009B160000}"/>
    <cellStyle name="20 % - Markeringsfarve3 3 3 5 5 3" xfId="26858" xr:uid="{00000000-0005-0000-0000-00009C160000}"/>
    <cellStyle name="20 % - Markeringsfarve3 3 3 5 6" xfId="13089" xr:uid="{00000000-0005-0000-0000-00009D160000}"/>
    <cellStyle name="20 % - Markeringsfarve3 3 3 5 6 2" xfId="31256" xr:uid="{00000000-0005-0000-0000-00009E160000}"/>
    <cellStyle name="20 % - Markeringsfarve3 3 3 5 7" xfId="24254" xr:uid="{00000000-0005-0000-0000-00009F160000}"/>
    <cellStyle name="20 % - Markeringsfarve3 3 3 6" xfId="4540" xr:uid="{00000000-0005-0000-0000-0000A0160000}"/>
    <cellStyle name="20 % - Markeringsfarve3 3 3 6 2" xfId="4541" xr:uid="{00000000-0005-0000-0000-0000A1160000}"/>
    <cellStyle name="20 % - Markeringsfarve3 3 3 6 2 2" xfId="4542" xr:uid="{00000000-0005-0000-0000-0000A2160000}"/>
    <cellStyle name="20 % - Markeringsfarve3 3 3 6 2 2 2" xfId="10332" xr:uid="{00000000-0005-0000-0000-0000A3160000}"/>
    <cellStyle name="20 % - Markeringsfarve3 3 3 6 2 2 2 2" xfId="18233" xr:uid="{00000000-0005-0000-0000-0000A4160000}"/>
    <cellStyle name="20 % - Markeringsfarve3 3 3 6 2 2 2 2 2" xfId="36393" xr:uid="{00000000-0005-0000-0000-0000A5160000}"/>
    <cellStyle name="20 % - Markeringsfarve3 3 3 6 2 2 2 3" xfId="29392" xr:uid="{00000000-0005-0000-0000-0000A6160000}"/>
    <cellStyle name="20 % - Markeringsfarve3 3 3 6 2 2 3" xfId="13096" xr:uid="{00000000-0005-0000-0000-0000A7160000}"/>
    <cellStyle name="20 % - Markeringsfarve3 3 3 6 2 2 3 2" xfId="31263" xr:uid="{00000000-0005-0000-0000-0000A8160000}"/>
    <cellStyle name="20 % - Markeringsfarve3 3 3 6 2 2 4" xfId="24261" xr:uid="{00000000-0005-0000-0000-0000A9160000}"/>
    <cellStyle name="20 % - Markeringsfarve3 3 3 6 2 3" xfId="8843" xr:uid="{00000000-0005-0000-0000-0000AA160000}"/>
    <cellStyle name="20 % - Markeringsfarve3 3 3 6 2 3 2" xfId="16757" xr:uid="{00000000-0005-0000-0000-0000AB160000}"/>
    <cellStyle name="20 % - Markeringsfarve3 3 3 6 2 3 2 2" xfId="34917" xr:uid="{00000000-0005-0000-0000-0000AC160000}"/>
    <cellStyle name="20 % - Markeringsfarve3 3 3 6 2 3 3" xfId="27916" xr:uid="{00000000-0005-0000-0000-0000AD160000}"/>
    <cellStyle name="20 % - Markeringsfarve3 3 3 6 2 4" xfId="13095" xr:uid="{00000000-0005-0000-0000-0000AE160000}"/>
    <cellStyle name="20 % - Markeringsfarve3 3 3 6 2 4 2" xfId="31262" xr:uid="{00000000-0005-0000-0000-0000AF160000}"/>
    <cellStyle name="20 % - Markeringsfarve3 3 3 6 2 5" xfId="24260" xr:uid="{00000000-0005-0000-0000-0000B0160000}"/>
    <cellStyle name="20 % - Markeringsfarve3 3 3 6 3" xfId="4543" xr:uid="{00000000-0005-0000-0000-0000B1160000}"/>
    <cellStyle name="20 % - Markeringsfarve3 3 3 6 3 2" xfId="9609" xr:uid="{00000000-0005-0000-0000-0000B2160000}"/>
    <cellStyle name="20 % - Markeringsfarve3 3 3 6 3 2 2" xfId="17519" xr:uid="{00000000-0005-0000-0000-0000B3160000}"/>
    <cellStyle name="20 % - Markeringsfarve3 3 3 6 3 2 2 2" xfId="35679" xr:uid="{00000000-0005-0000-0000-0000B4160000}"/>
    <cellStyle name="20 % - Markeringsfarve3 3 3 6 3 2 3" xfId="28678" xr:uid="{00000000-0005-0000-0000-0000B5160000}"/>
    <cellStyle name="20 % - Markeringsfarve3 3 3 6 3 3" xfId="13097" xr:uid="{00000000-0005-0000-0000-0000B6160000}"/>
    <cellStyle name="20 % - Markeringsfarve3 3 3 6 3 3 2" xfId="31264" xr:uid="{00000000-0005-0000-0000-0000B7160000}"/>
    <cellStyle name="20 % - Markeringsfarve3 3 3 6 3 4" xfId="24262" xr:uid="{00000000-0005-0000-0000-0000B8160000}"/>
    <cellStyle name="20 % - Markeringsfarve3 3 3 6 4" xfId="4544" xr:uid="{00000000-0005-0000-0000-0000B9160000}"/>
    <cellStyle name="20 % - Markeringsfarve3 3 3 6 4 2" xfId="9333" xr:uid="{00000000-0005-0000-0000-0000BA160000}"/>
    <cellStyle name="20 % - Markeringsfarve3 3 3 6 4 2 2" xfId="17243" xr:uid="{00000000-0005-0000-0000-0000BB160000}"/>
    <cellStyle name="20 % - Markeringsfarve3 3 3 6 4 2 2 2" xfId="35403" xr:uid="{00000000-0005-0000-0000-0000BC160000}"/>
    <cellStyle name="20 % - Markeringsfarve3 3 3 6 4 2 3" xfId="28402" xr:uid="{00000000-0005-0000-0000-0000BD160000}"/>
    <cellStyle name="20 % - Markeringsfarve3 3 3 6 4 3" xfId="13098" xr:uid="{00000000-0005-0000-0000-0000BE160000}"/>
    <cellStyle name="20 % - Markeringsfarve3 3 3 6 4 3 2" xfId="31265" xr:uid="{00000000-0005-0000-0000-0000BF160000}"/>
    <cellStyle name="20 % - Markeringsfarve3 3 3 6 4 4" xfId="24263" xr:uid="{00000000-0005-0000-0000-0000C0160000}"/>
    <cellStyle name="20 % - Markeringsfarve3 3 3 6 5" xfId="7782" xr:uid="{00000000-0005-0000-0000-0000C1160000}"/>
    <cellStyle name="20 % - Markeringsfarve3 3 3 6 5 2" xfId="15700" xr:uid="{00000000-0005-0000-0000-0000C2160000}"/>
    <cellStyle name="20 % - Markeringsfarve3 3 3 6 5 2 2" xfId="33860" xr:uid="{00000000-0005-0000-0000-0000C3160000}"/>
    <cellStyle name="20 % - Markeringsfarve3 3 3 6 5 3" xfId="26859" xr:uid="{00000000-0005-0000-0000-0000C4160000}"/>
    <cellStyle name="20 % - Markeringsfarve3 3 3 6 6" xfId="13094" xr:uid="{00000000-0005-0000-0000-0000C5160000}"/>
    <cellStyle name="20 % - Markeringsfarve3 3 3 6 6 2" xfId="31261" xr:uid="{00000000-0005-0000-0000-0000C6160000}"/>
    <cellStyle name="20 % - Markeringsfarve3 3 3 6 7" xfId="24259" xr:uid="{00000000-0005-0000-0000-0000C7160000}"/>
    <cellStyle name="20 % - Markeringsfarve3 3 3 7" xfId="4545" xr:uid="{00000000-0005-0000-0000-0000C8160000}"/>
    <cellStyle name="20 % - Markeringsfarve3 3 3 7 2" xfId="4546" xr:uid="{00000000-0005-0000-0000-0000C9160000}"/>
    <cellStyle name="20 % - Markeringsfarve3 3 3 7 2 2" xfId="9813" xr:uid="{00000000-0005-0000-0000-0000CA160000}"/>
    <cellStyle name="20 % - Markeringsfarve3 3 3 7 2 2 2" xfId="17714" xr:uid="{00000000-0005-0000-0000-0000CB160000}"/>
    <cellStyle name="20 % - Markeringsfarve3 3 3 7 2 2 2 2" xfId="35874" xr:uid="{00000000-0005-0000-0000-0000CC160000}"/>
    <cellStyle name="20 % - Markeringsfarve3 3 3 7 2 2 3" xfId="28873" xr:uid="{00000000-0005-0000-0000-0000CD160000}"/>
    <cellStyle name="20 % - Markeringsfarve3 3 3 7 2 3" xfId="13100" xr:uid="{00000000-0005-0000-0000-0000CE160000}"/>
    <cellStyle name="20 % - Markeringsfarve3 3 3 7 2 3 2" xfId="31267" xr:uid="{00000000-0005-0000-0000-0000CF160000}"/>
    <cellStyle name="20 % - Markeringsfarve3 3 3 7 2 4" xfId="24265" xr:uid="{00000000-0005-0000-0000-0000D0160000}"/>
    <cellStyle name="20 % - Markeringsfarve3 3 3 7 3" xfId="8401" xr:uid="{00000000-0005-0000-0000-0000D1160000}"/>
    <cellStyle name="20 % - Markeringsfarve3 3 3 7 3 2" xfId="16318" xr:uid="{00000000-0005-0000-0000-0000D2160000}"/>
    <cellStyle name="20 % - Markeringsfarve3 3 3 7 3 2 2" xfId="34478" xr:uid="{00000000-0005-0000-0000-0000D3160000}"/>
    <cellStyle name="20 % - Markeringsfarve3 3 3 7 3 3" xfId="27477" xr:uid="{00000000-0005-0000-0000-0000D4160000}"/>
    <cellStyle name="20 % - Markeringsfarve3 3 3 7 4" xfId="13099" xr:uid="{00000000-0005-0000-0000-0000D5160000}"/>
    <cellStyle name="20 % - Markeringsfarve3 3 3 7 4 2" xfId="31266" xr:uid="{00000000-0005-0000-0000-0000D6160000}"/>
    <cellStyle name="20 % - Markeringsfarve3 3 3 7 5" xfId="24264" xr:uid="{00000000-0005-0000-0000-0000D7160000}"/>
    <cellStyle name="20 % - Markeringsfarve3 3 3 8" xfId="4547" xr:uid="{00000000-0005-0000-0000-0000D8160000}"/>
    <cellStyle name="20 % - Markeringsfarve3 3 3 8 2" xfId="9041" xr:uid="{00000000-0005-0000-0000-0000D9160000}"/>
    <cellStyle name="20 % - Markeringsfarve3 3 3 8 2 2" xfId="16952" xr:uid="{00000000-0005-0000-0000-0000DA160000}"/>
    <cellStyle name="20 % - Markeringsfarve3 3 3 8 2 2 2" xfId="35112" xr:uid="{00000000-0005-0000-0000-0000DB160000}"/>
    <cellStyle name="20 % - Markeringsfarve3 3 3 8 2 3" xfId="28111" xr:uid="{00000000-0005-0000-0000-0000DC160000}"/>
    <cellStyle name="20 % - Markeringsfarve3 3 3 8 3" xfId="13101" xr:uid="{00000000-0005-0000-0000-0000DD160000}"/>
    <cellStyle name="20 % - Markeringsfarve3 3 3 8 3 2" xfId="31268" xr:uid="{00000000-0005-0000-0000-0000DE160000}"/>
    <cellStyle name="20 % - Markeringsfarve3 3 3 8 4" xfId="24266" xr:uid="{00000000-0005-0000-0000-0000DF160000}"/>
    <cellStyle name="20 % - Markeringsfarve3 3 3 9" xfId="4548" xr:uid="{00000000-0005-0000-0000-0000E0160000}"/>
    <cellStyle name="20 % - Markeringsfarve3 3 3 9 2" xfId="10542" xr:uid="{00000000-0005-0000-0000-0000E1160000}"/>
    <cellStyle name="20 % - Markeringsfarve3 3 3 9 2 2" xfId="18436" xr:uid="{00000000-0005-0000-0000-0000E2160000}"/>
    <cellStyle name="20 % - Markeringsfarve3 3 3 9 2 2 2" xfId="36596" xr:uid="{00000000-0005-0000-0000-0000E3160000}"/>
    <cellStyle name="20 % - Markeringsfarve3 3 3 9 2 3" xfId="29595" xr:uid="{00000000-0005-0000-0000-0000E4160000}"/>
    <cellStyle name="20 % - Markeringsfarve3 3 3 9 3" xfId="13102" xr:uid="{00000000-0005-0000-0000-0000E5160000}"/>
    <cellStyle name="20 % - Markeringsfarve3 3 3 9 3 2" xfId="31269" xr:uid="{00000000-0005-0000-0000-0000E6160000}"/>
    <cellStyle name="20 % - Markeringsfarve3 3 3 9 4" xfId="24267" xr:uid="{00000000-0005-0000-0000-0000E7160000}"/>
    <cellStyle name="20 % - Markeringsfarve3 3 4" xfId="4549" xr:uid="{00000000-0005-0000-0000-0000E8160000}"/>
    <cellStyle name="20 % - Markeringsfarve3 3 4 2" xfId="4550" xr:uid="{00000000-0005-0000-0000-0000E9160000}"/>
    <cellStyle name="20 % - Markeringsfarve3 3 4 2 2" xfId="4551" xr:uid="{00000000-0005-0000-0000-0000EA160000}"/>
    <cellStyle name="20 % - Markeringsfarve3 3 4 2 2 2" xfId="9854" xr:uid="{00000000-0005-0000-0000-0000EB160000}"/>
    <cellStyle name="20 % - Markeringsfarve3 3 4 2 2 2 2" xfId="17755" xr:uid="{00000000-0005-0000-0000-0000EC160000}"/>
    <cellStyle name="20 % - Markeringsfarve3 3 4 2 2 2 2 2" xfId="35915" xr:uid="{00000000-0005-0000-0000-0000ED160000}"/>
    <cellStyle name="20 % - Markeringsfarve3 3 4 2 2 2 3" xfId="28914" xr:uid="{00000000-0005-0000-0000-0000EE160000}"/>
    <cellStyle name="20 % - Markeringsfarve3 3 4 2 2 3" xfId="13105" xr:uid="{00000000-0005-0000-0000-0000EF160000}"/>
    <cellStyle name="20 % - Markeringsfarve3 3 4 2 2 3 2" xfId="31272" xr:uid="{00000000-0005-0000-0000-0000F0160000}"/>
    <cellStyle name="20 % - Markeringsfarve3 3 4 2 2 4" xfId="24270" xr:uid="{00000000-0005-0000-0000-0000F1160000}"/>
    <cellStyle name="20 % - Markeringsfarve3 3 4 2 3" xfId="8434" xr:uid="{00000000-0005-0000-0000-0000F2160000}"/>
    <cellStyle name="20 % - Markeringsfarve3 3 4 2 3 2" xfId="16351" xr:uid="{00000000-0005-0000-0000-0000F3160000}"/>
    <cellStyle name="20 % - Markeringsfarve3 3 4 2 3 2 2" xfId="34511" xr:uid="{00000000-0005-0000-0000-0000F4160000}"/>
    <cellStyle name="20 % - Markeringsfarve3 3 4 2 3 3" xfId="27510" xr:uid="{00000000-0005-0000-0000-0000F5160000}"/>
    <cellStyle name="20 % - Markeringsfarve3 3 4 2 4" xfId="13104" xr:uid="{00000000-0005-0000-0000-0000F6160000}"/>
    <cellStyle name="20 % - Markeringsfarve3 3 4 2 4 2" xfId="31271" xr:uid="{00000000-0005-0000-0000-0000F7160000}"/>
    <cellStyle name="20 % - Markeringsfarve3 3 4 2 5" xfId="24269" xr:uid="{00000000-0005-0000-0000-0000F8160000}"/>
    <cellStyle name="20 % - Markeringsfarve3 3 4 3" xfId="4552" xr:uid="{00000000-0005-0000-0000-0000F9160000}"/>
    <cellStyle name="20 % - Markeringsfarve3 3 4 3 2" xfId="9084" xr:uid="{00000000-0005-0000-0000-0000FA160000}"/>
    <cellStyle name="20 % - Markeringsfarve3 3 4 3 2 2" xfId="16995" xr:uid="{00000000-0005-0000-0000-0000FB160000}"/>
    <cellStyle name="20 % - Markeringsfarve3 3 4 3 2 2 2" xfId="35155" xr:uid="{00000000-0005-0000-0000-0000FC160000}"/>
    <cellStyle name="20 % - Markeringsfarve3 3 4 3 2 3" xfId="28154" xr:uid="{00000000-0005-0000-0000-0000FD160000}"/>
    <cellStyle name="20 % - Markeringsfarve3 3 4 3 3" xfId="13106" xr:uid="{00000000-0005-0000-0000-0000FE160000}"/>
    <cellStyle name="20 % - Markeringsfarve3 3 4 3 3 2" xfId="31273" xr:uid="{00000000-0005-0000-0000-0000FF160000}"/>
    <cellStyle name="20 % - Markeringsfarve3 3 4 3 4" xfId="24271" xr:uid="{00000000-0005-0000-0000-000000170000}"/>
    <cellStyle name="20 % - Markeringsfarve3 3 4 4" xfId="4553" xr:uid="{00000000-0005-0000-0000-000001170000}"/>
    <cellStyle name="20 % - Markeringsfarve3 3 4 4 2" xfId="11026" xr:uid="{00000000-0005-0000-0000-000002170000}"/>
    <cellStyle name="20 % - Markeringsfarve3 3 4 4 2 2" xfId="18902" xr:uid="{00000000-0005-0000-0000-000003170000}"/>
    <cellStyle name="20 % - Markeringsfarve3 3 4 4 2 2 2" xfId="37062" xr:uid="{00000000-0005-0000-0000-000004170000}"/>
    <cellStyle name="20 % - Markeringsfarve3 3 4 4 2 3" xfId="30061" xr:uid="{00000000-0005-0000-0000-000005170000}"/>
    <cellStyle name="20 % - Markeringsfarve3 3 4 4 3" xfId="13107" xr:uid="{00000000-0005-0000-0000-000006170000}"/>
    <cellStyle name="20 % - Markeringsfarve3 3 4 4 3 2" xfId="31274" xr:uid="{00000000-0005-0000-0000-000007170000}"/>
    <cellStyle name="20 % - Markeringsfarve3 3 4 4 4" xfId="24272" xr:uid="{00000000-0005-0000-0000-000008170000}"/>
    <cellStyle name="20 % - Markeringsfarve3 3 4 5" xfId="7783" xr:uid="{00000000-0005-0000-0000-000009170000}"/>
    <cellStyle name="20 % - Markeringsfarve3 3 4 5 2" xfId="15701" xr:uid="{00000000-0005-0000-0000-00000A170000}"/>
    <cellStyle name="20 % - Markeringsfarve3 3 4 5 2 2" xfId="33861" xr:uid="{00000000-0005-0000-0000-00000B170000}"/>
    <cellStyle name="20 % - Markeringsfarve3 3 4 5 3" xfId="26860" xr:uid="{00000000-0005-0000-0000-00000C170000}"/>
    <cellStyle name="20 % - Markeringsfarve3 3 4 6" xfId="13103" xr:uid="{00000000-0005-0000-0000-00000D170000}"/>
    <cellStyle name="20 % - Markeringsfarve3 3 4 6 2" xfId="31270" xr:uid="{00000000-0005-0000-0000-00000E170000}"/>
    <cellStyle name="20 % - Markeringsfarve3 3 4 7" xfId="24268" xr:uid="{00000000-0005-0000-0000-00000F170000}"/>
    <cellStyle name="20 % - Markeringsfarve3 3 5" xfId="4554" xr:uid="{00000000-0005-0000-0000-000010170000}"/>
    <cellStyle name="20 % - Markeringsfarve3 3 5 2" xfId="4555" xr:uid="{00000000-0005-0000-0000-000011170000}"/>
    <cellStyle name="20 % - Markeringsfarve3 3 5 2 2" xfId="4556" xr:uid="{00000000-0005-0000-0000-000012170000}"/>
    <cellStyle name="20 % - Markeringsfarve3 3 5 2 2 2" xfId="9975" xr:uid="{00000000-0005-0000-0000-000013170000}"/>
    <cellStyle name="20 % - Markeringsfarve3 3 5 2 2 2 2" xfId="17876" xr:uid="{00000000-0005-0000-0000-000014170000}"/>
    <cellStyle name="20 % - Markeringsfarve3 3 5 2 2 2 2 2" xfId="36036" xr:uid="{00000000-0005-0000-0000-000015170000}"/>
    <cellStyle name="20 % - Markeringsfarve3 3 5 2 2 2 3" xfId="29035" xr:uid="{00000000-0005-0000-0000-000016170000}"/>
    <cellStyle name="20 % - Markeringsfarve3 3 5 2 2 3" xfId="13110" xr:uid="{00000000-0005-0000-0000-000017170000}"/>
    <cellStyle name="20 % - Markeringsfarve3 3 5 2 2 3 2" xfId="31277" xr:uid="{00000000-0005-0000-0000-000018170000}"/>
    <cellStyle name="20 % - Markeringsfarve3 3 5 2 2 4" xfId="24275" xr:uid="{00000000-0005-0000-0000-000019170000}"/>
    <cellStyle name="20 % - Markeringsfarve3 3 5 2 3" xfId="8539" xr:uid="{00000000-0005-0000-0000-00001A170000}"/>
    <cellStyle name="20 % - Markeringsfarve3 3 5 2 3 2" xfId="16456" xr:uid="{00000000-0005-0000-0000-00001B170000}"/>
    <cellStyle name="20 % - Markeringsfarve3 3 5 2 3 2 2" xfId="34616" xr:uid="{00000000-0005-0000-0000-00001C170000}"/>
    <cellStyle name="20 % - Markeringsfarve3 3 5 2 3 3" xfId="27615" xr:uid="{00000000-0005-0000-0000-00001D170000}"/>
    <cellStyle name="20 % - Markeringsfarve3 3 5 2 4" xfId="13109" xr:uid="{00000000-0005-0000-0000-00001E170000}"/>
    <cellStyle name="20 % - Markeringsfarve3 3 5 2 4 2" xfId="31276" xr:uid="{00000000-0005-0000-0000-00001F170000}"/>
    <cellStyle name="20 % - Markeringsfarve3 3 5 2 5" xfId="24274" xr:uid="{00000000-0005-0000-0000-000020170000}"/>
    <cellStyle name="20 % - Markeringsfarve3 3 5 3" xfId="4557" xr:uid="{00000000-0005-0000-0000-000021170000}"/>
    <cellStyle name="20 % - Markeringsfarve3 3 5 3 2" xfId="9205" xr:uid="{00000000-0005-0000-0000-000022170000}"/>
    <cellStyle name="20 % - Markeringsfarve3 3 5 3 2 2" xfId="17116" xr:uid="{00000000-0005-0000-0000-000023170000}"/>
    <cellStyle name="20 % - Markeringsfarve3 3 5 3 2 2 2" xfId="35276" xr:uid="{00000000-0005-0000-0000-000024170000}"/>
    <cellStyle name="20 % - Markeringsfarve3 3 5 3 2 3" xfId="28275" xr:uid="{00000000-0005-0000-0000-000025170000}"/>
    <cellStyle name="20 % - Markeringsfarve3 3 5 3 3" xfId="13111" xr:uid="{00000000-0005-0000-0000-000026170000}"/>
    <cellStyle name="20 % - Markeringsfarve3 3 5 3 3 2" xfId="31278" xr:uid="{00000000-0005-0000-0000-000027170000}"/>
    <cellStyle name="20 % - Markeringsfarve3 3 5 3 4" xfId="24276" xr:uid="{00000000-0005-0000-0000-000028170000}"/>
    <cellStyle name="20 % - Markeringsfarve3 3 5 4" xfId="4558" xr:uid="{00000000-0005-0000-0000-000029170000}"/>
    <cellStyle name="20 % - Markeringsfarve3 3 5 4 2" xfId="10751" xr:uid="{00000000-0005-0000-0000-00002A170000}"/>
    <cellStyle name="20 % - Markeringsfarve3 3 5 4 2 2" xfId="18640" xr:uid="{00000000-0005-0000-0000-00002B170000}"/>
    <cellStyle name="20 % - Markeringsfarve3 3 5 4 2 2 2" xfId="36800" xr:uid="{00000000-0005-0000-0000-00002C170000}"/>
    <cellStyle name="20 % - Markeringsfarve3 3 5 4 2 3" xfId="29799" xr:uid="{00000000-0005-0000-0000-00002D170000}"/>
    <cellStyle name="20 % - Markeringsfarve3 3 5 4 3" xfId="13112" xr:uid="{00000000-0005-0000-0000-00002E170000}"/>
    <cellStyle name="20 % - Markeringsfarve3 3 5 4 3 2" xfId="31279" xr:uid="{00000000-0005-0000-0000-00002F170000}"/>
    <cellStyle name="20 % - Markeringsfarve3 3 5 4 4" xfId="24277" xr:uid="{00000000-0005-0000-0000-000030170000}"/>
    <cellStyle name="20 % - Markeringsfarve3 3 5 5" xfId="7784" xr:uid="{00000000-0005-0000-0000-000031170000}"/>
    <cellStyle name="20 % - Markeringsfarve3 3 5 5 2" xfId="15702" xr:uid="{00000000-0005-0000-0000-000032170000}"/>
    <cellStyle name="20 % - Markeringsfarve3 3 5 5 2 2" xfId="33862" xr:uid="{00000000-0005-0000-0000-000033170000}"/>
    <cellStyle name="20 % - Markeringsfarve3 3 5 5 3" xfId="26861" xr:uid="{00000000-0005-0000-0000-000034170000}"/>
    <cellStyle name="20 % - Markeringsfarve3 3 5 6" xfId="13108" xr:uid="{00000000-0005-0000-0000-000035170000}"/>
    <cellStyle name="20 % - Markeringsfarve3 3 5 6 2" xfId="31275" xr:uid="{00000000-0005-0000-0000-000036170000}"/>
    <cellStyle name="20 % - Markeringsfarve3 3 5 7" xfId="24273" xr:uid="{00000000-0005-0000-0000-000037170000}"/>
    <cellStyle name="20 % - Markeringsfarve3 3 6" xfId="4559" xr:uid="{00000000-0005-0000-0000-000038170000}"/>
    <cellStyle name="20 % - Markeringsfarve3 3 6 2" xfId="4560" xr:uid="{00000000-0005-0000-0000-000039170000}"/>
    <cellStyle name="20 % - Markeringsfarve3 3 6 2 2" xfId="4561" xr:uid="{00000000-0005-0000-0000-00003A170000}"/>
    <cellStyle name="20 % - Markeringsfarve3 3 6 2 2 2" xfId="10092" xr:uid="{00000000-0005-0000-0000-00003B170000}"/>
    <cellStyle name="20 % - Markeringsfarve3 3 6 2 2 2 2" xfId="17993" xr:uid="{00000000-0005-0000-0000-00003C170000}"/>
    <cellStyle name="20 % - Markeringsfarve3 3 6 2 2 2 2 2" xfId="36153" xr:uid="{00000000-0005-0000-0000-00003D170000}"/>
    <cellStyle name="20 % - Markeringsfarve3 3 6 2 2 2 3" xfId="29152" xr:uid="{00000000-0005-0000-0000-00003E170000}"/>
    <cellStyle name="20 % - Markeringsfarve3 3 6 2 2 3" xfId="13115" xr:uid="{00000000-0005-0000-0000-00003F170000}"/>
    <cellStyle name="20 % - Markeringsfarve3 3 6 2 2 3 2" xfId="31282" xr:uid="{00000000-0005-0000-0000-000040170000}"/>
    <cellStyle name="20 % - Markeringsfarve3 3 6 2 2 4" xfId="24280" xr:uid="{00000000-0005-0000-0000-000041170000}"/>
    <cellStyle name="20 % - Markeringsfarve3 3 6 2 3" xfId="8636" xr:uid="{00000000-0005-0000-0000-000042170000}"/>
    <cellStyle name="20 % - Markeringsfarve3 3 6 2 3 2" xfId="16550" xr:uid="{00000000-0005-0000-0000-000043170000}"/>
    <cellStyle name="20 % - Markeringsfarve3 3 6 2 3 2 2" xfId="34710" xr:uid="{00000000-0005-0000-0000-000044170000}"/>
    <cellStyle name="20 % - Markeringsfarve3 3 6 2 3 3" xfId="27709" xr:uid="{00000000-0005-0000-0000-000045170000}"/>
    <cellStyle name="20 % - Markeringsfarve3 3 6 2 4" xfId="13114" xr:uid="{00000000-0005-0000-0000-000046170000}"/>
    <cellStyle name="20 % - Markeringsfarve3 3 6 2 4 2" xfId="31281" xr:uid="{00000000-0005-0000-0000-000047170000}"/>
    <cellStyle name="20 % - Markeringsfarve3 3 6 2 5" xfId="24279" xr:uid="{00000000-0005-0000-0000-000048170000}"/>
    <cellStyle name="20 % - Markeringsfarve3 3 6 3" xfId="4562" xr:uid="{00000000-0005-0000-0000-000049170000}"/>
    <cellStyle name="20 % - Markeringsfarve3 3 6 3 2" xfId="9368" xr:uid="{00000000-0005-0000-0000-00004A170000}"/>
    <cellStyle name="20 % - Markeringsfarve3 3 6 3 2 2" xfId="17278" xr:uid="{00000000-0005-0000-0000-00004B170000}"/>
    <cellStyle name="20 % - Markeringsfarve3 3 6 3 2 2 2" xfId="35438" xr:uid="{00000000-0005-0000-0000-00004C170000}"/>
    <cellStyle name="20 % - Markeringsfarve3 3 6 3 2 3" xfId="28437" xr:uid="{00000000-0005-0000-0000-00004D170000}"/>
    <cellStyle name="20 % - Markeringsfarve3 3 6 3 3" xfId="13116" xr:uid="{00000000-0005-0000-0000-00004E170000}"/>
    <cellStyle name="20 % - Markeringsfarve3 3 6 3 3 2" xfId="31283" xr:uid="{00000000-0005-0000-0000-00004F170000}"/>
    <cellStyle name="20 % - Markeringsfarve3 3 6 3 4" xfId="24281" xr:uid="{00000000-0005-0000-0000-000050170000}"/>
    <cellStyle name="20 % - Markeringsfarve3 3 6 4" xfId="4563" xr:uid="{00000000-0005-0000-0000-000051170000}"/>
    <cellStyle name="20 % - Markeringsfarve3 3 6 4 2" xfId="11025" xr:uid="{00000000-0005-0000-0000-000052170000}"/>
    <cellStyle name="20 % - Markeringsfarve3 3 6 4 2 2" xfId="18901" xr:uid="{00000000-0005-0000-0000-000053170000}"/>
    <cellStyle name="20 % - Markeringsfarve3 3 6 4 2 2 2" xfId="37061" xr:uid="{00000000-0005-0000-0000-000054170000}"/>
    <cellStyle name="20 % - Markeringsfarve3 3 6 4 2 3" xfId="30060" xr:uid="{00000000-0005-0000-0000-000055170000}"/>
    <cellStyle name="20 % - Markeringsfarve3 3 6 4 3" xfId="13117" xr:uid="{00000000-0005-0000-0000-000056170000}"/>
    <cellStyle name="20 % - Markeringsfarve3 3 6 4 3 2" xfId="31284" xr:uid="{00000000-0005-0000-0000-000057170000}"/>
    <cellStyle name="20 % - Markeringsfarve3 3 6 4 4" xfId="24282" xr:uid="{00000000-0005-0000-0000-000058170000}"/>
    <cellStyle name="20 % - Markeringsfarve3 3 6 5" xfId="7785" xr:uid="{00000000-0005-0000-0000-000059170000}"/>
    <cellStyle name="20 % - Markeringsfarve3 3 6 5 2" xfId="15703" xr:uid="{00000000-0005-0000-0000-00005A170000}"/>
    <cellStyle name="20 % - Markeringsfarve3 3 6 5 2 2" xfId="33863" xr:uid="{00000000-0005-0000-0000-00005B170000}"/>
    <cellStyle name="20 % - Markeringsfarve3 3 6 5 3" xfId="26862" xr:uid="{00000000-0005-0000-0000-00005C170000}"/>
    <cellStyle name="20 % - Markeringsfarve3 3 6 6" xfId="13113" xr:uid="{00000000-0005-0000-0000-00005D170000}"/>
    <cellStyle name="20 % - Markeringsfarve3 3 6 6 2" xfId="31280" xr:uid="{00000000-0005-0000-0000-00005E170000}"/>
    <cellStyle name="20 % - Markeringsfarve3 3 6 7" xfId="24278" xr:uid="{00000000-0005-0000-0000-00005F170000}"/>
    <cellStyle name="20 % - Markeringsfarve3 3 7" xfId="4564" xr:uid="{00000000-0005-0000-0000-000060170000}"/>
    <cellStyle name="20 % - Markeringsfarve3 3 7 2" xfId="4565" xr:uid="{00000000-0005-0000-0000-000061170000}"/>
    <cellStyle name="20 % - Markeringsfarve3 3 7 2 2" xfId="4566" xr:uid="{00000000-0005-0000-0000-000062170000}"/>
    <cellStyle name="20 % - Markeringsfarve3 3 7 2 2 2" xfId="10209" xr:uid="{00000000-0005-0000-0000-000063170000}"/>
    <cellStyle name="20 % - Markeringsfarve3 3 7 2 2 2 2" xfId="18110" xr:uid="{00000000-0005-0000-0000-000064170000}"/>
    <cellStyle name="20 % - Markeringsfarve3 3 7 2 2 2 2 2" xfId="36270" xr:uid="{00000000-0005-0000-0000-000065170000}"/>
    <cellStyle name="20 % - Markeringsfarve3 3 7 2 2 2 3" xfId="29269" xr:uid="{00000000-0005-0000-0000-000066170000}"/>
    <cellStyle name="20 % - Markeringsfarve3 3 7 2 2 3" xfId="13120" xr:uid="{00000000-0005-0000-0000-000067170000}"/>
    <cellStyle name="20 % - Markeringsfarve3 3 7 2 2 3 2" xfId="31287" xr:uid="{00000000-0005-0000-0000-000068170000}"/>
    <cellStyle name="20 % - Markeringsfarve3 3 7 2 2 4" xfId="24285" xr:uid="{00000000-0005-0000-0000-000069170000}"/>
    <cellStyle name="20 % - Markeringsfarve3 3 7 2 3" xfId="8735" xr:uid="{00000000-0005-0000-0000-00006A170000}"/>
    <cellStyle name="20 % - Markeringsfarve3 3 7 2 3 2" xfId="16649" xr:uid="{00000000-0005-0000-0000-00006B170000}"/>
    <cellStyle name="20 % - Markeringsfarve3 3 7 2 3 2 2" xfId="34809" xr:uid="{00000000-0005-0000-0000-00006C170000}"/>
    <cellStyle name="20 % - Markeringsfarve3 3 7 2 3 3" xfId="27808" xr:uid="{00000000-0005-0000-0000-00006D170000}"/>
    <cellStyle name="20 % - Markeringsfarve3 3 7 2 4" xfId="13119" xr:uid="{00000000-0005-0000-0000-00006E170000}"/>
    <cellStyle name="20 % - Markeringsfarve3 3 7 2 4 2" xfId="31286" xr:uid="{00000000-0005-0000-0000-00006F170000}"/>
    <cellStyle name="20 % - Markeringsfarve3 3 7 2 5" xfId="24284" xr:uid="{00000000-0005-0000-0000-000070170000}"/>
    <cellStyle name="20 % - Markeringsfarve3 3 7 3" xfId="4567" xr:uid="{00000000-0005-0000-0000-000071170000}"/>
    <cellStyle name="20 % - Markeringsfarve3 3 7 3 2" xfId="9485" xr:uid="{00000000-0005-0000-0000-000072170000}"/>
    <cellStyle name="20 % - Markeringsfarve3 3 7 3 2 2" xfId="17395" xr:uid="{00000000-0005-0000-0000-000073170000}"/>
    <cellStyle name="20 % - Markeringsfarve3 3 7 3 2 2 2" xfId="35555" xr:uid="{00000000-0005-0000-0000-000074170000}"/>
    <cellStyle name="20 % - Markeringsfarve3 3 7 3 2 3" xfId="28554" xr:uid="{00000000-0005-0000-0000-000075170000}"/>
    <cellStyle name="20 % - Markeringsfarve3 3 7 3 3" xfId="13121" xr:uid="{00000000-0005-0000-0000-000076170000}"/>
    <cellStyle name="20 % - Markeringsfarve3 3 7 3 3 2" xfId="31288" xr:uid="{00000000-0005-0000-0000-000077170000}"/>
    <cellStyle name="20 % - Markeringsfarve3 3 7 3 4" xfId="24286" xr:uid="{00000000-0005-0000-0000-000078170000}"/>
    <cellStyle name="20 % - Markeringsfarve3 3 7 4" xfId="4568" xr:uid="{00000000-0005-0000-0000-000079170000}"/>
    <cellStyle name="20 % - Markeringsfarve3 3 7 4 2" xfId="10750" xr:uid="{00000000-0005-0000-0000-00007A170000}"/>
    <cellStyle name="20 % - Markeringsfarve3 3 7 4 2 2" xfId="18639" xr:uid="{00000000-0005-0000-0000-00007B170000}"/>
    <cellStyle name="20 % - Markeringsfarve3 3 7 4 2 2 2" xfId="36799" xr:uid="{00000000-0005-0000-0000-00007C170000}"/>
    <cellStyle name="20 % - Markeringsfarve3 3 7 4 2 3" xfId="29798" xr:uid="{00000000-0005-0000-0000-00007D170000}"/>
    <cellStyle name="20 % - Markeringsfarve3 3 7 4 3" xfId="13122" xr:uid="{00000000-0005-0000-0000-00007E170000}"/>
    <cellStyle name="20 % - Markeringsfarve3 3 7 4 3 2" xfId="31289" xr:uid="{00000000-0005-0000-0000-00007F170000}"/>
    <cellStyle name="20 % - Markeringsfarve3 3 7 4 4" xfId="24287" xr:uid="{00000000-0005-0000-0000-000080170000}"/>
    <cellStyle name="20 % - Markeringsfarve3 3 7 5" xfId="7786" xr:uid="{00000000-0005-0000-0000-000081170000}"/>
    <cellStyle name="20 % - Markeringsfarve3 3 7 5 2" xfId="15704" xr:uid="{00000000-0005-0000-0000-000082170000}"/>
    <cellStyle name="20 % - Markeringsfarve3 3 7 5 2 2" xfId="33864" xr:uid="{00000000-0005-0000-0000-000083170000}"/>
    <cellStyle name="20 % - Markeringsfarve3 3 7 5 3" xfId="26863" xr:uid="{00000000-0005-0000-0000-000084170000}"/>
    <cellStyle name="20 % - Markeringsfarve3 3 7 6" xfId="13118" xr:uid="{00000000-0005-0000-0000-000085170000}"/>
    <cellStyle name="20 % - Markeringsfarve3 3 7 6 2" xfId="31285" xr:uid="{00000000-0005-0000-0000-000086170000}"/>
    <cellStyle name="20 % - Markeringsfarve3 3 7 7" xfId="24283" xr:uid="{00000000-0005-0000-0000-000087170000}"/>
    <cellStyle name="20 % - Markeringsfarve3 3 8" xfId="4569" xr:uid="{00000000-0005-0000-0000-000088170000}"/>
    <cellStyle name="20 % - Markeringsfarve3 3 8 2" xfId="4570" xr:uid="{00000000-0005-0000-0000-000089170000}"/>
    <cellStyle name="20 % - Markeringsfarve3 3 8 2 2" xfId="4571" xr:uid="{00000000-0005-0000-0000-00008A170000}"/>
    <cellStyle name="20 % - Markeringsfarve3 3 8 2 2 2" xfId="10330" xr:uid="{00000000-0005-0000-0000-00008B170000}"/>
    <cellStyle name="20 % - Markeringsfarve3 3 8 2 2 2 2" xfId="18231" xr:uid="{00000000-0005-0000-0000-00008C170000}"/>
    <cellStyle name="20 % - Markeringsfarve3 3 8 2 2 2 2 2" xfId="36391" xr:uid="{00000000-0005-0000-0000-00008D170000}"/>
    <cellStyle name="20 % - Markeringsfarve3 3 8 2 2 2 3" xfId="29390" xr:uid="{00000000-0005-0000-0000-00008E170000}"/>
    <cellStyle name="20 % - Markeringsfarve3 3 8 2 2 3" xfId="13125" xr:uid="{00000000-0005-0000-0000-00008F170000}"/>
    <cellStyle name="20 % - Markeringsfarve3 3 8 2 2 3 2" xfId="31292" xr:uid="{00000000-0005-0000-0000-000090170000}"/>
    <cellStyle name="20 % - Markeringsfarve3 3 8 2 2 4" xfId="24290" xr:uid="{00000000-0005-0000-0000-000091170000}"/>
    <cellStyle name="20 % - Markeringsfarve3 3 8 2 3" xfId="8841" xr:uid="{00000000-0005-0000-0000-000092170000}"/>
    <cellStyle name="20 % - Markeringsfarve3 3 8 2 3 2" xfId="16755" xr:uid="{00000000-0005-0000-0000-000093170000}"/>
    <cellStyle name="20 % - Markeringsfarve3 3 8 2 3 2 2" xfId="34915" xr:uid="{00000000-0005-0000-0000-000094170000}"/>
    <cellStyle name="20 % - Markeringsfarve3 3 8 2 3 3" xfId="27914" xr:uid="{00000000-0005-0000-0000-000095170000}"/>
    <cellStyle name="20 % - Markeringsfarve3 3 8 2 4" xfId="13124" xr:uid="{00000000-0005-0000-0000-000096170000}"/>
    <cellStyle name="20 % - Markeringsfarve3 3 8 2 4 2" xfId="31291" xr:uid="{00000000-0005-0000-0000-000097170000}"/>
    <cellStyle name="20 % - Markeringsfarve3 3 8 2 5" xfId="24289" xr:uid="{00000000-0005-0000-0000-000098170000}"/>
    <cellStyle name="20 % - Markeringsfarve3 3 8 3" xfId="4572" xr:uid="{00000000-0005-0000-0000-000099170000}"/>
    <cellStyle name="20 % - Markeringsfarve3 3 8 3 2" xfId="9607" xr:uid="{00000000-0005-0000-0000-00009A170000}"/>
    <cellStyle name="20 % - Markeringsfarve3 3 8 3 2 2" xfId="17517" xr:uid="{00000000-0005-0000-0000-00009B170000}"/>
    <cellStyle name="20 % - Markeringsfarve3 3 8 3 2 2 2" xfId="35677" xr:uid="{00000000-0005-0000-0000-00009C170000}"/>
    <cellStyle name="20 % - Markeringsfarve3 3 8 3 2 3" xfId="28676" xr:uid="{00000000-0005-0000-0000-00009D170000}"/>
    <cellStyle name="20 % - Markeringsfarve3 3 8 3 3" xfId="13126" xr:uid="{00000000-0005-0000-0000-00009E170000}"/>
    <cellStyle name="20 % - Markeringsfarve3 3 8 3 3 2" xfId="31293" xr:uid="{00000000-0005-0000-0000-00009F170000}"/>
    <cellStyle name="20 % - Markeringsfarve3 3 8 3 4" xfId="24291" xr:uid="{00000000-0005-0000-0000-0000A0170000}"/>
    <cellStyle name="20 % - Markeringsfarve3 3 8 4" xfId="4573" xr:uid="{00000000-0005-0000-0000-0000A1170000}"/>
    <cellStyle name="20 % - Markeringsfarve3 3 8 4 2" xfId="9336" xr:uid="{00000000-0005-0000-0000-0000A2170000}"/>
    <cellStyle name="20 % - Markeringsfarve3 3 8 4 2 2" xfId="17246" xr:uid="{00000000-0005-0000-0000-0000A3170000}"/>
    <cellStyle name="20 % - Markeringsfarve3 3 8 4 2 2 2" xfId="35406" xr:uid="{00000000-0005-0000-0000-0000A4170000}"/>
    <cellStyle name="20 % - Markeringsfarve3 3 8 4 2 3" xfId="28405" xr:uid="{00000000-0005-0000-0000-0000A5170000}"/>
    <cellStyle name="20 % - Markeringsfarve3 3 8 4 3" xfId="13127" xr:uid="{00000000-0005-0000-0000-0000A6170000}"/>
    <cellStyle name="20 % - Markeringsfarve3 3 8 4 3 2" xfId="31294" xr:uid="{00000000-0005-0000-0000-0000A7170000}"/>
    <cellStyle name="20 % - Markeringsfarve3 3 8 4 4" xfId="24292" xr:uid="{00000000-0005-0000-0000-0000A8170000}"/>
    <cellStyle name="20 % - Markeringsfarve3 3 8 5" xfId="7787" xr:uid="{00000000-0005-0000-0000-0000A9170000}"/>
    <cellStyle name="20 % - Markeringsfarve3 3 8 5 2" xfId="15705" xr:uid="{00000000-0005-0000-0000-0000AA170000}"/>
    <cellStyle name="20 % - Markeringsfarve3 3 8 5 2 2" xfId="33865" xr:uid="{00000000-0005-0000-0000-0000AB170000}"/>
    <cellStyle name="20 % - Markeringsfarve3 3 8 5 3" xfId="26864" xr:uid="{00000000-0005-0000-0000-0000AC170000}"/>
    <cellStyle name="20 % - Markeringsfarve3 3 8 6" xfId="13123" xr:uid="{00000000-0005-0000-0000-0000AD170000}"/>
    <cellStyle name="20 % - Markeringsfarve3 3 8 6 2" xfId="31290" xr:uid="{00000000-0005-0000-0000-0000AE170000}"/>
    <cellStyle name="20 % - Markeringsfarve3 3 8 7" xfId="24288" xr:uid="{00000000-0005-0000-0000-0000AF170000}"/>
    <cellStyle name="20 % - Markeringsfarve3 3 9" xfId="4574" xr:uid="{00000000-0005-0000-0000-0000B0170000}"/>
    <cellStyle name="20 % - Markeringsfarve3 3 9 2" xfId="4575" xr:uid="{00000000-0005-0000-0000-0000B1170000}"/>
    <cellStyle name="20 % - Markeringsfarve3 3 9 2 2" xfId="9735" xr:uid="{00000000-0005-0000-0000-0000B2170000}"/>
    <cellStyle name="20 % - Markeringsfarve3 3 9 2 2 2" xfId="17636" xr:uid="{00000000-0005-0000-0000-0000B3170000}"/>
    <cellStyle name="20 % - Markeringsfarve3 3 9 2 2 2 2" xfId="35796" xr:uid="{00000000-0005-0000-0000-0000B4170000}"/>
    <cellStyle name="20 % - Markeringsfarve3 3 9 2 2 3" xfId="28795" xr:uid="{00000000-0005-0000-0000-0000B5170000}"/>
    <cellStyle name="20 % - Markeringsfarve3 3 9 2 3" xfId="13129" xr:uid="{00000000-0005-0000-0000-0000B6170000}"/>
    <cellStyle name="20 % - Markeringsfarve3 3 9 2 3 2" xfId="31296" xr:uid="{00000000-0005-0000-0000-0000B7170000}"/>
    <cellStyle name="20 % - Markeringsfarve3 3 9 2 4" xfId="24294" xr:uid="{00000000-0005-0000-0000-0000B8170000}"/>
    <cellStyle name="20 % - Markeringsfarve3 3 9 3" xfId="8335" xr:uid="{00000000-0005-0000-0000-0000B9170000}"/>
    <cellStyle name="20 % - Markeringsfarve3 3 9 3 2" xfId="16252" xr:uid="{00000000-0005-0000-0000-0000BA170000}"/>
    <cellStyle name="20 % - Markeringsfarve3 3 9 3 2 2" xfId="34412" xr:uid="{00000000-0005-0000-0000-0000BB170000}"/>
    <cellStyle name="20 % - Markeringsfarve3 3 9 3 3" xfId="27411" xr:uid="{00000000-0005-0000-0000-0000BC170000}"/>
    <cellStyle name="20 % - Markeringsfarve3 3 9 4" xfId="13128" xr:uid="{00000000-0005-0000-0000-0000BD170000}"/>
    <cellStyle name="20 % - Markeringsfarve3 3 9 4 2" xfId="31295" xr:uid="{00000000-0005-0000-0000-0000BE170000}"/>
    <cellStyle name="20 % - Markeringsfarve3 3 9 5" xfId="24293" xr:uid="{00000000-0005-0000-0000-0000BF170000}"/>
    <cellStyle name="20 % - Markeringsfarve3 4" xfId="1809" xr:uid="{00000000-0005-0000-0000-0000C0170000}"/>
    <cellStyle name="20 % - Markeringsfarve3 4 10" xfId="7788" xr:uid="{00000000-0005-0000-0000-0000C1170000}"/>
    <cellStyle name="20 % - Markeringsfarve3 4 10 2" xfId="15706" xr:uid="{00000000-0005-0000-0000-0000C2170000}"/>
    <cellStyle name="20 % - Markeringsfarve3 4 10 2 2" xfId="33866" xr:uid="{00000000-0005-0000-0000-0000C3170000}"/>
    <cellStyle name="20 % - Markeringsfarve3 4 10 3" xfId="26865" xr:uid="{00000000-0005-0000-0000-0000C4170000}"/>
    <cellStyle name="20 % - Markeringsfarve3 4 11" xfId="13130" xr:uid="{00000000-0005-0000-0000-0000C5170000}"/>
    <cellStyle name="20 % - Markeringsfarve3 4 11 2" xfId="31297" xr:uid="{00000000-0005-0000-0000-0000C6170000}"/>
    <cellStyle name="20 % - Markeringsfarve3 4 12" xfId="4576" xr:uid="{00000000-0005-0000-0000-0000C7170000}"/>
    <cellStyle name="20 % - Markeringsfarve3 4 12 2" xfId="24295" xr:uid="{00000000-0005-0000-0000-0000C8170000}"/>
    <cellStyle name="20 % - Markeringsfarve3 4 13" xfId="21933" xr:uid="{00000000-0005-0000-0000-0000C9170000}"/>
    <cellStyle name="20 % - Markeringsfarve3 4 2" xfId="1810" xr:uid="{00000000-0005-0000-0000-0000CA170000}"/>
    <cellStyle name="20 % - Markeringsfarve3 4 2 2" xfId="4578" xr:uid="{00000000-0005-0000-0000-0000CB170000}"/>
    <cellStyle name="20 % - Markeringsfarve3 4 2 2 2" xfId="4579" xr:uid="{00000000-0005-0000-0000-0000CC170000}"/>
    <cellStyle name="20 % - Markeringsfarve3 4 2 2 2 2" xfId="9879" xr:uid="{00000000-0005-0000-0000-0000CD170000}"/>
    <cellStyle name="20 % - Markeringsfarve3 4 2 2 2 2 2" xfId="17780" xr:uid="{00000000-0005-0000-0000-0000CE170000}"/>
    <cellStyle name="20 % - Markeringsfarve3 4 2 2 2 2 2 2" xfId="35940" xr:uid="{00000000-0005-0000-0000-0000CF170000}"/>
    <cellStyle name="20 % - Markeringsfarve3 4 2 2 2 2 3" xfId="28939" xr:uid="{00000000-0005-0000-0000-0000D0170000}"/>
    <cellStyle name="20 % - Markeringsfarve3 4 2 2 2 3" xfId="13133" xr:uid="{00000000-0005-0000-0000-0000D1170000}"/>
    <cellStyle name="20 % - Markeringsfarve3 4 2 2 2 3 2" xfId="31300" xr:uid="{00000000-0005-0000-0000-0000D2170000}"/>
    <cellStyle name="20 % - Markeringsfarve3 4 2 2 2 4" xfId="24298" xr:uid="{00000000-0005-0000-0000-0000D3170000}"/>
    <cellStyle name="20 % - Markeringsfarve3 4 2 2 3" xfId="8455" xr:uid="{00000000-0005-0000-0000-0000D4170000}"/>
    <cellStyle name="20 % - Markeringsfarve3 4 2 2 3 2" xfId="16372" xr:uid="{00000000-0005-0000-0000-0000D5170000}"/>
    <cellStyle name="20 % - Markeringsfarve3 4 2 2 3 2 2" xfId="34532" xr:uid="{00000000-0005-0000-0000-0000D6170000}"/>
    <cellStyle name="20 % - Markeringsfarve3 4 2 2 3 3" xfId="27531" xr:uid="{00000000-0005-0000-0000-0000D7170000}"/>
    <cellStyle name="20 % - Markeringsfarve3 4 2 2 4" xfId="13132" xr:uid="{00000000-0005-0000-0000-0000D8170000}"/>
    <cellStyle name="20 % - Markeringsfarve3 4 2 2 4 2" xfId="31299" xr:uid="{00000000-0005-0000-0000-0000D9170000}"/>
    <cellStyle name="20 % - Markeringsfarve3 4 2 2 5" xfId="24297" xr:uid="{00000000-0005-0000-0000-0000DA170000}"/>
    <cellStyle name="20 % - Markeringsfarve3 4 2 3" xfId="4580" xr:uid="{00000000-0005-0000-0000-0000DB170000}"/>
    <cellStyle name="20 % - Markeringsfarve3 4 2 3 2" xfId="9109" xr:uid="{00000000-0005-0000-0000-0000DC170000}"/>
    <cellStyle name="20 % - Markeringsfarve3 4 2 3 2 2" xfId="17020" xr:uid="{00000000-0005-0000-0000-0000DD170000}"/>
    <cellStyle name="20 % - Markeringsfarve3 4 2 3 2 2 2" xfId="35180" xr:uid="{00000000-0005-0000-0000-0000DE170000}"/>
    <cellStyle name="20 % - Markeringsfarve3 4 2 3 2 3" xfId="28179" xr:uid="{00000000-0005-0000-0000-0000DF170000}"/>
    <cellStyle name="20 % - Markeringsfarve3 4 2 3 3" xfId="13134" xr:uid="{00000000-0005-0000-0000-0000E0170000}"/>
    <cellStyle name="20 % - Markeringsfarve3 4 2 3 3 2" xfId="31301" xr:uid="{00000000-0005-0000-0000-0000E1170000}"/>
    <cellStyle name="20 % - Markeringsfarve3 4 2 3 4" xfId="24299" xr:uid="{00000000-0005-0000-0000-0000E2170000}"/>
    <cellStyle name="20 % - Markeringsfarve3 4 2 4" xfId="4581" xr:uid="{00000000-0005-0000-0000-0000E3170000}"/>
    <cellStyle name="20 % - Markeringsfarve3 4 2 4 2" xfId="10749" xr:uid="{00000000-0005-0000-0000-0000E4170000}"/>
    <cellStyle name="20 % - Markeringsfarve3 4 2 4 2 2" xfId="18638" xr:uid="{00000000-0005-0000-0000-0000E5170000}"/>
    <cellStyle name="20 % - Markeringsfarve3 4 2 4 2 2 2" xfId="36798" xr:uid="{00000000-0005-0000-0000-0000E6170000}"/>
    <cellStyle name="20 % - Markeringsfarve3 4 2 4 2 3" xfId="29797" xr:uid="{00000000-0005-0000-0000-0000E7170000}"/>
    <cellStyle name="20 % - Markeringsfarve3 4 2 4 3" xfId="13135" xr:uid="{00000000-0005-0000-0000-0000E8170000}"/>
    <cellStyle name="20 % - Markeringsfarve3 4 2 4 3 2" xfId="31302" xr:uid="{00000000-0005-0000-0000-0000E9170000}"/>
    <cellStyle name="20 % - Markeringsfarve3 4 2 4 4" xfId="24300" xr:uid="{00000000-0005-0000-0000-0000EA170000}"/>
    <cellStyle name="20 % - Markeringsfarve3 4 2 5" xfId="7789" xr:uid="{00000000-0005-0000-0000-0000EB170000}"/>
    <cellStyle name="20 % - Markeringsfarve3 4 2 5 2" xfId="15707" xr:uid="{00000000-0005-0000-0000-0000EC170000}"/>
    <cellStyle name="20 % - Markeringsfarve3 4 2 5 2 2" xfId="33867" xr:uid="{00000000-0005-0000-0000-0000ED170000}"/>
    <cellStyle name="20 % - Markeringsfarve3 4 2 5 3" xfId="26866" xr:uid="{00000000-0005-0000-0000-0000EE170000}"/>
    <cellStyle name="20 % - Markeringsfarve3 4 2 6" xfId="13131" xr:uid="{00000000-0005-0000-0000-0000EF170000}"/>
    <cellStyle name="20 % - Markeringsfarve3 4 2 6 2" xfId="31298" xr:uid="{00000000-0005-0000-0000-0000F0170000}"/>
    <cellStyle name="20 % - Markeringsfarve3 4 2 7" xfId="4577" xr:uid="{00000000-0005-0000-0000-0000F1170000}"/>
    <cellStyle name="20 % - Markeringsfarve3 4 2 7 2" xfId="24296" xr:uid="{00000000-0005-0000-0000-0000F2170000}"/>
    <cellStyle name="20 % - Markeringsfarve3 4 2 8" xfId="21934" xr:uid="{00000000-0005-0000-0000-0000F3170000}"/>
    <cellStyle name="20 % - Markeringsfarve3 4 3" xfId="4582" xr:uid="{00000000-0005-0000-0000-0000F4170000}"/>
    <cellStyle name="20 % - Markeringsfarve3 4 3 2" xfId="4583" xr:uid="{00000000-0005-0000-0000-0000F5170000}"/>
    <cellStyle name="20 % - Markeringsfarve3 4 3 2 2" xfId="4584" xr:uid="{00000000-0005-0000-0000-0000F6170000}"/>
    <cellStyle name="20 % - Markeringsfarve3 4 3 2 2 2" xfId="9978" xr:uid="{00000000-0005-0000-0000-0000F7170000}"/>
    <cellStyle name="20 % - Markeringsfarve3 4 3 2 2 2 2" xfId="17879" xr:uid="{00000000-0005-0000-0000-0000F8170000}"/>
    <cellStyle name="20 % - Markeringsfarve3 4 3 2 2 2 2 2" xfId="36039" xr:uid="{00000000-0005-0000-0000-0000F9170000}"/>
    <cellStyle name="20 % - Markeringsfarve3 4 3 2 2 2 3" xfId="29038" xr:uid="{00000000-0005-0000-0000-0000FA170000}"/>
    <cellStyle name="20 % - Markeringsfarve3 4 3 2 2 3" xfId="13138" xr:uid="{00000000-0005-0000-0000-0000FB170000}"/>
    <cellStyle name="20 % - Markeringsfarve3 4 3 2 2 3 2" xfId="31305" xr:uid="{00000000-0005-0000-0000-0000FC170000}"/>
    <cellStyle name="20 % - Markeringsfarve3 4 3 2 2 4" xfId="24303" xr:uid="{00000000-0005-0000-0000-0000FD170000}"/>
    <cellStyle name="20 % - Markeringsfarve3 4 3 2 3" xfId="8542" xr:uid="{00000000-0005-0000-0000-0000FE170000}"/>
    <cellStyle name="20 % - Markeringsfarve3 4 3 2 3 2" xfId="16459" xr:uid="{00000000-0005-0000-0000-0000FF170000}"/>
    <cellStyle name="20 % - Markeringsfarve3 4 3 2 3 2 2" xfId="34619" xr:uid="{00000000-0005-0000-0000-000000180000}"/>
    <cellStyle name="20 % - Markeringsfarve3 4 3 2 3 3" xfId="27618" xr:uid="{00000000-0005-0000-0000-000001180000}"/>
    <cellStyle name="20 % - Markeringsfarve3 4 3 2 4" xfId="13137" xr:uid="{00000000-0005-0000-0000-000002180000}"/>
    <cellStyle name="20 % - Markeringsfarve3 4 3 2 4 2" xfId="31304" xr:uid="{00000000-0005-0000-0000-000003180000}"/>
    <cellStyle name="20 % - Markeringsfarve3 4 3 2 5" xfId="24302" xr:uid="{00000000-0005-0000-0000-000004180000}"/>
    <cellStyle name="20 % - Markeringsfarve3 4 3 3" xfId="4585" xr:uid="{00000000-0005-0000-0000-000005180000}"/>
    <cellStyle name="20 % - Markeringsfarve3 4 3 3 2" xfId="9208" xr:uid="{00000000-0005-0000-0000-000006180000}"/>
    <cellStyle name="20 % - Markeringsfarve3 4 3 3 2 2" xfId="17119" xr:uid="{00000000-0005-0000-0000-000007180000}"/>
    <cellStyle name="20 % - Markeringsfarve3 4 3 3 2 2 2" xfId="35279" xr:uid="{00000000-0005-0000-0000-000008180000}"/>
    <cellStyle name="20 % - Markeringsfarve3 4 3 3 2 3" xfId="28278" xr:uid="{00000000-0005-0000-0000-000009180000}"/>
    <cellStyle name="20 % - Markeringsfarve3 4 3 3 3" xfId="13139" xr:uid="{00000000-0005-0000-0000-00000A180000}"/>
    <cellStyle name="20 % - Markeringsfarve3 4 3 3 3 2" xfId="31306" xr:uid="{00000000-0005-0000-0000-00000B180000}"/>
    <cellStyle name="20 % - Markeringsfarve3 4 3 3 4" xfId="24304" xr:uid="{00000000-0005-0000-0000-00000C180000}"/>
    <cellStyle name="20 % - Markeringsfarve3 4 3 4" xfId="4586" xr:uid="{00000000-0005-0000-0000-00000D180000}"/>
    <cellStyle name="20 % - Markeringsfarve3 4 3 4 2" xfId="10539" xr:uid="{00000000-0005-0000-0000-00000E180000}"/>
    <cellStyle name="20 % - Markeringsfarve3 4 3 4 2 2" xfId="18433" xr:uid="{00000000-0005-0000-0000-00000F180000}"/>
    <cellStyle name="20 % - Markeringsfarve3 4 3 4 2 2 2" xfId="36593" xr:uid="{00000000-0005-0000-0000-000010180000}"/>
    <cellStyle name="20 % - Markeringsfarve3 4 3 4 2 3" xfId="29592" xr:uid="{00000000-0005-0000-0000-000011180000}"/>
    <cellStyle name="20 % - Markeringsfarve3 4 3 4 3" xfId="13140" xr:uid="{00000000-0005-0000-0000-000012180000}"/>
    <cellStyle name="20 % - Markeringsfarve3 4 3 4 3 2" xfId="31307" xr:uid="{00000000-0005-0000-0000-000013180000}"/>
    <cellStyle name="20 % - Markeringsfarve3 4 3 4 4" xfId="24305" xr:uid="{00000000-0005-0000-0000-000014180000}"/>
    <cellStyle name="20 % - Markeringsfarve3 4 3 5" xfId="7790" xr:uid="{00000000-0005-0000-0000-000015180000}"/>
    <cellStyle name="20 % - Markeringsfarve3 4 3 5 2" xfId="15708" xr:uid="{00000000-0005-0000-0000-000016180000}"/>
    <cellStyle name="20 % - Markeringsfarve3 4 3 5 2 2" xfId="33868" xr:uid="{00000000-0005-0000-0000-000017180000}"/>
    <cellStyle name="20 % - Markeringsfarve3 4 3 5 3" xfId="26867" xr:uid="{00000000-0005-0000-0000-000018180000}"/>
    <cellStyle name="20 % - Markeringsfarve3 4 3 6" xfId="13136" xr:uid="{00000000-0005-0000-0000-000019180000}"/>
    <cellStyle name="20 % - Markeringsfarve3 4 3 6 2" xfId="31303" xr:uid="{00000000-0005-0000-0000-00001A180000}"/>
    <cellStyle name="20 % - Markeringsfarve3 4 3 7" xfId="24301" xr:uid="{00000000-0005-0000-0000-00001B180000}"/>
    <cellStyle name="20 % - Markeringsfarve3 4 4" xfId="4587" xr:uid="{00000000-0005-0000-0000-00001C180000}"/>
    <cellStyle name="20 % - Markeringsfarve3 4 4 2" xfId="4588" xr:uid="{00000000-0005-0000-0000-00001D180000}"/>
    <cellStyle name="20 % - Markeringsfarve3 4 4 2 2" xfId="4589" xr:uid="{00000000-0005-0000-0000-00001E180000}"/>
    <cellStyle name="20 % - Markeringsfarve3 4 4 2 2 2" xfId="10117" xr:uid="{00000000-0005-0000-0000-00001F180000}"/>
    <cellStyle name="20 % - Markeringsfarve3 4 4 2 2 2 2" xfId="18018" xr:uid="{00000000-0005-0000-0000-000020180000}"/>
    <cellStyle name="20 % - Markeringsfarve3 4 4 2 2 2 2 2" xfId="36178" xr:uid="{00000000-0005-0000-0000-000021180000}"/>
    <cellStyle name="20 % - Markeringsfarve3 4 4 2 2 2 3" xfId="29177" xr:uid="{00000000-0005-0000-0000-000022180000}"/>
    <cellStyle name="20 % - Markeringsfarve3 4 4 2 2 3" xfId="13143" xr:uid="{00000000-0005-0000-0000-000023180000}"/>
    <cellStyle name="20 % - Markeringsfarve3 4 4 2 2 3 2" xfId="31310" xr:uid="{00000000-0005-0000-0000-000024180000}"/>
    <cellStyle name="20 % - Markeringsfarve3 4 4 2 2 4" xfId="24308" xr:uid="{00000000-0005-0000-0000-000025180000}"/>
    <cellStyle name="20 % - Markeringsfarve3 4 4 2 3" xfId="8657" xr:uid="{00000000-0005-0000-0000-000026180000}"/>
    <cellStyle name="20 % - Markeringsfarve3 4 4 2 3 2" xfId="16571" xr:uid="{00000000-0005-0000-0000-000027180000}"/>
    <cellStyle name="20 % - Markeringsfarve3 4 4 2 3 2 2" xfId="34731" xr:uid="{00000000-0005-0000-0000-000028180000}"/>
    <cellStyle name="20 % - Markeringsfarve3 4 4 2 3 3" xfId="27730" xr:uid="{00000000-0005-0000-0000-000029180000}"/>
    <cellStyle name="20 % - Markeringsfarve3 4 4 2 4" xfId="13142" xr:uid="{00000000-0005-0000-0000-00002A180000}"/>
    <cellStyle name="20 % - Markeringsfarve3 4 4 2 4 2" xfId="31309" xr:uid="{00000000-0005-0000-0000-00002B180000}"/>
    <cellStyle name="20 % - Markeringsfarve3 4 4 2 5" xfId="24307" xr:uid="{00000000-0005-0000-0000-00002C180000}"/>
    <cellStyle name="20 % - Markeringsfarve3 4 4 3" xfId="4590" xr:uid="{00000000-0005-0000-0000-00002D180000}"/>
    <cellStyle name="20 % - Markeringsfarve3 4 4 3 2" xfId="9393" xr:uid="{00000000-0005-0000-0000-00002E180000}"/>
    <cellStyle name="20 % - Markeringsfarve3 4 4 3 2 2" xfId="17303" xr:uid="{00000000-0005-0000-0000-00002F180000}"/>
    <cellStyle name="20 % - Markeringsfarve3 4 4 3 2 2 2" xfId="35463" xr:uid="{00000000-0005-0000-0000-000030180000}"/>
    <cellStyle name="20 % - Markeringsfarve3 4 4 3 2 3" xfId="28462" xr:uid="{00000000-0005-0000-0000-000031180000}"/>
    <cellStyle name="20 % - Markeringsfarve3 4 4 3 3" xfId="13144" xr:uid="{00000000-0005-0000-0000-000032180000}"/>
    <cellStyle name="20 % - Markeringsfarve3 4 4 3 3 2" xfId="31311" xr:uid="{00000000-0005-0000-0000-000033180000}"/>
    <cellStyle name="20 % - Markeringsfarve3 4 4 3 4" xfId="24309" xr:uid="{00000000-0005-0000-0000-000034180000}"/>
    <cellStyle name="20 % - Markeringsfarve3 4 4 4" xfId="4591" xr:uid="{00000000-0005-0000-0000-000035180000}"/>
    <cellStyle name="20 % - Markeringsfarve3 4 4 4 2" xfId="10748" xr:uid="{00000000-0005-0000-0000-000036180000}"/>
    <cellStyle name="20 % - Markeringsfarve3 4 4 4 2 2" xfId="18637" xr:uid="{00000000-0005-0000-0000-000037180000}"/>
    <cellStyle name="20 % - Markeringsfarve3 4 4 4 2 2 2" xfId="36797" xr:uid="{00000000-0005-0000-0000-000038180000}"/>
    <cellStyle name="20 % - Markeringsfarve3 4 4 4 2 3" xfId="29796" xr:uid="{00000000-0005-0000-0000-000039180000}"/>
    <cellStyle name="20 % - Markeringsfarve3 4 4 4 3" xfId="13145" xr:uid="{00000000-0005-0000-0000-00003A180000}"/>
    <cellStyle name="20 % - Markeringsfarve3 4 4 4 3 2" xfId="31312" xr:uid="{00000000-0005-0000-0000-00003B180000}"/>
    <cellStyle name="20 % - Markeringsfarve3 4 4 4 4" xfId="24310" xr:uid="{00000000-0005-0000-0000-00003C180000}"/>
    <cellStyle name="20 % - Markeringsfarve3 4 4 5" xfId="7791" xr:uid="{00000000-0005-0000-0000-00003D180000}"/>
    <cellStyle name="20 % - Markeringsfarve3 4 4 5 2" xfId="15709" xr:uid="{00000000-0005-0000-0000-00003E180000}"/>
    <cellStyle name="20 % - Markeringsfarve3 4 4 5 2 2" xfId="33869" xr:uid="{00000000-0005-0000-0000-00003F180000}"/>
    <cellStyle name="20 % - Markeringsfarve3 4 4 5 3" xfId="26868" xr:uid="{00000000-0005-0000-0000-000040180000}"/>
    <cellStyle name="20 % - Markeringsfarve3 4 4 6" xfId="13141" xr:uid="{00000000-0005-0000-0000-000041180000}"/>
    <cellStyle name="20 % - Markeringsfarve3 4 4 6 2" xfId="31308" xr:uid="{00000000-0005-0000-0000-000042180000}"/>
    <cellStyle name="20 % - Markeringsfarve3 4 4 7" xfId="24306" xr:uid="{00000000-0005-0000-0000-000043180000}"/>
    <cellStyle name="20 % - Markeringsfarve3 4 5" xfId="4592" xr:uid="{00000000-0005-0000-0000-000044180000}"/>
    <cellStyle name="20 % - Markeringsfarve3 4 5 2" xfId="4593" xr:uid="{00000000-0005-0000-0000-000045180000}"/>
    <cellStyle name="20 % - Markeringsfarve3 4 5 2 2" xfId="4594" xr:uid="{00000000-0005-0000-0000-000046180000}"/>
    <cellStyle name="20 % - Markeringsfarve3 4 5 2 2 2" xfId="10234" xr:uid="{00000000-0005-0000-0000-000047180000}"/>
    <cellStyle name="20 % - Markeringsfarve3 4 5 2 2 2 2" xfId="18135" xr:uid="{00000000-0005-0000-0000-000048180000}"/>
    <cellStyle name="20 % - Markeringsfarve3 4 5 2 2 2 2 2" xfId="36295" xr:uid="{00000000-0005-0000-0000-000049180000}"/>
    <cellStyle name="20 % - Markeringsfarve3 4 5 2 2 2 3" xfId="29294" xr:uid="{00000000-0005-0000-0000-00004A180000}"/>
    <cellStyle name="20 % - Markeringsfarve3 4 5 2 2 3" xfId="13148" xr:uid="{00000000-0005-0000-0000-00004B180000}"/>
    <cellStyle name="20 % - Markeringsfarve3 4 5 2 2 3 2" xfId="31315" xr:uid="{00000000-0005-0000-0000-00004C180000}"/>
    <cellStyle name="20 % - Markeringsfarve3 4 5 2 2 4" xfId="24313" xr:uid="{00000000-0005-0000-0000-00004D180000}"/>
    <cellStyle name="20 % - Markeringsfarve3 4 5 2 3" xfId="8756" xr:uid="{00000000-0005-0000-0000-00004E180000}"/>
    <cellStyle name="20 % - Markeringsfarve3 4 5 2 3 2" xfId="16670" xr:uid="{00000000-0005-0000-0000-00004F180000}"/>
    <cellStyle name="20 % - Markeringsfarve3 4 5 2 3 2 2" xfId="34830" xr:uid="{00000000-0005-0000-0000-000050180000}"/>
    <cellStyle name="20 % - Markeringsfarve3 4 5 2 3 3" xfId="27829" xr:uid="{00000000-0005-0000-0000-000051180000}"/>
    <cellStyle name="20 % - Markeringsfarve3 4 5 2 4" xfId="13147" xr:uid="{00000000-0005-0000-0000-000052180000}"/>
    <cellStyle name="20 % - Markeringsfarve3 4 5 2 4 2" xfId="31314" xr:uid="{00000000-0005-0000-0000-000053180000}"/>
    <cellStyle name="20 % - Markeringsfarve3 4 5 2 5" xfId="24312" xr:uid="{00000000-0005-0000-0000-000054180000}"/>
    <cellStyle name="20 % - Markeringsfarve3 4 5 3" xfId="4595" xr:uid="{00000000-0005-0000-0000-000055180000}"/>
    <cellStyle name="20 % - Markeringsfarve3 4 5 3 2" xfId="9510" xr:uid="{00000000-0005-0000-0000-000056180000}"/>
    <cellStyle name="20 % - Markeringsfarve3 4 5 3 2 2" xfId="17420" xr:uid="{00000000-0005-0000-0000-000057180000}"/>
    <cellStyle name="20 % - Markeringsfarve3 4 5 3 2 2 2" xfId="35580" xr:uid="{00000000-0005-0000-0000-000058180000}"/>
    <cellStyle name="20 % - Markeringsfarve3 4 5 3 2 3" xfId="28579" xr:uid="{00000000-0005-0000-0000-000059180000}"/>
    <cellStyle name="20 % - Markeringsfarve3 4 5 3 3" xfId="13149" xr:uid="{00000000-0005-0000-0000-00005A180000}"/>
    <cellStyle name="20 % - Markeringsfarve3 4 5 3 3 2" xfId="31316" xr:uid="{00000000-0005-0000-0000-00005B180000}"/>
    <cellStyle name="20 % - Markeringsfarve3 4 5 3 4" xfId="24314" xr:uid="{00000000-0005-0000-0000-00005C180000}"/>
    <cellStyle name="20 % - Markeringsfarve3 4 5 4" xfId="4596" xr:uid="{00000000-0005-0000-0000-00005D180000}"/>
    <cellStyle name="20 % - Markeringsfarve3 4 5 4 2" xfId="10747" xr:uid="{00000000-0005-0000-0000-00005E180000}"/>
    <cellStyle name="20 % - Markeringsfarve3 4 5 4 2 2" xfId="18636" xr:uid="{00000000-0005-0000-0000-00005F180000}"/>
    <cellStyle name="20 % - Markeringsfarve3 4 5 4 2 2 2" xfId="36796" xr:uid="{00000000-0005-0000-0000-000060180000}"/>
    <cellStyle name="20 % - Markeringsfarve3 4 5 4 2 3" xfId="29795" xr:uid="{00000000-0005-0000-0000-000061180000}"/>
    <cellStyle name="20 % - Markeringsfarve3 4 5 4 3" xfId="13150" xr:uid="{00000000-0005-0000-0000-000062180000}"/>
    <cellStyle name="20 % - Markeringsfarve3 4 5 4 3 2" xfId="31317" xr:uid="{00000000-0005-0000-0000-000063180000}"/>
    <cellStyle name="20 % - Markeringsfarve3 4 5 4 4" xfId="24315" xr:uid="{00000000-0005-0000-0000-000064180000}"/>
    <cellStyle name="20 % - Markeringsfarve3 4 5 5" xfId="7792" xr:uid="{00000000-0005-0000-0000-000065180000}"/>
    <cellStyle name="20 % - Markeringsfarve3 4 5 5 2" xfId="15710" xr:uid="{00000000-0005-0000-0000-000066180000}"/>
    <cellStyle name="20 % - Markeringsfarve3 4 5 5 2 2" xfId="33870" xr:uid="{00000000-0005-0000-0000-000067180000}"/>
    <cellStyle name="20 % - Markeringsfarve3 4 5 5 3" xfId="26869" xr:uid="{00000000-0005-0000-0000-000068180000}"/>
    <cellStyle name="20 % - Markeringsfarve3 4 5 6" xfId="13146" xr:uid="{00000000-0005-0000-0000-000069180000}"/>
    <cellStyle name="20 % - Markeringsfarve3 4 5 6 2" xfId="31313" xr:uid="{00000000-0005-0000-0000-00006A180000}"/>
    <cellStyle name="20 % - Markeringsfarve3 4 5 7" xfId="24311" xr:uid="{00000000-0005-0000-0000-00006B180000}"/>
    <cellStyle name="20 % - Markeringsfarve3 4 6" xfId="4597" xr:uid="{00000000-0005-0000-0000-00006C180000}"/>
    <cellStyle name="20 % - Markeringsfarve3 4 6 2" xfId="4598" xr:uid="{00000000-0005-0000-0000-00006D180000}"/>
    <cellStyle name="20 % - Markeringsfarve3 4 6 2 2" xfId="4599" xr:uid="{00000000-0005-0000-0000-00006E180000}"/>
    <cellStyle name="20 % - Markeringsfarve3 4 6 2 2 2" xfId="10333" xr:uid="{00000000-0005-0000-0000-00006F180000}"/>
    <cellStyle name="20 % - Markeringsfarve3 4 6 2 2 2 2" xfId="18234" xr:uid="{00000000-0005-0000-0000-000070180000}"/>
    <cellStyle name="20 % - Markeringsfarve3 4 6 2 2 2 2 2" xfId="36394" xr:uid="{00000000-0005-0000-0000-000071180000}"/>
    <cellStyle name="20 % - Markeringsfarve3 4 6 2 2 2 3" xfId="29393" xr:uid="{00000000-0005-0000-0000-000072180000}"/>
    <cellStyle name="20 % - Markeringsfarve3 4 6 2 2 3" xfId="13153" xr:uid="{00000000-0005-0000-0000-000073180000}"/>
    <cellStyle name="20 % - Markeringsfarve3 4 6 2 2 3 2" xfId="31320" xr:uid="{00000000-0005-0000-0000-000074180000}"/>
    <cellStyle name="20 % - Markeringsfarve3 4 6 2 2 4" xfId="24318" xr:uid="{00000000-0005-0000-0000-000075180000}"/>
    <cellStyle name="20 % - Markeringsfarve3 4 6 2 3" xfId="8844" xr:uid="{00000000-0005-0000-0000-000076180000}"/>
    <cellStyle name="20 % - Markeringsfarve3 4 6 2 3 2" xfId="16758" xr:uid="{00000000-0005-0000-0000-000077180000}"/>
    <cellStyle name="20 % - Markeringsfarve3 4 6 2 3 2 2" xfId="34918" xr:uid="{00000000-0005-0000-0000-000078180000}"/>
    <cellStyle name="20 % - Markeringsfarve3 4 6 2 3 3" xfId="27917" xr:uid="{00000000-0005-0000-0000-000079180000}"/>
    <cellStyle name="20 % - Markeringsfarve3 4 6 2 4" xfId="13152" xr:uid="{00000000-0005-0000-0000-00007A180000}"/>
    <cellStyle name="20 % - Markeringsfarve3 4 6 2 4 2" xfId="31319" xr:uid="{00000000-0005-0000-0000-00007B180000}"/>
    <cellStyle name="20 % - Markeringsfarve3 4 6 2 5" xfId="24317" xr:uid="{00000000-0005-0000-0000-00007C180000}"/>
    <cellStyle name="20 % - Markeringsfarve3 4 6 3" xfId="4600" xr:uid="{00000000-0005-0000-0000-00007D180000}"/>
    <cellStyle name="20 % - Markeringsfarve3 4 6 3 2" xfId="9610" xr:uid="{00000000-0005-0000-0000-00007E180000}"/>
    <cellStyle name="20 % - Markeringsfarve3 4 6 3 2 2" xfId="17520" xr:uid="{00000000-0005-0000-0000-00007F180000}"/>
    <cellStyle name="20 % - Markeringsfarve3 4 6 3 2 2 2" xfId="35680" xr:uid="{00000000-0005-0000-0000-000080180000}"/>
    <cellStyle name="20 % - Markeringsfarve3 4 6 3 2 3" xfId="28679" xr:uid="{00000000-0005-0000-0000-000081180000}"/>
    <cellStyle name="20 % - Markeringsfarve3 4 6 3 3" xfId="13154" xr:uid="{00000000-0005-0000-0000-000082180000}"/>
    <cellStyle name="20 % - Markeringsfarve3 4 6 3 3 2" xfId="31321" xr:uid="{00000000-0005-0000-0000-000083180000}"/>
    <cellStyle name="20 % - Markeringsfarve3 4 6 3 4" xfId="24319" xr:uid="{00000000-0005-0000-0000-000084180000}"/>
    <cellStyle name="20 % - Markeringsfarve3 4 6 4" xfId="4601" xr:uid="{00000000-0005-0000-0000-000085180000}"/>
    <cellStyle name="20 % - Markeringsfarve3 4 6 4 2" xfId="10538" xr:uid="{00000000-0005-0000-0000-000086180000}"/>
    <cellStyle name="20 % - Markeringsfarve3 4 6 4 2 2" xfId="18432" xr:uid="{00000000-0005-0000-0000-000087180000}"/>
    <cellStyle name="20 % - Markeringsfarve3 4 6 4 2 2 2" xfId="36592" xr:uid="{00000000-0005-0000-0000-000088180000}"/>
    <cellStyle name="20 % - Markeringsfarve3 4 6 4 2 3" xfId="29591" xr:uid="{00000000-0005-0000-0000-000089180000}"/>
    <cellStyle name="20 % - Markeringsfarve3 4 6 4 3" xfId="13155" xr:uid="{00000000-0005-0000-0000-00008A180000}"/>
    <cellStyle name="20 % - Markeringsfarve3 4 6 4 3 2" xfId="31322" xr:uid="{00000000-0005-0000-0000-00008B180000}"/>
    <cellStyle name="20 % - Markeringsfarve3 4 6 4 4" xfId="24320" xr:uid="{00000000-0005-0000-0000-00008C180000}"/>
    <cellStyle name="20 % - Markeringsfarve3 4 6 5" xfId="7793" xr:uid="{00000000-0005-0000-0000-00008D180000}"/>
    <cellStyle name="20 % - Markeringsfarve3 4 6 5 2" xfId="15711" xr:uid="{00000000-0005-0000-0000-00008E180000}"/>
    <cellStyle name="20 % - Markeringsfarve3 4 6 5 2 2" xfId="33871" xr:uid="{00000000-0005-0000-0000-00008F180000}"/>
    <cellStyle name="20 % - Markeringsfarve3 4 6 5 3" xfId="26870" xr:uid="{00000000-0005-0000-0000-000090180000}"/>
    <cellStyle name="20 % - Markeringsfarve3 4 6 6" xfId="13151" xr:uid="{00000000-0005-0000-0000-000091180000}"/>
    <cellStyle name="20 % - Markeringsfarve3 4 6 6 2" xfId="31318" xr:uid="{00000000-0005-0000-0000-000092180000}"/>
    <cellStyle name="20 % - Markeringsfarve3 4 6 7" xfId="24316" xr:uid="{00000000-0005-0000-0000-000093180000}"/>
    <cellStyle name="20 % - Markeringsfarve3 4 7" xfId="4602" xr:uid="{00000000-0005-0000-0000-000094180000}"/>
    <cellStyle name="20 % - Markeringsfarve3 4 7 2" xfId="4603" xr:uid="{00000000-0005-0000-0000-000095180000}"/>
    <cellStyle name="20 % - Markeringsfarve3 4 7 2 2" xfId="9760" xr:uid="{00000000-0005-0000-0000-000096180000}"/>
    <cellStyle name="20 % - Markeringsfarve3 4 7 2 2 2" xfId="17661" xr:uid="{00000000-0005-0000-0000-000097180000}"/>
    <cellStyle name="20 % - Markeringsfarve3 4 7 2 2 2 2" xfId="35821" xr:uid="{00000000-0005-0000-0000-000098180000}"/>
    <cellStyle name="20 % - Markeringsfarve3 4 7 2 2 3" xfId="28820" xr:uid="{00000000-0005-0000-0000-000099180000}"/>
    <cellStyle name="20 % - Markeringsfarve3 4 7 2 3" xfId="13157" xr:uid="{00000000-0005-0000-0000-00009A180000}"/>
    <cellStyle name="20 % - Markeringsfarve3 4 7 2 3 2" xfId="31324" xr:uid="{00000000-0005-0000-0000-00009B180000}"/>
    <cellStyle name="20 % - Markeringsfarve3 4 7 2 4" xfId="24322" xr:uid="{00000000-0005-0000-0000-00009C180000}"/>
    <cellStyle name="20 % - Markeringsfarve3 4 7 3" xfId="8356" xr:uid="{00000000-0005-0000-0000-00009D180000}"/>
    <cellStyle name="20 % - Markeringsfarve3 4 7 3 2" xfId="16273" xr:uid="{00000000-0005-0000-0000-00009E180000}"/>
    <cellStyle name="20 % - Markeringsfarve3 4 7 3 2 2" xfId="34433" xr:uid="{00000000-0005-0000-0000-00009F180000}"/>
    <cellStyle name="20 % - Markeringsfarve3 4 7 3 3" xfId="27432" xr:uid="{00000000-0005-0000-0000-0000A0180000}"/>
    <cellStyle name="20 % - Markeringsfarve3 4 7 4" xfId="13156" xr:uid="{00000000-0005-0000-0000-0000A1180000}"/>
    <cellStyle name="20 % - Markeringsfarve3 4 7 4 2" xfId="31323" xr:uid="{00000000-0005-0000-0000-0000A2180000}"/>
    <cellStyle name="20 % - Markeringsfarve3 4 7 5" xfId="24321" xr:uid="{00000000-0005-0000-0000-0000A3180000}"/>
    <cellStyle name="20 % - Markeringsfarve3 4 8" xfId="4604" xr:uid="{00000000-0005-0000-0000-0000A4180000}"/>
    <cellStyle name="20 % - Markeringsfarve3 4 8 2" xfId="8988" xr:uid="{00000000-0005-0000-0000-0000A5180000}"/>
    <cellStyle name="20 % - Markeringsfarve3 4 8 2 2" xfId="16899" xr:uid="{00000000-0005-0000-0000-0000A6180000}"/>
    <cellStyle name="20 % - Markeringsfarve3 4 8 2 2 2" xfId="35059" xr:uid="{00000000-0005-0000-0000-0000A7180000}"/>
    <cellStyle name="20 % - Markeringsfarve3 4 8 2 3" xfId="28058" xr:uid="{00000000-0005-0000-0000-0000A8180000}"/>
    <cellStyle name="20 % - Markeringsfarve3 4 8 3" xfId="13158" xr:uid="{00000000-0005-0000-0000-0000A9180000}"/>
    <cellStyle name="20 % - Markeringsfarve3 4 8 3 2" xfId="31325" xr:uid="{00000000-0005-0000-0000-0000AA180000}"/>
    <cellStyle name="20 % - Markeringsfarve3 4 8 4" xfId="24323" xr:uid="{00000000-0005-0000-0000-0000AB180000}"/>
    <cellStyle name="20 % - Markeringsfarve3 4 9" xfId="4605" xr:uid="{00000000-0005-0000-0000-0000AC180000}"/>
    <cellStyle name="20 % - Markeringsfarve3 4 9 2" xfId="9328" xr:uid="{00000000-0005-0000-0000-0000AD180000}"/>
    <cellStyle name="20 % - Markeringsfarve3 4 9 2 2" xfId="17238" xr:uid="{00000000-0005-0000-0000-0000AE180000}"/>
    <cellStyle name="20 % - Markeringsfarve3 4 9 2 2 2" xfId="35398" xr:uid="{00000000-0005-0000-0000-0000AF180000}"/>
    <cellStyle name="20 % - Markeringsfarve3 4 9 2 3" xfId="28397" xr:uid="{00000000-0005-0000-0000-0000B0180000}"/>
    <cellStyle name="20 % - Markeringsfarve3 4 9 3" xfId="13159" xr:uid="{00000000-0005-0000-0000-0000B1180000}"/>
    <cellStyle name="20 % - Markeringsfarve3 4 9 3 2" xfId="31326" xr:uid="{00000000-0005-0000-0000-0000B2180000}"/>
    <cellStyle name="20 % - Markeringsfarve3 4 9 4" xfId="24324" xr:uid="{00000000-0005-0000-0000-0000B3180000}"/>
    <cellStyle name="20 % - Markeringsfarve3 5" xfId="1811" xr:uid="{00000000-0005-0000-0000-0000B4180000}"/>
    <cellStyle name="20 % - Markeringsfarve3 5 10" xfId="7794" xr:uid="{00000000-0005-0000-0000-0000B5180000}"/>
    <cellStyle name="20 % - Markeringsfarve3 5 10 2" xfId="15712" xr:uid="{00000000-0005-0000-0000-0000B6180000}"/>
    <cellStyle name="20 % - Markeringsfarve3 5 10 2 2" xfId="33872" xr:uid="{00000000-0005-0000-0000-0000B7180000}"/>
    <cellStyle name="20 % - Markeringsfarve3 5 10 3" xfId="26871" xr:uid="{00000000-0005-0000-0000-0000B8180000}"/>
    <cellStyle name="20 % - Markeringsfarve3 5 11" xfId="13160" xr:uid="{00000000-0005-0000-0000-0000B9180000}"/>
    <cellStyle name="20 % - Markeringsfarve3 5 11 2" xfId="31327" xr:uid="{00000000-0005-0000-0000-0000BA180000}"/>
    <cellStyle name="20 % - Markeringsfarve3 5 12" xfId="4606" xr:uid="{00000000-0005-0000-0000-0000BB180000}"/>
    <cellStyle name="20 % - Markeringsfarve3 5 12 2" xfId="24325" xr:uid="{00000000-0005-0000-0000-0000BC180000}"/>
    <cellStyle name="20 % - Markeringsfarve3 5 13" xfId="21935" xr:uid="{00000000-0005-0000-0000-0000BD180000}"/>
    <cellStyle name="20 % - Markeringsfarve3 5 2" xfId="1812" xr:uid="{00000000-0005-0000-0000-0000BE180000}"/>
    <cellStyle name="20 % - Markeringsfarve3 5 2 2" xfId="4608" xr:uid="{00000000-0005-0000-0000-0000BF180000}"/>
    <cellStyle name="20 % - Markeringsfarve3 5 2 2 2" xfId="4609" xr:uid="{00000000-0005-0000-0000-0000C0180000}"/>
    <cellStyle name="20 % - Markeringsfarve3 5 2 2 2 2" xfId="9918" xr:uid="{00000000-0005-0000-0000-0000C1180000}"/>
    <cellStyle name="20 % - Markeringsfarve3 5 2 2 2 2 2" xfId="17819" xr:uid="{00000000-0005-0000-0000-0000C2180000}"/>
    <cellStyle name="20 % - Markeringsfarve3 5 2 2 2 2 2 2" xfId="35979" xr:uid="{00000000-0005-0000-0000-0000C3180000}"/>
    <cellStyle name="20 % - Markeringsfarve3 5 2 2 2 2 3" xfId="28978" xr:uid="{00000000-0005-0000-0000-0000C4180000}"/>
    <cellStyle name="20 % - Markeringsfarve3 5 2 2 2 3" xfId="13163" xr:uid="{00000000-0005-0000-0000-0000C5180000}"/>
    <cellStyle name="20 % - Markeringsfarve3 5 2 2 2 3 2" xfId="31330" xr:uid="{00000000-0005-0000-0000-0000C6180000}"/>
    <cellStyle name="20 % - Markeringsfarve3 5 2 2 2 4" xfId="24328" xr:uid="{00000000-0005-0000-0000-0000C7180000}"/>
    <cellStyle name="20 % - Markeringsfarve3 5 2 2 3" xfId="8488" xr:uid="{00000000-0005-0000-0000-0000C8180000}"/>
    <cellStyle name="20 % - Markeringsfarve3 5 2 2 3 2" xfId="16405" xr:uid="{00000000-0005-0000-0000-0000C9180000}"/>
    <cellStyle name="20 % - Markeringsfarve3 5 2 2 3 2 2" xfId="34565" xr:uid="{00000000-0005-0000-0000-0000CA180000}"/>
    <cellStyle name="20 % - Markeringsfarve3 5 2 2 3 3" xfId="27564" xr:uid="{00000000-0005-0000-0000-0000CB180000}"/>
    <cellStyle name="20 % - Markeringsfarve3 5 2 2 4" xfId="13162" xr:uid="{00000000-0005-0000-0000-0000CC180000}"/>
    <cellStyle name="20 % - Markeringsfarve3 5 2 2 4 2" xfId="31329" xr:uid="{00000000-0005-0000-0000-0000CD180000}"/>
    <cellStyle name="20 % - Markeringsfarve3 5 2 2 5" xfId="24327" xr:uid="{00000000-0005-0000-0000-0000CE180000}"/>
    <cellStyle name="20 % - Markeringsfarve3 5 2 3" xfId="4610" xr:uid="{00000000-0005-0000-0000-0000CF180000}"/>
    <cellStyle name="20 % - Markeringsfarve3 5 2 3 2" xfId="9148" xr:uid="{00000000-0005-0000-0000-0000D0180000}"/>
    <cellStyle name="20 % - Markeringsfarve3 5 2 3 2 2" xfId="17059" xr:uid="{00000000-0005-0000-0000-0000D1180000}"/>
    <cellStyle name="20 % - Markeringsfarve3 5 2 3 2 2 2" xfId="35219" xr:uid="{00000000-0005-0000-0000-0000D2180000}"/>
    <cellStyle name="20 % - Markeringsfarve3 5 2 3 2 3" xfId="28218" xr:uid="{00000000-0005-0000-0000-0000D3180000}"/>
    <cellStyle name="20 % - Markeringsfarve3 5 2 3 3" xfId="13164" xr:uid="{00000000-0005-0000-0000-0000D4180000}"/>
    <cellStyle name="20 % - Markeringsfarve3 5 2 3 3 2" xfId="31331" xr:uid="{00000000-0005-0000-0000-0000D5180000}"/>
    <cellStyle name="20 % - Markeringsfarve3 5 2 3 4" xfId="24329" xr:uid="{00000000-0005-0000-0000-0000D6180000}"/>
    <cellStyle name="20 % - Markeringsfarve3 5 2 4" xfId="4611" xr:uid="{00000000-0005-0000-0000-0000D7180000}"/>
    <cellStyle name="20 % - Markeringsfarve3 5 2 4 2" xfId="10536" xr:uid="{00000000-0005-0000-0000-0000D8180000}"/>
    <cellStyle name="20 % - Markeringsfarve3 5 2 4 2 2" xfId="18430" xr:uid="{00000000-0005-0000-0000-0000D9180000}"/>
    <cellStyle name="20 % - Markeringsfarve3 5 2 4 2 2 2" xfId="36590" xr:uid="{00000000-0005-0000-0000-0000DA180000}"/>
    <cellStyle name="20 % - Markeringsfarve3 5 2 4 2 3" xfId="29589" xr:uid="{00000000-0005-0000-0000-0000DB180000}"/>
    <cellStyle name="20 % - Markeringsfarve3 5 2 4 3" xfId="13165" xr:uid="{00000000-0005-0000-0000-0000DC180000}"/>
    <cellStyle name="20 % - Markeringsfarve3 5 2 4 3 2" xfId="31332" xr:uid="{00000000-0005-0000-0000-0000DD180000}"/>
    <cellStyle name="20 % - Markeringsfarve3 5 2 4 4" xfId="24330" xr:uid="{00000000-0005-0000-0000-0000DE180000}"/>
    <cellStyle name="20 % - Markeringsfarve3 5 2 5" xfId="7795" xr:uid="{00000000-0005-0000-0000-0000DF180000}"/>
    <cellStyle name="20 % - Markeringsfarve3 5 2 5 2" xfId="15713" xr:uid="{00000000-0005-0000-0000-0000E0180000}"/>
    <cellStyle name="20 % - Markeringsfarve3 5 2 5 2 2" xfId="33873" xr:uid="{00000000-0005-0000-0000-0000E1180000}"/>
    <cellStyle name="20 % - Markeringsfarve3 5 2 5 3" xfId="26872" xr:uid="{00000000-0005-0000-0000-0000E2180000}"/>
    <cellStyle name="20 % - Markeringsfarve3 5 2 6" xfId="13161" xr:uid="{00000000-0005-0000-0000-0000E3180000}"/>
    <cellStyle name="20 % - Markeringsfarve3 5 2 6 2" xfId="31328" xr:uid="{00000000-0005-0000-0000-0000E4180000}"/>
    <cellStyle name="20 % - Markeringsfarve3 5 2 7" xfId="4607" xr:uid="{00000000-0005-0000-0000-0000E5180000}"/>
    <cellStyle name="20 % - Markeringsfarve3 5 2 7 2" xfId="24326" xr:uid="{00000000-0005-0000-0000-0000E6180000}"/>
    <cellStyle name="20 % - Markeringsfarve3 5 2 8" xfId="21936" xr:uid="{00000000-0005-0000-0000-0000E7180000}"/>
    <cellStyle name="20 % - Markeringsfarve3 5 3" xfId="4612" xr:uid="{00000000-0005-0000-0000-0000E8180000}"/>
    <cellStyle name="20 % - Markeringsfarve3 5 3 2" xfId="4613" xr:uid="{00000000-0005-0000-0000-0000E9180000}"/>
    <cellStyle name="20 % - Markeringsfarve3 5 3 2 2" xfId="4614" xr:uid="{00000000-0005-0000-0000-0000EA180000}"/>
    <cellStyle name="20 % - Markeringsfarve3 5 3 2 2 2" xfId="9979" xr:uid="{00000000-0005-0000-0000-0000EB180000}"/>
    <cellStyle name="20 % - Markeringsfarve3 5 3 2 2 2 2" xfId="17880" xr:uid="{00000000-0005-0000-0000-0000EC180000}"/>
    <cellStyle name="20 % - Markeringsfarve3 5 3 2 2 2 2 2" xfId="36040" xr:uid="{00000000-0005-0000-0000-0000ED180000}"/>
    <cellStyle name="20 % - Markeringsfarve3 5 3 2 2 2 3" xfId="29039" xr:uid="{00000000-0005-0000-0000-0000EE180000}"/>
    <cellStyle name="20 % - Markeringsfarve3 5 3 2 2 3" xfId="13168" xr:uid="{00000000-0005-0000-0000-0000EF180000}"/>
    <cellStyle name="20 % - Markeringsfarve3 5 3 2 2 3 2" xfId="31335" xr:uid="{00000000-0005-0000-0000-0000F0180000}"/>
    <cellStyle name="20 % - Markeringsfarve3 5 3 2 2 4" xfId="24333" xr:uid="{00000000-0005-0000-0000-0000F1180000}"/>
    <cellStyle name="20 % - Markeringsfarve3 5 3 2 3" xfId="8543" xr:uid="{00000000-0005-0000-0000-0000F2180000}"/>
    <cellStyle name="20 % - Markeringsfarve3 5 3 2 3 2" xfId="16460" xr:uid="{00000000-0005-0000-0000-0000F3180000}"/>
    <cellStyle name="20 % - Markeringsfarve3 5 3 2 3 2 2" xfId="34620" xr:uid="{00000000-0005-0000-0000-0000F4180000}"/>
    <cellStyle name="20 % - Markeringsfarve3 5 3 2 3 3" xfId="27619" xr:uid="{00000000-0005-0000-0000-0000F5180000}"/>
    <cellStyle name="20 % - Markeringsfarve3 5 3 2 4" xfId="13167" xr:uid="{00000000-0005-0000-0000-0000F6180000}"/>
    <cellStyle name="20 % - Markeringsfarve3 5 3 2 4 2" xfId="31334" xr:uid="{00000000-0005-0000-0000-0000F7180000}"/>
    <cellStyle name="20 % - Markeringsfarve3 5 3 2 5" xfId="24332" xr:uid="{00000000-0005-0000-0000-0000F8180000}"/>
    <cellStyle name="20 % - Markeringsfarve3 5 3 3" xfId="4615" xr:uid="{00000000-0005-0000-0000-0000F9180000}"/>
    <cellStyle name="20 % - Markeringsfarve3 5 3 3 2" xfId="9209" xr:uid="{00000000-0005-0000-0000-0000FA180000}"/>
    <cellStyle name="20 % - Markeringsfarve3 5 3 3 2 2" xfId="17120" xr:uid="{00000000-0005-0000-0000-0000FB180000}"/>
    <cellStyle name="20 % - Markeringsfarve3 5 3 3 2 2 2" xfId="35280" xr:uid="{00000000-0005-0000-0000-0000FC180000}"/>
    <cellStyle name="20 % - Markeringsfarve3 5 3 3 2 3" xfId="28279" xr:uid="{00000000-0005-0000-0000-0000FD180000}"/>
    <cellStyle name="20 % - Markeringsfarve3 5 3 3 3" xfId="13169" xr:uid="{00000000-0005-0000-0000-0000FE180000}"/>
    <cellStyle name="20 % - Markeringsfarve3 5 3 3 3 2" xfId="31336" xr:uid="{00000000-0005-0000-0000-0000FF180000}"/>
    <cellStyle name="20 % - Markeringsfarve3 5 3 3 4" xfId="24334" xr:uid="{00000000-0005-0000-0000-000000190000}"/>
    <cellStyle name="20 % - Markeringsfarve3 5 3 4" xfId="4616" xr:uid="{00000000-0005-0000-0000-000001190000}"/>
    <cellStyle name="20 % - Markeringsfarve3 5 3 4 2" xfId="10535" xr:uid="{00000000-0005-0000-0000-000002190000}"/>
    <cellStyle name="20 % - Markeringsfarve3 5 3 4 2 2" xfId="18429" xr:uid="{00000000-0005-0000-0000-000003190000}"/>
    <cellStyle name="20 % - Markeringsfarve3 5 3 4 2 2 2" xfId="36589" xr:uid="{00000000-0005-0000-0000-000004190000}"/>
    <cellStyle name="20 % - Markeringsfarve3 5 3 4 2 3" xfId="29588" xr:uid="{00000000-0005-0000-0000-000005190000}"/>
    <cellStyle name="20 % - Markeringsfarve3 5 3 4 3" xfId="13170" xr:uid="{00000000-0005-0000-0000-000006190000}"/>
    <cellStyle name="20 % - Markeringsfarve3 5 3 4 3 2" xfId="31337" xr:uid="{00000000-0005-0000-0000-000007190000}"/>
    <cellStyle name="20 % - Markeringsfarve3 5 3 4 4" xfId="24335" xr:uid="{00000000-0005-0000-0000-000008190000}"/>
    <cellStyle name="20 % - Markeringsfarve3 5 3 5" xfId="7796" xr:uid="{00000000-0005-0000-0000-000009190000}"/>
    <cellStyle name="20 % - Markeringsfarve3 5 3 5 2" xfId="15714" xr:uid="{00000000-0005-0000-0000-00000A190000}"/>
    <cellStyle name="20 % - Markeringsfarve3 5 3 5 2 2" xfId="33874" xr:uid="{00000000-0005-0000-0000-00000B190000}"/>
    <cellStyle name="20 % - Markeringsfarve3 5 3 5 3" xfId="26873" xr:uid="{00000000-0005-0000-0000-00000C190000}"/>
    <cellStyle name="20 % - Markeringsfarve3 5 3 6" xfId="13166" xr:uid="{00000000-0005-0000-0000-00000D190000}"/>
    <cellStyle name="20 % - Markeringsfarve3 5 3 6 2" xfId="31333" xr:uid="{00000000-0005-0000-0000-00000E190000}"/>
    <cellStyle name="20 % - Markeringsfarve3 5 3 7" xfId="24331" xr:uid="{00000000-0005-0000-0000-00000F190000}"/>
    <cellStyle name="20 % - Markeringsfarve3 5 4" xfId="4617" xr:uid="{00000000-0005-0000-0000-000010190000}"/>
    <cellStyle name="20 % - Markeringsfarve3 5 4 2" xfId="4618" xr:uid="{00000000-0005-0000-0000-000011190000}"/>
    <cellStyle name="20 % - Markeringsfarve3 5 4 2 2" xfId="4619" xr:uid="{00000000-0005-0000-0000-000012190000}"/>
    <cellStyle name="20 % - Markeringsfarve3 5 4 2 2 2" xfId="10156" xr:uid="{00000000-0005-0000-0000-000013190000}"/>
    <cellStyle name="20 % - Markeringsfarve3 5 4 2 2 2 2" xfId="18057" xr:uid="{00000000-0005-0000-0000-000014190000}"/>
    <cellStyle name="20 % - Markeringsfarve3 5 4 2 2 2 2 2" xfId="36217" xr:uid="{00000000-0005-0000-0000-000015190000}"/>
    <cellStyle name="20 % - Markeringsfarve3 5 4 2 2 2 3" xfId="29216" xr:uid="{00000000-0005-0000-0000-000016190000}"/>
    <cellStyle name="20 % - Markeringsfarve3 5 4 2 2 3" xfId="13173" xr:uid="{00000000-0005-0000-0000-000017190000}"/>
    <cellStyle name="20 % - Markeringsfarve3 5 4 2 2 3 2" xfId="31340" xr:uid="{00000000-0005-0000-0000-000018190000}"/>
    <cellStyle name="20 % - Markeringsfarve3 5 4 2 2 4" xfId="24338" xr:uid="{00000000-0005-0000-0000-000019190000}"/>
    <cellStyle name="20 % - Markeringsfarve3 5 4 2 3" xfId="8690" xr:uid="{00000000-0005-0000-0000-00001A190000}"/>
    <cellStyle name="20 % - Markeringsfarve3 5 4 2 3 2" xfId="16604" xr:uid="{00000000-0005-0000-0000-00001B190000}"/>
    <cellStyle name="20 % - Markeringsfarve3 5 4 2 3 2 2" xfId="34764" xr:uid="{00000000-0005-0000-0000-00001C190000}"/>
    <cellStyle name="20 % - Markeringsfarve3 5 4 2 3 3" xfId="27763" xr:uid="{00000000-0005-0000-0000-00001D190000}"/>
    <cellStyle name="20 % - Markeringsfarve3 5 4 2 4" xfId="13172" xr:uid="{00000000-0005-0000-0000-00001E190000}"/>
    <cellStyle name="20 % - Markeringsfarve3 5 4 2 4 2" xfId="31339" xr:uid="{00000000-0005-0000-0000-00001F190000}"/>
    <cellStyle name="20 % - Markeringsfarve3 5 4 2 5" xfId="24337" xr:uid="{00000000-0005-0000-0000-000020190000}"/>
    <cellStyle name="20 % - Markeringsfarve3 5 4 3" xfId="4620" xr:uid="{00000000-0005-0000-0000-000021190000}"/>
    <cellStyle name="20 % - Markeringsfarve3 5 4 3 2" xfId="9432" xr:uid="{00000000-0005-0000-0000-000022190000}"/>
    <cellStyle name="20 % - Markeringsfarve3 5 4 3 2 2" xfId="17342" xr:uid="{00000000-0005-0000-0000-000023190000}"/>
    <cellStyle name="20 % - Markeringsfarve3 5 4 3 2 2 2" xfId="35502" xr:uid="{00000000-0005-0000-0000-000024190000}"/>
    <cellStyle name="20 % - Markeringsfarve3 5 4 3 2 3" xfId="28501" xr:uid="{00000000-0005-0000-0000-000025190000}"/>
    <cellStyle name="20 % - Markeringsfarve3 5 4 3 3" xfId="13174" xr:uid="{00000000-0005-0000-0000-000026190000}"/>
    <cellStyle name="20 % - Markeringsfarve3 5 4 3 3 2" xfId="31341" xr:uid="{00000000-0005-0000-0000-000027190000}"/>
    <cellStyle name="20 % - Markeringsfarve3 5 4 3 4" xfId="24339" xr:uid="{00000000-0005-0000-0000-000028190000}"/>
    <cellStyle name="20 % - Markeringsfarve3 5 4 4" xfId="4621" xr:uid="{00000000-0005-0000-0000-000029190000}"/>
    <cellStyle name="20 % - Markeringsfarve3 5 4 4 2" xfId="10534" xr:uid="{00000000-0005-0000-0000-00002A190000}"/>
    <cellStyle name="20 % - Markeringsfarve3 5 4 4 2 2" xfId="18428" xr:uid="{00000000-0005-0000-0000-00002B190000}"/>
    <cellStyle name="20 % - Markeringsfarve3 5 4 4 2 2 2" xfId="36588" xr:uid="{00000000-0005-0000-0000-00002C190000}"/>
    <cellStyle name="20 % - Markeringsfarve3 5 4 4 2 3" xfId="29587" xr:uid="{00000000-0005-0000-0000-00002D190000}"/>
    <cellStyle name="20 % - Markeringsfarve3 5 4 4 3" xfId="13175" xr:uid="{00000000-0005-0000-0000-00002E190000}"/>
    <cellStyle name="20 % - Markeringsfarve3 5 4 4 3 2" xfId="31342" xr:uid="{00000000-0005-0000-0000-00002F190000}"/>
    <cellStyle name="20 % - Markeringsfarve3 5 4 4 4" xfId="24340" xr:uid="{00000000-0005-0000-0000-000030190000}"/>
    <cellStyle name="20 % - Markeringsfarve3 5 4 5" xfId="7797" xr:uid="{00000000-0005-0000-0000-000031190000}"/>
    <cellStyle name="20 % - Markeringsfarve3 5 4 5 2" xfId="15715" xr:uid="{00000000-0005-0000-0000-000032190000}"/>
    <cellStyle name="20 % - Markeringsfarve3 5 4 5 2 2" xfId="33875" xr:uid="{00000000-0005-0000-0000-000033190000}"/>
    <cellStyle name="20 % - Markeringsfarve3 5 4 5 3" xfId="26874" xr:uid="{00000000-0005-0000-0000-000034190000}"/>
    <cellStyle name="20 % - Markeringsfarve3 5 4 6" xfId="13171" xr:uid="{00000000-0005-0000-0000-000035190000}"/>
    <cellStyle name="20 % - Markeringsfarve3 5 4 6 2" xfId="31338" xr:uid="{00000000-0005-0000-0000-000036190000}"/>
    <cellStyle name="20 % - Markeringsfarve3 5 4 7" xfId="24336" xr:uid="{00000000-0005-0000-0000-000037190000}"/>
    <cellStyle name="20 % - Markeringsfarve3 5 5" xfId="4622" xr:uid="{00000000-0005-0000-0000-000038190000}"/>
    <cellStyle name="20 % - Markeringsfarve3 5 5 2" xfId="4623" xr:uid="{00000000-0005-0000-0000-000039190000}"/>
    <cellStyle name="20 % - Markeringsfarve3 5 5 2 2" xfId="4624" xr:uid="{00000000-0005-0000-0000-00003A190000}"/>
    <cellStyle name="20 % - Markeringsfarve3 5 5 2 2 2" xfId="10273" xr:uid="{00000000-0005-0000-0000-00003B190000}"/>
    <cellStyle name="20 % - Markeringsfarve3 5 5 2 2 2 2" xfId="18174" xr:uid="{00000000-0005-0000-0000-00003C190000}"/>
    <cellStyle name="20 % - Markeringsfarve3 5 5 2 2 2 2 2" xfId="36334" xr:uid="{00000000-0005-0000-0000-00003D190000}"/>
    <cellStyle name="20 % - Markeringsfarve3 5 5 2 2 2 3" xfId="29333" xr:uid="{00000000-0005-0000-0000-00003E190000}"/>
    <cellStyle name="20 % - Markeringsfarve3 5 5 2 2 3" xfId="13178" xr:uid="{00000000-0005-0000-0000-00003F190000}"/>
    <cellStyle name="20 % - Markeringsfarve3 5 5 2 2 3 2" xfId="31345" xr:uid="{00000000-0005-0000-0000-000040190000}"/>
    <cellStyle name="20 % - Markeringsfarve3 5 5 2 2 4" xfId="24343" xr:uid="{00000000-0005-0000-0000-000041190000}"/>
    <cellStyle name="20 % - Markeringsfarve3 5 5 2 3" xfId="8789" xr:uid="{00000000-0005-0000-0000-000042190000}"/>
    <cellStyle name="20 % - Markeringsfarve3 5 5 2 3 2" xfId="16703" xr:uid="{00000000-0005-0000-0000-000043190000}"/>
    <cellStyle name="20 % - Markeringsfarve3 5 5 2 3 2 2" xfId="34863" xr:uid="{00000000-0005-0000-0000-000044190000}"/>
    <cellStyle name="20 % - Markeringsfarve3 5 5 2 3 3" xfId="27862" xr:uid="{00000000-0005-0000-0000-000045190000}"/>
    <cellStyle name="20 % - Markeringsfarve3 5 5 2 4" xfId="13177" xr:uid="{00000000-0005-0000-0000-000046190000}"/>
    <cellStyle name="20 % - Markeringsfarve3 5 5 2 4 2" xfId="31344" xr:uid="{00000000-0005-0000-0000-000047190000}"/>
    <cellStyle name="20 % - Markeringsfarve3 5 5 2 5" xfId="24342" xr:uid="{00000000-0005-0000-0000-000048190000}"/>
    <cellStyle name="20 % - Markeringsfarve3 5 5 3" xfId="4625" xr:uid="{00000000-0005-0000-0000-000049190000}"/>
    <cellStyle name="20 % - Markeringsfarve3 5 5 3 2" xfId="9549" xr:uid="{00000000-0005-0000-0000-00004A190000}"/>
    <cellStyle name="20 % - Markeringsfarve3 5 5 3 2 2" xfId="17459" xr:uid="{00000000-0005-0000-0000-00004B190000}"/>
    <cellStyle name="20 % - Markeringsfarve3 5 5 3 2 2 2" xfId="35619" xr:uid="{00000000-0005-0000-0000-00004C190000}"/>
    <cellStyle name="20 % - Markeringsfarve3 5 5 3 2 3" xfId="28618" xr:uid="{00000000-0005-0000-0000-00004D190000}"/>
    <cellStyle name="20 % - Markeringsfarve3 5 5 3 3" xfId="13179" xr:uid="{00000000-0005-0000-0000-00004E190000}"/>
    <cellStyle name="20 % - Markeringsfarve3 5 5 3 3 2" xfId="31346" xr:uid="{00000000-0005-0000-0000-00004F190000}"/>
    <cellStyle name="20 % - Markeringsfarve3 5 5 3 4" xfId="24344" xr:uid="{00000000-0005-0000-0000-000050190000}"/>
    <cellStyle name="20 % - Markeringsfarve3 5 5 4" xfId="4626" xr:uid="{00000000-0005-0000-0000-000051190000}"/>
    <cellStyle name="20 % - Markeringsfarve3 5 5 4 2" xfId="10533" xr:uid="{00000000-0005-0000-0000-000052190000}"/>
    <cellStyle name="20 % - Markeringsfarve3 5 5 4 2 2" xfId="18427" xr:uid="{00000000-0005-0000-0000-000053190000}"/>
    <cellStyle name="20 % - Markeringsfarve3 5 5 4 2 2 2" xfId="36587" xr:uid="{00000000-0005-0000-0000-000054190000}"/>
    <cellStyle name="20 % - Markeringsfarve3 5 5 4 2 3" xfId="29586" xr:uid="{00000000-0005-0000-0000-000055190000}"/>
    <cellStyle name="20 % - Markeringsfarve3 5 5 4 3" xfId="13180" xr:uid="{00000000-0005-0000-0000-000056190000}"/>
    <cellStyle name="20 % - Markeringsfarve3 5 5 4 3 2" xfId="31347" xr:uid="{00000000-0005-0000-0000-000057190000}"/>
    <cellStyle name="20 % - Markeringsfarve3 5 5 4 4" xfId="24345" xr:uid="{00000000-0005-0000-0000-000058190000}"/>
    <cellStyle name="20 % - Markeringsfarve3 5 5 5" xfId="7798" xr:uid="{00000000-0005-0000-0000-000059190000}"/>
    <cellStyle name="20 % - Markeringsfarve3 5 5 5 2" xfId="15716" xr:uid="{00000000-0005-0000-0000-00005A190000}"/>
    <cellStyle name="20 % - Markeringsfarve3 5 5 5 2 2" xfId="33876" xr:uid="{00000000-0005-0000-0000-00005B190000}"/>
    <cellStyle name="20 % - Markeringsfarve3 5 5 5 3" xfId="26875" xr:uid="{00000000-0005-0000-0000-00005C190000}"/>
    <cellStyle name="20 % - Markeringsfarve3 5 5 6" xfId="13176" xr:uid="{00000000-0005-0000-0000-00005D190000}"/>
    <cellStyle name="20 % - Markeringsfarve3 5 5 6 2" xfId="31343" xr:uid="{00000000-0005-0000-0000-00005E190000}"/>
    <cellStyle name="20 % - Markeringsfarve3 5 5 7" xfId="24341" xr:uid="{00000000-0005-0000-0000-00005F190000}"/>
    <cellStyle name="20 % - Markeringsfarve3 5 6" xfId="4627" xr:uid="{00000000-0005-0000-0000-000060190000}"/>
    <cellStyle name="20 % - Markeringsfarve3 5 6 2" xfId="4628" xr:uid="{00000000-0005-0000-0000-000061190000}"/>
    <cellStyle name="20 % - Markeringsfarve3 5 6 2 2" xfId="4629" xr:uid="{00000000-0005-0000-0000-000062190000}"/>
    <cellStyle name="20 % - Markeringsfarve3 5 6 2 2 2" xfId="10334" xr:uid="{00000000-0005-0000-0000-000063190000}"/>
    <cellStyle name="20 % - Markeringsfarve3 5 6 2 2 2 2" xfId="18235" xr:uid="{00000000-0005-0000-0000-000064190000}"/>
    <cellStyle name="20 % - Markeringsfarve3 5 6 2 2 2 2 2" xfId="36395" xr:uid="{00000000-0005-0000-0000-000065190000}"/>
    <cellStyle name="20 % - Markeringsfarve3 5 6 2 2 2 3" xfId="29394" xr:uid="{00000000-0005-0000-0000-000066190000}"/>
    <cellStyle name="20 % - Markeringsfarve3 5 6 2 2 3" xfId="13183" xr:uid="{00000000-0005-0000-0000-000067190000}"/>
    <cellStyle name="20 % - Markeringsfarve3 5 6 2 2 3 2" xfId="31350" xr:uid="{00000000-0005-0000-0000-000068190000}"/>
    <cellStyle name="20 % - Markeringsfarve3 5 6 2 2 4" xfId="24348" xr:uid="{00000000-0005-0000-0000-000069190000}"/>
    <cellStyle name="20 % - Markeringsfarve3 5 6 2 3" xfId="8845" xr:uid="{00000000-0005-0000-0000-00006A190000}"/>
    <cellStyle name="20 % - Markeringsfarve3 5 6 2 3 2" xfId="16759" xr:uid="{00000000-0005-0000-0000-00006B190000}"/>
    <cellStyle name="20 % - Markeringsfarve3 5 6 2 3 2 2" xfId="34919" xr:uid="{00000000-0005-0000-0000-00006C190000}"/>
    <cellStyle name="20 % - Markeringsfarve3 5 6 2 3 3" xfId="27918" xr:uid="{00000000-0005-0000-0000-00006D190000}"/>
    <cellStyle name="20 % - Markeringsfarve3 5 6 2 4" xfId="13182" xr:uid="{00000000-0005-0000-0000-00006E190000}"/>
    <cellStyle name="20 % - Markeringsfarve3 5 6 2 4 2" xfId="31349" xr:uid="{00000000-0005-0000-0000-00006F190000}"/>
    <cellStyle name="20 % - Markeringsfarve3 5 6 2 5" xfId="24347" xr:uid="{00000000-0005-0000-0000-000070190000}"/>
    <cellStyle name="20 % - Markeringsfarve3 5 6 3" xfId="4630" xr:uid="{00000000-0005-0000-0000-000071190000}"/>
    <cellStyle name="20 % - Markeringsfarve3 5 6 3 2" xfId="9611" xr:uid="{00000000-0005-0000-0000-000072190000}"/>
    <cellStyle name="20 % - Markeringsfarve3 5 6 3 2 2" xfId="17521" xr:uid="{00000000-0005-0000-0000-000073190000}"/>
    <cellStyle name="20 % - Markeringsfarve3 5 6 3 2 2 2" xfId="35681" xr:uid="{00000000-0005-0000-0000-000074190000}"/>
    <cellStyle name="20 % - Markeringsfarve3 5 6 3 2 3" xfId="28680" xr:uid="{00000000-0005-0000-0000-000075190000}"/>
    <cellStyle name="20 % - Markeringsfarve3 5 6 3 3" xfId="13184" xr:uid="{00000000-0005-0000-0000-000076190000}"/>
    <cellStyle name="20 % - Markeringsfarve3 5 6 3 3 2" xfId="31351" xr:uid="{00000000-0005-0000-0000-000077190000}"/>
    <cellStyle name="20 % - Markeringsfarve3 5 6 3 4" xfId="24349" xr:uid="{00000000-0005-0000-0000-000078190000}"/>
    <cellStyle name="20 % - Markeringsfarve3 5 6 4" xfId="4631" xr:uid="{00000000-0005-0000-0000-000079190000}"/>
    <cellStyle name="20 % - Markeringsfarve3 5 6 4 2" xfId="10746" xr:uid="{00000000-0005-0000-0000-00007A190000}"/>
    <cellStyle name="20 % - Markeringsfarve3 5 6 4 2 2" xfId="18635" xr:uid="{00000000-0005-0000-0000-00007B190000}"/>
    <cellStyle name="20 % - Markeringsfarve3 5 6 4 2 2 2" xfId="36795" xr:uid="{00000000-0005-0000-0000-00007C190000}"/>
    <cellStyle name="20 % - Markeringsfarve3 5 6 4 2 3" xfId="29794" xr:uid="{00000000-0005-0000-0000-00007D190000}"/>
    <cellStyle name="20 % - Markeringsfarve3 5 6 4 3" xfId="13185" xr:uid="{00000000-0005-0000-0000-00007E190000}"/>
    <cellStyle name="20 % - Markeringsfarve3 5 6 4 3 2" xfId="31352" xr:uid="{00000000-0005-0000-0000-00007F190000}"/>
    <cellStyle name="20 % - Markeringsfarve3 5 6 4 4" xfId="24350" xr:uid="{00000000-0005-0000-0000-000080190000}"/>
    <cellStyle name="20 % - Markeringsfarve3 5 6 5" xfId="7799" xr:uid="{00000000-0005-0000-0000-000081190000}"/>
    <cellStyle name="20 % - Markeringsfarve3 5 6 5 2" xfId="15717" xr:uid="{00000000-0005-0000-0000-000082190000}"/>
    <cellStyle name="20 % - Markeringsfarve3 5 6 5 2 2" xfId="33877" xr:uid="{00000000-0005-0000-0000-000083190000}"/>
    <cellStyle name="20 % - Markeringsfarve3 5 6 5 3" xfId="26876" xr:uid="{00000000-0005-0000-0000-000084190000}"/>
    <cellStyle name="20 % - Markeringsfarve3 5 6 6" xfId="13181" xr:uid="{00000000-0005-0000-0000-000085190000}"/>
    <cellStyle name="20 % - Markeringsfarve3 5 6 6 2" xfId="31348" xr:uid="{00000000-0005-0000-0000-000086190000}"/>
    <cellStyle name="20 % - Markeringsfarve3 5 6 7" xfId="24346" xr:uid="{00000000-0005-0000-0000-000087190000}"/>
    <cellStyle name="20 % - Markeringsfarve3 5 7" xfId="4632" xr:uid="{00000000-0005-0000-0000-000088190000}"/>
    <cellStyle name="20 % - Markeringsfarve3 5 7 2" xfId="4633" xr:uid="{00000000-0005-0000-0000-000089190000}"/>
    <cellStyle name="20 % - Markeringsfarve3 5 7 2 2" xfId="9799" xr:uid="{00000000-0005-0000-0000-00008A190000}"/>
    <cellStyle name="20 % - Markeringsfarve3 5 7 2 2 2" xfId="17700" xr:uid="{00000000-0005-0000-0000-00008B190000}"/>
    <cellStyle name="20 % - Markeringsfarve3 5 7 2 2 2 2" xfId="35860" xr:uid="{00000000-0005-0000-0000-00008C190000}"/>
    <cellStyle name="20 % - Markeringsfarve3 5 7 2 2 3" xfId="28859" xr:uid="{00000000-0005-0000-0000-00008D190000}"/>
    <cellStyle name="20 % - Markeringsfarve3 5 7 2 3" xfId="13187" xr:uid="{00000000-0005-0000-0000-00008E190000}"/>
    <cellStyle name="20 % - Markeringsfarve3 5 7 2 3 2" xfId="31354" xr:uid="{00000000-0005-0000-0000-00008F190000}"/>
    <cellStyle name="20 % - Markeringsfarve3 5 7 2 4" xfId="24352" xr:uid="{00000000-0005-0000-0000-000090190000}"/>
    <cellStyle name="20 % - Markeringsfarve3 5 7 3" xfId="8389" xr:uid="{00000000-0005-0000-0000-000091190000}"/>
    <cellStyle name="20 % - Markeringsfarve3 5 7 3 2" xfId="16306" xr:uid="{00000000-0005-0000-0000-000092190000}"/>
    <cellStyle name="20 % - Markeringsfarve3 5 7 3 2 2" xfId="34466" xr:uid="{00000000-0005-0000-0000-000093190000}"/>
    <cellStyle name="20 % - Markeringsfarve3 5 7 3 3" xfId="27465" xr:uid="{00000000-0005-0000-0000-000094190000}"/>
    <cellStyle name="20 % - Markeringsfarve3 5 7 4" xfId="13186" xr:uid="{00000000-0005-0000-0000-000095190000}"/>
    <cellStyle name="20 % - Markeringsfarve3 5 7 4 2" xfId="31353" xr:uid="{00000000-0005-0000-0000-000096190000}"/>
    <cellStyle name="20 % - Markeringsfarve3 5 7 5" xfId="24351" xr:uid="{00000000-0005-0000-0000-000097190000}"/>
    <cellStyle name="20 % - Markeringsfarve3 5 8" xfId="4634" xr:uid="{00000000-0005-0000-0000-000098190000}"/>
    <cellStyle name="20 % - Markeringsfarve3 5 8 2" xfId="9027" xr:uid="{00000000-0005-0000-0000-000099190000}"/>
    <cellStyle name="20 % - Markeringsfarve3 5 8 2 2" xfId="16938" xr:uid="{00000000-0005-0000-0000-00009A190000}"/>
    <cellStyle name="20 % - Markeringsfarve3 5 8 2 2 2" xfId="35098" xr:uid="{00000000-0005-0000-0000-00009B190000}"/>
    <cellStyle name="20 % - Markeringsfarve3 5 8 2 3" xfId="28097" xr:uid="{00000000-0005-0000-0000-00009C190000}"/>
    <cellStyle name="20 % - Markeringsfarve3 5 8 3" xfId="13188" xr:uid="{00000000-0005-0000-0000-00009D190000}"/>
    <cellStyle name="20 % - Markeringsfarve3 5 8 3 2" xfId="31355" xr:uid="{00000000-0005-0000-0000-00009E190000}"/>
    <cellStyle name="20 % - Markeringsfarve3 5 8 4" xfId="24353" xr:uid="{00000000-0005-0000-0000-00009F190000}"/>
    <cellStyle name="20 % - Markeringsfarve3 5 9" xfId="4635" xr:uid="{00000000-0005-0000-0000-0000A0190000}"/>
    <cellStyle name="20 % - Markeringsfarve3 5 9 2" xfId="10537" xr:uid="{00000000-0005-0000-0000-0000A1190000}"/>
    <cellStyle name="20 % - Markeringsfarve3 5 9 2 2" xfId="18431" xr:uid="{00000000-0005-0000-0000-0000A2190000}"/>
    <cellStyle name="20 % - Markeringsfarve3 5 9 2 2 2" xfId="36591" xr:uid="{00000000-0005-0000-0000-0000A3190000}"/>
    <cellStyle name="20 % - Markeringsfarve3 5 9 2 3" xfId="29590" xr:uid="{00000000-0005-0000-0000-0000A4190000}"/>
    <cellStyle name="20 % - Markeringsfarve3 5 9 3" xfId="13189" xr:uid="{00000000-0005-0000-0000-0000A5190000}"/>
    <cellStyle name="20 % - Markeringsfarve3 5 9 3 2" xfId="31356" xr:uid="{00000000-0005-0000-0000-0000A6190000}"/>
    <cellStyle name="20 % - Markeringsfarve3 5 9 4" xfId="24354" xr:uid="{00000000-0005-0000-0000-0000A7190000}"/>
    <cellStyle name="20 % - Markeringsfarve3 6" xfId="1813" xr:uid="{00000000-0005-0000-0000-0000A8190000}"/>
    <cellStyle name="20 % - Markeringsfarve3 6 2" xfId="1814" xr:uid="{00000000-0005-0000-0000-0000A9190000}"/>
    <cellStyle name="20 % - Markeringsfarve3 6 2 2" xfId="4638" xr:uid="{00000000-0005-0000-0000-0000AA190000}"/>
    <cellStyle name="20 % - Markeringsfarve3 6 2 2 2" xfId="4639" xr:uid="{00000000-0005-0000-0000-0000AB190000}"/>
    <cellStyle name="20 % - Markeringsfarve3 6 2 2 2 2" xfId="9980" xr:uid="{00000000-0005-0000-0000-0000AC190000}"/>
    <cellStyle name="20 % - Markeringsfarve3 6 2 2 2 2 2" xfId="17881" xr:uid="{00000000-0005-0000-0000-0000AD190000}"/>
    <cellStyle name="20 % - Markeringsfarve3 6 2 2 2 2 2 2" xfId="36041" xr:uid="{00000000-0005-0000-0000-0000AE190000}"/>
    <cellStyle name="20 % - Markeringsfarve3 6 2 2 2 2 3" xfId="29040" xr:uid="{00000000-0005-0000-0000-0000AF190000}"/>
    <cellStyle name="20 % - Markeringsfarve3 6 2 2 2 3" xfId="13193" xr:uid="{00000000-0005-0000-0000-0000B0190000}"/>
    <cellStyle name="20 % - Markeringsfarve3 6 2 2 2 3 2" xfId="31360" xr:uid="{00000000-0005-0000-0000-0000B1190000}"/>
    <cellStyle name="20 % - Markeringsfarve3 6 2 2 2 4" xfId="24358" xr:uid="{00000000-0005-0000-0000-0000B2190000}"/>
    <cellStyle name="20 % - Markeringsfarve3 6 2 2 3" xfId="8544" xr:uid="{00000000-0005-0000-0000-0000B3190000}"/>
    <cellStyle name="20 % - Markeringsfarve3 6 2 2 3 2" xfId="16461" xr:uid="{00000000-0005-0000-0000-0000B4190000}"/>
    <cellStyle name="20 % - Markeringsfarve3 6 2 2 3 2 2" xfId="34621" xr:uid="{00000000-0005-0000-0000-0000B5190000}"/>
    <cellStyle name="20 % - Markeringsfarve3 6 2 2 3 3" xfId="27620" xr:uid="{00000000-0005-0000-0000-0000B6190000}"/>
    <cellStyle name="20 % - Markeringsfarve3 6 2 2 4" xfId="13192" xr:uid="{00000000-0005-0000-0000-0000B7190000}"/>
    <cellStyle name="20 % - Markeringsfarve3 6 2 2 4 2" xfId="31359" xr:uid="{00000000-0005-0000-0000-0000B8190000}"/>
    <cellStyle name="20 % - Markeringsfarve3 6 2 2 5" xfId="24357" xr:uid="{00000000-0005-0000-0000-0000B9190000}"/>
    <cellStyle name="20 % - Markeringsfarve3 6 2 3" xfId="4640" xr:uid="{00000000-0005-0000-0000-0000BA190000}"/>
    <cellStyle name="20 % - Markeringsfarve3 6 2 3 2" xfId="9210" xr:uid="{00000000-0005-0000-0000-0000BB190000}"/>
    <cellStyle name="20 % - Markeringsfarve3 6 2 3 2 2" xfId="17121" xr:uid="{00000000-0005-0000-0000-0000BC190000}"/>
    <cellStyle name="20 % - Markeringsfarve3 6 2 3 2 2 2" xfId="35281" xr:uid="{00000000-0005-0000-0000-0000BD190000}"/>
    <cellStyle name="20 % - Markeringsfarve3 6 2 3 2 3" xfId="28280" xr:uid="{00000000-0005-0000-0000-0000BE190000}"/>
    <cellStyle name="20 % - Markeringsfarve3 6 2 3 3" xfId="13194" xr:uid="{00000000-0005-0000-0000-0000BF190000}"/>
    <cellStyle name="20 % - Markeringsfarve3 6 2 3 3 2" xfId="31361" xr:uid="{00000000-0005-0000-0000-0000C0190000}"/>
    <cellStyle name="20 % - Markeringsfarve3 6 2 3 4" xfId="24359" xr:uid="{00000000-0005-0000-0000-0000C1190000}"/>
    <cellStyle name="20 % - Markeringsfarve3 6 2 4" xfId="4641" xr:uid="{00000000-0005-0000-0000-0000C2190000}"/>
    <cellStyle name="20 % - Markeringsfarve3 6 2 4 2" xfId="10762" xr:uid="{00000000-0005-0000-0000-0000C3190000}"/>
    <cellStyle name="20 % - Markeringsfarve3 6 2 4 2 2" xfId="18650" xr:uid="{00000000-0005-0000-0000-0000C4190000}"/>
    <cellStyle name="20 % - Markeringsfarve3 6 2 4 2 2 2" xfId="36810" xr:uid="{00000000-0005-0000-0000-0000C5190000}"/>
    <cellStyle name="20 % - Markeringsfarve3 6 2 4 2 3" xfId="29809" xr:uid="{00000000-0005-0000-0000-0000C6190000}"/>
    <cellStyle name="20 % - Markeringsfarve3 6 2 4 3" xfId="13195" xr:uid="{00000000-0005-0000-0000-0000C7190000}"/>
    <cellStyle name="20 % - Markeringsfarve3 6 2 4 3 2" xfId="31362" xr:uid="{00000000-0005-0000-0000-0000C8190000}"/>
    <cellStyle name="20 % - Markeringsfarve3 6 2 4 4" xfId="24360" xr:uid="{00000000-0005-0000-0000-0000C9190000}"/>
    <cellStyle name="20 % - Markeringsfarve3 6 2 5" xfId="7801" xr:uid="{00000000-0005-0000-0000-0000CA190000}"/>
    <cellStyle name="20 % - Markeringsfarve3 6 2 5 2" xfId="15719" xr:uid="{00000000-0005-0000-0000-0000CB190000}"/>
    <cellStyle name="20 % - Markeringsfarve3 6 2 5 2 2" xfId="33879" xr:uid="{00000000-0005-0000-0000-0000CC190000}"/>
    <cellStyle name="20 % - Markeringsfarve3 6 2 5 3" xfId="26878" xr:uid="{00000000-0005-0000-0000-0000CD190000}"/>
    <cellStyle name="20 % - Markeringsfarve3 6 2 6" xfId="13191" xr:uid="{00000000-0005-0000-0000-0000CE190000}"/>
    <cellStyle name="20 % - Markeringsfarve3 6 2 6 2" xfId="31358" xr:uid="{00000000-0005-0000-0000-0000CF190000}"/>
    <cellStyle name="20 % - Markeringsfarve3 6 2 7" xfId="4637" xr:uid="{00000000-0005-0000-0000-0000D0190000}"/>
    <cellStyle name="20 % - Markeringsfarve3 6 2 7 2" xfId="24356" xr:uid="{00000000-0005-0000-0000-0000D1190000}"/>
    <cellStyle name="20 % - Markeringsfarve3 6 2 8" xfId="21938" xr:uid="{00000000-0005-0000-0000-0000D2190000}"/>
    <cellStyle name="20 % - Markeringsfarve3 6 3" xfId="4642" xr:uid="{00000000-0005-0000-0000-0000D3190000}"/>
    <cellStyle name="20 % - Markeringsfarve3 6 3 2" xfId="4643" xr:uid="{00000000-0005-0000-0000-0000D4190000}"/>
    <cellStyle name="20 % - Markeringsfarve3 6 3 2 2" xfId="9840" xr:uid="{00000000-0005-0000-0000-0000D5190000}"/>
    <cellStyle name="20 % - Markeringsfarve3 6 3 2 2 2" xfId="17741" xr:uid="{00000000-0005-0000-0000-0000D6190000}"/>
    <cellStyle name="20 % - Markeringsfarve3 6 3 2 2 2 2" xfId="35901" xr:uid="{00000000-0005-0000-0000-0000D7190000}"/>
    <cellStyle name="20 % - Markeringsfarve3 6 3 2 2 3" xfId="28900" xr:uid="{00000000-0005-0000-0000-0000D8190000}"/>
    <cellStyle name="20 % - Markeringsfarve3 6 3 2 3" xfId="13197" xr:uid="{00000000-0005-0000-0000-0000D9190000}"/>
    <cellStyle name="20 % - Markeringsfarve3 6 3 2 3 2" xfId="31364" xr:uid="{00000000-0005-0000-0000-0000DA190000}"/>
    <cellStyle name="20 % - Markeringsfarve3 6 3 2 4" xfId="24362" xr:uid="{00000000-0005-0000-0000-0000DB190000}"/>
    <cellStyle name="20 % - Markeringsfarve3 6 3 3" xfId="8422" xr:uid="{00000000-0005-0000-0000-0000DC190000}"/>
    <cellStyle name="20 % - Markeringsfarve3 6 3 3 2" xfId="16339" xr:uid="{00000000-0005-0000-0000-0000DD190000}"/>
    <cellStyle name="20 % - Markeringsfarve3 6 3 3 2 2" xfId="34499" xr:uid="{00000000-0005-0000-0000-0000DE190000}"/>
    <cellStyle name="20 % - Markeringsfarve3 6 3 3 3" xfId="27498" xr:uid="{00000000-0005-0000-0000-0000DF190000}"/>
    <cellStyle name="20 % - Markeringsfarve3 6 3 4" xfId="13196" xr:uid="{00000000-0005-0000-0000-0000E0190000}"/>
    <cellStyle name="20 % - Markeringsfarve3 6 3 4 2" xfId="31363" xr:uid="{00000000-0005-0000-0000-0000E1190000}"/>
    <cellStyle name="20 % - Markeringsfarve3 6 3 5" xfId="24361" xr:uid="{00000000-0005-0000-0000-0000E2190000}"/>
    <cellStyle name="20 % - Markeringsfarve3 6 4" xfId="4644" xr:uid="{00000000-0005-0000-0000-0000E3190000}"/>
    <cellStyle name="20 % - Markeringsfarve3 6 4 2" xfId="9070" xr:uid="{00000000-0005-0000-0000-0000E4190000}"/>
    <cellStyle name="20 % - Markeringsfarve3 6 4 2 2" xfId="16981" xr:uid="{00000000-0005-0000-0000-0000E5190000}"/>
    <cellStyle name="20 % - Markeringsfarve3 6 4 2 2 2" xfId="35141" xr:uid="{00000000-0005-0000-0000-0000E6190000}"/>
    <cellStyle name="20 % - Markeringsfarve3 6 4 2 3" xfId="28140" xr:uid="{00000000-0005-0000-0000-0000E7190000}"/>
    <cellStyle name="20 % - Markeringsfarve3 6 4 3" xfId="13198" xr:uid="{00000000-0005-0000-0000-0000E8190000}"/>
    <cellStyle name="20 % - Markeringsfarve3 6 4 3 2" xfId="31365" xr:uid="{00000000-0005-0000-0000-0000E9190000}"/>
    <cellStyle name="20 % - Markeringsfarve3 6 4 4" xfId="24363" xr:uid="{00000000-0005-0000-0000-0000EA190000}"/>
    <cellStyle name="20 % - Markeringsfarve3 6 5" xfId="4645" xr:uid="{00000000-0005-0000-0000-0000EB190000}"/>
    <cellStyle name="20 % - Markeringsfarve3 6 5 2" xfId="9331" xr:uid="{00000000-0005-0000-0000-0000EC190000}"/>
    <cellStyle name="20 % - Markeringsfarve3 6 5 2 2" xfId="17241" xr:uid="{00000000-0005-0000-0000-0000ED190000}"/>
    <cellStyle name="20 % - Markeringsfarve3 6 5 2 2 2" xfId="35401" xr:uid="{00000000-0005-0000-0000-0000EE190000}"/>
    <cellStyle name="20 % - Markeringsfarve3 6 5 2 3" xfId="28400" xr:uid="{00000000-0005-0000-0000-0000EF190000}"/>
    <cellStyle name="20 % - Markeringsfarve3 6 5 3" xfId="13199" xr:uid="{00000000-0005-0000-0000-0000F0190000}"/>
    <cellStyle name="20 % - Markeringsfarve3 6 5 3 2" xfId="31366" xr:uid="{00000000-0005-0000-0000-0000F1190000}"/>
    <cellStyle name="20 % - Markeringsfarve3 6 5 4" xfId="24364" xr:uid="{00000000-0005-0000-0000-0000F2190000}"/>
    <cellStyle name="20 % - Markeringsfarve3 6 6" xfId="7800" xr:uid="{00000000-0005-0000-0000-0000F3190000}"/>
    <cellStyle name="20 % - Markeringsfarve3 6 6 2" xfId="15718" xr:uid="{00000000-0005-0000-0000-0000F4190000}"/>
    <cellStyle name="20 % - Markeringsfarve3 6 6 2 2" xfId="33878" xr:uid="{00000000-0005-0000-0000-0000F5190000}"/>
    <cellStyle name="20 % - Markeringsfarve3 6 6 3" xfId="26877" xr:uid="{00000000-0005-0000-0000-0000F6190000}"/>
    <cellStyle name="20 % - Markeringsfarve3 6 7" xfId="13190" xr:uid="{00000000-0005-0000-0000-0000F7190000}"/>
    <cellStyle name="20 % - Markeringsfarve3 6 7 2" xfId="31357" xr:uid="{00000000-0005-0000-0000-0000F8190000}"/>
    <cellStyle name="20 % - Markeringsfarve3 6 8" xfId="4636" xr:uid="{00000000-0005-0000-0000-0000F9190000}"/>
    <cellStyle name="20 % - Markeringsfarve3 6 8 2" xfId="24355" xr:uid="{00000000-0005-0000-0000-0000FA190000}"/>
    <cellStyle name="20 % - Markeringsfarve3 6 9" xfId="21937" xr:uid="{00000000-0005-0000-0000-0000FB190000}"/>
    <cellStyle name="20 % - Markeringsfarve3 7" xfId="1815" xr:uid="{00000000-0005-0000-0000-0000FC190000}"/>
    <cellStyle name="20 % - Markeringsfarve3 7 2" xfId="4647" xr:uid="{00000000-0005-0000-0000-0000FD190000}"/>
    <cellStyle name="20 % - Markeringsfarve3 7 2 2" xfId="4648" xr:uid="{00000000-0005-0000-0000-0000FE190000}"/>
    <cellStyle name="20 % - Markeringsfarve3 7 2 2 2" xfId="10078" xr:uid="{00000000-0005-0000-0000-0000FF190000}"/>
    <cellStyle name="20 % - Markeringsfarve3 7 2 2 2 2" xfId="17979" xr:uid="{00000000-0005-0000-0000-0000001A0000}"/>
    <cellStyle name="20 % - Markeringsfarve3 7 2 2 2 2 2" xfId="36139" xr:uid="{00000000-0005-0000-0000-0000011A0000}"/>
    <cellStyle name="20 % - Markeringsfarve3 7 2 2 2 3" xfId="29138" xr:uid="{00000000-0005-0000-0000-0000021A0000}"/>
    <cellStyle name="20 % - Markeringsfarve3 7 2 2 3" xfId="13202" xr:uid="{00000000-0005-0000-0000-0000031A0000}"/>
    <cellStyle name="20 % - Markeringsfarve3 7 2 2 3 2" xfId="31369" xr:uid="{00000000-0005-0000-0000-0000041A0000}"/>
    <cellStyle name="20 % - Markeringsfarve3 7 2 2 4" xfId="24367" xr:uid="{00000000-0005-0000-0000-0000051A0000}"/>
    <cellStyle name="20 % - Markeringsfarve3 7 2 3" xfId="8624" xr:uid="{00000000-0005-0000-0000-0000061A0000}"/>
    <cellStyle name="20 % - Markeringsfarve3 7 2 3 2" xfId="16538" xr:uid="{00000000-0005-0000-0000-0000071A0000}"/>
    <cellStyle name="20 % - Markeringsfarve3 7 2 3 2 2" xfId="34698" xr:uid="{00000000-0005-0000-0000-0000081A0000}"/>
    <cellStyle name="20 % - Markeringsfarve3 7 2 3 3" xfId="27697" xr:uid="{00000000-0005-0000-0000-0000091A0000}"/>
    <cellStyle name="20 % - Markeringsfarve3 7 2 4" xfId="13201" xr:uid="{00000000-0005-0000-0000-00000A1A0000}"/>
    <cellStyle name="20 % - Markeringsfarve3 7 2 4 2" xfId="31368" xr:uid="{00000000-0005-0000-0000-00000B1A0000}"/>
    <cellStyle name="20 % - Markeringsfarve3 7 2 5" xfId="24366" xr:uid="{00000000-0005-0000-0000-00000C1A0000}"/>
    <cellStyle name="20 % - Markeringsfarve3 7 3" xfId="4649" xr:uid="{00000000-0005-0000-0000-00000D1A0000}"/>
    <cellStyle name="20 % - Markeringsfarve3 7 3 2" xfId="9354" xr:uid="{00000000-0005-0000-0000-00000E1A0000}"/>
    <cellStyle name="20 % - Markeringsfarve3 7 3 2 2" xfId="17264" xr:uid="{00000000-0005-0000-0000-00000F1A0000}"/>
    <cellStyle name="20 % - Markeringsfarve3 7 3 2 2 2" xfId="35424" xr:uid="{00000000-0005-0000-0000-0000101A0000}"/>
    <cellStyle name="20 % - Markeringsfarve3 7 3 2 3" xfId="28423" xr:uid="{00000000-0005-0000-0000-0000111A0000}"/>
    <cellStyle name="20 % - Markeringsfarve3 7 3 3" xfId="13203" xr:uid="{00000000-0005-0000-0000-0000121A0000}"/>
    <cellStyle name="20 % - Markeringsfarve3 7 3 3 2" xfId="31370" xr:uid="{00000000-0005-0000-0000-0000131A0000}"/>
    <cellStyle name="20 % - Markeringsfarve3 7 3 4" xfId="24368" xr:uid="{00000000-0005-0000-0000-0000141A0000}"/>
    <cellStyle name="20 % - Markeringsfarve3 7 4" xfId="4650" xr:uid="{00000000-0005-0000-0000-0000151A0000}"/>
    <cellStyle name="20 % - Markeringsfarve3 7 4 2" xfId="11015" xr:uid="{00000000-0005-0000-0000-0000161A0000}"/>
    <cellStyle name="20 % - Markeringsfarve3 7 4 2 2" xfId="18891" xr:uid="{00000000-0005-0000-0000-0000171A0000}"/>
    <cellStyle name="20 % - Markeringsfarve3 7 4 2 2 2" xfId="37051" xr:uid="{00000000-0005-0000-0000-0000181A0000}"/>
    <cellStyle name="20 % - Markeringsfarve3 7 4 2 3" xfId="30050" xr:uid="{00000000-0005-0000-0000-0000191A0000}"/>
    <cellStyle name="20 % - Markeringsfarve3 7 4 3" xfId="13204" xr:uid="{00000000-0005-0000-0000-00001A1A0000}"/>
    <cellStyle name="20 % - Markeringsfarve3 7 4 3 2" xfId="31371" xr:uid="{00000000-0005-0000-0000-00001B1A0000}"/>
    <cellStyle name="20 % - Markeringsfarve3 7 4 4" xfId="24369" xr:uid="{00000000-0005-0000-0000-00001C1A0000}"/>
    <cellStyle name="20 % - Markeringsfarve3 7 5" xfId="7802" xr:uid="{00000000-0005-0000-0000-00001D1A0000}"/>
    <cellStyle name="20 % - Markeringsfarve3 7 5 2" xfId="15720" xr:uid="{00000000-0005-0000-0000-00001E1A0000}"/>
    <cellStyle name="20 % - Markeringsfarve3 7 5 2 2" xfId="33880" xr:uid="{00000000-0005-0000-0000-00001F1A0000}"/>
    <cellStyle name="20 % - Markeringsfarve3 7 5 3" xfId="26879" xr:uid="{00000000-0005-0000-0000-0000201A0000}"/>
    <cellStyle name="20 % - Markeringsfarve3 7 6" xfId="13200" xr:uid="{00000000-0005-0000-0000-0000211A0000}"/>
    <cellStyle name="20 % - Markeringsfarve3 7 6 2" xfId="31367" xr:uid="{00000000-0005-0000-0000-0000221A0000}"/>
    <cellStyle name="20 % - Markeringsfarve3 7 7" xfId="4646" xr:uid="{00000000-0005-0000-0000-0000231A0000}"/>
    <cellStyle name="20 % - Markeringsfarve3 7 7 2" xfId="24365" xr:uid="{00000000-0005-0000-0000-0000241A0000}"/>
    <cellStyle name="20 % - Markeringsfarve3 7 8" xfId="21939" xr:uid="{00000000-0005-0000-0000-0000251A0000}"/>
    <cellStyle name="20 % - Markeringsfarve3 8" xfId="4651" xr:uid="{00000000-0005-0000-0000-0000261A0000}"/>
    <cellStyle name="20 % - Markeringsfarve3 8 2" xfId="4652" xr:uid="{00000000-0005-0000-0000-0000271A0000}"/>
    <cellStyle name="20 % - Markeringsfarve3 8 2 2" xfId="4653" xr:uid="{00000000-0005-0000-0000-0000281A0000}"/>
    <cellStyle name="20 % - Markeringsfarve3 8 2 2 2" xfId="10195" xr:uid="{00000000-0005-0000-0000-0000291A0000}"/>
    <cellStyle name="20 % - Markeringsfarve3 8 2 2 2 2" xfId="18096" xr:uid="{00000000-0005-0000-0000-00002A1A0000}"/>
    <cellStyle name="20 % - Markeringsfarve3 8 2 2 2 2 2" xfId="36256" xr:uid="{00000000-0005-0000-0000-00002B1A0000}"/>
    <cellStyle name="20 % - Markeringsfarve3 8 2 2 2 3" xfId="29255" xr:uid="{00000000-0005-0000-0000-00002C1A0000}"/>
    <cellStyle name="20 % - Markeringsfarve3 8 2 2 3" xfId="13207" xr:uid="{00000000-0005-0000-0000-00002D1A0000}"/>
    <cellStyle name="20 % - Markeringsfarve3 8 2 2 3 2" xfId="31374" xr:uid="{00000000-0005-0000-0000-00002E1A0000}"/>
    <cellStyle name="20 % - Markeringsfarve3 8 2 2 4" xfId="24372" xr:uid="{00000000-0005-0000-0000-00002F1A0000}"/>
    <cellStyle name="20 % - Markeringsfarve3 8 2 3" xfId="8723" xr:uid="{00000000-0005-0000-0000-0000301A0000}"/>
    <cellStyle name="20 % - Markeringsfarve3 8 2 3 2" xfId="16637" xr:uid="{00000000-0005-0000-0000-0000311A0000}"/>
    <cellStyle name="20 % - Markeringsfarve3 8 2 3 2 2" xfId="34797" xr:uid="{00000000-0005-0000-0000-0000321A0000}"/>
    <cellStyle name="20 % - Markeringsfarve3 8 2 3 3" xfId="27796" xr:uid="{00000000-0005-0000-0000-0000331A0000}"/>
    <cellStyle name="20 % - Markeringsfarve3 8 2 4" xfId="13206" xr:uid="{00000000-0005-0000-0000-0000341A0000}"/>
    <cellStyle name="20 % - Markeringsfarve3 8 2 4 2" xfId="31373" xr:uid="{00000000-0005-0000-0000-0000351A0000}"/>
    <cellStyle name="20 % - Markeringsfarve3 8 2 5" xfId="24371" xr:uid="{00000000-0005-0000-0000-0000361A0000}"/>
    <cellStyle name="20 % - Markeringsfarve3 8 3" xfId="4654" xr:uid="{00000000-0005-0000-0000-0000371A0000}"/>
    <cellStyle name="20 % - Markeringsfarve3 8 3 2" xfId="9471" xr:uid="{00000000-0005-0000-0000-0000381A0000}"/>
    <cellStyle name="20 % - Markeringsfarve3 8 3 2 2" xfId="17381" xr:uid="{00000000-0005-0000-0000-0000391A0000}"/>
    <cellStyle name="20 % - Markeringsfarve3 8 3 2 2 2" xfId="35541" xr:uid="{00000000-0005-0000-0000-00003A1A0000}"/>
    <cellStyle name="20 % - Markeringsfarve3 8 3 2 3" xfId="28540" xr:uid="{00000000-0005-0000-0000-00003B1A0000}"/>
    <cellStyle name="20 % - Markeringsfarve3 8 3 3" xfId="13208" xr:uid="{00000000-0005-0000-0000-00003C1A0000}"/>
    <cellStyle name="20 % - Markeringsfarve3 8 3 3 2" xfId="31375" xr:uid="{00000000-0005-0000-0000-00003D1A0000}"/>
    <cellStyle name="20 % - Markeringsfarve3 8 3 4" xfId="24373" xr:uid="{00000000-0005-0000-0000-00003E1A0000}"/>
    <cellStyle name="20 % - Markeringsfarve3 8 4" xfId="4655" xr:uid="{00000000-0005-0000-0000-00003F1A0000}"/>
    <cellStyle name="20 % - Markeringsfarve3 8 4 2" xfId="10735" xr:uid="{00000000-0005-0000-0000-0000401A0000}"/>
    <cellStyle name="20 % - Markeringsfarve3 8 4 2 2" xfId="18624" xr:uid="{00000000-0005-0000-0000-0000411A0000}"/>
    <cellStyle name="20 % - Markeringsfarve3 8 4 2 2 2" xfId="36784" xr:uid="{00000000-0005-0000-0000-0000421A0000}"/>
    <cellStyle name="20 % - Markeringsfarve3 8 4 2 3" xfId="29783" xr:uid="{00000000-0005-0000-0000-0000431A0000}"/>
    <cellStyle name="20 % - Markeringsfarve3 8 4 3" xfId="13209" xr:uid="{00000000-0005-0000-0000-0000441A0000}"/>
    <cellStyle name="20 % - Markeringsfarve3 8 4 3 2" xfId="31376" xr:uid="{00000000-0005-0000-0000-0000451A0000}"/>
    <cellStyle name="20 % - Markeringsfarve3 8 4 4" xfId="24374" xr:uid="{00000000-0005-0000-0000-0000461A0000}"/>
    <cellStyle name="20 % - Markeringsfarve3 8 5" xfId="7803" xr:uid="{00000000-0005-0000-0000-0000471A0000}"/>
    <cellStyle name="20 % - Markeringsfarve3 8 5 2" xfId="15721" xr:uid="{00000000-0005-0000-0000-0000481A0000}"/>
    <cellStyle name="20 % - Markeringsfarve3 8 5 2 2" xfId="33881" xr:uid="{00000000-0005-0000-0000-0000491A0000}"/>
    <cellStyle name="20 % - Markeringsfarve3 8 5 3" xfId="26880" xr:uid="{00000000-0005-0000-0000-00004A1A0000}"/>
    <cellStyle name="20 % - Markeringsfarve3 8 6" xfId="13205" xr:uid="{00000000-0005-0000-0000-00004B1A0000}"/>
    <cellStyle name="20 % - Markeringsfarve3 8 6 2" xfId="31372" xr:uid="{00000000-0005-0000-0000-00004C1A0000}"/>
    <cellStyle name="20 % - Markeringsfarve3 8 7" xfId="24370" xr:uid="{00000000-0005-0000-0000-00004D1A0000}"/>
    <cellStyle name="20 % - Markeringsfarve3 9" xfId="4656" xr:uid="{00000000-0005-0000-0000-00004E1A0000}"/>
    <cellStyle name="20 % - Markeringsfarve3 9 2" xfId="4657" xr:uid="{00000000-0005-0000-0000-00004F1A0000}"/>
    <cellStyle name="20 % - Markeringsfarve3 9 2 2" xfId="4658" xr:uid="{00000000-0005-0000-0000-0000501A0000}"/>
    <cellStyle name="20 % - Markeringsfarve3 9 2 2 2" xfId="10326" xr:uid="{00000000-0005-0000-0000-0000511A0000}"/>
    <cellStyle name="20 % - Markeringsfarve3 9 2 2 2 2" xfId="18227" xr:uid="{00000000-0005-0000-0000-0000521A0000}"/>
    <cellStyle name="20 % - Markeringsfarve3 9 2 2 2 2 2" xfId="36387" xr:uid="{00000000-0005-0000-0000-0000531A0000}"/>
    <cellStyle name="20 % - Markeringsfarve3 9 2 2 2 3" xfId="29386" xr:uid="{00000000-0005-0000-0000-0000541A0000}"/>
    <cellStyle name="20 % - Markeringsfarve3 9 2 2 3" xfId="13212" xr:uid="{00000000-0005-0000-0000-0000551A0000}"/>
    <cellStyle name="20 % - Markeringsfarve3 9 2 2 3 2" xfId="31379" xr:uid="{00000000-0005-0000-0000-0000561A0000}"/>
    <cellStyle name="20 % - Markeringsfarve3 9 2 2 4" xfId="24377" xr:uid="{00000000-0005-0000-0000-0000571A0000}"/>
    <cellStyle name="20 % - Markeringsfarve3 9 2 3" xfId="8837" xr:uid="{00000000-0005-0000-0000-0000581A0000}"/>
    <cellStyle name="20 % - Markeringsfarve3 9 2 3 2" xfId="16751" xr:uid="{00000000-0005-0000-0000-0000591A0000}"/>
    <cellStyle name="20 % - Markeringsfarve3 9 2 3 2 2" xfId="34911" xr:uid="{00000000-0005-0000-0000-00005A1A0000}"/>
    <cellStyle name="20 % - Markeringsfarve3 9 2 3 3" xfId="27910" xr:uid="{00000000-0005-0000-0000-00005B1A0000}"/>
    <cellStyle name="20 % - Markeringsfarve3 9 2 4" xfId="13211" xr:uid="{00000000-0005-0000-0000-00005C1A0000}"/>
    <cellStyle name="20 % - Markeringsfarve3 9 2 4 2" xfId="31378" xr:uid="{00000000-0005-0000-0000-00005D1A0000}"/>
    <cellStyle name="20 % - Markeringsfarve3 9 2 5" xfId="24376" xr:uid="{00000000-0005-0000-0000-00005E1A0000}"/>
    <cellStyle name="20 % - Markeringsfarve3 9 3" xfId="4659" xr:uid="{00000000-0005-0000-0000-00005F1A0000}"/>
    <cellStyle name="20 % - Markeringsfarve3 9 3 2" xfId="9603" xr:uid="{00000000-0005-0000-0000-0000601A0000}"/>
    <cellStyle name="20 % - Markeringsfarve3 9 3 2 2" xfId="17513" xr:uid="{00000000-0005-0000-0000-0000611A0000}"/>
    <cellStyle name="20 % - Markeringsfarve3 9 3 2 2 2" xfId="35673" xr:uid="{00000000-0005-0000-0000-0000621A0000}"/>
    <cellStyle name="20 % - Markeringsfarve3 9 3 2 3" xfId="28672" xr:uid="{00000000-0005-0000-0000-0000631A0000}"/>
    <cellStyle name="20 % - Markeringsfarve3 9 3 3" xfId="13213" xr:uid="{00000000-0005-0000-0000-0000641A0000}"/>
    <cellStyle name="20 % - Markeringsfarve3 9 3 3 2" xfId="31380" xr:uid="{00000000-0005-0000-0000-0000651A0000}"/>
    <cellStyle name="20 % - Markeringsfarve3 9 3 4" xfId="24378" xr:uid="{00000000-0005-0000-0000-0000661A0000}"/>
    <cellStyle name="20 % - Markeringsfarve3 9 4" xfId="4660" xr:uid="{00000000-0005-0000-0000-0000671A0000}"/>
    <cellStyle name="20 % - Markeringsfarve3 9 4 2" xfId="10936" xr:uid="{00000000-0005-0000-0000-0000681A0000}"/>
    <cellStyle name="20 % - Markeringsfarve3 9 4 2 2" xfId="18816" xr:uid="{00000000-0005-0000-0000-0000691A0000}"/>
    <cellStyle name="20 % - Markeringsfarve3 9 4 2 2 2" xfId="36976" xr:uid="{00000000-0005-0000-0000-00006A1A0000}"/>
    <cellStyle name="20 % - Markeringsfarve3 9 4 2 3" xfId="29975" xr:uid="{00000000-0005-0000-0000-00006B1A0000}"/>
    <cellStyle name="20 % - Markeringsfarve3 9 4 3" xfId="13214" xr:uid="{00000000-0005-0000-0000-00006C1A0000}"/>
    <cellStyle name="20 % - Markeringsfarve3 9 4 3 2" xfId="31381" xr:uid="{00000000-0005-0000-0000-00006D1A0000}"/>
    <cellStyle name="20 % - Markeringsfarve3 9 4 4" xfId="24379" xr:uid="{00000000-0005-0000-0000-00006E1A0000}"/>
    <cellStyle name="20 % - Markeringsfarve3 9 5" xfId="7804" xr:uid="{00000000-0005-0000-0000-00006F1A0000}"/>
    <cellStyle name="20 % - Markeringsfarve3 9 5 2" xfId="15722" xr:uid="{00000000-0005-0000-0000-0000701A0000}"/>
    <cellStyle name="20 % - Markeringsfarve3 9 5 2 2" xfId="33882" xr:uid="{00000000-0005-0000-0000-0000711A0000}"/>
    <cellStyle name="20 % - Markeringsfarve3 9 5 3" xfId="26881" xr:uid="{00000000-0005-0000-0000-0000721A0000}"/>
    <cellStyle name="20 % - Markeringsfarve3 9 6" xfId="13210" xr:uid="{00000000-0005-0000-0000-0000731A0000}"/>
    <cellStyle name="20 % - Markeringsfarve3 9 6 2" xfId="31377" xr:uid="{00000000-0005-0000-0000-0000741A0000}"/>
    <cellStyle name="20 % - Markeringsfarve3 9 7" xfId="24375" xr:uid="{00000000-0005-0000-0000-0000751A0000}"/>
    <cellStyle name="20 % - Markeringsfarve4 10" xfId="4662" xr:uid="{00000000-0005-0000-0000-0000761A0000}"/>
    <cellStyle name="20 % - Markeringsfarve4 10 2" xfId="4663" xr:uid="{00000000-0005-0000-0000-0000771A0000}"/>
    <cellStyle name="20 % - Markeringsfarve4 10 2 2" xfId="9722" xr:uid="{00000000-0005-0000-0000-0000781A0000}"/>
    <cellStyle name="20 % - Markeringsfarve4 10 2 2 2" xfId="17623" xr:uid="{00000000-0005-0000-0000-0000791A0000}"/>
    <cellStyle name="20 % - Markeringsfarve4 10 2 2 2 2" xfId="35783" xr:uid="{00000000-0005-0000-0000-00007A1A0000}"/>
    <cellStyle name="20 % - Markeringsfarve4 10 2 2 3" xfId="28782" xr:uid="{00000000-0005-0000-0000-00007B1A0000}"/>
    <cellStyle name="20 % - Markeringsfarve4 10 2 3" xfId="13217" xr:uid="{00000000-0005-0000-0000-00007C1A0000}"/>
    <cellStyle name="20 % - Markeringsfarve4 10 2 3 2" xfId="31384" xr:uid="{00000000-0005-0000-0000-00007D1A0000}"/>
    <cellStyle name="20 % - Markeringsfarve4 10 2 4" xfId="24382" xr:uid="{00000000-0005-0000-0000-00007E1A0000}"/>
    <cellStyle name="20 % - Markeringsfarve4 10 3" xfId="4664" xr:uid="{00000000-0005-0000-0000-00007F1A0000}"/>
    <cellStyle name="20 % - Markeringsfarve4 10 3 2" xfId="10897" xr:uid="{00000000-0005-0000-0000-0000801A0000}"/>
    <cellStyle name="20 % - Markeringsfarve4 10 3 2 2" xfId="18779" xr:uid="{00000000-0005-0000-0000-0000811A0000}"/>
    <cellStyle name="20 % - Markeringsfarve4 10 3 2 2 2" xfId="36939" xr:uid="{00000000-0005-0000-0000-0000821A0000}"/>
    <cellStyle name="20 % - Markeringsfarve4 10 3 2 3" xfId="29938" xr:uid="{00000000-0005-0000-0000-0000831A0000}"/>
    <cellStyle name="20 % - Markeringsfarve4 10 3 3" xfId="13218" xr:uid="{00000000-0005-0000-0000-0000841A0000}"/>
    <cellStyle name="20 % - Markeringsfarve4 10 3 3 2" xfId="31385" xr:uid="{00000000-0005-0000-0000-0000851A0000}"/>
    <cellStyle name="20 % - Markeringsfarve4 10 3 4" xfId="24383" xr:uid="{00000000-0005-0000-0000-0000861A0000}"/>
    <cellStyle name="20 % - Markeringsfarve4 10 4" xfId="7806" xr:uid="{00000000-0005-0000-0000-0000871A0000}"/>
    <cellStyle name="20 % - Markeringsfarve4 10 4 2" xfId="15724" xr:uid="{00000000-0005-0000-0000-0000881A0000}"/>
    <cellStyle name="20 % - Markeringsfarve4 10 4 2 2" xfId="33884" xr:uid="{00000000-0005-0000-0000-0000891A0000}"/>
    <cellStyle name="20 % - Markeringsfarve4 10 4 3" xfId="26883" xr:uid="{00000000-0005-0000-0000-00008A1A0000}"/>
    <cellStyle name="20 % - Markeringsfarve4 10 5" xfId="13216" xr:uid="{00000000-0005-0000-0000-00008B1A0000}"/>
    <cellStyle name="20 % - Markeringsfarve4 10 5 2" xfId="31383" xr:uid="{00000000-0005-0000-0000-00008C1A0000}"/>
    <cellStyle name="20 % - Markeringsfarve4 10 6" xfId="24381" xr:uid="{00000000-0005-0000-0000-00008D1A0000}"/>
    <cellStyle name="20 % - Markeringsfarve4 11" xfId="4665" xr:uid="{00000000-0005-0000-0000-00008E1A0000}"/>
    <cellStyle name="20 % - Markeringsfarve4 11 2" xfId="4666" xr:uid="{00000000-0005-0000-0000-00008F1A0000}"/>
    <cellStyle name="20 % - Markeringsfarve4 11 2 2" xfId="10619" xr:uid="{00000000-0005-0000-0000-0000901A0000}"/>
    <cellStyle name="20 % - Markeringsfarve4 11 2 2 2" xfId="18512" xr:uid="{00000000-0005-0000-0000-0000911A0000}"/>
    <cellStyle name="20 % - Markeringsfarve4 11 2 2 2 2" xfId="36672" xr:uid="{00000000-0005-0000-0000-0000921A0000}"/>
    <cellStyle name="20 % - Markeringsfarve4 11 2 2 3" xfId="29671" xr:uid="{00000000-0005-0000-0000-0000931A0000}"/>
    <cellStyle name="20 % - Markeringsfarve4 11 2 3" xfId="13220" xr:uid="{00000000-0005-0000-0000-0000941A0000}"/>
    <cellStyle name="20 % - Markeringsfarve4 11 2 3 2" xfId="31387" xr:uid="{00000000-0005-0000-0000-0000951A0000}"/>
    <cellStyle name="20 % - Markeringsfarve4 11 2 4" xfId="24385" xr:uid="{00000000-0005-0000-0000-0000961A0000}"/>
    <cellStyle name="20 % - Markeringsfarve4 11 3" xfId="7807" xr:uid="{00000000-0005-0000-0000-0000971A0000}"/>
    <cellStyle name="20 % - Markeringsfarve4 11 3 2" xfId="15725" xr:uid="{00000000-0005-0000-0000-0000981A0000}"/>
    <cellStyle name="20 % - Markeringsfarve4 11 3 2 2" xfId="33885" xr:uid="{00000000-0005-0000-0000-0000991A0000}"/>
    <cellStyle name="20 % - Markeringsfarve4 11 3 3" xfId="26884" xr:uid="{00000000-0005-0000-0000-00009A1A0000}"/>
    <cellStyle name="20 % - Markeringsfarve4 11 4" xfId="13219" xr:uid="{00000000-0005-0000-0000-00009B1A0000}"/>
    <cellStyle name="20 % - Markeringsfarve4 11 4 2" xfId="31386" xr:uid="{00000000-0005-0000-0000-00009C1A0000}"/>
    <cellStyle name="20 % - Markeringsfarve4 11 5" xfId="24384" xr:uid="{00000000-0005-0000-0000-00009D1A0000}"/>
    <cellStyle name="20 % - Markeringsfarve4 12" xfId="4667" xr:uid="{00000000-0005-0000-0000-00009E1A0000}"/>
    <cellStyle name="20 % - Markeringsfarve4 12 2" xfId="4668" xr:uid="{00000000-0005-0000-0000-00009F1A0000}"/>
    <cellStyle name="20 % - Markeringsfarve4 12 2 2" xfId="10881" xr:uid="{00000000-0005-0000-0000-0000A01A0000}"/>
    <cellStyle name="20 % - Markeringsfarve4 12 2 2 2" xfId="18764" xr:uid="{00000000-0005-0000-0000-0000A11A0000}"/>
    <cellStyle name="20 % - Markeringsfarve4 12 2 2 2 2" xfId="36924" xr:uid="{00000000-0005-0000-0000-0000A21A0000}"/>
    <cellStyle name="20 % - Markeringsfarve4 12 2 2 3" xfId="29923" xr:uid="{00000000-0005-0000-0000-0000A31A0000}"/>
    <cellStyle name="20 % - Markeringsfarve4 12 2 3" xfId="13222" xr:uid="{00000000-0005-0000-0000-0000A41A0000}"/>
    <cellStyle name="20 % - Markeringsfarve4 12 2 3 2" xfId="31389" xr:uid="{00000000-0005-0000-0000-0000A51A0000}"/>
    <cellStyle name="20 % - Markeringsfarve4 12 2 4" xfId="24387" xr:uid="{00000000-0005-0000-0000-0000A61A0000}"/>
    <cellStyle name="20 % - Markeringsfarve4 12 3" xfId="7808" xr:uid="{00000000-0005-0000-0000-0000A71A0000}"/>
    <cellStyle name="20 % - Markeringsfarve4 12 3 2" xfId="15726" xr:uid="{00000000-0005-0000-0000-0000A81A0000}"/>
    <cellStyle name="20 % - Markeringsfarve4 12 3 2 2" xfId="33886" xr:uid="{00000000-0005-0000-0000-0000A91A0000}"/>
    <cellStyle name="20 % - Markeringsfarve4 12 3 3" xfId="26885" xr:uid="{00000000-0005-0000-0000-0000AA1A0000}"/>
    <cellStyle name="20 % - Markeringsfarve4 12 4" xfId="13221" xr:uid="{00000000-0005-0000-0000-0000AB1A0000}"/>
    <cellStyle name="20 % - Markeringsfarve4 12 4 2" xfId="31388" xr:uid="{00000000-0005-0000-0000-0000AC1A0000}"/>
    <cellStyle name="20 % - Markeringsfarve4 12 5" xfId="24386" xr:uid="{00000000-0005-0000-0000-0000AD1A0000}"/>
    <cellStyle name="20 % - Markeringsfarve4 13" xfId="4669" xr:uid="{00000000-0005-0000-0000-0000AE1A0000}"/>
    <cellStyle name="20 % - Markeringsfarve4 13 2" xfId="4670" xr:uid="{00000000-0005-0000-0000-0000AF1A0000}"/>
    <cellStyle name="20 % - Markeringsfarve4 13 2 2" xfId="10816" xr:uid="{00000000-0005-0000-0000-0000B01A0000}"/>
    <cellStyle name="20 % - Markeringsfarve4 13 2 2 2" xfId="18703" xr:uid="{00000000-0005-0000-0000-0000B11A0000}"/>
    <cellStyle name="20 % - Markeringsfarve4 13 2 2 2 2" xfId="36863" xr:uid="{00000000-0005-0000-0000-0000B21A0000}"/>
    <cellStyle name="20 % - Markeringsfarve4 13 2 2 3" xfId="29862" xr:uid="{00000000-0005-0000-0000-0000B31A0000}"/>
    <cellStyle name="20 % - Markeringsfarve4 13 2 3" xfId="13224" xr:uid="{00000000-0005-0000-0000-0000B41A0000}"/>
    <cellStyle name="20 % - Markeringsfarve4 13 2 3 2" xfId="31391" xr:uid="{00000000-0005-0000-0000-0000B51A0000}"/>
    <cellStyle name="20 % - Markeringsfarve4 13 2 4" xfId="24389" xr:uid="{00000000-0005-0000-0000-0000B61A0000}"/>
    <cellStyle name="20 % - Markeringsfarve4 13 3" xfId="7805" xr:uid="{00000000-0005-0000-0000-0000B71A0000}"/>
    <cellStyle name="20 % - Markeringsfarve4 13 3 2" xfId="15723" xr:uid="{00000000-0005-0000-0000-0000B81A0000}"/>
    <cellStyle name="20 % - Markeringsfarve4 13 3 2 2" xfId="33883" xr:uid="{00000000-0005-0000-0000-0000B91A0000}"/>
    <cellStyle name="20 % - Markeringsfarve4 13 3 3" xfId="26882" xr:uid="{00000000-0005-0000-0000-0000BA1A0000}"/>
    <cellStyle name="20 % - Markeringsfarve4 13 4" xfId="13223" xr:uid="{00000000-0005-0000-0000-0000BB1A0000}"/>
    <cellStyle name="20 % - Markeringsfarve4 13 4 2" xfId="31390" xr:uid="{00000000-0005-0000-0000-0000BC1A0000}"/>
    <cellStyle name="20 % - Markeringsfarve4 13 5" xfId="24388" xr:uid="{00000000-0005-0000-0000-0000BD1A0000}"/>
    <cellStyle name="20 % - Markeringsfarve4 14" xfId="4671" xr:uid="{00000000-0005-0000-0000-0000BE1A0000}"/>
    <cellStyle name="20 % - Markeringsfarve4 14 2" xfId="8945" xr:uid="{00000000-0005-0000-0000-0000BF1A0000}"/>
    <cellStyle name="20 % - Markeringsfarve4 14 2 2" xfId="16858" xr:uid="{00000000-0005-0000-0000-0000C01A0000}"/>
    <cellStyle name="20 % - Markeringsfarve4 14 2 2 2" xfId="35018" xr:uid="{00000000-0005-0000-0000-0000C11A0000}"/>
    <cellStyle name="20 % - Markeringsfarve4 14 2 3" xfId="28017" xr:uid="{00000000-0005-0000-0000-0000C21A0000}"/>
    <cellStyle name="20 % - Markeringsfarve4 14 3" xfId="13225" xr:uid="{00000000-0005-0000-0000-0000C31A0000}"/>
    <cellStyle name="20 % - Markeringsfarve4 14 3 2" xfId="31392" xr:uid="{00000000-0005-0000-0000-0000C41A0000}"/>
    <cellStyle name="20 % - Markeringsfarve4 14 4" xfId="24390" xr:uid="{00000000-0005-0000-0000-0000C51A0000}"/>
    <cellStyle name="20 % - Markeringsfarve4 15" xfId="4672" xr:uid="{00000000-0005-0000-0000-0000C61A0000}"/>
    <cellStyle name="20 % - Markeringsfarve4 15 2" xfId="10830" xr:uid="{00000000-0005-0000-0000-0000C71A0000}"/>
    <cellStyle name="20 % - Markeringsfarve4 15 2 2" xfId="18716" xr:uid="{00000000-0005-0000-0000-0000C81A0000}"/>
    <cellStyle name="20 % - Markeringsfarve4 15 2 2 2" xfId="36876" xr:uid="{00000000-0005-0000-0000-0000C91A0000}"/>
    <cellStyle name="20 % - Markeringsfarve4 15 2 3" xfId="29875" xr:uid="{00000000-0005-0000-0000-0000CA1A0000}"/>
    <cellStyle name="20 % - Markeringsfarve4 15 3" xfId="13226" xr:uid="{00000000-0005-0000-0000-0000CB1A0000}"/>
    <cellStyle name="20 % - Markeringsfarve4 15 3 2" xfId="31393" xr:uid="{00000000-0005-0000-0000-0000CC1A0000}"/>
    <cellStyle name="20 % - Markeringsfarve4 15 4" xfId="24391" xr:uid="{00000000-0005-0000-0000-0000CD1A0000}"/>
    <cellStyle name="20 % - Markeringsfarve4 16" xfId="4673" xr:uid="{00000000-0005-0000-0000-0000CE1A0000}"/>
    <cellStyle name="20 % - Markeringsfarve4 16 2" xfId="10661" xr:uid="{00000000-0005-0000-0000-0000CF1A0000}"/>
    <cellStyle name="20 % - Markeringsfarve4 16 2 2" xfId="18553" xr:uid="{00000000-0005-0000-0000-0000D01A0000}"/>
    <cellStyle name="20 % - Markeringsfarve4 16 2 2 2" xfId="36713" xr:uid="{00000000-0005-0000-0000-0000D11A0000}"/>
    <cellStyle name="20 % - Markeringsfarve4 16 2 3" xfId="29712" xr:uid="{00000000-0005-0000-0000-0000D21A0000}"/>
    <cellStyle name="20 % - Markeringsfarve4 16 3" xfId="13227" xr:uid="{00000000-0005-0000-0000-0000D31A0000}"/>
    <cellStyle name="20 % - Markeringsfarve4 16 3 2" xfId="31394" xr:uid="{00000000-0005-0000-0000-0000D41A0000}"/>
    <cellStyle name="20 % - Markeringsfarve4 16 4" xfId="24392" xr:uid="{00000000-0005-0000-0000-0000D51A0000}"/>
    <cellStyle name="20 % - Markeringsfarve4 17" xfId="7624" xr:uid="{00000000-0005-0000-0000-0000D61A0000}"/>
    <cellStyle name="20 % - Markeringsfarve4 17 2" xfId="15546" xr:uid="{00000000-0005-0000-0000-0000D71A0000}"/>
    <cellStyle name="20 % - Markeringsfarve4 17 2 2" xfId="33706" xr:uid="{00000000-0005-0000-0000-0000D81A0000}"/>
    <cellStyle name="20 % - Markeringsfarve4 17 3" xfId="26705" xr:uid="{00000000-0005-0000-0000-0000D91A0000}"/>
    <cellStyle name="20 % - Markeringsfarve4 18" xfId="4661" xr:uid="{00000000-0005-0000-0000-0000DA1A0000}"/>
    <cellStyle name="20 % - Markeringsfarve4 18 2" xfId="13215" xr:uid="{00000000-0005-0000-0000-0000DB1A0000}"/>
    <cellStyle name="20 % - Markeringsfarve4 18 2 2" xfId="31382" xr:uid="{00000000-0005-0000-0000-0000DC1A0000}"/>
    <cellStyle name="20 % - Markeringsfarve4 18 3" xfId="24380" xr:uid="{00000000-0005-0000-0000-0000DD1A0000}"/>
    <cellStyle name="20 % - Markeringsfarve4 2" xfId="1816" xr:uid="{00000000-0005-0000-0000-0000DE1A0000}"/>
    <cellStyle name="20 % - Markeringsfarve4 2 10" xfId="4675" xr:uid="{00000000-0005-0000-0000-0000DF1A0000}"/>
    <cellStyle name="20 % - Markeringsfarve4 2 10 2" xfId="8976" xr:uid="{00000000-0005-0000-0000-0000E01A0000}"/>
    <cellStyle name="20 % - Markeringsfarve4 2 10 2 2" xfId="16887" xr:uid="{00000000-0005-0000-0000-0000E11A0000}"/>
    <cellStyle name="20 % - Markeringsfarve4 2 10 2 2 2" xfId="35047" xr:uid="{00000000-0005-0000-0000-0000E21A0000}"/>
    <cellStyle name="20 % - Markeringsfarve4 2 10 2 3" xfId="28046" xr:uid="{00000000-0005-0000-0000-0000E31A0000}"/>
    <cellStyle name="20 % - Markeringsfarve4 2 10 3" xfId="13229" xr:uid="{00000000-0005-0000-0000-0000E41A0000}"/>
    <cellStyle name="20 % - Markeringsfarve4 2 10 3 2" xfId="31396" xr:uid="{00000000-0005-0000-0000-0000E51A0000}"/>
    <cellStyle name="20 % - Markeringsfarve4 2 10 4" xfId="24394" xr:uid="{00000000-0005-0000-0000-0000E61A0000}"/>
    <cellStyle name="20 % - Markeringsfarve4 2 11" xfId="4676" xr:uid="{00000000-0005-0000-0000-0000E71A0000}"/>
    <cellStyle name="20 % - Markeringsfarve4 2 11 2" xfId="10530" xr:uid="{00000000-0005-0000-0000-0000E81A0000}"/>
    <cellStyle name="20 % - Markeringsfarve4 2 11 2 2" xfId="18424" xr:uid="{00000000-0005-0000-0000-0000E91A0000}"/>
    <cellStyle name="20 % - Markeringsfarve4 2 11 2 2 2" xfId="36584" xr:uid="{00000000-0005-0000-0000-0000EA1A0000}"/>
    <cellStyle name="20 % - Markeringsfarve4 2 11 2 3" xfId="29583" xr:uid="{00000000-0005-0000-0000-0000EB1A0000}"/>
    <cellStyle name="20 % - Markeringsfarve4 2 11 3" xfId="13230" xr:uid="{00000000-0005-0000-0000-0000EC1A0000}"/>
    <cellStyle name="20 % - Markeringsfarve4 2 11 3 2" xfId="31397" xr:uid="{00000000-0005-0000-0000-0000ED1A0000}"/>
    <cellStyle name="20 % - Markeringsfarve4 2 11 4" xfId="24395" xr:uid="{00000000-0005-0000-0000-0000EE1A0000}"/>
    <cellStyle name="20 % - Markeringsfarve4 2 12" xfId="7809" xr:uid="{00000000-0005-0000-0000-0000EF1A0000}"/>
    <cellStyle name="20 % - Markeringsfarve4 2 12 2" xfId="15727" xr:uid="{00000000-0005-0000-0000-0000F01A0000}"/>
    <cellStyle name="20 % - Markeringsfarve4 2 12 2 2" xfId="33887" xr:uid="{00000000-0005-0000-0000-0000F11A0000}"/>
    <cellStyle name="20 % - Markeringsfarve4 2 12 3" xfId="26886" xr:uid="{00000000-0005-0000-0000-0000F21A0000}"/>
    <cellStyle name="20 % - Markeringsfarve4 2 13" xfId="13228" xr:uid="{00000000-0005-0000-0000-0000F31A0000}"/>
    <cellStyle name="20 % - Markeringsfarve4 2 13 2" xfId="31395" xr:uid="{00000000-0005-0000-0000-0000F41A0000}"/>
    <cellStyle name="20 % - Markeringsfarve4 2 14" xfId="4674" xr:uid="{00000000-0005-0000-0000-0000F51A0000}"/>
    <cellStyle name="20 % - Markeringsfarve4 2 14 2" xfId="24393" xr:uid="{00000000-0005-0000-0000-0000F61A0000}"/>
    <cellStyle name="20 % - Markeringsfarve4 2 15" xfId="21940" xr:uid="{00000000-0005-0000-0000-0000F71A0000}"/>
    <cellStyle name="20 % - Markeringsfarve4 2 2" xfId="1817" xr:uid="{00000000-0005-0000-0000-0000F81A0000}"/>
    <cellStyle name="20 % - Markeringsfarve4 2 2 10" xfId="7810" xr:uid="{00000000-0005-0000-0000-0000F91A0000}"/>
    <cellStyle name="20 % - Markeringsfarve4 2 2 10 2" xfId="15728" xr:uid="{00000000-0005-0000-0000-0000FA1A0000}"/>
    <cellStyle name="20 % - Markeringsfarve4 2 2 10 2 2" xfId="33888" xr:uid="{00000000-0005-0000-0000-0000FB1A0000}"/>
    <cellStyle name="20 % - Markeringsfarve4 2 2 10 3" xfId="26887" xr:uid="{00000000-0005-0000-0000-0000FC1A0000}"/>
    <cellStyle name="20 % - Markeringsfarve4 2 2 11" xfId="13231" xr:uid="{00000000-0005-0000-0000-0000FD1A0000}"/>
    <cellStyle name="20 % - Markeringsfarve4 2 2 11 2" xfId="31398" xr:uid="{00000000-0005-0000-0000-0000FE1A0000}"/>
    <cellStyle name="20 % - Markeringsfarve4 2 2 12" xfId="4677" xr:uid="{00000000-0005-0000-0000-0000FF1A0000}"/>
    <cellStyle name="20 % - Markeringsfarve4 2 2 12 2" xfId="24396" xr:uid="{00000000-0005-0000-0000-0000001B0000}"/>
    <cellStyle name="20 % - Markeringsfarve4 2 2 13" xfId="21941" xr:uid="{00000000-0005-0000-0000-0000011B0000}"/>
    <cellStyle name="20 % - Markeringsfarve4 2 2 2" xfId="1818" xr:uid="{00000000-0005-0000-0000-0000021B0000}"/>
    <cellStyle name="20 % - Markeringsfarve4 2 2 2 2" xfId="4679" xr:uid="{00000000-0005-0000-0000-0000031B0000}"/>
    <cellStyle name="20 % - Markeringsfarve4 2 2 2 2 2" xfId="4680" xr:uid="{00000000-0005-0000-0000-0000041B0000}"/>
    <cellStyle name="20 % - Markeringsfarve4 2 2 2 2 2 2" xfId="9907" xr:uid="{00000000-0005-0000-0000-0000051B0000}"/>
    <cellStyle name="20 % - Markeringsfarve4 2 2 2 2 2 2 2" xfId="17808" xr:uid="{00000000-0005-0000-0000-0000061B0000}"/>
    <cellStyle name="20 % - Markeringsfarve4 2 2 2 2 2 2 2 2" xfId="35968" xr:uid="{00000000-0005-0000-0000-0000071B0000}"/>
    <cellStyle name="20 % - Markeringsfarve4 2 2 2 2 2 2 3" xfId="28967" xr:uid="{00000000-0005-0000-0000-0000081B0000}"/>
    <cellStyle name="20 % - Markeringsfarve4 2 2 2 2 2 3" xfId="13234" xr:uid="{00000000-0005-0000-0000-0000091B0000}"/>
    <cellStyle name="20 % - Markeringsfarve4 2 2 2 2 2 3 2" xfId="31401" xr:uid="{00000000-0005-0000-0000-00000A1B0000}"/>
    <cellStyle name="20 % - Markeringsfarve4 2 2 2 2 2 4" xfId="24399" xr:uid="{00000000-0005-0000-0000-00000B1B0000}"/>
    <cellStyle name="20 % - Markeringsfarve4 2 2 2 2 3" xfId="8479" xr:uid="{00000000-0005-0000-0000-00000C1B0000}"/>
    <cellStyle name="20 % - Markeringsfarve4 2 2 2 2 3 2" xfId="16396" xr:uid="{00000000-0005-0000-0000-00000D1B0000}"/>
    <cellStyle name="20 % - Markeringsfarve4 2 2 2 2 3 2 2" xfId="34556" xr:uid="{00000000-0005-0000-0000-00000E1B0000}"/>
    <cellStyle name="20 % - Markeringsfarve4 2 2 2 2 3 3" xfId="27555" xr:uid="{00000000-0005-0000-0000-00000F1B0000}"/>
    <cellStyle name="20 % - Markeringsfarve4 2 2 2 2 4" xfId="13233" xr:uid="{00000000-0005-0000-0000-0000101B0000}"/>
    <cellStyle name="20 % - Markeringsfarve4 2 2 2 2 4 2" xfId="31400" xr:uid="{00000000-0005-0000-0000-0000111B0000}"/>
    <cellStyle name="20 % - Markeringsfarve4 2 2 2 2 5" xfId="24398" xr:uid="{00000000-0005-0000-0000-0000121B0000}"/>
    <cellStyle name="20 % - Markeringsfarve4 2 2 2 3" xfId="4681" xr:uid="{00000000-0005-0000-0000-0000131B0000}"/>
    <cellStyle name="20 % - Markeringsfarve4 2 2 2 3 2" xfId="9137" xr:uid="{00000000-0005-0000-0000-0000141B0000}"/>
    <cellStyle name="20 % - Markeringsfarve4 2 2 2 3 2 2" xfId="17048" xr:uid="{00000000-0005-0000-0000-0000151B0000}"/>
    <cellStyle name="20 % - Markeringsfarve4 2 2 2 3 2 2 2" xfId="35208" xr:uid="{00000000-0005-0000-0000-0000161B0000}"/>
    <cellStyle name="20 % - Markeringsfarve4 2 2 2 3 2 3" xfId="28207" xr:uid="{00000000-0005-0000-0000-0000171B0000}"/>
    <cellStyle name="20 % - Markeringsfarve4 2 2 2 3 3" xfId="13235" xr:uid="{00000000-0005-0000-0000-0000181B0000}"/>
    <cellStyle name="20 % - Markeringsfarve4 2 2 2 3 3 2" xfId="31402" xr:uid="{00000000-0005-0000-0000-0000191B0000}"/>
    <cellStyle name="20 % - Markeringsfarve4 2 2 2 3 4" xfId="24400" xr:uid="{00000000-0005-0000-0000-00001A1B0000}"/>
    <cellStyle name="20 % - Markeringsfarve4 2 2 2 4" xfId="4682" xr:uid="{00000000-0005-0000-0000-00001B1B0000}"/>
    <cellStyle name="20 % - Markeringsfarve4 2 2 2 4 2" xfId="10454" xr:uid="{00000000-0005-0000-0000-00001C1B0000}"/>
    <cellStyle name="20 % - Markeringsfarve4 2 2 2 4 2 2" xfId="18351" xr:uid="{00000000-0005-0000-0000-00001D1B0000}"/>
    <cellStyle name="20 % - Markeringsfarve4 2 2 2 4 2 2 2" xfId="36511" xr:uid="{00000000-0005-0000-0000-00001E1B0000}"/>
    <cellStyle name="20 % - Markeringsfarve4 2 2 2 4 2 3" xfId="29510" xr:uid="{00000000-0005-0000-0000-00001F1B0000}"/>
    <cellStyle name="20 % - Markeringsfarve4 2 2 2 4 3" xfId="13236" xr:uid="{00000000-0005-0000-0000-0000201B0000}"/>
    <cellStyle name="20 % - Markeringsfarve4 2 2 2 4 3 2" xfId="31403" xr:uid="{00000000-0005-0000-0000-0000211B0000}"/>
    <cellStyle name="20 % - Markeringsfarve4 2 2 2 4 4" xfId="24401" xr:uid="{00000000-0005-0000-0000-0000221B0000}"/>
    <cellStyle name="20 % - Markeringsfarve4 2 2 2 5" xfId="7811" xr:uid="{00000000-0005-0000-0000-0000231B0000}"/>
    <cellStyle name="20 % - Markeringsfarve4 2 2 2 5 2" xfId="15729" xr:uid="{00000000-0005-0000-0000-0000241B0000}"/>
    <cellStyle name="20 % - Markeringsfarve4 2 2 2 5 2 2" xfId="33889" xr:uid="{00000000-0005-0000-0000-0000251B0000}"/>
    <cellStyle name="20 % - Markeringsfarve4 2 2 2 5 3" xfId="26888" xr:uid="{00000000-0005-0000-0000-0000261B0000}"/>
    <cellStyle name="20 % - Markeringsfarve4 2 2 2 6" xfId="13232" xr:uid="{00000000-0005-0000-0000-0000271B0000}"/>
    <cellStyle name="20 % - Markeringsfarve4 2 2 2 6 2" xfId="31399" xr:uid="{00000000-0005-0000-0000-0000281B0000}"/>
    <cellStyle name="20 % - Markeringsfarve4 2 2 2 7" xfId="4678" xr:uid="{00000000-0005-0000-0000-0000291B0000}"/>
    <cellStyle name="20 % - Markeringsfarve4 2 2 2 7 2" xfId="24397" xr:uid="{00000000-0005-0000-0000-00002A1B0000}"/>
    <cellStyle name="20 % - Markeringsfarve4 2 2 2 8" xfId="21942" xr:uid="{00000000-0005-0000-0000-00002B1B0000}"/>
    <cellStyle name="20 % - Markeringsfarve4 2 2 3" xfId="4683" xr:uid="{00000000-0005-0000-0000-00002C1B0000}"/>
    <cellStyle name="20 % - Markeringsfarve4 2 2 3 2" xfId="4684" xr:uid="{00000000-0005-0000-0000-00002D1B0000}"/>
    <cellStyle name="20 % - Markeringsfarve4 2 2 3 2 2" xfId="4685" xr:uid="{00000000-0005-0000-0000-00002E1B0000}"/>
    <cellStyle name="20 % - Markeringsfarve4 2 2 3 2 2 2" xfId="9982" xr:uid="{00000000-0005-0000-0000-00002F1B0000}"/>
    <cellStyle name="20 % - Markeringsfarve4 2 2 3 2 2 2 2" xfId="17883" xr:uid="{00000000-0005-0000-0000-0000301B0000}"/>
    <cellStyle name="20 % - Markeringsfarve4 2 2 3 2 2 2 2 2" xfId="36043" xr:uid="{00000000-0005-0000-0000-0000311B0000}"/>
    <cellStyle name="20 % - Markeringsfarve4 2 2 3 2 2 2 3" xfId="29042" xr:uid="{00000000-0005-0000-0000-0000321B0000}"/>
    <cellStyle name="20 % - Markeringsfarve4 2 2 3 2 2 3" xfId="13239" xr:uid="{00000000-0005-0000-0000-0000331B0000}"/>
    <cellStyle name="20 % - Markeringsfarve4 2 2 3 2 2 3 2" xfId="31406" xr:uid="{00000000-0005-0000-0000-0000341B0000}"/>
    <cellStyle name="20 % - Markeringsfarve4 2 2 3 2 2 4" xfId="24404" xr:uid="{00000000-0005-0000-0000-0000351B0000}"/>
    <cellStyle name="20 % - Markeringsfarve4 2 2 3 2 3" xfId="8546" xr:uid="{00000000-0005-0000-0000-0000361B0000}"/>
    <cellStyle name="20 % - Markeringsfarve4 2 2 3 2 3 2" xfId="16463" xr:uid="{00000000-0005-0000-0000-0000371B0000}"/>
    <cellStyle name="20 % - Markeringsfarve4 2 2 3 2 3 2 2" xfId="34623" xr:uid="{00000000-0005-0000-0000-0000381B0000}"/>
    <cellStyle name="20 % - Markeringsfarve4 2 2 3 2 3 3" xfId="27622" xr:uid="{00000000-0005-0000-0000-0000391B0000}"/>
    <cellStyle name="20 % - Markeringsfarve4 2 2 3 2 4" xfId="13238" xr:uid="{00000000-0005-0000-0000-00003A1B0000}"/>
    <cellStyle name="20 % - Markeringsfarve4 2 2 3 2 4 2" xfId="31405" xr:uid="{00000000-0005-0000-0000-00003B1B0000}"/>
    <cellStyle name="20 % - Markeringsfarve4 2 2 3 2 5" xfId="24403" xr:uid="{00000000-0005-0000-0000-00003C1B0000}"/>
    <cellStyle name="20 % - Markeringsfarve4 2 2 3 3" xfId="4686" xr:uid="{00000000-0005-0000-0000-00003D1B0000}"/>
    <cellStyle name="20 % - Markeringsfarve4 2 2 3 3 2" xfId="9212" xr:uid="{00000000-0005-0000-0000-00003E1B0000}"/>
    <cellStyle name="20 % - Markeringsfarve4 2 2 3 3 2 2" xfId="17123" xr:uid="{00000000-0005-0000-0000-00003F1B0000}"/>
    <cellStyle name="20 % - Markeringsfarve4 2 2 3 3 2 2 2" xfId="35283" xr:uid="{00000000-0005-0000-0000-0000401B0000}"/>
    <cellStyle name="20 % - Markeringsfarve4 2 2 3 3 2 3" xfId="28282" xr:uid="{00000000-0005-0000-0000-0000411B0000}"/>
    <cellStyle name="20 % - Markeringsfarve4 2 2 3 3 3" xfId="13240" xr:uid="{00000000-0005-0000-0000-0000421B0000}"/>
    <cellStyle name="20 % - Markeringsfarve4 2 2 3 3 3 2" xfId="31407" xr:uid="{00000000-0005-0000-0000-0000431B0000}"/>
    <cellStyle name="20 % - Markeringsfarve4 2 2 3 3 4" xfId="24405" xr:uid="{00000000-0005-0000-0000-0000441B0000}"/>
    <cellStyle name="20 % - Markeringsfarve4 2 2 3 4" xfId="4687" xr:uid="{00000000-0005-0000-0000-0000451B0000}"/>
    <cellStyle name="20 % - Markeringsfarve4 2 2 3 4 2" xfId="10791" xr:uid="{00000000-0005-0000-0000-0000461B0000}"/>
    <cellStyle name="20 % - Markeringsfarve4 2 2 3 4 2 2" xfId="18678" xr:uid="{00000000-0005-0000-0000-0000471B0000}"/>
    <cellStyle name="20 % - Markeringsfarve4 2 2 3 4 2 2 2" xfId="36838" xr:uid="{00000000-0005-0000-0000-0000481B0000}"/>
    <cellStyle name="20 % - Markeringsfarve4 2 2 3 4 2 3" xfId="29837" xr:uid="{00000000-0005-0000-0000-0000491B0000}"/>
    <cellStyle name="20 % - Markeringsfarve4 2 2 3 4 3" xfId="13241" xr:uid="{00000000-0005-0000-0000-00004A1B0000}"/>
    <cellStyle name="20 % - Markeringsfarve4 2 2 3 4 3 2" xfId="31408" xr:uid="{00000000-0005-0000-0000-00004B1B0000}"/>
    <cellStyle name="20 % - Markeringsfarve4 2 2 3 4 4" xfId="24406" xr:uid="{00000000-0005-0000-0000-00004C1B0000}"/>
    <cellStyle name="20 % - Markeringsfarve4 2 2 3 5" xfId="7812" xr:uid="{00000000-0005-0000-0000-00004D1B0000}"/>
    <cellStyle name="20 % - Markeringsfarve4 2 2 3 5 2" xfId="15730" xr:uid="{00000000-0005-0000-0000-00004E1B0000}"/>
    <cellStyle name="20 % - Markeringsfarve4 2 2 3 5 2 2" xfId="33890" xr:uid="{00000000-0005-0000-0000-00004F1B0000}"/>
    <cellStyle name="20 % - Markeringsfarve4 2 2 3 5 3" xfId="26889" xr:uid="{00000000-0005-0000-0000-0000501B0000}"/>
    <cellStyle name="20 % - Markeringsfarve4 2 2 3 6" xfId="13237" xr:uid="{00000000-0005-0000-0000-0000511B0000}"/>
    <cellStyle name="20 % - Markeringsfarve4 2 2 3 6 2" xfId="31404" xr:uid="{00000000-0005-0000-0000-0000521B0000}"/>
    <cellStyle name="20 % - Markeringsfarve4 2 2 3 7" xfId="24402" xr:uid="{00000000-0005-0000-0000-0000531B0000}"/>
    <cellStyle name="20 % - Markeringsfarve4 2 2 4" xfId="4688" xr:uid="{00000000-0005-0000-0000-0000541B0000}"/>
    <cellStyle name="20 % - Markeringsfarve4 2 2 4 2" xfId="4689" xr:uid="{00000000-0005-0000-0000-0000551B0000}"/>
    <cellStyle name="20 % - Markeringsfarve4 2 2 4 2 2" xfId="4690" xr:uid="{00000000-0005-0000-0000-0000561B0000}"/>
    <cellStyle name="20 % - Markeringsfarve4 2 2 4 2 2 2" xfId="10145" xr:uid="{00000000-0005-0000-0000-0000571B0000}"/>
    <cellStyle name="20 % - Markeringsfarve4 2 2 4 2 2 2 2" xfId="18046" xr:uid="{00000000-0005-0000-0000-0000581B0000}"/>
    <cellStyle name="20 % - Markeringsfarve4 2 2 4 2 2 2 2 2" xfId="36206" xr:uid="{00000000-0005-0000-0000-0000591B0000}"/>
    <cellStyle name="20 % - Markeringsfarve4 2 2 4 2 2 2 3" xfId="29205" xr:uid="{00000000-0005-0000-0000-00005A1B0000}"/>
    <cellStyle name="20 % - Markeringsfarve4 2 2 4 2 2 3" xfId="13244" xr:uid="{00000000-0005-0000-0000-00005B1B0000}"/>
    <cellStyle name="20 % - Markeringsfarve4 2 2 4 2 2 3 2" xfId="31411" xr:uid="{00000000-0005-0000-0000-00005C1B0000}"/>
    <cellStyle name="20 % - Markeringsfarve4 2 2 4 2 2 4" xfId="24409" xr:uid="{00000000-0005-0000-0000-00005D1B0000}"/>
    <cellStyle name="20 % - Markeringsfarve4 2 2 4 2 3" xfId="8681" xr:uid="{00000000-0005-0000-0000-00005E1B0000}"/>
    <cellStyle name="20 % - Markeringsfarve4 2 2 4 2 3 2" xfId="16595" xr:uid="{00000000-0005-0000-0000-00005F1B0000}"/>
    <cellStyle name="20 % - Markeringsfarve4 2 2 4 2 3 2 2" xfId="34755" xr:uid="{00000000-0005-0000-0000-0000601B0000}"/>
    <cellStyle name="20 % - Markeringsfarve4 2 2 4 2 3 3" xfId="27754" xr:uid="{00000000-0005-0000-0000-0000611B0000}"/>
    <cellStyle name="20 % - Markeringsfarve4 2 2 4 2 4" xfId="13243" xr:uid="{00000000-0005-0000-0000-0000621B0000}"/>
    <cellStyle name="20 % - Markeringsfarve4 2 2 4 2 4 2" xfId="31410" xr:uid="{00000000-0005-0000-0000-0000631B0000}"/>
    <cellStyle name="20 % - Markeringsfarve4 2 2 4 2 5" xfId="24408" xr:uid="{00000000-0005-0000-0000-0000641B0000}"/>
    <cellStyle name="20 % - Markeringsfarve4 2 2 4 3" xfId="4691" xr:uid="{00000000-0005-0000-0000-0000651B0000}"/>
    <cellStyle name="20 % - Markeringsfarve4 2 2 4 3 2" xfId="9421" xr:uid="{00000000-0005-0000-0000-0000661B0000}"/>
    <cellStyle name="20 % - Markeringsfarve4 2 2 4 3 2 2" xfId="17331" xr:uid="{00000000-0005-0000-0000-0000671B0000}"/>
    <cellStyle name="20 % - Markeringsfarve4 2 2 4 3 2 2 2" xfId="35491" xr:uid="{00000000-0005-0000-0000-0000681B0000}"/>
    <cellStyle name="20 % - Markeringsfarve4 2 2 4 3 2 3" xfId="28490" xr:uid="{00000000-0005-0000-0000-0000691B0000}"/>
    <cellStyle name="20 % - Markeringsfarve4 2 2 4 3 3" xfId="13245" xr:uid="{00000000-0005-0000-0000-00006A1B0000}"/>
    <cellStyle name="20 % - Markeringsfarve4 2 2 4 3 3 2" xfId="31412" xr:uid="{00000000-0005-0000-0000-00006B1B0000}"/>
    <cellStyle name="20 % - Markeringsfarve4 2 2 4 3 4" xfId="24410" xr:uid="{00000000-0005-0000-0000-00006C1B0000}"/>
    <cellStyle name="20 % - Markeringsfarve4 2 2 4 4" xfId="4692" xr:uid="{00000000-0005-0000-0000-00006D1B0000}"/>
    <cellStyle name="20 % - Markeringsfarve4 2 2 4 4 2" xfId="11017" xr:uid="{00000000-0005-0000-0000-00006E1B0000}"/>
    <cellStyle name="20 % - Markeringsfarve4 2 2 4 4 2 2" xfId="18893" xr:uid="{00000000-0005-0000-0000-00006F1B0000}"/>
    <cellStyle name="20 % - Markeringsfarve4 2 2 4 4 2 2 2" xfId="37053" xr:uid="{00000000-0005-0000-0000-0000701B0000}"/>
    <cellStyle name="20 % - Markeringsfarve4 2 2 4 4 2 3" xfId="30052" xr:uid="{00000000-0005-0000-0000-0000711B0000}"/>
    <cellStyle name="20 % - Markeringsfarve4 2 2 4 4 3" xfId="13246" xr:uid="{00000000-0005-0000-0000-0000721B0000}"/>
    <cellStyle name="20 % - Markeringsfarve4 2 2 4 4 3 2" xfId="31413" xr:uid="{00000000-0005-0000-0000-0000731B0000}"/>
    <cellStyle name="20 % - Markeringsfarve4 2 2 4 4 4" xfId="24411" xr:uid="{00000000-0005-0000-0000-0000741B0000}"/>
    <cellStyle name="20 % - Markeringsfarve4 2 2 4 5" xfId="7813" xr:uid="{00000000-0005-0000-0000-0000751B0000}"/>
    <cellStyle name="20 % - Markeringsfarve4 2 2 4 5 2" xfId="15731" xr:uid="{00000000-0005-0000-0000-0000761B0000}"/>
    <cellStyle name="20 % - Markeringsfarve4 2 2 4 5 2 2" xfId="33891" xr:uid="{00000000-0005-0000-0000-0000771B0000}"/>
    <cellStyle name="20 % - Markeringsfarve4 2 2 4 5 3" xfId="26890" xr:uid="{00000000-0005-0000-0000-0000781B0000}"/>
    <cellStyle name="20 % - Markeringsfarve4 2 2 4 6" xfId="13242" xr:uid="{00000000-0005-0000-0000-0000791B0000}"/>
    <cellStyle name="20 % - Markeringsfarve4 2 2 4 6 2" xfId="31409" xr:uid="{00000000-0005-0000-0000-00007A1B0000}"/>
    <cellStyle name="20 % - Markeringsfarve4 2 2 4 7" xfId="24407" xr:uid="{00000000-0005-0000-0000-00007B1B0000}"/>
    <cellStyle name="20 % - Markeringsfarve4 2 2 5" xfId="4693" xr:uid="{00000000-0005-0000-0000-00007C1B0000}"/>
    <cellStyle name="20 % - Markeringsfarve4 2 2 5 2" xfId="4694" xr:uid="{00000000-0005-0000-0000-00007D1B0000}"/>
    <cellStyle name="20 % - Markeringsfarve4 2 2 5 2 2" xfId="4695" xr:uid="{00000000-0005-0000-0000-00007E1B0000}"/>
    <cellStyle name="20 % - Markeringsfarve4 2 2 5 2 2 2" xfId="10262" xr:uid="{00000000-0005-0000-0000-00007F1B0000}"/>
    <cellStyle name="20 % - Markeringsfarve4 2 2 5 2 2 2 2" xfId="18163" xr:uid="{00000000-0005-0000-0000-0000801B0000}"/>
    <cellStyle name="20 % - Markeringsfarve4 2 2 5 2 2 2 2 2" xfId="36323" xr:uid="{00000000-0005-0000-0000-0000811B0000}"/>
    <cellStyle name="20 % - Markeringsfarve4 2 2 5 2 2 2 3" xfId="29322" xr:uid="{00000000-0005-0000-0000-0000821B0000}"/>
    <cellStyle name="20 % - Markeringsfarve4 2 2 5 2 2 3" xfId="13249" xr:uid="{00000000-0005-0000-0000-0000831B0000}"/>
    <cellStyle name="20 % - Markeringsfarve4 2 2 5 2 2 3 2" xfId="31416" xr:uid="{00000000-0005-0000-0000-0000841B0000}"/>
    <cellStyle name="20 % - Markeringsfarve4 2 2 5 2 2 4" xfId="24414" xr:uid="{00000000-0005-0000-0000-0000851B0000}"/>
    <cellStyle name="20 % - Markeringsfarve4 2 2 5 2 3" xfId="8780" xr:uid="{00000000-0005-0000-0000-0000861B0000}"/>
    <cellStyle name="20 % - Markeringsfarve4 2 2 5 2 3 2" xfId="16694" xr:uid="{00000000-0005-0000-0000-0000871B0000}"/>
    <cellStyle name="20 % - Markeringsfarve4 2 2 5 2 3 2 2" xfId="34854" xr:uid="{00000000-0005-0000-0000-0000881B0000}"/>
    <cellStyle name="20 % - Markeringsfarve4 2 2 5 2 3 3" xfId="27853" xr:uid="{00000000-0005-0000-0000-0000891B0000}"/>
    <cellStyle name="20 % - Markeringsfarve4 2 2 5 2 4" xfId="13248" xr:uid="{00000000-0005-0000-0000-00008A1B0000}"/>
    <cellStyle name="20 % - Markeringsfarve4 2 2 5 2 4 2" xfId="31415" xr:uid="{00000000-0005-0000-0000-00008B1B0000}"/>
    <cellStyle name="20 % - Markeringsfarve4 2 2 5 2 5" xfId="24413" xr:uid="{00000000-0005-0000-0000-00008C1B0000}"/>
    <cellStyle name="20 % - Markeringsfarve4 2 2 5 3" xfId="4696" xr:uid="{00000000-0005-0000-0000-00008D1B0000}"/>
    <cellStyle name="20 % - Markeringsfarve4 2 2 5 3 2" xfId="9538" xr:uid="{00000000-0005-0000-0000-00008E1B0000}"/>
    <cellStyle name="20 % - Markeringsfarve4 2 2 5 3 2 2" xfId="17448" xr:uid="{00000000-0005-0000-0000-00008F1B0000}"/>
    <cellStyle name="20 % - Markeringsfarve4 2 2 5 3 2 2 2" xfId="35608" xr:uid="{00000000-0005-0000-0000-0000901B0000}"/>
    <cellStyle name="20 % - Markeringsfarve4 2 2 5 3 2 3" xfId="28607" xr:uid="{00000000-0005-0000-0000-0000911B0000}"/>
    <cellStyle name="20 % - Markeringsfarve4 2 2 5 3 3" xfId="13250" xr:uid="{00000000-0005-0000-0000-0000921B0000}"/>
    <cellStyle name="20 % - Markeringsfarve4 2 2 5 3 3 2" xfId="31417" xr:uid="{00000000-0005-0000-0000-0000931B0000}"/>
    <cellStyle name="20 % - Markeringsfarve4 2 2 5 3 4" xfId="24415" xr:uid="{00000000-0005-0000-0000-0000941B0000}"/>
    <cellStyle name="20 % - Markeringsfarve4 2 2 5 4" xfId="4697" xr:uid="{00000000-0005-0000-0000-0000951B0000}"/>
    <cellStyle name="20 % - Markeringsfarve4 2 2 5 4 2" xfId="10737" xr:uid="{00000000-0005-0000-0000-0000961B0000}"/>
    <cellStyle name="20 % - Markeringsfarve4 2 2 5 4 2 2" xfId="18626" xr:uid="{00000000-0005-0000-0000-0000971B0000}"/>
    <cellStyle name="20 % - Markeringsfarve4 2 2 5 4 2 2 2" xfId="36786" xr:uid="{00000000-0005-0000-0000-0000981B0000}"/>
    <cellStyle name="20 % - Markeringsfarve4 2 2 5 4 2 3" xfId="29785" xr:uid="{00000000-0005-0000-0000-0000991B0000}"/>
    <cellStyle name="20 % - Markeringsfarve4 2 2 5 4 3" xfId="13251" xr:uid="{00000000-0005-0000-0000-00009A1B0000}"/>
    <cellStyle name="20 % - Markeringsfarve4 2 2 5 4 3 2" xfId="31418" xr:uid="{00000000-0005-0000-0000-00009B1B0000}"/>
    <cellStyle name="20 % - Markeringsfarve4 2 2 5 4 4" xfId="24416" xr:uid="{00000000-0005-0000-0000-00009C1B0000}"/>
    <cellStyle name="20 % - Markeringsfarve4 2 2 5 5" xfId="7814" xr:uid="{00000000-0005-0000-0000-00009D1B0000}"/>
    <cellStyle name="20 % - Markeringsfarve4 2 2 5 5 2" xfId="15732" xr:uid="{00000000-0005-0000-0000-00009E1B0000}"/>
    <cellStyle name="20 % - Markeringsfarve4 2 2 5 5 2 2" xfId="33892" xr:uid="{00000000-0005-0000-0000-00009F1B0000}"/>
    <cellStyle name="20 % - Markeringsfarve4 2 2 5 5 3" xfId="26891" xr:uid="{00000000-0005-0000-0000-0000A01B0000}"/>
    <cellStyle name="20 % - Markeringsfarve4 2 2 5 6" xfId="13247" xr:uid="{00000000-0005-0000-0000-0000A11B0000}"/>
    <cellStyle name="20 % - Markeringsfarve4 2 2 5 6 2" xfId="31414" xr:uid="{00000000-0005-0000-0000-0000A21B0000}"/>
    <cellStyle name="20 % - Markeringsfarve4 2 2 5 7" xfId="24412" xr:uid="{00000000-0005-0000-0000-0000A31B0000}"/>
    <cellStyle name="20 % - Markeringsfarve4 2 2 6" xfId="4698" xr:uid="{00000000-0005-0000-0000-0000A41B0000}"/>
    <cellStyle name="20 % - Markeringsfarve4 2 2 6 2" xfId="4699" xr:uid="{00000000-0005-0000-0000-0000A51B0000}"/>
    <cellStyle name="20 % - Markeringsfarve4 2 2 6 2 2" xfId="4700" xr:uid="{00000000-0005-0000-0000-0000A61B0000}"/>
    <cellStyle name="20 % - Markeringsfarve4 2 2 6 2 2 2" xfId="10337" xr:uid="{00000000-0005-0000-0000-0000A71B0000}"/>
    <cellStyle name="20 % - Markeringsfarve4 2 2 6 2 2 2 2" xfId="18238" xr:uid="{00000000-0005-0000-0000-0000A81B0000}"/>
    <cellStyle name="20 % - Markeringsfarve4 2 2 6 2 2 2 2 2" xfId="36398" xr:uid="{00000000-0005-0000-0000-0000A91B0000}"/>
    <cellStyle name="20 % - Markeringsfarve4 2 2 6 2 2 2 3" xfId="29397" xr:uid="{00000000-0005-0000-0000-0000AA1B0000}"/>
    <cellStyle name="20 % - Markeringsfarve4 2 2 6 2 2 3" xfId="13254" xr:uid="{00000000-0005-0000-0000-0000AB1B0000}"/>
    <cellStyle name="20 % - Markeringsfarve4 2 2 6 2 2 3 2" xfId="31421" xr:uid="{00000000-0005-0000-0000-0000AC1B0000}"/>
    <cellStyle name="20 % - Markeringsfarve4 2 2 6 2 2 4" xfId="24419" xr:uid="{00000000-0005-0000-0000-0000AD1B0000}"/>
    <cellStyle name="20 % - Markeringsfarve4 2 2 6 2 3" xfId="8848" xr:uid="{00000000-0005-0000-0000-0000AE1B0000}"/>
    <cellStyle name="20 % - Markeringsfarve4 2 2 6 2 3 2" xfId="16762" xr:uid="{00000000-0005-0000-0000-0000AF1B0000}"/>
    <cellStyle name="20 % - Markeringsfarve4 2 2 6 2 3 2 2" xfId="34922" xr:uid="{00000000-0005-0000-0000-0000B01B0000}"/>
    <cellStyle name="20 % - Markeringsfarve4 2 2 6 2 3 3" xfId="27921" xr:uid="{00000000-0005-0000-0000-0000B11B0000}"/>
    <cellStyle name="20 % - Markeringsfarve4 2 2 6 2 4" xfId="13253" xr:uid="{00000000-0005-0000-0000-0000B21B0000}"/>
    <cellStyle name="20 % - Markeringsfarve4 2 2 6 2 4 2" xfId="31420" xr:uid="{00000000-0005-0000-0000-0000B31B0000}"/>
    <cellStyle name="20 % - Markeringsfarve4 2 2 6 2 5" xfId="24418" xr:uid="{00000000-0005-0000-0000-0000B41B0000}"/>
    <cellStyle name="20 % - Markeringsfarve4 2 2 6 3" xfId="4701" xr:uid="{00000000-0005-0000-0000-0000B51B0000}"/>
    <cellStyle name="20 % - Markeringsfarve4 2 2 6 3 2" xfId="9614" xr:uid="{00000000-0005-0000-0000-0000B61B0000}"/>
    <cellStyle name="20 % - Markeringsfarve4 2 2 6 3 2 2" xfId="17524" xr:uid="{00000000-0005-0000-0000-0000B71B0000}"/>
    <cellStyle name="20 % - Markeringsfarve4 2 2 6 3 2 2 2" xfId="35684" xr:uid="{00000000-0005-0000-0000-0000B81B0000}"/>
    <cellStyle name="20 % - Markeringsfarve4 2 2 6 3 2 3" xfId="28683" xr:uid="{00000000-0005-0000-0000-0000B91B0000}"/>
    <cellStyle name="20 % - Markeringsfarve4 2 2 6 3 3" xfId="13255" xr:uid="{00000000-0005-0000-0000-0000BA1B0000}"/>
    <cellStyle name="20 % - Markeringsfarve4 2 2 6 3 3 2" xfId="31422" xr:uid="{00000000-0005-0000-0000-0000BB1B0000}"/>
    <cellStyle name="20 % - Markeringsfarve4 2 2 6 3 4" xfId="24420" xr:uid="{00000000-0005-0000-0000-0000BC1B0000}"/>
    <cellStyle name="20 % - Markeringsfarve4 2 2 6 4" xfId="4702" xr:uid="{00000000-0005-0000-0000-0000BD1B0000}"/>
    <cellStyle name="20 % - Markeringsfarve4 2 2 6 4 2" xfId="10964" xr:uid="{00000000-0005-0000-0000-0000BE1B0000}"/>
    <cellStyle name="20 % - Markeringsfarve4 2 2 6 4 2 2" xfId="18843" xr:uid="{00000000-0005-0000-0000-0000BF1B0000}"/>
    <cellStyle name="20 % - Markeringsfarve4 2 2 6 4 2 2 2" xfId="37003" xr:uid="{00000000-0005-0000-0000-0000C01B0000}"/>
    <cellStyle name="20 % - Markeringsfarve4 2 2 6 4 2 3" xfId="30002" xr:uid="{00000000-0005-0000-0000-0000C11B0000}"/>
    <cellStyle name="20 % - Markeringsfarve4 2 2 6 4 3" xfId="13256" xr:uid="{00000000-0005-0000-0000-0000C21B0000}"/>
    <cellStyle name="20 % - Markeringsfarve4 2 2 6 4 3 2" xfId="31423" xr:uid="{00000000-0005-0000-0000-0000C31B0000}"/>
    <cellStyle name="20 % - Markeringsfarve4 2 2 6 4 4" xfId="24421" xr:uid="{00000000-0005-0000-0000-0000C41B0000}"/>
    <cellStyle name="20 % - Markeringsfarve4 2 2 6 5" xfId="7815" xr:uid="{00000000-0005-0000-0000-0000C51B0000}"/>
    <cellStyle name="20 % - Markeringsfarve4 2 2 6 5 2" xfId="15733" xr:uid="{00000000-0005-0000-0000-0000C61B0000}"/>
    <cellStyle name="20 % - Markeringsfarve4 2 2 6 5 2 2" xfId="33893" xr:uid="{00000000-0005-0000-0000-0000C71B0000}"/>
    <cellStyle name="20 % - Markeringsfarve4 2 2 6 5 3" xfId="26892" xr:uid="{00000000-0005-0000-0000-0000C81B0000}"/>
    <cellStyle name="20 % - Markeringsfarve4 2 2 6 6" xfId="13252" xr:uid="{00000000-0005-0000-0000-0000C91B0000}"/>
    <cellStyle name="20 % - Markeringsfarve4 2 2 6 6 2" xfId="31419" xr:uid="{00000000-0005-0000-0000-0000CA1B0000}"/>
    <cellStyle name="20 % - Markeringsfarve4 2 2 6 7" xfId="24417" xr:uid="{00000000-0005-0000-0000-0000CB1B0000}"/>
    <cellStyle name="20 % - Markeringsfarve4 2 2 7" xfId="4703" xr:uid="{00000000-0005-0000-0000-0000CC1B0000}"/>
    <cellStyle name="20 % - Markeringsfarve4 2 2 7 2" xfId="4704" xr:uid="{00000000-0005-0000-0000-0000CD1B0000}"/>
    <cellStyle name="20 % - Markeringsfarve4 2 2 7 2 2" xfId="9788" xr:uid="{00000000-0005-0000-0000-0000CE1B0000}"/>
    <cellStyle name="20 % - Markeringsfarve4 2 2 7 2 2 2" xfId="17689" xr:uid="{00000000-0005-0000-0000-0000CF1B0000}"/>
    <cellStyle name="20 % - Markeringsfarve4 2 2 7 2 2 2 2" xfId="35849" xr:uid="{00000000-0005-0000-0000-0000D01B0000}"/>
    <cellStyle name="20 % - Markeringsfarve4 2 2 7 2 2 3" xfId="28848" xr:uid="{00000000-0005-0000-0000-0000D11B0000}"/>
    <cellStyle name="20 % - Markeringsfarve4 2 2 7 2 3" xfId="13258" xr:uid="{00000000-0005-0000-0000-0000D21B0000}"/>
    <cellStyle name="20 % - Markeringsfarve4 2 2 7 2 3 2" xfId="31425" xr:uid="{00000000-0005-0000-0000-0000D31B0000}"/>
    <cellStyle name="20 % - Markeringsfarve4 2 2 7 2 4" xfId="24423" xr:uid="{00000000-0005-0000-0000-0000D41B0000}"/>
    <cellStyle name="20 % - Markeringsfarve4 2 2 7 3" xfId="8380" xr:uid="{00000000-0005-0000-0000-0000D51B0000}"/>
    <cellStyle name="20 % - Markeringsfarve4 2 2 7 3 2" xfId="16297" xr:uid="{00000000-0005-0000-0000-0000D61B0000}"/>
    <cellStyle name="20 % - Markeringsfarve4 2 2 7 3 2 2" xfId="34457" xr:uid="{00000000-0005-0000-0000-0000D71B0000}"/>
    <cellStyle name="20 % - Markeringsfarve4 2 2 7 3 3" xfId="27456" xr:uid="{00000000-0005-0000-0000-0000D81B0000}"/>
    <cellStyle name="20 % - Markeringsfarve4 2 2 7 4" xfId="13257" xr:uid="{00000000-0005-0000-0000-0000D91B0000}"/>
    <cellStyle name="20 % - Markeringsfarve4 2 2 7 4 2" xfId="31424" xr:uid="{00000000-0005-0000-0000-0000DA1B0000}"/>
    <cellStyle name="20 % - Markeringsfarve4 2 2 7 5" xfId="24422" xr:uid="{00000000-0005-0000-0000-0000DB1B0000}"/>
    <cellStyle name="20 % - Markeringsfarve4 2 2 8" xfId="4705" xr:uid="{00000000-0005-0000-0000-0000DC1B0000}"/>
    <cellStyle name="20 % - Markeringsfarve4 2 2 8 2" xfId="9016" xr:uid="{00000000-0005-0000-0000-0000DD1B0000}"/>
    <cellStyle name="20 % - Markeringsfarve4 2 2 8 2 2" xfId="16927" xr:uid="{00000000-0005-0000-0000-0000DE1B0000}"/>
    <cellStyle name="20 % - Markeringsfarve4 2 2 8 2 2 2" xfId="35087" xr:uid="{00000000-0005-0000-0000-0000DF1B0000}"/>
    <cellStyle name="20 % - Markeringsfarve4 2 2 8 2 3" xfId="28086" xr:uid="{00000000-0005-0000-0000-0000E01B0000}"/>
    <cellStyle name="20 % - Markeringsfarve4 2 2 8 3" xfId="13259" xr:uid="{00000000-0005-0000-0000-0000E11B0000}"/>
    <cellStyle name="20 % - Markeringsfarve4 2 2 8 3 2" xfId="31426" xr:uid="{00000000-0005-0000-0000-0000E21B0000}"/>
    <cellStyle name="20 % - Markeringsfarve4 2 2 8 4" xfId="24424" xr:uid="{00000000-0005-0000-0000-0000E31B0000}"/>
    <cellStyle name="20 % - Markeringsfarve4 2 2 9" xfId="4706" xr:uid="{00000000-0005-0000-0000-0000E41B0000}"/>
    <cellStyle name="20 % - Markeringsfarve4 2 2 9 2" xfId="10805" xr:uid="{00000000-0005-0000-0000-0000E51B0000}"/>
    <cellStyle name="20 % - Markeringsfarve4 2 2 9 2 2" xfId="18692" xr:uid="{00000000-0005-0000-0000-0000E61B0000}"/>
    <cellStyle name="20 % - Markeringsfarve4 2 2 9 2 2 2" xfId="36852" xr:uid="{00000000-0005-0000-0000-0000E71B0000}"/>
    <cellStyle name="20 % - Markeringsfarve4 2 2 9 2 3" xfId="29851" xr:uid="{00000000-0005-0000-0000-0000E81B0000}"/>
    <cellStyle name="20 % - Markeringsfarve4 2 2 9 3" xfId="13260" xr:uid="{00000000-0005-0000-0000-0000E91B0000}"/>
    <cellStyle name="20 % - Markeringsfarve4 2 2 9 3 2" xfId="31427" xr:uid="{00000000-0005-0000-0000-0000EA1B0000}"/>
    <cellStyle name="20 % - Markeringsfarve4 2 2 9 4" xfId="24425" xr:uid="{00000000-0005-0000-0000-0000EB1B0000}"/>
    <cellStyle name="20 % - Markeringsfarve4 2 3" xfId="1819" xr:uid="{00000000-0005-0000-0000-0000EC1B0000}"/>
    <cellStyle name="20 % - Markeringsfarve4 2 3 10" xfId="7816" xr:uid="{00000000-0005-0000-0000-0000ED1B0000}"/>
    <cellStyle name="20 % - Markeringsfarve4 2 3 10 2" xfId="15734" xr:uid="{00000000-0005-0000-0000-0000EE1B0000}"/>
    <cellStyle name="20 % - Markeringsfarve4 2 3 10 2 2" xfId="33894" xr:uid="{00000000-0005-0000-0000-0000EF1B0000}"/>
    <cellStyle name="20 % - Markeringsfarve4 2 3 10 3" xfId="26893" xr:uid="{00000000-0005-0000-0000-0000F01B0000}"/>
    <cellStyle name="20 % - Markeringsfarve4 2 3 11" xfId="13261" xr:uid="{00000000-0005-0000-0000-0000F11B0000}"/>
    <cellStyle name="20 % - Markeringsfarve4 2 3 11 2" xfId="31428" xr:uid="{00000000-0005-0000-0000-0000F21B0000}"/>
    <cellStyle name="20 % - Markeringsfarve4 2 3 12" xfId="4707" xr:uid="{00000000-0005-0000-0000-0000F31B0000}"/>
    <cellStyle name="20 % - Markeringsfarve4 2 3 12 2" xfId="24426" xr:uid="{00000000-0005-0000-0000-0000F41B0000}"/>
    <cellStyle name="20 % - Markeringsfarve4 2 3 13" xfId="21943" xr:uid="{00000000-0005-0000-0000-0000F51B0000}"/>
    <cellStyle name="20 % - Markeringsfarve4 2 3 2" xfId="1820" xr:uid="{00000000-0005-0000-0000-0000F61B0000}"/>
    <cellStyle name="20 % - Markeringsfarve4 2 3 2 2" xfId="4709" xr:uid="{00000000-0005-0000-0000-0000F71B0000}"/>
    <cellStyle name="20 % - Markeringsfarve4 2 3 2 2 2" xfId="4710" xr:uid="{00000000-0005-0000-0000-0000F81B0000}"/>
    <cellStyle name="20 % - Markeringsfarve4 2 3 2 2 2 2" xfId="9946" xr:uid="{00000000-0005-0000-0000-0000F91B0000}"/>
    <cellStyle name="20 % - Markeringsfarve4 2 3 2 2 2 2 2" xfId="17847" xr:uid="{00000000-0005-0000-0000-0000FA1B0000}"/>
    <cellStyle name="20 % - Markeringsfarve4 2 3 2 2 2 2 2 2" xfId="36007" xr:uid="{00000000-0005-0000-0000-0000FB1B0000}"/>
    <cellStyle name="20 % - Markeringsfarve4 2 3 2 2 2 2 3" xfId="29006" xr:uid="{00000000-0005-0000-0000-0000FC1B0000}"/>
    <cellStyle name="20 % - Markeringsfarve4 2 3 2 2 2 3" xfId="13264" xr:uid="{00000000-0005-0000-0000-0000FD1B0000}"/>
    <cellStyle name="20 % - Markeringsfarve4 2 3 2 2 2 3 2" xfId="31431" xr:uid="{00000000-0005-0000-0000-0000FE1B0000}"/>
    <cellStyle name="20 % - Markeringsfarve4 2 3 2 2 2 4" xfId="24429" xr:uid="{00000000-0005-0000-0000-0000FF1B0000}"/>
    <cellStyle name="20 % - Markeringsfarve4 2 3 2 2 3" xfId="8512" xr:uid="{00000000-0005-0000-0000-0000001C0000}"/>
    <cellStyle name="20 % - Markeringsfarve4 2 3 2 2 3 2" xfId="16429" xr:uid="{00000000-0005-0000-0000-0000011C0000}"/>
    <cellStyle name="20 % - Markeringsfarve4 2 3 2 2 3 2 2" xfId="34589" xr:uid="{00000000-0005-0000-0000-0000021C0000}"/>
    <cellStyle name="20 % - Markeringsfarve4 2 3 2 2 3 3" xfId="27588" xr:uid="{00000000-0005-0000-0000-0000031C0000}"/>
    <cellStyle name="20 % - Markeringsfarve4 2 3 2 2 4" xfId="13263" xr:uid="{00000000-0005-0000-0000-0000041C0000}"/>
    <cellStyle name="20 % - Markeringsfarve4 2 3 2 2 4 2" xfId="31430" xr:uid="{00000000-0005-0000-0000-0000051C0000}"/>
    <cellStyle name="20 % - Markeringsfarve4 2 3 2 2 5" xfId="24428" xr:uid="{00000000-0005-0000-0000-0000061C0000}"/>
    <cellStyle name="20 % - Markeringsfarve4 2 3 2 3" xfId="4711" xr:uid="{00000000-0005-0000-0000-0000071C0000}"/>
    <cellStyle name="20 % - Markeringsfarve4 2 3 2 3 2" xfId="9176" xr:uid="{00000000-0005-0000-0000-0000081C0000}"/>
    <cellStyle name="20 % - Markeringsfarve4 2 3 2 3 2 2" xfId="17087" xr:uid="{00000000-0005-0000-0000-0000091C0000}"/>
    <cellStyle name="20 % - Markeringsfarve4 2 3 2 3 2 2 2" xfId="35247" xr:uid="{00000000-0005-0000-0000-00000A1C0000}"/>
    <cellStyle name="20 % - Markeringsfarve4 2 3 2 3 2 3" xfId="28246" xr:uid="{00000000-0005-0000-0000-00000B1C0000}"/>
    <cellStyle name="20 % - Markeringsfarve4 2 3 2 3 3" xfId="13265" xr:uid="{00000000-0005-0000-0000-00000C1C0000}"/>
    <cellStyle name="20 % - Markeringsfarve4 2 3 2 3 3 2" xfId="31432" xr:uid="{00000000-0005-0000-0000-00000D1C0000}"/>
    <cellStyle name="20 % - Markeringsfarve4 2 3 2 3 4" xfId="24430" xr:uid="{00000000-0005-0000-0000-00000E1C0000}"/>
    <cellStyle name="20 % - Markeringsfarve4 2 3 2 4" xfId="4712" xr:uid="{00000000-0005-0000-0000-00000F1C0000}"/>
    <cellStyle name="20 % - Markeringsfarve4 2 3 2 4 2" xfId="10923" xr:uid="{00000000-0005-0000-0000-0000101C0000}"/>
    <cellStyle name="20 % - Markeringsfarve4 2 3 2 4 2 2" xfId="18804" xr:uid="{00000000-0005-0000-0000-0000111C0000}"/>
    <cellStyle name="20 % - Markeringsfarve4 2 3 2 4 2 2 2" xfId="36964" xr:uid="{00000000-0005-0000-0000-0000121C0000}"/>
    <cellStyle name="20 % - Markeringsfarve4 2 3 2 4 2 3" xfId="29963" xr:uid="{00000000-0005-0000-0000-0000131C0000}"/>
    <cellStyle name="20 % - Markeringsfarve4 2 3 2 4 3" xfId="13266" xr:uid="{00000000-0005-0000-0000-0000141C0000}"/>
    <cellStyle name="20 % - Markeringsfarve4 2 3 2 4 3 2" xfId="31433" xr:uid="{00000000-0005-0000-0000-0000151C0000}"/>
    <cellStyle name="20 % - Markeringsfarve4 2 3 2 4 4" xfId="24431" xr:uid="{00000000-0005-0000-0000-0000161C0000}"/>
    <cellStyle name="20 % - Markeringsfarve4 2 3 2 5" xfId="7817" xr:uid="{00000000-0005-0000-0000-0000171C0000}"/>
    <cellStyle name="20 % - Markeringsfarve4 2 3 2 5 2" xfId="15735" xr:uid="{00000000-0005-0000-0000-0000181C0000}"/>
    <cellStyle name="20 % - Markeringsfarve4 2 3 2 5 2 2" xfId="33895" xr:uid="{00000000-0005-0000-0000-0000191C0000}"/>
    <cellStyle name="20 % - Markeringsfarve4 2 3 2 5 3" xfId="26894" xr:uid="{00000000-0005-0000-0000-00001A1C0000}"/>
    <cellStyle name="20 % - Markeringsfarve4 2 3 2 6" xfId="13262" xr:uid="{00000000-0005-0000-0000-00001B1C0000}"/>
    <cellStyle name="20 % - Markeringsfarve4 2 3 2 6 2" xfId="31429" xr:uid="{00000000-0005-0000-0000-00001C1C0000}"/>
    <cellStyle name="20 % - Markeringsfarve4 2 3 2 7" xfId="4708" xr:uid="{00000000-0005-0000-0000-00001D1C0000}"/>
    <cellStyle name="20 % - Markeringsfarve4 2 3 2 7 2" xfId="24427" xr:uid="{00000000-0005-0000-0000-00001E1C0000}"/>
    <cellStyle name="20 % - Markeringsfarve4 2 3 2 8" xfId="21944" xr:uid="{00000000-0005-0000-0000-00001F1C0000}"/>
    <cellStyle name="20 % - Markeringsfarve4 2 3 3" xfId="4713" xr:uid="{00000000-0005-0000-0000-0000201C0000}"/>
    <cellStyle name="20 % - Markeringsfarve4 2 3 3 2" xfId="4714" xr:uid="{00000000-0005-0000-0000-0000211C0000}"/>
    <cellStyle name="20 % - Markeringsfarve4 2 3 3 2 2" xfId="4715" xr:uid="{00000000-0005-0000-0000-0000221C0000}"/>
    <cellStyle name="20 % - Markeringsfarve4 2 3 3 2 2 2" xfId="9983" xr:uid="{00000000-0005-0000-0000-0000231C0000}"/>
    <cellStyle name="20 % - Markeringsfarve4 2 3 3 2 2 2 2" xfId="17884" xr:uid="{00000000-0005-0000-0000-0000241C0000}"/>
    <cellStyle name="20 % - Markeringsfarve4 2 3 3 2 2 2 2 2" xfId="36044" xr:uid="{00000000-0005-0000-0000-0000251C0000}"/>
    <cellStyle name="20 % - Markeringsfarve4 2 3 3 2 2 2 3" xfId="29043" xr:uid="{00000000-0005-0000-0000-0000261C0000}"/>
    <cellStyle name="20 % - Markeringsfarve4 2 3 3 2 2 3" xfId="13269" xr:uid="{00000000-0005-0000-0000-0000271C0000}"/>
    <cellStyle name="20 % - Markeringsfarve4 2 3 3 2 2 3 2" xfId="31436" xr:uid="{00000000-0005-0000-0000-0000281C0000}"/>
    <cellStyle name="20 % - Markeringsfarve4 2 3 3 2 2 4" xfId="24434" xr:uid="{00000000-0005-0000-0000-0000291C0000}"/>
    <cellStyle name="20 % - Markeringsfarve4 2 3 3 2 3" xfId="8547" xr:uid="{00000000-0005-0000-0000-00002A1C0000}"/>
    <cellStyle name="20 % - Markeringsfarve4 2 3 3 2 3 2" xfId="16464" xr:uid="{00000000-0005-0000-0000-00002B1C0000}"/>
    <cellStyle name="20 % - Markeringsfarve4 2 3 3 2 3 2 2" xfId="34624" xr:uid="{00000000-0005-0000-0000-00002C1C0000}"/>
    <cellStyle name="20 % - Markeringsfarve4 2 3 3 2 3 3" xfId="27623" xr:uid="{00000000-0005-0000-0000-00002D1C0000}"/>
    <cellStyle name="20 % - Markeringsfarve4 2 3 3 2 4" xfId="13268" xr:uid="{00000000-0005-0000-0000-00002E1C0000}"/>
    <cellStyle name="20 % - Markeringsfarve4 2 3 3 2 4 2" xfId="31435" xr:uid="{00000000-0005-0000-0000-00002F1C0000}"/>
    <cellStyle name="20 % - Markeringsfarve4 2 3 3 2 5" xfId="24433" xr:uid="{00000000-0005-0000-0000-0000301C0000}"/>
    <cellStyle name="20 % - Markeringsfarve4 2 3 3 3" xfId="4716" xr:uid="{00000000-0005-0000-0000-0000311C0000}"/>
    <cellStyle name="20 % - Markeringsfarve4 2 3 3 3 2" xfId="9213" xr:uid="{00000000-0005-0000-0000-0000321C0000}"/>
    <cellStyle name="20 % - Markeringsfarve4 2 3 3 3 2 2" xfId="17124" xr:uid="{00000000-0005-0000-0000-0000331C0000}"/>
    <cellStyle name="20 % - Markeringsfarve4 2 3 3 3 2 2 2" xfId="35284" xr:uid="{00000000-0005-0000-0000-0000341C0000}"/>
    <cellStyle name="20 % - Markeringsfarve4 2 3 3 3 2 3" xfId="28283" xr:uid="{00000000-0005-0000-0000-0000351C0000}"/>
    <cellStyle name="20 % - Markeringsfarve4 2 3 3 3 3" xfId="13270" xr:uid="{00000000-0005-0000-0000-0000361C0000}"/>
    <cellStyle name="20 % - Markeringsfarve4 2 3 3 3 3 2" xfId="31437" xr:uid="{00000000-0005-0000-0000-0000371C0000}"/>
    <cellStyle name="20 % - Markeringsfarve4 2 3 3 3 4" xfId="24435" xr:uid="{00000000-0005-0000-0000-0000381C0000}"/>
    <cellStyle name="20 % - Markeringsfarve4 2 3 3 4" xfId="4717" xr:uid="{00000000-0005-0000-0000-0000391C0000}"/>
    <cellStyle name="20 % - Markeringsfarve4 2 3 3 4 2" xfId="10648" xr:uid="{00000000-0005-0000-0000-00003A1C0000}"/>
    <cellStyle name="20 % - Markeringsfarve4 2 3 3 4 2 2" xfId="18541" xr:uid="{00000000-0005-0000-0000-00003B1C0000}"/>
    <cellStyle name="20 % - Markeringsfarve4 2 3 3 4 2 2 2" xfId="36701" xr:uid="{00000000-0005-0000-0000-00003C1C0000}"/>
    <cellStyle name="20 % - Markeringsfarve4 2 3 3 4 2 3" xfId="29700" xr:uid="{00000000-0005-0000-0000-00003D1C0000}"/>
    <cellStyle name="20 % - Markeringsfarve4 2 3 3 4 3" xfId="13271" xr:uid="{00000000-0005-0000-0000-00003E1C0000}"/>
    <cellStyle name="20 % - Markeringsfarve4 2 3 3 4 3 2" xfId="31438" xr:uid="{00000000-0005-0000-0000-00003F1C0000}"/>
    <cellStyle name="20 % - Markeringsfarve4 2 3 3 4 4" xfId="24436" xr:uid="{00000000-0005-0000-0000-0000401C0000}"/>
    <cellStyle name="20 % - Markeringsfarve4 2 3 3 5" xfId="7818" xr:uid="{00000000-0005-0000-0000-0000411C0000}"/>
    <cellStyle name="20 % - Markeringsfarve4 2 3 3 5 2" xfId="15736" xr:uid="{00000000-0005-0000-0000-0000421C0000}"/>
    <cellStyle name="20 % - Markeringsfarve4 2 3 3 5 2 2" xfId="33896" xr:uid="{00000000-0005-0000-0000-0000431C0000}"/>
    <cellStyle name="20 % - Markeringsfarve4 2 3 3 5 3" xfId="26895" xr:uid="{00000000-0005-0000-0000-0000441C0000}"/>
    <cellStyle name="20 % - Markeringsfarve4 2 3 3 6" xfId="13267" xr:uid="{00000000-0005-0000-0000-0000451C0000}"/>
    <cellStyle name="20 % - Markeringsfarve4 2 3 3 6 2" xfId="31434" xr:uid="{00000000-0005-0000-0000-0000461C0000}"/>
    <cellStyle name="20 % - Markeringsfarve4 2 3 3 7" xfId="24432" xr:uid="{00000000-0005-0000-0000-0000471C0000}"/>
    <cellStyle name="20 % - Markeringsfarve4 2 3 4" xfId="4718" xr:uid="{00000000-0005-0000-0000-0000481C0000}"/>
    <cellStyle name="20 % - Markeringsfarve4 2 3 4 2" xfId="4719" xr:uid="{00000000-0005-0000-0000-0000491C0000}"/>
    <cellStyle name="20 % - Markeringsfarve4 2 3 4 2 2" xfId="4720" xr:uid="{00000000-0005-0000-0000-00004A1C0000}"/>
    <cellStyle name="20 % - Markeringsfarve4 2 3 4 2 2 2" xfId="10184" xr:uid="{00000000-0005-0000-0000-00004B1C0000}"/>
    <cellStyle name="20 % - Markeringsfarve4 2 3 4 2 2 2 2" xfId="18085" xr:uid="{00000000-0005-0000-0000-00004C1C0000}"/>
    <cellStyle name="20 % - Markeringsfarve4 2 3 4 2 2 2 2 2" xfId="36245" xr:uid="{00000000-0005-0000-0000-00004D1C0000}"/>
    <cellStyle name="20 % - Markeringsfarve4 2 3 4 2 2 2 3" xfId="29244" xr:uid="{00000000-0005-0000-0000-00004E1C0000}"/>
    <cellStyle name="20 % - Markeringsfarve4 2 3 4 2 2 3" xfId="13274" xr:uid="{00000000-0005-0000-0000-00004F1C0000}"/>
    <cellStyle name="20 % - Markeringsfarve4 2 3 4 2 2 3 2" xfId="31441" xr:uid="{00000000-0005-0000-0000-0000501C0000}"/>
    <cellStyle name="20 % - Markeringsfarve4 2 3 4 2 2 4" xfId="24439" xr:uid="{00000000-0005-0000-0000-0000511C0000}"/>
    <cellStyle name="20 % - Markeringsfarve4 2 3 4 2 3" xfId="8714" xr:uid="{00000000-0005-0000-0000-0000521C0000}"/>
    <cellStyle name="20 % - Markeringsfarve4 2 3 4 2 3 2" xfId="16628" xr:uid="{00000000-0005-0000-0000-0000531C0000}"/>
    <cellStyle name="20 % - Markeringsfarve4 2 3 4 2 3 2 2" xfId="34788" xr:uid="{00000000-0005-0000-0000-0000541C0000}"/>
    <cellStyle name="20 % - Markeringsfarve4 2 3 4 2 3 3" xfId="27787" xr:uid="{00000000-0005-0000-0000-0000551C0000}"/>
    <cellStyle name="20 % - Markeringsfarve4 2 3 4 2 4" xfId="13273" xr:uid="{00000000-0005-0000-0000-0000561C0000}"/>
    <cellStyle name="20 % - Markeringsfarve4 2 3 4 2 4 2" xfId="31440" xr:uid="{00000000-0005-0000-0000-0000571C0000}"/>
    <cellStyle name="20 % - Markeringsfarve4 2 3 4 2 5" xfId="24438" xr:uid="{00000000-0005-0000-0000-0000581C0000}"/>
    <cellStyle name="20 % - Markeringsfarve4 2 3 4 3" xfId="4721" xr:uid="{00000000-0005-0000-0000-0000591C0000}"/>
    <cellStyle name="20 % - Markeringsfarve4 2 3 4 3 2" xfId="9460" xr:uid="{00000000-0005-0000-0000-00005A1C0000}"/>
    <cellStyle name="20 % - Markeringsfarve4 2 3 4 3 2 2" xfId="17370" xr:uid="{00000000-0005-0000-0000-00005B1C0000}"/>
    <cellStyle name="20 % - Markeringsfarve4 2 3 4 3 2 2 2" xfId="35530" xr:uid="{00000000-0005-0000-0000-00005C1C0000}"/>
    <cellStyle name="20 % - Markeringsfarve4 2 3 4 3 2 3" xfId="28529" xr:uid="{00000000-0005-0000-0000-00005D1C0000}"/>
    <cellStyle name="20 % - Markeringsfarve4 2 3 4 3 3" xfId="13275" xr:uid="{00000000-0005-0000-0000-00005E1C0000}"/>
    <cellStyle name="20 % - Markeringsfarve4 2 3 4 3 3 2" xfId="31442" xr:uid="{00000000-0005-0000-0000-00005F1C0000}"/>
    <cellStyle name="20 % - Markeringsfarve4 2 3 4 3 4" xfId="24440" xr:uid="{00000000-0005-0000-0000-0000601C0000}"/>
    <cellStyle name="20 % - Markeringsfarve4 2 3 4 4" xfId="4722" xr:uid="{00000000-0005-0000-0000-0000611C0000}"/>
    <cellStyle name="20 % - Markeringsfarve4 2 3 4 4 2" xfId="10883" xr:uid="{00000000-0005-0000-0000-0000621C0000}"/>
    <cellStyle name="20 % - Markeringsfarve4 2 3 4 4 2 2" xfId="18766" xr:uid="{00000000-0005-0000-0000-0000631C0000}"/>
    <cellStyle name="20 % - Markeringsfarve4 2 3 4 4 2 2 2" xfId="36926" xr:uid="{00000000-0005-0000-0000-0000641C0000}"/>
    <cellStyle name="20 % - Markeringsfarve4 2 3 4 4 2 3" xfId="29925" xr:uid="{00000000-0005-0000-0000-0000651C0000}"/>
    <cellStyle name="20 % - Markeringsfarve4 2 3 4 4 3" xfId="13276" xr:uid="{00000000-0005-0000-0000-0000661C0000}"/>
    <cellStyle name="20 % - Markeringsfarve4 2 3 4 4 3 2" xfId="31443" xr:uid="{00000000-0005-0000-0000-0000671C0000}"/>
    <cellStyle name="20 % - Markeringsfarve4 2 3 4 4 4" xfId="24441" xr:uid="{00000000-0005-0000-0000-0000681C0000}"/>
    <cellStyle name="20 % - Markeringsfarve4 2 3 4 5" xfId="7819" xr:uid="{00000000-0005-0000-0000-0000691C0000}"/>
    <cellStyle name="20 % - Markeringsfarve4 2 3 4 5 2" xfId="15737" xr:uid="{00000000-0005-0000-0000-00006A1C0000}"/>
    <cellStyle name="20 % - Markeringsfarve4 2 3 4 5 2 2" xfId="33897" xr:uid="{00000000-0005-0000-0000-00006B1C0000}"/>
    <cellStyle name="20 % - Markeringsfarve4 2 3 4 5 3" xfId="26896" xr:uid="{00000000-0005-0000-0000-00006C1C0000}"/>
    <cellStyle name="20 % - Markeringsfarve4 2 3 4 6" xfId="13272" xr:uid="{00000000-0005-0000-0000-00006D1C0000}"/>
    <cellStyle name="20 % - Markeringsfarve4 2 3 4 6 2" xfId="31439" xr:uid="{00000000-0005-0000-0000-00006E1C0000}"/>
    <cellStyle name="20 % - Markeringsfarve4 2 3 4 7" xfId="24437" xr:uid="{00000000-0005-0000-0000-00006F1C0000}"/>
    <cellStyle name="20 % - Markeringsfarve4 2 3 5" xfId="4723" xr:uid="{00000000-0005-0000-0000-0000701C0000}"/>
    <cellStyle name="20 % - Markeringsfarve4 2 3 5 2" xfId="4724" xr:uid="{00000000-0005-0000-0000-0000711C0000}"/>
    <cellStyle name="20 % - Markeringsfarve4 2 3 5 2 2" xfId="4725" xr:uid="{00000000-0005-0000-0000-0000721C0000}"/>
    <cellStyle name="20 % - Markeringsfarve4 2 3 5 2 2 2" xfId="10301" xr:uid="{00000000-0005-0000-0000-0000731C0000}"/>
    <cellStyle name="20 % - Markeringsfarve4 2 3 5 2 2 2 2" xfId="18202" xr:uid="{00000000-0005-0000-0000-0000741C0000}"/>
    <cellStyle name="20 % - Markeringsfarve4 2 3 5 2 2 2 2 2" xfId="36362" xr:uid="{00000000-0005-0000-0000-0000751C0000}"/>
    <cellStyle name="20 % - Markeringsfarve4 2 3 5 2 2 2 3" xfId="29361" xr:uid="{00000000-0005-0000-0000-0000761C0000}"/>
    <cellStyle name="20 % - Markeringsfarve4 2 3 5 2 2 3" xfId="13279" xr:uid="{00000000-0005-0000-0000-0000771C0000}"/>
    <cellStyle name="20 % - Markeringsfarve4 2 3 5 2 2 3 2" xfId="31446" xr:uid="{00000000-0005-0000-0000-0000781C0000}"/>
    <cellStyle name="20 % - Markeringsfarve4 2 3 5 2 2 4" xfId="24444" xr:uid="{00000000-0005-0000-0000-0000791C0000}"/>
    <cellStyle name="20 % - Markeringsfarve4 2 3 5 2 3" xfId="8813" xr:uid="{00000000-0005-0000-0000-00007A1C0000}"/>
    <cellStyle name="20 % - Markeringsfarve4 2 3 5 2 3 2" xfId="16727" xr:uid="{00000000-0005-0000-0000-00007B1C0000}"/>
    <cellStyle name="20 % - Markeringsfarve4 2 3 5 2 3 2 2" xfId="34887" xr:uid="{00000000-0005-0000-0000-00007C1C0000}"/>
    <cellStyle name="20 % - Markeringsfarve4 2 3 5 2 3 3" xfId="27886" xr:uid="{00000000-0005-0000-0000-00007D1C0000}"/>
    <cellStyle name="20 % - Markeringsfarve4 2 3 5 2 4" xfId="13278" xr:uid="{00000000-0005-0000-0000-00007E1C0000}"/>
    <cellStyle name="20 % - Markeringsfarve4 2 3 5 2 4 2" xfId="31445" xr:uid="{00000000-0005-0000-0000-00007F1C0000}"/>
    <cellStyle name="20 % - Markeringsfarve4 2 3 5 2 5" xfId="24443" xr:uid="{00000000-0005-0000-0000-0000801C0000}"/>
    <cellStyle name="20 % - Markeringsfarve4 2 3 5 3" xfId="4726" xr:uid="{00000000-0005-0000-0000-0000811C0000}"/>
    <cellStyle name="20 % - Markeringsfarve4 2 3 5 3 2" xfId="9577" xr:uid="{00000000-0005-0000-0000-0000821C0000}"/>
    <cellStyle name="20 % - Markeringsfarve4 2 3 5 3 2 2" xfId="17487" xr:uid="{00000000-0005-0000-0000-0000831C0000}"/>
    <cellStyle name="20 % - Markeringsfarve4 2 3 5 3 2 2 2" xfId="35647" xr:uid="{00000000-0005-0000-0000-0000841C0000}"/>
    <cellStyle name="20 % - Markeringsfarve4 2 3 5 3 2 3" xfId="28646" xr:uid="{00000000-0005-0000-0000-0000851C0000}"/>
    <cellStyle name="20 % - Markeringsfarve4 2 3 5 3 3" xfId="13280" xr:uid="{00000000-0005-0000-0000-0000861C0000}"/>
    <cellStyle name="20 % - Markeringsfarve4 2 3 5 3 3 2" xfId="31447" xr:uid="{00000000-0005-0000-0000-0000871C0000}"/>
    <cellStyle name="20 % - Markeringsfarve4 2 3 5 3 4" xfId="24445" xr:uid="{00000000-0005-0000-0000-0000881C0000}"/>
    <cellStyle name="20 % - Markeringsfarve4 2 3 5 4" xfId="4727" xr:uid="{00000000-0005-0000-0000-0000891C0000}"/>
    <cellStyle name="20 % - Markeringsfarve4 2 3 5 4 2" xfId="10532" xr:uid="{00000000-0005-0000-0000-00008A1C0000}"/>
    <cellStyle name="20 % - Markeringsfarve4 2 3 5 4 2 2" xfId="18426" xr:uid="{00000000-0005-0000-0000-00008B1C0000}"/>
    <cellStyle name="20 % - Markeringsfarve4 2 3 5 4 2 2 2" xfId="36586" xr:uid="{00000000-0005-0000-0000-00008C1C0000}"/>
    <cellStyle name="20 % - Markeringsfarve4 2 3 5 4 2 3" xfId="29585" xr:uid="{00000000-0005-0000-0000-00008D1C0000}"/>
    <cellStyle name="20 % - Markeringsfarve4 2 3 5 4 3" xfId="13281" xr:uid="{00000000-0005-0000-0000-00008E1C0000}"/>
    <cellStyle name="20 % - Markeringsfarve4 2 3 5 4 3 2" xfId="31448" xr:uid="{00000000-0005-0000-0000-00008F1C0000}"/>
    <cellStyle name="20 % - Markeringsfarve4 2 3 5 4 4" xfId="24446" xr:uid="{00000000-0005-0000-0000-0000901C0000}"/>
    <cellStyle name="20 % - Markeringsfarve4 2 3 5 5" xfId="7820" xr:uid="{00000000-0005-0000-0000-0000911C0000}"/>
    <cellStyle name="20 % - Markeringsfarve4 2 3 5 5 2" xfId="15738" xr:uid="{00000000-0005-0000-0000-0000921C0000}"/>
    <cellStyle name="20 % - Markeringsfarve4 2 3 5 5 2 2" xfId="33898" xr:uid="{00000000-0005-0000-0000-0000931C0000}"/>
    <cellStyle name="20 % - Markeringsfarve4 2 3 5 5 3" xfId="26897" xr:uid="{00000000-0005-0000-0000-0000941C0000}"/>
    <cellStyle name="20 % - Markeringsfarve4 2 3 5 6" xfId="13277" xr:uid="{00000000-0005-0000-0000-0000951C0000}"/>
    <cellStyle name="20 % - Markeringsfarve4 2 3 5 6 2" xfId="31444" xr:uid="{00000000-0005-0000-0000-0000961C0000}"/>
    <cellStyle name="20 % - Markeringsfarve4 2 3 5 7" xfId="24442" xr:uid="{00000000-0005-0000-0000-0000971C0000}"/>
    <cellStyle name="20 % - Markeringsfarve4 2 3 6" xfId="4728" xr:uid="{00000000-0005-0000-0000-0000981C0000}"/>
    <cellStyle name="20 % - Markeringsfarve4 2 3 6 2" xfId="4729" xr:uid="{00000000-0005-0000-0000-0000991C0000}"/>
    <cellStyle name="20 % - Markeringsfarve4 2 3 6 2 2" xfId="4730" xr:uid="{00000000-0005-0000-0000-00009A1C0000}"/>
    <cellStyle name="20 % - Markeringsfarve4 2 3 6 2 2 2" xfId="10338" xr:uid="{00000000-0005-0000-0000-00009B1C0000}"/>
    <cellStyle name="20 % - Markeringsfarve4 2 3 6 2 2 2 2" xfId="18239" xr:uid="{00000000-0005-0000-0000-00009C1C0000}"/>
    <cellStyle name="20 % - Markeringsfarve4 2 3 6 2 2 2 2 2" xfId="36399" xr:uid="{00000000-0005-0000-0000-00009D1C0000}"/>
    <cellStyle name="20 % - Markeringsfarve4 2 3 6 2 2 2 3" xfId="29398" xr:uid="{00000000-0005-0000-0000-00009E1C0000}"/>
    <cellStyle name="20 % - Markeringsfarve4 2 3 6 2 2 3" xfId="13284" xr:uid="{00000000-0005-0000-0000-00009F1C0000}"/>
    <cellStyle name="20 % - Markeringsfarve4 2 3 6 2 2 3 2" xfId="31451" xr:uid="{00000000-0005-0000-0000-0000A01C0000}"/>
    <cellStyle name="20 % - Markeringsfarve4 2 3 6 2 2 4" xfId="24449" xr:uid="{00000000-0005-0000-0000-0000A11C0000}"/>
    <cellStyle name="20 % - Markeringsfarve4 2 3 6 2 3" xfId="8849" xr:uid="{00000000-0005-0000-0000-0000A21C0000}"/>
    <cellStyle name="20 % - Markeringsfarve4 2 3 6 2 3 2" xfId="16763" xr:uid="{00000000-0005-0000-0000-0000A31C0000}"/>
    <cellStyle name="20 % - Markeringsfarve4 2 3 6 2 3 2 2" xfId="34923" xr:uid="{00000000-0005-0000-0000-0000A41C0000}"/>
    <cellStyle name="20 % - Markeringsfarve4 2 3 6 2 3 3" xfId="27922" xr:uid="{00000000-0005-0000-0000-0000A51C0000}"/>
    <cellStyle name="20 % - Markeringsfarve4 2 3 6 2 4" xfId="13283" xr:uid="{00000000-0005-0000-0000-0000A61C0000}"/>
    <cellStyle name="20 % - Markeringsfarve4 2 3 6 2 4 2" xfId="31450" xr:uid="{00000000-0005-0000-0000-0000A71C0000}"/>
    <cellStyle name="20 % - Markeringsfarve4 2 3 6 2 5" xfId="24448" xr:uid="{00000000-0005-0000-0000-0000A81C0000}"/>
    <cellStyle name="20 % - Markeringsfarve4 2 3 6 3" xfId="4731" xr:uid="{00000000-0005-0000-0000-0000A91C0000}"/>
    <cellStyle name="20 % - Markeringsfarve4 2 3 6 3 2" xfId="9615" xr:uid="{00000000-0005-0000-0000-0000AA1C0000}"/>
    <cellStyle name="20 % - Markeringsfarve4 2 3 6 3 2 2" xfId="17525" xr:uid="{00000000-0005-0000-0000-0000AB1C0000}"/>
    <cellStyle name="20 % - Markeringsfarve4 2 3 6 3 2 2 2" xfId="35685" xr:uid="{00000000-0005-0000-0000-0000AC1C0000}"/>
    <cellStyle name="20 % - Markeringsfarve4 2 3 6 3 2 3" xfId="28684" xr:uid="{00000000-0005-0000-0000-0000AD1C0000}"/>
    <cellStyle name="20 % - Markeringsfarve4 2 3 6 3 3" xfId="13285" xr:uid="{00000000-0005-0000-0000-0000AE1C0000}"/>
    <cellStyle name="20 % - Markeringsfarve4 2 3 6 3 3 2" xfId="31452" xr:uid="{00000000-0005-0000-0000-0000AF1C0000}"/>
    <cellStyle name="20 % - Markeringsfarve4 2 3 6 3 4" xfId="24450" xr:uid="{00000000-0005-0000-0000-0000B01C0000}"/>
    <cellStyle name="20 % - Markeringsfarve4 2 3 6 4" xfId="4732" xr:uid="{00000000-0005-0000-0000-0000B11C0000}"/>
    <cellStyle name="20 % - Markeringsfarve4 2 3 6 4 2" xfId="10833" xr:uid="{00000000-0005-0000-0000-0000B21C0000}"/>
    <cellStyle name="20 % - Markeringsfarve4 2 3 6 4 2 2" xfId="18719" xr:uid="{00000000-0005-0000-0000-0000B31C0000}"/>
    <cellStyle name="20 % - Markeringsfarve4 2 3 6 4 2 2 2" xfId="36879" xr:uid="{00000000-0005-0000-0000-0000B41C0000}"/>
    <cellStyle name="20 % - Markeringsfarve4 2 3 6 4 2 3" xfId="29878" xr:uid="{00000000-0005-0000-0000-0000B51C0000}"/>
    <cellStyle name="20 % - Markeringsfarve4 2 3 6 4 3" xfId="13286" xr:uid="{00000000-0005-0000-0000-0000B61C0000}"/>
    <cellStyle name="20 % - Markeringsfarve4 2 3 6 4 3 2" xfId="31453" xr:uid="{00000000-0005-0000-0000-0000B71C0000}"/>
    <cellStyle name="20 % - Markeringsfarve4 2 3 6 4 4" xfId="24451" xr:uid="{00000000-0005-0000-0000-0000B81C0000}"/>
    <cellStyle name="20 % - Markeringsfarve4 2 3 6 5" xfId="7821" xr:uid="{00000000-0005-0000-0000-0000B91C0000}"/>
    <cellStyle name="20 % - Markeringsfarve4 2 3 6 5 2" xfId="15739" xr:uid="{00000000-0005-0000-0000-0000BA1C0000}"/>
    <cellStyle name="20 % - Markeringsfarve4 2 3 6 5 2 2" xfId="33899" xr:uid="{00000000-0005-0000-0000-0000BB1C0000}"/>
    <cellStyle name="20 % - Markeringsfarve4 2 3 6 5 3" xfId="26898" xr:uid="{00000000-0005-0000-0000-0000BC1C0000}"/>
    <cellStyle name="20 % - Markeringsfarve4 2 3 6 6" xfId="13282" xr:uid="{00000000-0005-0000-0000-0000BD1C0000}"/>
    <cellStyle name="20 % - Markeringsfarve4 2 3 6 6 2" xfId="31449" xr:uid="{00000000-0005-0000-0000-0000BE1C0000}"/>
    <cellStyle name="20 % - Markeringsfarve4 2 3 6 7" xfId="24447" xr:uid="{00000000-0005-0000-0000-0000BF1C0000}"/>
    <cellStyle name="20 % - Markeringsfarve4 2 3 7" xfId="4733" xr:uid="{00000000-0005-0000-0000-0000C01C0000}"/>
    <cellStyle name="20 % - Markeringsfarve4 2 3 7 2" xfId="4734" xr:uid="{00000000-0005-0000-0000-0000C11C0000}"/>
    <cellStyle name="20 % - Markeringsfarve4 2 3 7 2 2" xfId="9827" xr:uid="{00000000-0005-0000-0000-0000C21C0000}"/>
    <cellStyle name="20 % - Markeringsfarve4 2 3 7 2 2 2" xfId="17728" xr:uid="{00000000-0005-0000-0000-0000C31C0000}"/>
    <cellStyle name="20 % - Markeringsfarve4 2 3 7 2 2 2 2" xfId="35888" xr:uid="{00000000-0005-0000-0000-0000C41C0000}"/>
    <cellStyle name="20 % - Markeringsfarve4 2 3 7 2 2 3" xfId="28887" xr:uid="{00000000-0005-0000-0000-0000C51C0000}"/>
    <cellStyle name="20 % - Markeringsfarve4 2 3 7 2 3" xfId="13288" xr:uid="{00000000-0005-0000-0000-0000C61C0000}"/>
    <cellStyle name="20 % - Markeringsfarve4 2 3 7 2 3 2" xfId="31455" xr:uid="{00000000-0005-0000-0000-0000C71C0000}"/>
    <cellStyle name="20 % - Markeringsfarve4 2 3 7 2 4" xfId="24453" xr:uid="{00000000-0005-0000-0000-0000C81C0000}"/>
    <cellStyle name="20 % - Markeringsfarve4 2 3 7 3" xfId="8413" xr:uid="{00000000-0005-0000-0000-0000C91C0000}"/>
    <cellStyle name="20 % - Markeringsfarve4 2 3 7 3 2" xfId="16330" xr:uid="{00000000-0005-0000-0000-0000CA1C0000}"/>
    <cellStyle name="20 % - Markeringsfarve4 2 3 7 3 2 2" xfId="34490" xr:uid="{00000000-0005-0000-0000-0000CB1C0000}"/>
    <cellStyle name="20 % - Markeringsfarve4 2 3 7 3 3" xfId="27489" xr:uid="{00000000-0005-0000-0000-0000CC1C0000}"/>
    <cellStyle name="20 % - Markeringsfarve4 2 3 7 4" xfId="13287" xr:uid="{00000000-0005-0000-0000-0000CD1C0000}"/>
    <cellStyle name="20 % - Markeringsfarve4 2 3 7 4 2" xfId="31454" xr:uid="{00000000-0005-0000-0000-0000CE1C0000}"/>
    <cellStyle name="20 % - Markeringsfarve4 2 3 7 5" xfId="24452" xr:uid="{00000000-0005-0000-0000-0000CF1C0000}"/>
    <cellStyle name="20 % - Markeringsfarve4 2 3 8" xfId="4735" xr:uid="{00000000-0005-0000-0000-0000D01C0000}"/>
    <cellStyle name="20 % - Markeringsfarve4 2 3 8 2" xfId="9055" xr:uid="{00000000-0005-0000-0000-0000D11C0000}"/>
    <cellStyle name="20 % - Markeringsfarve4 2 3 8 2 2" xfId="16966" xr:uid="{00000000-0005-0000-0000-0000D21C0000}"/>
    <cellStyle name="20 % - Markeringsfarve4 2 3 8 2 2 2" xfId="35126" xr:uid="{00000000-0005-0000-0000-0000D31C0000}"/>
    <cellStyle name="20 % - Markeringsfarve4 2 3 8 2 3" xfId="28125" xr:uid="{00000000-0005-0000-0000-0000D41C0000}"/>
    <cellStyle name="20 % - Markeringsfarve4 2 3 8 3" xfId="13289" xr:uid="{00000000-0005-0000-0000-0000D51C0000}"/>
    <cellStyle name="20 % - Markeringsfarve4 2 3 8 3 2" xfId="31456" xr:uid="{00000000-0005-0000-0000-0000D61C0000}"/>
    <cellStyle name="20 % - Markeringsfarve4 2 3 8 4" xfId="24454" xr:uid="{00000000-0005-0000-0000-0000D71C0000}"/>
    <cellStyle name="20 % - Markeringsfarve4 2 3 9" xfId="4736" xr:uid="{00000000-0005-0000-0000-0000D81C0000}"/>
    <cellStyle name="20 % - Markeringsfarve4 2 3 9 2" xfId="10688" xr:uid="{00000000-0005-0000-0000-0000D91C0000}"/>
    <cellStyle name="20 % - Markeringsfarve4 2 3 9 2 2" xfId="18579" xr:uid="{00000000-0005-0000-0000-0000DA1C0000}"/>
    <cellStyle name="20 % - Markeringsfarve4 2 3 9 2 2 2" xfId="36739" xr:uid="{00000000-0005-0000-0000-0000DB1C0000}"/>
    <cellStyle name="20 % - Markeringsfarve4 2 3 9 2 3" xfId="29738" xr:uid="{00000000-0005-0000-0000-0000DC1C0000}"/>
    <cellStyle name="20 % - Markeringsfarve4 2 3 9 3" xfId="13290" xr:uid="{00000000-0005-0000-0000-0000DD1C0000}"/>
    <cellStyle name="20 % - Markeringsfarve4 2 3 9 3 2" xfId="31457" xr:uid="{00000000-0005-0000-0000-0000DE1C0000}"/>
    <cellStyle name="20 % - Markeringsfarve4 2 3 9 4" xfId="24455" xr:uid="{00000000-0005-0000-0000-0000DF1C0000}"/>
    <cellStyle name="20 % - Markeringsfarve4 2 4" xfId="1821" xr:uid="{00000000-0005-0000-0000-0000E01C0000}"/>
    <cellStyle name="20 % - Markeringsfarve4 2 4 2" xfId="4738" xr:uid="{00000000-0005-0000-0000-0000E11C0000}"/>
    <cellStyle name="20 % - Markeringsfarve4 2 4 2 2" xfId="4739" xr:uid="{00000000-0005-0000-0000-0000E21C0000}"/>
    <cellStyle name="20 % - Markeringsfarve4 2 4 2 2 2" xfId="9868" xr:uid="{00000000-0005-0000-0000-0000E31C0000}"/>
    <cellStyle name="20 % - Markeringsfarve4 2 4 2 2 2 2" xfId="17769" xr:uid="{00000000-0005-0000-0000-0000E41C0000}"/>
    <cellStyle name="20 % - Markeringsfarve4 2 4 2 2 2 2 2" xfId="35929" xr:uid="{00000000-0005-0000-0000-0000E51C0000}"/>
    <cellStyle name="20 % - Markeringsfarve4 2 4 2 2 2 3" xfId="28928" xr:uid="{00000000-0005-0000-0000-0000E61C0000}"/>
    <cellStyle name="20 % - Markeringsfarve4 2 4 2 2 3" xfId="13293" xr:uid="{00000000-0005-0000-0000-0000E71C0000}"/>
    <cellStyle name="20 % - Markeringsfarve4 2 4 2 2 3 2" xfId="31460" xr:uid="{00000000-0005-0000-0000-0000E81C0000}"/>
    <cellStyle name="20 % - Markeringsfarve4 2 4 2 2 4" xfId="24458" xr:uid="{00000000-0005-0000-0000-0000E91C0000}"/>
    <cellStyle name="20 % - Markeringsfarve4 2 4 2 3" xfId="8446" xr:uid="{00000000-0005-0000-0000-0000EA1C0000}"/>
    <cellStyle name="20 % - Markeringsfarve4 2 4 2 3 2" xfId="16363" xr:uid="{00000000-0005-0000-0000-0000EB1C0000}"/>
    <cellStyle name="20 % - Markeringsfarve4 2 4 2 3 2 2" xfId="34523" xr:uid="{00000000-0005-0000-0000-0000EC1C0000}"/>
    <cellStyle name="20 % - Markeringsfarve4 2 4 2 3 3" xfId="27522" xr:uid="{00000000-0005-0000-0000-0000ED1C0000}"/>
    <cellStyle name="20 % - Markeringsfarve4 2 4 2 4" xfId="13292" xr:uid="{00000000-0005-0000-0000-0000EE1C0000}"/>
    <cellStyle name="20 % - Markeringsfarve4 2 4 2 4 2" xfId="31459" xr:uid="{00000000-0005-0000-0000-0000EF1C0000}"/>
    <cellStyle name="20 % - Markeringsfarve4 2 4 2 5" xfId="24457" xr:uid="{00000000-0005-0000-0000-0000F01C0000}"/>
    <cellStyle name="20 % - Markeringsfarve4 2 4 3" xfId="4740" xr:uid="{00000000-0005-0000-0000-0000F11C0000}"/>
    <cellStyle name="20 % - Markeringsfarve4 2 4 3 2" xfId="9098" xr:uid="{00000000-0005-0000-0000-0000F21C0000}"/>
    <cellStyle name="20 % - Markeringsfarve4 2 4 3 2 2" xfId="17009" xr:uid="{00000000-0005-0000-0000-0000F31C0000}"/>
    <cellStyle name="20 % - Markeringsfarve4 2 4 3 2 2 2" xfId="35169" xr:uid="{00000000-0005-0000-0000-0000F41C0000}"/>
    <cellStyle name="20 % - Markeringsfarve4 2 4 3 2 3" xfId="28168" xr:uid="{00000000-0005-0000-0000-0000F51C0000}"/>
    <cellStyle name="20 % - Markeringsfarve4 2 4 3 3" xfId="13294" xr:uid="{00000000-0005-0000-0000-0000F61C0000}"/>
    <cellStyle name="20 % - Markeringsfarve4 2 4 3 3 2" xfId="31461" xr:uid="{00000000-0005-0000-0000-0000F71C0000}"/>
    <cellStyle name="20 % - Markeringsfarve4 2 4 3 4" xfId="24459" xr:uid="{00000000-0005-0000-0000-0000F81C0000}"/>
    <cellStyle name="20 % - Markeringsfarve4 2 4 4" xfId="4741" xr:uid="{00000000-0005-0000-0000-0000F91C0000}"/>
    <cellStyle name="20 % - Markeringsfarve4 2 4 4 2" xfId="10484" xr:uid="{00000000-0005-0000-0000-0000FA1C0000}"/>
    <cellStyle name="20 % - Markeringsfarve4 2 4 4 2 2" xfId="18380" xr:uid="{00000000-0005-0000-0000-0000FB1C0000}"/>
    <cellStyle name="20 % - Markeringsfarve4 2 4 4 2 2 2" xfId="36540" xr:uid="{00000000-0005-0000-0000-0000FC1C0000}"/>
    <cellStyle name="20 % - Markeringsfarve4 2 4 4 2 3" xfId="29539" xr:uid="{00000000-0005-0000-0000-0000FD1C0000}"/>
    <cellStyle name="20 % - Markeringsfarve4 2 4 4 3" xfId="13295" xr:uid="{00000000-0005-0000-0000-0000FE1C0000}"/>
    <cellStyle name="20 % - Markeringsfarve4 2 4 4 3 2" xfId="31462" xr:uid="{00000000-0005-0000-0000-0000FF1C0000}"/>
    <cellStyle name="20 % - Markeringsfarve4 2 4 4 4" xfId="24460" xr:uid="{00000000-0005-0000-0000-0000001D0000}"/>
    <cellStyle name="20 % - Markeringsfarve4 2 4 5" xfId="7822" xr:uid="{00000000-0005-0000-0000-0000011D0000}"/>
    <cellStyle name="20 % - Markeringsfarve4 2 4 5 2" xfId="15740" xr:uid="{00000000-0005-0000-0000-0000021D0000}"/>
    <cellStyle name="20 % - Markeringsfarve4 2 4 5 2 2" xfId="33900" xr:uid="{00000000-0005-0000-0000-0000031D0000}"/>
    <cellStyle name="20 % - Markeringsfarve4 2 4 5 3" xfId="26899" xr:uid="{00000000-0005-0000-0000-0000041D0000}"/>
    <cellStyle name="20 % - Markeringsfarve4 2 4 6" xfId="13291" xr:uid="{00000000-0005-0000-0000-0000051D0000}"/>
    <cellStyle name="20 % - Markeringsfarve4 2 4 6 2" xfId="31458" xr:uid="{00000000-0005-0000-0000-0000061D0000}"/>
    <cellStyle name="20 % - Markeringsfarve4 2 4 7" xfId="4737" xr:uid="{00000000-0005-0000-0000-0000071D0000}"/>
    <cellStyle name="20 % - Markeringsfarve4 2 4 7 2" xfId="24456" xr:uid="{00000000-0005-0000-0000-0000081D0000}"/>
    <cellStyle name="20 % - Markeringsfarve4 2 4 8" xfId="21945" xr:uid="{00000000-0005-0000-0000-0000091D0000}"/>
    <cellStyle name="20 % - Markeringsfarve4 2 5" xfId="4742" xr:uid="{00000000-0005-0000-0000-00000A1D0000}"/>
    <cellStyle name="20 % - Markeringsfarve4 2 5 2" xfId="4743" xr:uid="{00000000-0005-0000-0000-00000B1D0000}"/>
    <cellStyle name="20 % - Markeringsfarve4 2 5 2 2" xfId="4744" xr:uid="{00000000-0005-0000-0000-00000C1D0000}"/>
    <cellStyle name="20 % - Markeringsfarve4 2 5 2 2 2" xfId="9981" xr:uid="{00000000-0005-0000-0000-00000D1D0000}"/>
    <cellStyle name="20 % - Markeringsfarve4 2 5 2 2 2 2" xfId="17882" xr:uid="{00000000-0005-0000-0000-00000E1D0000}"/>
    <cellStyle name="20 % - Markeringsfarve4 2 5 2 2 2 2 2" xfId="36042" xr:uid="{00000000-0005-0000-0000-00000F1D0000}"/>
    <cellStyle name="20 % - Markeringsfarve4 2 5 2 2 2 3" xfId="29041" xr:uid="{00000000-0005-0000-0000-0000101D0000}"/>
    <cellStyle name="20 % - Markeringsfarve4 2 5 2 2 3" xfId="13298" xr:uid="{00000000-0005-0000-0000-0000111D0000}"/>
    <cellStyle name="20 % - Markeringsfarve4 2 5 2 2 3 2" xfId="31465" xr:uid="{00000000-0005-0000-0000-0000121D0000}"/>
    <cellStyle name="20 % - Markeringsfarve4 2 5 2 2 4" xfId="24463" xr:uid="{00000000-0005-0000-0000-0000131D0000}"/>
    <cellStyle name="20 % - Markeringsfarve4 2 5 2 3" xfId="8545" xr:uid="{00000000-0005-0000-0000-0000141D0000}"/>
    <cellStyle name="20 % - Markeringsfarve4 2 5 2 3 2" xfId="16462" xr:uid="{00000000-0005-0000-0000-0000151D0000}"/>
    <cellStyle name="20 % - Markeringsfarve4 2 5 2 3 2 2" xfId="34622" xr:uid="{00000000-0005-0000-0000-0000161D0000}"/>
    <cellStyle name="20 % - Markeringsfarve4 2 5 2 3 3" xfId="27621" xr:uid="{00000000-0005-0000-0000-0000171D0000}"/>
    <cellStyle name="20 % - Markeringsfarve4 2 5 2 4" xfId="13297" xr:uid="{00000000-0005-0000-0000-0000181D0000}"/>
    <cellStyle name="20 % - Markeringsfarve4 2 5 2 4 2" xfId="31464" xr:uid="{00000000-0005-0000-0000-0000191D0000}"/>
    <cellStyle name="20 % - Markeringsfarve4 2 5 2 5" xfId="24462" xr:uid="{00000000-0005-0000-0000-00001A1D0000}"/>
    <cellStyle name="20 % - Markeringsfarve4 2 5 3" xfId="4745" xr:uid="{00000000-0005-0000-0000-00001B1D0000}"/>
    <cellStyle name="20 % - Markeringsfarve4 2 5 3 2" xfId="9211" xr:uid="{00000000-0005-0000-0000-00001C1D0000}"/>
    <cellStyle name="20 % - Markeringsfarve4 2 5 3 2 2" xfId="17122" xr:uid="{00000000-0005-0000-0000-00001D1D0000}"/>
    <cellStyle name="20 % - Markeringsfarve4 2 5 3 2 2 2" xfId="35282" xr:uid="{00000000-0005-0000-0000-00001E1D0000}"/>
    <cellStyle name="20 % - Markeringsfarve4 2 5 3 2 3" xfId="28281" xr:uid="{00000000-0005-0000-0000-00001F1D0000}"/>
    <cellStyle name="20 % - Markeringsfarve4 2 5 3 3" xfId="13299" xr:uid="{00000000-0005-0000-0000-0000201D0000}"/>
    <cellStyle name="20 % - Markeringsfarve4 2 5 3 3 2" xfId="31466" xr:uid="{00000000-0005-0000-0000-0000211D0000}"/>
    <cellStyle name="20 % - Markeringsfarve4 2 5 3 4" xfId="24464" xr:uid="{00000000-0005-0000-0000-0000221D0000}"/>
    <cellStyle name="20 % - Markeringsfarve4 2 5 4" xfId="4746" xr:uid="{00000000-0005-0000-0000-0000231D0000}"/>
    <cellStyle name="20 % - Markeringsfarve4 2 5 4 2" xfId="10437" xr:uid="{00000000-0005-0000-0000-0000241D0000}"/>
    <cellStyle name="20 % - Markeringsfarve4 2 5 4 2 2" xfId="18334" xr:uid="{00000000-0005-0000-0000-0000251D0000}"/>
    <cellStyle name="20 % - Markeringsfarve4 2 5 4 2 2 2" xfId="36494" xr:uid="{00000000-0005-0000-0000-0000261D0000}"/>
    <cellStyle name="20 % - Markeringsfarve4 2 5 4 2 3" xfId="29493" xr:uid="{00000000-0005-0000-0000-0000271D0000}"/>
    <cellStyle name="20 % - Markeringsfarve4 2 5 4 3" xfId="13300" xr:uid="{00000000-0005-0000-0000-0000281D0000}"/>
    <cellStyle name="20 % - Markeringsfarve4 2 5 4 3 2" xfId="31467" xr:uid="{00000000-0005-0000-0000-0000291D0000}"/>
    <cellStyle name="20 % - Markeringsfarve4 2 5 4 4" xfId="24465" xr:uid="{00000000-0005-0000-0000-00002A1D0000}"/>
    <cellStyle name="20 % - Markeringsfarve4 2 5 5" xfId="7823" xr:uid="{00000000-0005-0000-0000-00002B1D0000}"/>
    <cellStyle name="20 % - Markeringsfarve4 2 5 5 2" xfId="15741" xr:uid="{00000000-0005-0000-0000-00002C1D0000}"/>
    <cellStyle name="20 % - Markeringsfarve4 2 5 5 2 2" xfId="33901" xr:uid="{00000000-0005-0000-0000-00002D1D0000}"/>
    <cellStyle name="20 % - Markeringsfarve4 2 5 5 3" xfId="26900" xr:uid="{00000000-0005-0000-0000-00002E1D0000}"/>
    <cellStyle name="20 % - Markeringsfarve4 2 5 6" xfId="13296" xr:uid="{00000000-0005-0000-0000-00002F1D0000}"/>
    <cellStyle name="20 % - Markeringsfarve4 2 5 6 2" xfId="31463" xr:uid="{00000000-0005-0000-0000-0000301D0000}"/>
    <cellStyle name="20 % - Markeringsfarve4 2 5 7" xfId="24461" xr:uid="{00000000-0005-0000-0000-0000311D0000}"/>
    <cellStyle name="20 % - Markeringsfarve4 2 6" xfId="4747" xr:uid="{00000000-0005-0000-0000-0000321D0000}"/>
    <cellStyle name="20 % - Markeringsfarve4 2 6 2" xfId="4748" xr:uid="{00000000-0005-0000-0000-0000331D0000}"/>
    <cellStyle name="20 % - Markeringsfarve4 2 6 2 2" xfId="4749" xr:uid="{00000000-0005-0000-0000-0000341D0000}"/>
    <cellStyle name="20 % - Markeringsfarve4 2 6 2 2 2" xfId="10106" xr:uid="{00000000-0005-0000-0000-0000351D0000}"/>
    <cellStyle name="20 % - Markeringsfarve4 2 6 2 2 2 2" xfId="18007" xr:uid="{00000000-0005-0000-0000-0000361D0000}"/>
    <cellStyle name="20 % - Markeringsfarve4 2 6 2 2 2 2 2" xfId="36167" xr:uid="{00000000-0005-0000-0000-0000371D0000}"/>
    <cellStyle name="20 % - Markeringsfarve4 2 6 2 2 2 3" xfId="29166" xr:uid="{00000000-0005-0000-0000-0000381D0000}"/>
    <cellStyle name="20 % - Markeringsfarve4 2 6 2 2 3" xfId="13303" xr:uid="{00000000-0005-0000-0000-0000391D0000}"/>
    <cellStyle name="20 % - Markeringsfarve4 2 6 2 2 3 2" xfId="31470" xr:uid="{00000000-0005-0000-0000-00003A1D0000}"/>
    <cellStyle name="20 % - Markeringsfarve4 2 6 2 2 4" xfId="24468" xr:uid="{00000000-0005-0000-0000-00003B1D0000}"/>
    <cellStyle name="20 % - Markeringsfarve4 2 6 2 3" xfId="8648" xr:uid="{00000000-0005-0000-0000-00003C1D0000}"/>
    <cellStyle name="20 % - Markeringsfarve4 2 6 2 3 2" xfId="16562" xr:uid="{00000000-0005-0000-0000-00003D1D0000}"/>
    <cellStyle name="20 % - Markeringsfarve4 2 6 2 3 2 2" xfId="34722" xr:uid="{00000000-0005-0000-0000-00003E1D0000}"/>
    <cellStyle name="20 % - Markeringsfarve4 2 6 2 3 3" xfId="27721" xr:uid="{00000000-0005-0000-0000-00003F1D0000}"/>
    <cellStyle name="20 % - Markeringsfarve4 2 6 2 4" xfId="13302" xr:uid="{00000000-0005-0000-0000-0000401D0000}"/>
    <cellStyle name="20 % - Markeringsfarve4 2 6 2 4 2" xfId="31469" xr:uid="{00000000-0005-0000-0000-0000411D0000}"/>
    <cellStyle name="20 % - Markeringsfarve4 2 6 2 5" xfId="24467" xr:uid="{00000000-0005-0000-0000-0000421D0000}"/>
    <cellStyle name="20 % - Markeringsfarve4 2 6 3" xfId="4750" xr:uid="{00000000-0005-0000-0000-0000431D0000}"/>
    <cellStyle name="20 % - Markeringsfarve4 2 6 3 2" xfId="9382" xr:uid="{00000000-0005-0000-0000-0000441D0000}"/>
    <cellStyle name="20 % - Markeringsfarve4 2 6 3 2 2" xfId="17292" xr:uid="{00000000-0005-0000-0000-0000451D0000}"/>
    <cellStyle name="20 % - Markeringsfarve4 2 6 3 2 2 2" xfId="35452" xr:uid="{00000000-0005-0000-0000-0000461D0000}"/>
    <cellStyle name="20 % - Markeringsfarve4 2 6 3 2 3" xfId="28451" xr:uid="{00000000-0005-0000-0000-0000471D0000}"/>
    <cellStyle name="20 % - Markeringsfarve4 2 6 3 3" xfId="13304" xr:uid="{00000000-0005-0000-0000-0000481D0000}"/>
    <cellStyle name="20 % - Markeringsfarve4 2 6 3 3 2" xfId="31471" xr:uid="{00000000-0005-0000-0000-0000491D0000}"/>
    <cellStyle name="20 % - Markeringsfarve4 2 6 3 4" xfId="24469" xr:uid="{00000000-0005-0000-0000-00004A1D0000}"/>
    <cellStyle name="20 % - Markeringsfarve4 2 6 4" xfId="4751" xr:uid="{00000000-0005-0000-0000-00004B1D0000}"/>
    <cellStyle name="20 % - Markeringsfarve4 2 6 4 2" xfId="10778" xr:uid="{00000000-0005-0000-0000-00004C1D0000}"/>
    <cellStyle name="20 % - Markeringsfarve4 2 6 4 2 2" xfId="18666" xr:uid="{00000000-0005-0000-0000-00004D1D0000}"/>
    <cellStyle name="20 % - Markeringsfarve4 2 6 4 2 2 2" xfId="36826" xr:uid="{00000000-0005-0000-0000-00004E1D0000}"/>
    <cellStyle name="20 % - Markeringsfarve4 2 6 4 2 3" xfId="29825" xr:uid="{00000000-0005-0000-0000-00004F1D0000}"/>
    <cellStyle name="20 % - Markeringsfarve4 2 6 4 3" xfId="13305" xr:uid="{00000000-0005-0000-0000-0000501D0000}"/>
    <cellStyle name="20 % - Markeringsfarve4 2 6 4 3 2" xfId="31472" xr:uid="{00000000-0005-0000-0000-0000511D0000}"/>
    <cellStyle name="20 % - Markeringsfarve4 2 6 4 4" xfId="24470" xr:uid="{00000000-0005-0000-0000-0000521D0000}"/>
    <cellStyle name="20 % - Markeringsfarve4 2 6 5" xfId="7824" xr:uid="{00000000-0005-0000-0000-0000531D0000}"/>
    <cellStyle name="20 % - Markeringsfarve4 2 6 5 2" xfId="15742" xr:uid="{00000000-0005-0000-0000-0000541D0000}"/>
    <cellStyle name="20 % - Markeringsfarve4 2 6 5 2 2" xfId="33902" xr:uid="{00000000-0005-0000-0000-0000551D0000}"/>
    <cellStyle name="20 % - Markeringsfarve4 2 6 5 3" xfId="26901" xr:uid="{00000000-0005-0000-0000-0000561D0000}"/>
    <cellStyle name="20 % - Markeringsfarve4 2 6 6" xfId="13301" xr:uid="{00000000-0005-0000-0000-0000571D0000}"/>
    <cellStyle name="20 % - Markeringsfarve4 2 6 6 2" xfId="31468" xr:uid="{00000000-0005-0000-0000-0000581D0000}"/>
    <cellStyle name="20 % - Markeringsfarve4 2 6 7" xfId="24466" xr:uid="{00000000-0005-0000-0000-0000591D0000}"/>
    <cellStyle name="20 % - Markeringsfarve4 2 7" xfId="4752" xr:uid="{00000000-0005-0000-0000-00005A1D0000}"/>
    <cellStyle name="20 % - Markeringsfarve4 2 7 2" xfId="4753" xr:uid="{00000000-0005-0000-0000-00005B1D0000}"/>
    <cellStyle name="20 % - Markeringsfarve4 2 7 2 2" xfId="4754" xr:uid="{00000000-0005-0000-0000-00005C1D0000}"/>
    <cellStyle name="20 % - Markeringsfarve4 2 7 2 2 2" xfId="10223" xr:uid="{00000000-0005-0000-0000-00005D1D0000}"/>
    <cellStyle name="20 % - Markeringsfarve4 2 7 2 2 2 2" xfId="18124" xr:uid="{00000000-0005-0000-0000-00005E1D0000}"/>
    <cellStyle name="20 % - Markeringsfarve4 2 7 2 2 2 2 2" xfId="36284" xr:uid="{00000000-0005-0000-0000-00005F1D0000}"/>
    <cellStyle name="20 % - Markeringsfarve4 2 7 2 2 2 3" xfId="29283" xr:uid="{00000000-0005-0000-0000-0000601D0000}"/>
    <cellStyle name="20 % - Markeringsfarve4 2 7 2 2 3" xfId="13308" xr:uid="{00000000-0005-0000-0000-0000611D0000}"/>
    <cellStyle name="20 % - Markeringsfarve4 2 7 2 2 3 2" xfId="31475" xr:uid="{00000000-0005-0000-0000-0000621D0000}"/>
    <cellStyle name="20 % - Markeringsfarve4 2 7 2 2 4" xfId="24473" xr:uid="{00000000-0005-0000-0000-0000631D0000}"/>
    <cellStyle name="20 % - Markeringsfarve4 2 7 2 3" xfId="8747" xr:uid="{00000000-0005-0000-0000-0000641D0000}"/>
    <cellStyle name="20 % - Markeringsfarve4 2 7 2 3 2" xfId="16661" xr:uid="{00000000-0005-0000-0000-0000651D0000}"/>
    <cellStyle name="20 % - Markeringsfarve4 2 7 2 3 2 2" xfId="34821" xr:uid="{00000000-0005-0000-0000-0000661D0000}"/>
    <cellStyle name="20 % - Markeringsfarve4 2 7 2 3 3" xfId="27820" xr:uid="{00000000-0005-0000-0000-0000671D0000}"/>
    <cellStyle name="20 % - Markeringsfarve4 2 7 2 4" xfId="13307" xr:uid="{00000000-0005-0000-0000-0000681D0000}"/>
    <cellStyle name="20 % - Markeringsfarve4 2 7 2 4 2" xfId="31474" xr:uid="{00000000-0005-0000-0000-0000691D0000}"/>
    <cellStyle name="20 % - Markeringsfarve4 2 7 2 5" xfId="24472" xr:uid="{00000000-0005-0000-0000-00006A1D0000}"/>
    <cellStyle name="20 % - Markeringsfarve4 2 7 3" xfId="4755" xr:uid="{00000000-0005-0000-0000-00006B1D0000}"/>
    <cellStyle name="20 % - Markeringsfarve4 2 7 3 2" xfId="9499" xr:uid="{00000000-0005-0000-0000-00006C1D0000}"/>
    <cellStyle name="20 % - Markeringsfarve4 2 7 3 2 2" xfId="17409" xr:uid="{00000000-0005-0000-0000-00006D1D0000}"/>
    <cellStyle name="20 % - Markeringsfarve4 2 7 3 2 2 2" xfId="35569" xr:uid="{00000000-0005-0000-0000-00006E1D0000}"/>
    <cellStyle name="20 % - Markeringsfarve4 2 7 3 2 3" xfId="28568" xr:uid="{00000000-0005-0000-0000-00006F1D0000}"/>
    <cellStyle name="20 % - Markeringsfarve4 2 7 3 3" xfId="13309" xr:uid="{00000000-0005-0000-0000-0000701D0000}"/>
    <cellStyle name="20 % - Markeringsfarve4 2 7 3 3 2" xfId="31476" xr:uid="{00000000-0005-0000-0000-0000711D0000}"/>
    <cellStyle name="20 % - Markeringsfarve4 2 7 3 4" xfId="24474" xr:uid="{00000000-0005-0000-0000-0000721D0000}"/>
    <cellStyle name="20 % - Markeringsfarve4 2 7 4" xfId="4756" xr:uid="{00000000-0005-0000-0000-0000731D0000}"/>
    <cellStyle name="20 % - Markeringsfarve4 2 7 4 2" xfId="11016" xr:uid="{00000000-0005-0000-0000-0000741D0000}"/>
    <cellStyle name="20 % - Markeringsfarve4 2 7 4 2 2" xfId="18892" xr:uid="{00000000-0005-0000-0000-0000751D0000}"/>
    <cellStyle name="20 % - Markeringsfarve4 2 7 4 2 2 2" xfId="37052" xr:uid="{00000000-0005-0000-0000-0000761D0000}"/>
    <cellStyle name="20 % - Markeringsfarve4 2 7 4 2 3" xfId="30051" xr:uid="{00000000-0005-0000-0000-0000771D0000}"/>
    <cellStyle name="20 % - Markeringsfarve4 2 7 4 3" xfId="13310" xr:uid="{00000000-0005-0000-0000-0000781D0000}"/>
    <cellStyle name="20 % - Markeringsfarve4 2 7 4 3 2" xfId="31477" xr:uid="{00000000-0005-0000-0000-0000791D0000}"/>
    <cellStyle name="20 % - Markeringsfarve4 2 7 4 4" xfId="24475" xr:uid="{00000000-0005-0000-0000-00007A1D0000}"/>
    <cellStyle name="20 % - Markeringsfarve4 2 7 5" xfId="7825" xr:uid="{00000000-0005-0000-0000-00007B1D0000}"/>
    <cellStyle name="20 % - Markeringsfarve4 2 7 5 2" xfId="15743" xr:uid="{00000000-0005-0000-0000-00007C1D0000}"/>
    <cellStyle name="20 % - Markeringsfarve4 2 7 5 2 2" xfId="33903" xr:uid="{00000000-0005-0000-0000-00007D1D0000}"/>
    <cellStyle name="20 % - Markeringsfarve4 2 7 5 3" xfId="26902" xr:uid="{00000000-0005-0000-0000-00007E1D0000}"/>
    <cellStyle name="20 % - Markeringsfarve4 2 7 6" xfId="13306" xr:uid="{00000000-0005-0000-0000-00007F1D0000}"/>
    <cellStyle name="20 % - Markeringsfarve4 2 7 6 2" xfId="31473" xr:uid="{00000000-0005-0000-0000-0000801D0000}"/>
    <cellStyle name="20 % - Markeringsfarve4 2 7 7" xfId="24471" xr:uid="{00000000-0005-0000-0000-0000811D0000}"/>
    <cellStyle name="20 % - Markeringsfarve4 2 8" xfId="4757" xr:uid="{00000000-0005-0000-0000-0000821D0000}"/>
    <cellStyle name="20 % - Markeringsfarve4 2 8 2" xfId="4758" xr:uid="{00000000-0005-0000-0000-0000831D0000}"/>
    <cellStyle name="20 % - Markeringsfarve4 2 8 2 2" xfId="4759" xr:uid="{00000000-0005-0000-0000-0000841D0000}"/>
    <cellStyle name="20 % - Markeringsfarve4 2 8 2 2 2" xfId="10336" xr:uid="{00000000-0005-0000-0000-0000851D0000}"/>
    <cellStyle name="20 % - Markeringsfarve4 2 8 2 2 2 2" xfId="18237" xr:uid="{00000000-0005-0000-0000-0000861D0000}"/>
    <cellStyle name="20 % - Markeringsfarve4 2 8 2 2 2 2 2" xfId="36397" xr:uid="{00000000-0005-0000-0000-0000871D0000}"/>
    <cellStyle name="20 % - Markeringsfarve4 2 8 2 2 2 3" xfId="29396" xr:uid="{00000000-0005-0000-0000-0000881D0000}"/>
    <cellStyle name="20 % - Markeringsfarve4 2 8 2 2 3" xfId="13313" xr:uid="{00000000-0005-0000-0000-0000891D0000}"/>
    <cellStyle name="20 % - Markeringsfarve4 2 8 2 2 3 2" xfId="31480" xr:uid="{00000000-0005-0000-0000-00008A1D0000}"/>
    <cellStyle name="20 % - Markeringsfarve4 2 8 2 2 4" xfId="24478" xr:uid="{00000000-0005-0000-0000-00008B1D0000}"/>
    <cellStyle name="20 % - Markeringsfarve4 2 8 2 3" xfId="8847" xr:uid="{00000000-0005-0000-0000-00008C1D0000}"/>
    <cellStyle name="20 % - Markeringsfarve4 2 8 2 3 2" xfId="16761" xr:uid="{00000000-0005-0000-0000-00008D1D0000}"/>
    <cellStyle name="20 % - Markeringsfarve4 2 8 2 3 2 2" xfId="34921" xr:uid="{00000000-0005-0000-0000-00008E1D0000}"/>
    <cellStyle name="20 % - Markeringsfarve4 2 8 2 3 3" xfId="27920" xr:uid="{00000000-0005-0000-0000-00008F1D0000}"/>
    <cellStyle name="20 % - Markeringsfarve4 2 8 2 4" xfId="13312" xr:uid="{00000000-0005-0000-0000-0000901D0000}"/>
    <cellStyle name="20 % - Markeringsfarve4 2 8 2 4 2" xfId="31479" xr:uid="{00000000-0005-0000-0000-0000911D0000}"/>
    <cellStyle name="20 % - Markeringsfarve4 2 8 2 5" xfId="24477" xr:uid="{00000000-0005-0000-0000-0000921D0000}"/>
    <cellStyle name="20 % - Markeringsfarve4 2 8 3" xfId="4760" xr:uid="{00000000-0005-0000-0000-0000931D0000}"/>
    <cellStyle name="20 % - Markeringsfarve4 2 8 3 2" xfId="9613" xr:uid="{00000000-0005-0000-0000-0000941D0000}"/>
    <cellStyle name="20 % - Markeringsfarve4 2 8 3 2 2" xfId="17523" xr:uid="{00000000-0005-0000-0000-0000951D0000}"/>
    <cellStyle name="20 % - Markeringsfarve4 2 8 3 2 2 2" xfId="35683" xr:uid="{00000000-0005-0000-0000-0000961D0000}"/>
    <cellStyle name="20 % - Markeringsfarve4 2 8 3 2 3" xfId="28682" xr:uid="{00000000-0005-0000-0000-0000971D0000}"/>
    <cellStyle name="20 % - Markeringsfarve4 2 8 3 3" xfId="13314" xr:uid="{00000000-0005-0000-0000-0000981D0000}"/>
    <cellStyle name="20 % - Markeringsfarve4 2 8 3 3 2" xfId="31481" xr:uid="{00000000-0005-0000-0000-0000991D0000}"/>
    <cellStyle name="20 % - Markeringsfarve4 2 8 3 4" xfId="24479" xr:uid="{00000000-0005-0000-0000-00009A1D0000}"/>
    <cellStyle name="20 % - Markeringsfarve4 2 8 4" xfId="4761" xr:uid="{00000000-0005-0000-0000-00009B1D0000}"/>
    <cellStyle name="20 % - Markeringsfarve4 2 8 4 2" xfId="10736" xr:uid="{00000000-0005-0000-0000-00009C1D0000}"/>
    <cellStyle name="20 % - Markeringsfarve4 2 8 4 2 2" xfId="18625" xr:uid="{00000000-0005-0000-0000-00009D1D0000}"/>
    <cellStyle name="20 % - Markeringsfarve4 2 8 4 2 2 2" xfId="36785" xr:uid="{00000000-0005-0000-0000-00009E1D0000}"/>
    <cellStyle name="20 % - Markeringsfarve4 2 8 4 2 3" xfId="29784" xr:uid="{00000000-0005-0000-0000-00009F1D0000}"/>
    <cellStyle name="20 % - Markeringsfarve4 2 8 4 3" xfId="13315" xr:uid="{00000000-0005-0000-0000-0000A01D0000}"/>
    <cellStyle name="20 % - Markeringsfarve4 2 8 4 3 2" xfId="31482" xr:uid="{00000000-0005-0000-0000-0000A11D0000}"/>
    <cellStyle name="20 % - Markeringsfarve4 2 8 4 4" xfId="24480" xr:uid="{00000000-0005-0000-0000-0000A21D0000}"/>
    <cellStyle name="20 % - Markeringsfarve4 2 8 5" xfId="7826" xr:uid="{00000000-0005-0000-0000-0000A31D0000}"/>
    <cellStyle name="20 % - Markeringsfarve4 2 8 5 2" xfId="15744" xr:uid="{00000000-0005-0000-0000-0000A41D0000}"/>
    <cellStyle name="20 % - Markeringsfarve4 2 8 5 2 2" xfId="33904" xr:uid="{00000000-0005-0000-0000-0000A51D0000}"/>
    <cellStyle name="20 % - Markeringsfarve4 2 8 5 3" xfId="26903" xr:uid="{00000000-0005-0000-0000-0000A61D0000}"/>
    <cellStyle name="20 % - Markeringsfarve4 2 8 6" xfId="13311" xr:uid="{00000000-0005-0000-0000-0000A71D0000}"/>
    <cellStyle name="20 % - Markeringsfarve4 2 8 6 2" xfId="31478" xr:uid="{00000000-0005-0000-0000-0000A81D0000}"/>
    <cellStyle name="20 % - Markeringsfarve4 2 8 7" xfId="24476" xr:uid="{00000000-0005-0000-0000-0000A91D0000}"/>
    <cellStyle name="20 % - Markeringsfarve4 2 9" xfId="4762" xr:uid="{00000000-0005-0000-0000-0000AA1D0000}"/>
    <cellStyle name="20 % - Markeringsfarve4 2 9 2" xfId="4763" xr:uid="{00000000-0005-0000-0000-0000AB1D0000}"/>
    <cellStyle name="20 % - Markeringsfarve4 2 9 2 2" xfId="9749" xr:uid="{00000000-0005-0000-0000-0000AC1D0000}"/>
    <cellStyle name="20 % - Markeringsfarve4 2 9 2 2 2" xfId="17650" xr:uid="{00000000-0005-0000-0000-0000AD1D0000}"/>
    <cellStyle name="20 % - Markeringsfarve4 2 9 2 2 2 2" xfId="35810" xr:uid="{00000000-0005-0000-0000-0000AE1D0000}"/>
    <cellStyle name="20 % - Markeringsfarve4 2 9 2 2 3" xfId="28809" xr:uid="{00000000-0005-0000-0000-0000AF1D0000}"/>
    <cellStyle name="20 % - Markeringsfarve4 2 9 2 3" xfId="13317" xr:uid="{00000000-0005-0000-0000-0000B01D0000}"/>
    <cellStyle name="20 % - Markeringsfarve4 2 9 2 3 2" xfId="31484" xr:uid="{00000000-0005-0000-0000-0000B11D0000}"/>
    <cellStyle name="20 % - Markeringsfarve4 2 9 2 4" xfId="24482" xr:uid="{00000000-0005-0000-0000-0000B21D0000}"/>
    <cellStyle name="20 % - Markeringsfarve4 2 9 3" xfId="8347" xr:uid="{00000000-0005-0000-0000-0000B31D0000}"/>
    <cellStyle name="20 % - Markeringsfarve4 2 9 3 2" xfId="16264" xr:uid="{00000000-0005-0000-0000-0000B41D0000}"/>
    <cellStyle name="20 % - Markeringsfarve4 2 9 3 2 2" xfId="34424" xr:uid="{00000000-0005-0000-0000-0000B51D0000}"/>
    <cellStyle name="20 % - Markeringsfarve4 2 9 3 3" xfId="27423" xr:uid="{00000000-0005-0000-0000-0000B61D0000}"/>
    <cellStyle name="20 % - Markeringsfarve4 2 9 4" xfId="13316" xr:uid="{00000000-0005-0000-0000-0000B71D0000}"/>
    <cellStyle name="20 % - Markeringsfarve4 2 9 4 2" xfId="31483" xr:uid="{00000000-0005-0000-0000-0000B81D0000}"/>
    <cellStyle name="20 % - Markeringsfarve4 2 9 5" xfId="24481" xr:uid="{00000000-0005-0000-0000-0000B91D0000}"/>
    <cellStyle name="20 % - Markeringsfarve4 3" xfId="1822" xr:uid="{00000000-0005-0000-0000-0000BA1D0000}"/>
    <cellStyle name="20 % - Markeringsfarve4 3 10" xfId="4765" xr:uid="{00000000-0005-0000-0000-0000BB1D0000}"/>
    <cellStyle name="20 % - Markeringsfarve4 3 10 2" xfId="8962" xr:uid="{00000000-0005-0000-0000-0000BC1D0000}"/>
    <cellStyle name="20 % - Markeringsfarve4 3 10 2 2" xfId="16874" xr:uid="{00000000-0005-0000-0000-0000BD1D0000}"/>
    <cellStyle name="20 % - Markeringsfarve4 3 10 2 2 2" xfId="35034" xr:uid="{00000000-0005-0000-0000-0000BE1D0000}"/>
    <cellStyle name="20 % - Markeringsfarve4 3 10 2 3" xfId="28033" xr:uid="{00000000-0005-0000-0000-0000BF1D0000}"/>
    <cellStyle name="20 % - Markeringsfarve4 3 10 3" xfId="13319" xr:uid="{00000000-0005-0000-0000-0000C01D0000}"/>
    <cellStyle name="20 % - Markeringsfarve4 3 10 3 2" xfId="31486" xr:uid="{00000000-0005-0000-0000-0000C11D0000}"/>
    <cellStyle name="20 % - Markeringsfarve4 3 10 4" xfId="24484" xr:uid="{00000000-0005-0000-0000-0000C21D0000}"/>
    <cellStyle name="20 % - Markeringsfarve4 3 11" xfId="4766" xr:uid="{00000000-0005-0000-0000-0000C31D0000}"/>
    <cellStyle name="20 % - Markeringsfarve4 3 11 2" xfId="10950" xr:uid="{00000000-0005-0000-0000-0000C41D0000}"/>
    <cellStyle name="20 % - Markeringsfarve4 3 11 2 2" xfId="18830" xr:uid="{00000000-0005-0000-0000-0000C51D0000}"/>
    <cellStyle name="20 % - Markeringsfarve4 3 11 2 2 2" xfId="36990" xr:uid="{00000000-0005-0000-0000-0000C61D0000}"/>
    <cellStyle name="20 % - Markeringsfarve4 3 11 2 3" xfId="29989" xr:uid="{00000000-0005-0000-0000-0000C71D0000}"/>
    <cellStyle name="20 % - Markeringsfarve4 3 11 3" xfId="13320" xr:uid="{00000000-0005-0000-0000-0000C81D0000}"/>
    <cellStyle name="20 % - Markeringsfarve4 3 11 3 2" xfId="31487" xr:uid="{00000000-0005-0000-0000-0000C91D0000}"/>
    <cellStyle name="20 % - Markeringsfarve4 3 11 4" xfId="24485" xr:uid="{00000000-0005-0000-0000-0000CA1D0000}"/>
    <cellStyle name="20 % - Markeringsfarve4 3 12" xfId="7827" xr:uid="{00000000-0005-0000-0000-0000CB1D0000}"/>
    <cellStyle name="20 % - Markeringsfarve4 3 12 2" xfId="15745" xr:uid="{00000000-0005-0000-0000-0000CC1D0000}"/>
    <cellStyle name="20 % - Markeringsfarve4 3 12 2 2" xfId="33905" xr:uid="{00000000-0005-0000-0000-0000CD1D0000}"/>
    <cellStyle name="20 % - Markeringsfarve4 3 12 3" xfId="26904" xr:uid="{00000000-0005-0000-0000-0000CE1D0000}"/>
    <cellStyle name="20 % - Markeringsfarve4 3 13" xfId="13318" xr:uid="{00000000-0005-0000-0000-0000CF1D0000}"/>
    <cellStyle name="20 % - Markeringsfarve4 3 13 2" xfId="31485" xr:uid="{00000000-0005-0000-0000-0000D01D0000}"/>
    <cellStyle name="20 % - Markeringsfarve4 3 14" xfId="4764" xr:uid="{00000000-0005-0000-0000-0000D11D0000}"/>
    <cellStyle name="20 % - Markeringsfarve4 3 14 2" xfId="24483" xr:uid="{00000000-0005-0000-0000-0000D21D0000}"/>
    <cellStyle name="20 % - Markeringsfarve4 3 15" xfId="21946" xr:uid="{00000000-0005-0000-0000-0000D31D0000}"/>
    <cellStyle name="20 % - Markeringsfarve4 3 2" xfId="1823" xr:uid="{00000000-0005-0000-0000-0000D41D0000}"/>
    <cellStyle name="20 % - Markeringsfarve4 3 2 10" xfId="7828" xr:uid="{00000000-0005-0000-0000-0000D51D0000}"/>
    <cellStyle name="20 % - Markeringsfarve4 3 2 10 2" xfId="15746" xr:uid="{00000000-0005-0000-0000-0000D61D0000}"/>
    <cellStyle name="20 % - Markeringsfarve4 3 2 10 2 2" xfId="33906" xr:uid="{00000000-0005-0000-0000-0000D71D0000}"/>
    <cellStyle name="20 % - Markeringsfarve4 3 2 10 3" xfId="26905" xr:uid="{00000000-0005-0000-0000-0000D81D0000}"/>
    <cellStyle name="20 % - Markeringsfarve4 3 2 11" xfId="13321" xr:uid="{00000000-0005-0000-0000-0000D91D0000}"/>
    <cellStyle name="20 % - Markeringsfarve4 3 2 11 2" xfId="31488" xr:uid="{00000000-0005-0000-0000-0000DA1D0000}"/>
    <cellStyle name="20 % - Markeringsfarve4 3 2 12" xfId="4767" xr:uid="{00000000-0005-0000-0000-0000DB1D0000}"/>
    <cellStyle name="20 % - Markeringsfarve4 3 2 12 2" xfId="24486" xr:uid="{00000000-0005-0000-0000-0000DC1D0000}"/>
    <cellStyle name="20 % - Markeringsfarve4 3 2 13" xfId="21947" xr:uid="{00000000-0005-0000-0000-0000DD1D0000}"/>
    <cellStyle name="20 % - Markeringsfarve4 3 2 2" xfId="4768" xr:uid="{00000000-0005-0000-0000-0000DE1D0000}"/>
    <cellStyle name="20 % - Markeringsfarve4 3 2 2 2" xfId="4769" xr:uid="{00000000-0005-0000-0000-0000DF1D0000}"/>
    <cellStyle name="20 % - Markeringsfarve4 3 2 2 2 2" xfId="4770" xr:uid="{00000000-0005-0000-0000-0000E01D0000}"/>
    <cellStyle name="20 % - Markeringsfarve4 3 2 2 2 2 2" xfId="9895" xr:uid="{00000000-0005-0000-0000-0000E11D0000}"/>
    <cellStyle name="20 % - Markeringsfarve4 3 2 2 2 2 2 2" xfId="17796" xr:uid="{00000000-0005-0000-0000-0000E21D0000}"/>
    <cellStyle name="20 % - Markeringsfarve4 3 2 2 2 2 2 2 2" xfId="35956" xr:uid="{00000000-0005-0000-0000-0000E31D0000}"/>
    <cellStyle name="20 % - Markeringsfarve4 3 2 2 2 2 2 3" xfId="28955" xr:uid="{00000000-0005-0000-0000-0000E41D0000}"/>
    <cellStyle name="20 % - Markeringsfarve4 3 2 2 2 2 3" xfId="13324" xr:uid="{00000000-0005-0000-0000-0000E51D0000}"/>
    <cellStyle name="20 % - Markeringsfarve4 3 2 2 2 2 3 2" xfId="31491" xr:uid="{00000000-0005-0000-0000-0000E61D0000}"/>
    <cellStyle name="20 % - Markeringsfarve4 3 2 2 2 2 4" xfId="24489" xr:uid="{00000000-0005-0000-0000-0000E71D0000}"/>
    <cellStyle name="20 % - Markeringsfarve4 3 2 2 2 3" xfId="8469" xr:uid="{00000000-0005-0000-0000-0000E81D0000}"/>
    <cellStyle name="20 % - Markeringsfarve4 3 2 2 2 3 2" xfId="16386" xr:uid="{00000000-0005-0000-0000-0000E91D0000}"/>
    <cellStyle name="20 % - Markeringsfarve4 3 2 2 2 3 2 2" xfId="34546" xr:uid="{00000000-0005-0000-0000-0000EA1D0000}"/>
    <cellStyle name="20 % - Markeringsfarve4 3 2 2 2 3 3" xfId="27545" xr:uid="{00000000-0005-0000-0000-0000EB1D0000}"/>
    <cellStyle name="20 % - Markeringsfarve4 3 2 2 2 4" xfId="13323" xr:uid="{00000000-0005-0000-0000-0000EC1D0000}"/>
    <cellStyle name="20 % - Markeringsfarve4 3 2 2 2 4 2" xfId="31490" xr:uid="{00000000-0005-0000-0000-0000ED1D0000}"/>
    <cellStyle name="20 % - Markeringsfarve4 3 2 2 2 5" xfId="24488" xr:uid="{00000000-0005-0000-0000-0000EE1D0000}"/>
    <cellStyle name="20 % - Markeringsfarve4 3 2 2 3" xfId="4771" xr:uid="{00000000-0005-0000-0000-0000EF1D0000}"/>
    <cellStyle name="20 % - Markeringsfarve4 3 2 2 3 2" xfId="9125" xr:uid="{00000000-0005-0000-0000-0000F01D0000}"/>
    <cellStyle name="20 % - Markeringsfarve4 3 2 2 3 2 2" xfId="17036" xr:uid="{00000000-0005-0000-0000-0000F11D0000}"/>
    <cellStyle name="20 % - Markeringsfarve4 3 2 2 3 2 2 2" xfId="35196" xr:uid="{00000000-0005-0000-0000-0000F21D0000}"/>
    <cellStyle name="20 % - Markeringsfarve4 3 2 2 3 2 3" xfId="28195" xr:uid="{00000000-0005-0000-0000-0000F31D0000}"/>
    <cellStyle name="20 % - Markeringsfarve4 3 2 2 3 3" xfId="13325" xr:uid="{00000000-0005-0000-0000-0000F41D0000}"/>
    <cellStyle name="20 % - Markeringsfarve4 3 2 2 3 3 2" xfId="31492" xr:uid="{00000000-0005-0000-0000-0000F51D0000}"/>
    <cellStyle name="20 % - Markeringsfarve4 3 2 2 3 4" xfId="24490" xr:uid="{00000000-0005-0000-0000-0000F61D0000}"/>
    <cellStyle name="20 % - Markeringsfarve4 3 2 2 4" xfId="4772" xr:uid="{00000000-0005-0000-0000-0000F71D0000}"/>
    <cellStyle name="20 % - Markeringsfarve4 3 2 2 4 2" xfId="10910" xr:uid="{00000000-0005-0000-0000-0000F81D0000}"/>
    <cellStyle name="20 % - Markeringsfarve4 3 2 2 4 2 2" xfId="18791" xr:uid="{00000000-0005-0000-0000-0000F91D0000}"/>
    <cellStyle name="20 % - Markeringsfarve4 3 2 2 4 2 2 2" xfId="36951" xr:uid="{00000000-0005-0000-0000-0000FA1D0000}"/>
    <cellStyle name="20 % - Markeringsfarve4 3 2 2 4 2 3" xfId="29950" xr:uid="{00000000-0005-0000-0000-0000FB1D0000}"/>
    <cellStyle name="20 % - Markeringsfarve4 3 2 2 4 3" xfId="13326" xr:uid="{00000000-0005-0000-0000-0000FC1D0000}"/>
    <cellStyle name="20 % - Markeringsfarve4 3 2 2 4 3 2" xfId="31493" xr:uid="{00000000-0005-0000-0000-0000FD1D0000}"/>
    <cellStyle name="20 % - Markeringsfarve4 3 2 2 4 4" xfId="24491" xr:uid="{00000000-0005-0000-0000-0000FE1D0000}"/>
    <cellStyle name="20 % - Markeringsfarve4 3 2 2 5" xfId="7829" xr:uid="{00000000-0005-0000-0000-0000FF1D0000}"/>
    <cellStyle name="20 % - Markeringsfarve4 3 2 2 5 2" xfId="15747" xr:uid="{00000000-0005-0000-0000-0000001E0000}"/>
    <cellStyle name="20 % - Markeringsfarve4 3 2 2 5 2 2" xfId="33907" xr:uid="{00000000-0005-0000-0000-0000011E0000}"/>
    <cellStyle name="20 % - Markeringsfarve4 3 2 2 5 3" xfId="26906" xr:uid="{00000000-0005-0000-0000-0000021E0000}"/>
    <cellStyle name="20 % - Markeringsfarve4 3 2 2 6" xfId="13322" xr:uid="{00000000-0005-0000-0000-0000031E0000}"/>
    <cellStyle name="20 % - Markeringsfarve4 3 2 2 6 2" xfId="31489" xr:uid="{00000000-0005-0000-0000-0000041E0000}"/>
    <cellStyle name="20 % - Markeringsfarve4 3 2 2 7" xfId="24487" xr:uid="{00000000-0005-0000-0000-0000051E0000}"/>
    <cellStyle name="20 % - Markeringsfarve4 3 2 3" xfId="4773" xr:uid="{00000000-0005-0000-0000-0000061E0000}"/>
    <cellStyle name="20 % - Markeringsfarve4 3 2 3 2" xfId="4774" xr:uid="{00000000-0005-0000-0000-0000071E0000}"/>
    <cellStyle name="20 % - Markeringsfarve4 3 2 3 2 2" xfId="4775" xr:uid="{00000000-0005-0000-0000-0000081E0000}"/>
    <cellStyle name="20 % - Markeringsfarve4 3 2 3 2 2 2" xfId="9985" xr:uid="{00000000-0005-0000-0000-0000091E0000}"/>
    <cellStyle name="20 % - Markeringsfarve4 3 2 3 2 2 2 2" xfId="17886" xr:uid="{00000000-0005-0000-0000-00000A1E0000}"/>
    <cellStyle name="20 % - Markeringsfarve4 3 2 3 2 2 2 2 2" xfId="36046" xr:uid="{00000000-0005-0000-0000-00000B1E0000}"/>
    <cellStyle name="20 % - Markeringsfarve4 3 2 3 2 2 2 3" xfId="29045" xr:uid="{00000000-0005-0000-0000-00000C1E0000}"/>
    <cellStyle name="20 % - Markeringsfarve4 3 2 3 2 2 3" xfId="13329" xr:uid="{00000000-0005-0000-0000-00000D1E0000}"/>
    <cellStyle name="20 % - Markeringsfarve4 3 2 3 2 2 3 2" xfId="31496" xr:uid="{00000000-0005-0000-0000-00000E1E0000}"/>
    <cellStyle name="20 % - Markeringsfarve4 3 2 3 2 2 4" xfId="24494" xr:uid="{00000000-0005-0000-0000-00000F1E0000}"/>
    <cellStyle name="20 % - Markeringsfarve4 3 2 3 2 3" xfId="8549" xr:uid="{00000000-0005-0000-0000-0000101E0000}"/>
    <cellStyle name="20 % - Markeringsfarve4 3 2 3 2 3 2" xfId="16466" xr:uid="{00000000-0005-0000-0000-0000111E0000}"/>
    <cellStyle name="20 % - Markeringsfarve4 3 2 3 2 3 2 2" xfId="34626" xr:uid="{00000000-0005-0000-0000-0000121E0000}"/>
    <cellStyle name="20 % - Markeringsfarve4 3 2 3 2 3 3" xfId="27625" xr:uid="{00000000-0005-0000-0000-0000131E0000}"/>
    <cellStyle name="20 % - Markeringsfarve4 3 2 3 2 4" xfId="13328" xr:uid="{00000000-0005-0000-0000-0000141E0000}"/>
    <cellStyle name="20 % - Markeringsfarve4 3 2 3 2 4 2" xfId="31495" xr:uid="{00000000-0005-0000-0000-0000151E0000}"/>
    <cellStyle name="20 % - Markeringsfarve4 3 2 3 2 5" xfId="24493" xr:uid="{00000000-0005-0000-0000-0000161E0000}"/>
    <cellStyle name="20 % - Markeringsfarve4 3 2 3 3" xfId="4776" xr:uid="{00000000-0005-0000-0000-0000171E0000}"/>
    <cellStyle name="20 % - Markeringsfarve4 3 2 3 3 2" xfId="9215" xr:uid="{00000000-0005-0000-0000-0000181E0000}"/>
    <cellStyle name="20 % - Markeringsfarve4 3 2 3 3 2 2" xfId="17126" xr:uid="{00000000-0005-0000-0000-0000191E0000}"/>
    <cellStyle name="20 % - Markeringsfarve4 3 2 3 3 2 2 2" xfId="35286" xr:uid="{00000000-0005-0000-0000-00001A1E0000}"/>
    <cellStyle name="20 % - Markeringsfarve4 3 2 3 3 2 3" xfId="28285" xr:uid="{00000000-0005-0000-0000-00001B1E0000}"/>
    <cellStyle name="20 % - Markeringsfarve4 3 2 3 3 3" xfId="13330" xr:uid="{00000000-0005-0000-0000-00001C1E0000}"/>
    <cellStyle name="20 % - Markeringsfarve4 3 2 3 3 3 2" xfId="31497" xr:uid="{00000000-0005-0000-0000-00001D1E0000}"/>
    <cellStyle name="20 % - Markeringsfarve4 3 2 3 3 4" xfId="24495" xr:uid="{00000000-0005-0000-0000-00001E1E0000}"/>
    <cellStyle name="20 % - Markeringsfarve4 3 2 3 4" xfId="4777" xr:uid="{00000000-0005-0000-0000-00001F1E0000}"/>
    <cellStyle name="20 % - Markeringsfarve4 3 2 3 4 2" xfId="10634" xr:uid="{00000000-0005-0000-0000-0000201E0000}"/>
    <cellStyle name="20 % - Markeringsfarve4 3 2 3 4 2 2" xfId="18527" xr:uid="{00000000-0005-0000-0000-0000211E0000}"/>
    <cellStyle name="20 % - Markeringsfarve4 3 2 3 4 2 2 2" xfId="36687" xr:uid="{00000000-0005-0000-0000-0000221E0000}"/>
    <cellStyle name="20 % - Markeringsfarve4 3 2 3 4 2 3" xfId="29686" xr:uid="{00000000-0005-0000-0000-0000231E0000}"/>
    <cellStyle name="20 % - Markeringsfarve4 3 2 3 4 3" xfId="13331" xr:uid="{00000000-0005-0000-0000-0000241E0000}"/>
    <cellStyle name="20 % - Markeringsfarve4 3 2 3 4 3 2" xfId="31498" xr:uid="{00000000-0005-0000-0000-0000251E0000}"/>
    <cellStyle name="20 % - Markeringsfarve4 3 2 3 4 4" xfId="24496" xr:uid="{00000000-0005-0000-0000-0000261E0000}"/>
    <cellStyle name="20 % - Markeringsfarve4 3 2 3 5" xfId="7830" xr:uid="{00000000-0005-0000-0000-0000271E0000}"/>
    <cellStyle name="20 % - Markeringsfarve4 3 2 3 5 2" xfId="15748" xr:uid="{00000000-0005-0000-0000-0000281E0000}"/>
    <cellStyle name="20 % - Markeringsfarve4 3 2 3 5 2 2" xfId="33908" xr:uid="{00000000-0005-0000-0000-0000291E0000}"/>
    <cellStyle name="20 % - Markeringsfarve4 3 2 3 5 3" xfId="26907" xr:uid="{00000000-0005-0000-0000-00002A1E0000}"/>
    <cellStyle name="20 % - Markeringsfarve4 3 2 3 6" xfId="13327" xr:uid="{00000000-0005-0000-0000-00002B1E0000}"/>
    <cellStyle name="20 % - Markeringsfarve4 3 2 3 6 2" xfId="31494" xr:uid="{00000000-0005-0000-0000-00002C1E0000}"/>
    <cellStyle name="20 % - Markeringsfarve4 3 2 3 7" xfId="24492" xr:uid="{00000000-0005-0000-0000-00002D1E0000}"/>
    <cellStyle name="20 % - Markeringsfarve4 3 2 4" xfId="4778" xr:uid="{00000000-0005-0000-0000-00002E1E0000}"/>
    <cellStyle name="20 % - Markeringsfarve4 3 2 4 2" xfId="4779" xr:uid="{00000000-0005-0000-0000-00002F1E0000}"/>
    <cellStyle name="20 % - Markeringsfarve4 3 2 4 2 2" xfId="4780" xr:uid="{00000000-0005-0000-0000-0000301E0000}"/>
    <cellStyle name="20 % - Markeringsfarve4 3 2 4 2 2 2" xfId="10133" xr:uid="{00000000-0005-0000-0000-0000311E0000}"/>
    <cellStyle name="20 % - Markeringsfarve4 3 2 4 2 2 2 2" xfId="18034" xr:uid="{00000000-0005-0000-0000-0000321E0000}"/>
    <cellStyle name="20 % - Markeringsfarve4 3 2 4 2 2 2 2 2" xfId="36194" xr:uid="{00000000-0005-0000-0000-0000331E0000}"/>
    <cellStyle name="20 % - Markeringsfarve4 3 2 4 2 2 2 3" xfId="29193" xr:uid="{00000000-0005-0000-0000-0000341E0000}"/>
    <cellStyle name="20 % - Markeringsfarve4 3 2 4 2 2 3" xfId="13334" xr:uid="{00000000-0005-0000-0000-0000351E0000}"/>
    <cellStyle name="20 % - Markeringsfarve4 3 2 4 2 2 3 2" xfId="31501" xr:uid="{00000000-0005-0000-0000-0000361E0000}"/>
    <cellStyle name="20 % - Markeringsfarve4 3 2 4 2 2 4" xfId="24499" xr:uid="{00000000-0005-0000-0000-0000371E0000}"/>
    <cellStyle name="20 % - Markeringsfarve4 3 2 4 2 3" xfId="8671" xr:uid="{00000000-0005-0000-0000-0000381E0000}"/>
    <cellStyle name="20 % - Markeringsfarve4 3 2 4 2 3 2" xfId="16585" xr:uid="{00000000-0005-0000-0000-0000391E0000}"/>
    <cellStyle name="20 % - Markeringsfarve4 3 2 4 2 3 2 2" xfId="34745" xr:uid="{00000000-0005-0000-0000-00003A1E0000}"/>
    <cellStyle name="20 % - Markeringsfarve4 3 2 4 2 3 3" xfId="27744" xr:uid="{00000000-0005-0000-0000-00003B1E0000}"/>
    <cellStyle name="20 % - Markeringsfarve4 3 2 4 2 4" xfId="13333" xr:uid="{00000000-0005-0000-0000-00003C1E0000}"/>
    <cellStyle name="20 % - Markeringsfarve4 3 2 4 2 4 2" xfId="31500" xr:uid="{00000000-0005-0000-0000-00003D1E0000}"/>
    <cellStyle name="20 % - Markeringsfarve4 3 2 4 2 5" xfId="24498" xr:uid="{00000000-0005-0000-0000-00003E1E0000}"/>
    <cellStyle name="20 % - Markeringsfarve4 3 2 4 3" xfId="4781" xr:uid="{00000000-0005-0000-0000-00003F1E0000}"/>
    <cellStyle name="20 % - Markeringsfarve4 3 2 4 3 2" xfId="9409" xr:uid="{00000000-0005-0000-0000-0000401E0000}"/>
    <cellStyle name="20 % - Markeringsfarve4 3 2 4 3 2 2" xfId="17319" xr:uid="{00000000-0005-0000-0000-0000411E0000}"/>
    <cellStyle name="20 % - Markeringsfarve4 3 2 4 3 2 2 2" xfId="35479" xr:uid="{00000000-0005-0000-0000-0000421E0000}"/>
    <cellStyle name="20 % - Markeringsfarve4 3 2 4 3 2 3" xfId="28478" xr:uid="{00000000-0005-0000-0000-0000431E0000}"/>
    <cellStyle name="20 % - Markeringsfarve4 3 2 4 3 3" xfId="13335" xr:uid="{00000000-0005-0000-0000-0000441E0000}"/>
    <cellStyle name="20 % - Markeringsfarve4 3 2 4 3 3 2" xfId="31502" xr:uid="{00000000-0005-0000-0000-0000451E0000}"/>
    <cellStyle name="20 % - Markeringsfarve4 3 2 4 3 4" xfId="24500" xr:uid="{00000000-0005-0000-0000-0000461E0000}"/>
    <cellStyle name="20 % - Markeringsfarve4 3 2 4 4" xfId="4782" xr:uid="{00000000-0005-0000-0000-0000471E0000}"/>
    <cellStyle name="20 % - Markeringsfarve4 3 2 4 4 2" xfId="10882" xr:uid="{00000000-0005-0000-0000-0000481E0000}"/>
    <cellStyle name="20 % - Markeringsfarve4 3 2 4 4 2 2" xfId="18765" xr:uid="{00000000-0005-0000-0000-0000491E0000}"/>
    <cellStyle name="20 % - Markeringsfarve4 3 2 4 4 2 2 2" xfId="36925" xr:uid="{00000000-0005-0000-0000-00004A1E0000}"/>
    <cellStyle name="20 % - Markeringsfarve4 3 2 4 4 2 3" xfId="29924" xr:uid="{00000000-0005-0000-0000-00004B1E0000}"/>
    <cellStyle name="20 % - Markeringsfarve4 3 2 4 4 3" xfId="13336" xr:uid="{00000000-0005-0000-0000-00004C1E0000}"/>
    <cellStyle name="20 % - Markeringsfarve4 3 2 4 4 3 2" xfId="31503" xr:uid="{00000000-0005-0000-0000-00004D1E0000}"/>
    <cellStyle name="20 % - Markeringsfarve4 3 2 4 4 4" xfId="24501" xr:uid="{00000000-0005-0000-0000-00004E1E0000}"/>
    <cellStyle name="20 % - Markeringsfarve4 3 2 4 5" xfId="7831" xr:uid="{00000000-0005-0000-0000-00004F1E0000}"/>
    <cellStyle name="20 % - Markeringsfarve4 3 2 4 5 2" xfId="15749" xr:uid="{00000000-0005-0000-0000-0000501E0000}"/>
    <cellStyle name="20 % - Markeringsfarve4 3 2 4 5 2 2" xfId="33909" xr:uid="{00000000-0005-0000-0000-0000511E0000}"/>
    <cellStyle name="20 % - Markeringsfarve4 3 2 4 5 3" xfId="26908" xr:uid="{00000000-0005-0000-0000-0000521E0000}"/>
    <cellStyle name="20 % - Markeringsfarve4 3 2 4 6" xfId="13332" xr:uid="{00000000-0005-0000-0000-0000531E0000}"/>
    <cellStyle name="20 % - Markeringsfarve4 3 2 4 6 2" xfId="31499" xr:uid="{00000000-0005-0000-0000-0000541E0000}"/>
    <cellStyle name="20 % - Markeringsfarve4 3 2 4 7" xfId="24497" xr:uid="{00000000-0005-0000-0000-0000551E0000}"/>
    <cellStyle name="20 % - Markeringsfarve4 3 2 5" xfId="4783" xr:uid="{00000000-0005-0000-0000-0000561E0000}"/>
    <cellStyle name="20 % - Markeringsfarve4 3 2 5 2" xfId="4784" xr:uid="{00000000-0005-0000-0000-0000571E0000}"/>
    <cellStyle name="20 % - Markeringsfarve4 3 2 5 2 2" xfId="4785" xr:uid="{00000000-0005-0000-0000-0000581E0000}"/>
    <cellStyle name="20 % - Markeringsfarve4 3 2 5 2 2 2" xfId="10250" xr:uid="{00000000-0005-0000-0000-0000591E0000}"/>
    <cellStyle name="20 % - Markeringsfarve4 3 2 5 2 2 2 2" xfId="18151" xr:uid="{00000000-0005-0000-0000-00005A1E0000}"/>
    <cellStyle name="20 % - Markeringsfarve4 3 2 5 2 2 2 2 2" xfId="36311" xr:uid="{00000000-0005-0000-0000-00005B1E0000}"/>
    <cellStyle name="20 % - Markeringsfarve4 3 2 5 2 2 2 3" xfId="29310" xr:uid="{00000000-0005-0000-0000-00005C1E0000}"/>
    <cellStyle name="20 % - Markeringsfarve4 3 2 5 2 2 3" xfId="13339" xr:uid="{00000000-0005-0000-0000-00005D1E0000}"/>
    <cellStyle name="20 % - Markeringsfarve4 3 2 5 2 2 3 2" xfId="31506" xr:uid="{00000000-0005-0000-0000-00005E1E0000}"/>
    <cellStyle name="20 % - Markeringsfarve4 3 2 5 2 2 4" xfId="24504" xr:uid="{00000000-0005-0000-0000-00005F1E0000}"/>
    <cellStyle name="20 % - Markeringsfarve4 3 2 5 2 3" xfId="8770" xr:uid="{00000000-0005-0000-0000-0000601E0000}"/>
    <cellStyle name="20 % - Markeringsfarve4 3 2 5 2 3 2" xfId="16684" xr:uid="{00000000-0005-0000-0000-0000611E0000}"/>
    <cellStyle name="20 % - Markeringsfarve4 3 2 5 2 3 2 2" xfId="34844" xr:uid="{00000000-0005-0000-0000-0000621E0000}"/>
    <cellStyle name="20 % - Markeringsfarve4 3 2 5 2 3 3" xfId="27843" xr:uid="{00000000-0005-0000-0000-0000631E0000}"/>
    <cellStyle name="20 % - Markeringsfarve4 3 2 5 2 4" xfId="13338" xr:uid="{00000000-0005-0000-0000-0000641E0000}"/>
    <cellStyle name="20 % - Markeringsfarve4 3 2 5 2 4 2" xfId="31505" xr:uid="{00000000-0005-0000-0000-0000651E0000}"/>
    <cellStyle name="20 % - Markeringsfarve4 3 2 5 2 5" xfId="24503" xr:uid="{00000000-0005-0000-0000-0000661E0000}"/>
    <cellStyle name="20 % - Markeringsfarve4 3 2 5 3" xfId="4786" xr:uid="{00000000-0005-0000-0000-0000671E0000}"/>
    <cellStyle name="20 % - Markeringsfarve4 3 2 5 3 2" xfId="9526" xr:uid="{00000000-0005-0000-0000-0000681E0000}"/>
    <cellStyle name="20 % - Markeringsfarve4 3 2 5 3 2 2" xfId="17436" xr:uid="{00000000-0005-0000-0000-0000691E0000}"/>
    <cellStyle name="20 % - Markeringsfarve4 3 2 5 3 2 2 2" xfId="35596" xr:uid="{00000000-0005-0000-0000-00006A1E0000}"/>
    <cellStyle name="20 % - Markeringsfarve4 3 2 5 3 2 3" xfId="28595" xr:uid="{00000000-0005-0000-0000-00006B1E0000}"/>
    <cellStyle name="20 % - Markeringsfarve4 3 2 5 3 3" xfId="13340" xr:uid="{00000000-0005-0000-0000-00006C1E0000}"/>
    <cellStyle name="20 % - Markeringsfarve4 3 2 5 3 3 2" xfId="31507" xr:uid="{00000000-0005-0000-0000-00006D1E0000}"/>
    <cellStyle name="20 % - Markeringsfarve4 3 2 5 3 4" xfId="24505" xr:uid="{00000000-0005-0000-0000-00006E1E0000}"/>
    <cellStyle name="20 % - Markeringsfarve4 3 2 5 4" xfId="4787" xr:uid="{00000000-0005-0000-0000-00006F1E0000}"/>
    <cellStyle name="20 % - Markeringsfarve4 3 2 5 4 2" xfId="10531" xr:uid="{00000000-0005-0000-0000-0000701E0000}"/>
    <cellStyle name="20 % - Markeringsfarve4 3 2 5 4 2 2" xfId="18425" xr:uid="{00000000-0005-0000-0000-0000711E0000}"/>
    <cellStyle name="20 % - Markeringsfarve4 3 2 5 4 2 2 2" xfId="36585" xr:uid="{00000000-0005-0000-0000-0000721E0000}"/>
    <cellStyle name="20 % - Markeringsfarve4 3 2 5 4 2 3" xfId="29584" xr:uid="{00000000-0005-0000-0000-0000731E0000}"/>
    <cellStyle name="20 % - Markeringsfarve4 3 2 5 4 3" xfId="13341" xr:uid="{00000000-0005-0000-0000-0000741E0000}"/>
    <cellStyle name="20 % - Markeringsfarve4 3 2 5 4 3 2" xfId="31508" xr:uid="{00000000-0005-0000-0000-0000751E0000}"/>
    <cellStyle name="20 % - Markeringsfarve4 3 2 5 4 4" xfId="24506" xr:uid="{00000000-0005-0000-0000-0000761E0000}"/>
    <cellStyle name="20 % - Markeringsfarve4 3 2 5 5" xfId="7832" xr:uid="{00000000-0005-0000-0000-0000771E0000}"/>
    <cellStyle name="20 % - Markeringsfarve4 3 2 5 5 2" xfId="15750" xr:uid="{00000000-0005-0000-0000-0000781E0000}"/>
    <cellStyle name="20 % - Markeringsfarve4 3 2 5 5 2 2" xfId="33910" xr:uid="{00000000-0005-0000-0000-0000791E0000}"/>
    <cellStyle name="20 % - Markeringsfarve4 3 2 5 5 3" xfId="26909" xr:uid="{00000000-0005-0000-0000-00007A1E0000}"/>
    <cellStyle name="20 % - Markeringsfarve4 3 2 5 6" xfId="13337" xr:uid="{00000000-0005-0000-0000-00007B1E0000}"/>
    <cellStyle name="20 % - Markeringsfarve4 3 2 5 6 2" xfId="31504" xr:uid="{00000000-0005-0000-0000-00007C1E0000}"/>
    <cellStyle name="20 % - Markeringsfarve4 3 2 5 7" xfId="24502" xr:uid="{00000000-0005-0000-0000-00007D1E0000}"/>
    <cellStyle name="20 % - Markeringsfarve4 3 2 6" xfId="4788" xr:uid="{00000000-0005-0000-0000-00007E1E0000}"/>
    <cellStyle name="20 % - Markeringsfarve4 3 2 6 2" xfId="4789" xr:uid="{00000000-0005-0000-0000-00007F1E0000}"/>
    <cellStyle name="20 % - Markeringsfarve4 3 2 6 2 2" xfId="4790" xr:uid="{00000000-0005-0000-0000-0000801E0000}"/>
    <cellStyle name="20 % - Markeringsfarve4 3 2 6 2 2 2" xfId="10340" xr:uid="{00000000-0005-0000-0000-0000811E0000}"/>
    <cellStyle name="20 % - Markeringsfarve4 3 2 6 2 2 2 2" xfId="18241" xr:uid="{00000000-0005-0000-0000-0000821E0000}"/>
    <cellStyle name="20 % - Markeringsfarve4 3 2 6 2 2 2 2 2" xfId="36401" xr:uid="{00000000-0005-0000-0000-0000831E0000}"/>
    <cellStyle name="20 % - Markeringsfarve4 3 2 6 2 2 2 3" xfId="29400" xr:uid="{00000000-0005-0000-0000-0000841E0000}"/>
    <cellStyle name="20 % - Markeringsfarve4 3 2 6 2 2 3" xfId="13344" xr:uid="{00000000-0005-0000-0000-0000851E0000}"/>
    <cellStyle name="20 % - Markeringsfarve4 3 2 6 2 2 3 2" xfId="31511" xr:uid="{00000000-0005-0000-0000-0000861E0000}"/>
    <cellStyle name="20 % - Markeringsfarve4 3 2 6 2 2 4" xfId="24509" xr:uid="{00000000-0005-0000-0000-0000871E0000}"/>
    <cellStyle name="20 % - Markeringsfarve4 3 2 6 2 3" xfId="8851" xr:uid="{00000000-0005-0000-0000-0000881E0000}"/>
    <cellStyle name="20 % - Markeringsfarve4 3 2 6 2 3 2" xfId="16765" xr:uid="{00000000-0005-0000-0000-0000891E0000}"/>
    <cellStyle name="20 % - Markeringsfarve4 3 2 6 2 3 2 2" xfId="34925" xr:uid="{00000000-0005-0000-0000-00008A1E0000}"/>
    <cellStyle name="20 % - Markeringsfarve4 3 2 6 2 3 3" xfId="27924" xr:uid="{00000000-0005-0000-0000-00008B1E0000}"/>
    <cellStyle name="20 % - Markeringsfarve4 3 2 6 2 4" xfId="13343" xr:uid="{00000000-0005-0000-0000-00008C1E0000}"/>
    <cellStyle name="20 % - Markeringsfarve4 3 2 6 2 4 2" xfId="31510" xr:uid="{00000000-0005-0000-0000-00008D1E0000}"/>
    <cellStyle name="20 % - Markeringsfarve4 3 2 6 2 5" xfId="24508" xr:uid="{00000000-0005-0000-0000-00008E1E0000}"/>
    <cellStyle name="20 % - Markeringsfarve4 3 2 6 3" xfId="4791" xr:uid="{00000000-0005-0000-0000-00008F1E0000}"/>
    <cellStyle name="20 % - Markeringsfarve4 3 2 6 3 2" xfId="9617" xr:uid="{00000000-0005-0000-0000-0000901E0000}"/>
    <cellStyle name="20 % - Markeringsfarve4 3 2 6 3 2 2" xfId="17527" xr:uid="{00000000-0005-0000-0000-0000911E0000}"/>
    <cellStyle name="20 % - Markeringsfarve4 3 2 6 3 2 2 2" xfId="35687" xr:uid="{00000000-0005-0000-0000-0000921E0000}"/>
    <cellStyle name="20 % - Markeringsfarve4 3 2 6 3 2 3" xfId="28686" xr:uid="{00000000-0005-0000-0000-0000931E0000}"/>
    <cellStyle name="20 % - Markeringsfarve4 3 2 6 3 3" xfId="13345" xr:uid="{00000000-0005-0000-0000-0000941E0000}"/>
    <cellStyle name="20 % - Markeringsfarve4 3 2 6 3 3 2" xfId="31512" xr:uid="{00000000-0005-0000-0000-0000951E0000}"/>
    <cellStyle name="20 % - Markeringsfarve4 3 2 6 3 4" xfId="24510" xr:uid="{00000000-0005-0000-0000-0000961E0000}"/>
    <cellStyle name="20 % - Markeringsfarve4 3 2 6 4" xfId="4792" xr:uid="{00000000-0005-0000-0000-0000971E0000}"/>
    <cellStyle name="20 % - Markeringsfarve4 3 2 6 4 2" xfId="10818" xr:uid="{00000000-0005-0000-0000-0000981E0000}"/>
    <cellStyle name="20 % - Markeringsfarve4 3 2 6 4 2 2" xfId="18705" xr:uid="{00000000-0005-0000-0000-0000991E0000}"/>
    <cellStyle name="20 % - Markeringsfarve4 3 2 6 4 2 2 2" xfId="36865" xr:uid="{00000000-0005-0000-0000-00009A1E0000}"/>
    <cellStyle name="20 % - Markeringsfarve4 3 2 6 4 2 3" xfId="29864" xr:uid="{00000000-0005-0000-0000-00009B1E0000}"/>
    <cellStyle name="20 % - Markeringsfarve4 3 2 6 4 3" xfId="13346" xr:uid="{00000000-0005-0000-0000-00009C1E0000}"/>
    <cellStyle name="20 % - Markeringsfarve4 3 2 6 4 3 2" xfId="31513" xr:uid="{00000000-0005-0000-0000-00009D1E0000}"/>
    <cellStyle name="20 % - Markeringsfarve4 3 2 6 4 4" xfId="24511" xr:uid="{00000000-0005-0000-0000-00009E1E0000}"/>
    <cellStyle name="20 % - Markeringsfarve4 3 2 6 5" xfId="7833" xr:uid="{00000000-0005-0000-0000-00009F1E0000}"/>
    <cellStyle name="20 % - Markeringsfarve4 3 2 6 5 2" xfId="15751" xr:uid="{00000000-0005-0000-0000-0000A01E0000}"/>
    <cellStyle name="20 % - Markeringsfarve4 3 2 6 5 2 2" xfId="33911" xr:uid="{00000000-0005-0000-0000-0000A11E0000}"/>
    <cellStyle name="20 % - Markeringsfarve4 3 2 6 5 3" xfId="26910" xr:uid="{00000000-0005-0000-0000-0000A21E0000}"/>
    <cellStyle name="20 % - Markeringsfarve4 3 2 6 6" xfId="13342" xr:uid="{00000000-0005-0000-0000-0000A31E0000}"/>
    <cellStyle name="20 % - Markeringsfarve4 3 2 6 6 2" xfId="31509" xr:uid="{00000000-0005-0000-0000-0000A41E0000}"/>
    <cellStyle name="20 % - Markeringsfarve4 3 2 6 7" xfId="24507" xr:uid="{00000000-0005-0000-0000-0000A51E0000}"/>
    <cellStyle name="20 % - Markeringsfarve4 3 2 7" xfId="4793" xr:uid="{00000000-0005-0000-0000-0000A61E0000}"/>
    <cellStyle name="20 % - Markeringsfarve4 3 2 7 2" xfId="4794" xr:uid="{00000000-0005-0000-0000-0000A71E0000}"/>
    <cellStyle name="20 % - Markeringsfarve4 3 2 7 2 2" xfId="9776" xr:uid="{00000000-0005-0000-0000-0000A81E0000}"/>
    <cellStyle name="20 % - Markeringsfarve4 3 2 7 2 2 2" xfId="17677" xr:uid="{00000000-0005-0000-0000-0000A91E0000}"/>
    <cellStyle name="20 % - Markeringsfarve4 3 2 7 2 2 2 2" xfId="35837" xr:uid="{00000000-0005-0000-0000-0000AA1E0000}"/>
    <cellStyle name="20 % - Markeringsfarve4 3 2 7 2 2 3" xfId="28836" xr:uid="{00000000-0005-0000-0000-0000AB1E0000}"/>
    <cellStyle name="20 % - Markeringsfarve4 3 2 7 2 3" xfId="13348" xr:uid="{00000000-0005-0000-0000-0000AC1E0000}"/>
    <cellStyle name="20 % - Markeringsfarve4 3 2 7 2 3 2" xfId="31515" xr:uid="{00000000-0005-0000-0000-0000AD1E0000}"/>
    <cellStyle name="20 % - Markeringsfarve4 3 2 7 2 4" xfId="24513" xr:uid="{00000000-0005-0000-0000-0000AE1E0000}"/>
    <cellStyle name="20 % - Markeringsfarve4 3 2 7 3" xfId="8370" xr:uid="{00000000-0005-0000-0000-0000AF1E0000}"/>
    <cellStyle name="20 % - Markeringsfarve4 3 2 7 3 2" xfId="16287" xr:uid="{00000000-0005-0000-0000-0000B01E0000}"/>
    <cellStyle name="20 % - Markeringsfarve4 3 2 7 3 2 2" xfId="34447" xr:uid="{00000000-0005-0000-0000-0000B11E0000}"/>
    <cellStyle name="20 % - Markeringsfarve4 3 2 7 3 3" xfId="27446" xr:uid="{00000000-0005-0000-0000-0000B21E0000}"/>
    <cellStyle name="20 % - Markeringsfarve4 3 2 7 4" xfId="13347" xr:uid="{00000000-0005-0000-0000-0000B31E0000}"/>
    <cellStyle name="20 % - Markeringsfarve4 3 2 7 4 2" xfId="31514" xr:uid="{00000000-0005-0000-0000-0000B41E0000}"/>
    <cellStyle name="20 % - Markeringsfarve4 3 2 7 5" xfId="24512" xr:uid="{00000000-0005-0000-0000-0000B51E0000}"/>
    <cellStyle name="20 % - Markeringsfarve4 3 2 8" xfId="4795" xr:uid="{00000000-0005-0000-0000-0000B61E0000}"/>
    <cellStyle name="20 % - Markeringsfarve4 3 2 8 2" xfId="9004" xr:uid="{00000000-0005-0000-0000-0000B71E0000}"/>
    <cellStyle name="20 % - Markeringsfarve4 3 2 8 2 2" xfId="16915" xr:uid="{00000000-0005-0000-0000-0000B81E0000}"/>
    <cellStyle name="20 % - Markeringsfarve4 3 2 8 2 2 2" xfId="35075" xr:uid="{00000000-0005-0000-0000-0000B91E0000}"/>
    <cellStyle name="20 % - Markeringsfarve4 3 2 8 2 3" xfId="28074" xr:uid="{00000000-0005-0000-0000-0000BA1E0000}"/>
    <cellStyle name="20 % - Markeringsfarve4 3 2 8 3" xfId="13349" xr:uid="{00000000-0005-0000-0000-0000BB1E0000}"/>
    <cellStyle name="20 % - Markeringsfarve4 3 2 8 3 2" xfId="31516" xr:uid="{00000000-0005-0000-0000-0000BC1E0000}"/>
    <cellStyle name="20 % - Markeringsfarve4 3 2 8 4" xfId="24514" xr:uid="{00000000-0005-0000-0000-0000BD1E0000}"/>
    <cellStyle name="20 % - Markeringsfarve4 3 2 9" xfId="4796" xr:uid="{00000000-0005-0000-0000-0000BE1E0000}"/>
    <cellStyle name="20 % - Markeringsfarve4 3 2 9 2" xfId="10675" xr:uid="{00000000-0005-0000-0000-0000BF1E0000}"/>
    <cellStyle name="20 % - Markeringsfarve4 3 2 9 2 2" xfId="18567" xr:uid="{00000000-0005-0000-0000-0000C01E0000}"/>
    <cellStyle name="20 % - Markeringsfarve4 3 2 9 2 2 2" xfId="36727" xr:uid="{00000000-0005-0000-0000-0000C11E0000}"/>
    <cellStyle name="20 % - Markeringsfarve4 3 2 9 2 3" xfId="29726" xr:uid="{00000000-0005-0000-0000-0000C21E0000}"/>
    <cellStyle name="20 % - Markeringsfarve4 3 2 9 3" xfId="13350" xr:uid="{00000000-0005-0000-0000-0000C31E0000}"/>
    <cellStyle name="20 % - Markeringsfarve4 3 2 9 3 2" xfId="31517" xr:uid="{00000000-0005-0000-0000-0000C41E0000}"/>
    <cellStyle name="20 % - Markeringsfarve4 3 2 9 4" xfId="24515" xr:uid="{00000000-0005-0000-0000-0000C51E0000}"/>
    <cellStyle name="20 % - Markeringsfarve4 3 3" xfId="4797" xr:uid="{00000000-0005-0000-0000-0000C61E0000}"/>
    <cellStyle name="20 % - Markeringsfarve4 3 3 10" xfId="7834" xr:uid="{00000000-0005-0000-0000-0000C71E0000}"/>
    <cellStyle name="20 % - Markeringsfarve4 3 3 10 2" xfId="15752" xr:uid="{00000000-0005-0000-0000-0000C81E0000}"/>
    <cellStyle name="20 % - Markeringsfarve4 3 3 10 2 2" xfId="33912" xr:uid="{00000000-0005-0000-0000-0000C91E0000}"/>
    <cellStyle name="20 % - Markeringsfarve4 3 3 10 3" xfId="26911" xr:uid="{00000000-0005-0000-0000-0000CA1E0000}"/>
    <cellStyle name="20 % - Markeringsfarve4 3 3 11" xfId="13351" xr:uid="{00000000-0005-0000-0000-0000CB1E0000}"/>
    <cellStyle name="20 % - Markeringsfarve4 3 3 11 2" xfId="31518" xr:uid="{00000000-0005-0000-0000-0000CC1E0000}"/>
    <cellStyle name="20 % - Markeringsfarve4 3 3 12" xfId="24516" xr:uid="{00000000-0005-0000-0000-0000CD1E0000}"/>
    <cellStyle name="20 % - Markeringsfarve4 3 3 2" xfId="4798" xr:uid="{00000000-0005-0000-0000-0000CE1E0000}"/>
    <cellStyle name="20 % - Markeringsfarve4 3 3 2 2" xfId="4799" xr:uid="{00000000-0005-0000-0000-0000CF1E0000}"/>
    <cellStyle name="20 % - Markeringsfarve4 3 3 2 2 2" xfId="4800" xr:uid="{00000000-0005-0000-0000-0000D01E0000}"/>
    <cellStyle name="20 % - Markeringsfarve4 3 3 2 2 2 2" xfId="9934" xr:uid="{00000000-0005-0000-0000-0000D11E0000}"/>
    <cellStyle name="20 % - Markeringsfarve4 3 3 2 2 2 2 2" xfId="17835" xr:uid="{00000000-0005-0000-0000-0000D21E0000}"/>
    <cellStyle name="20 % - Markeringsfarve4 3 3 2 2 2 2 2 2" xfId="35995" xr:uid="{00000000-0005-0000-0000-0000D31E0000}"/>
    <cellStyle name="20 % - Markeringsfarve4 3 3 2 2 2 2 3" xfId="28994" xr:uid="{00000000-0005-0000-0000-0000D41E0000}"/>
    <cellStyle name="20 % - Markeringsfarve4 3 3 2 2 2 3" xfId="13354" xr:uid="{00000000-0005-0000-0000-0000D51E0000}"/>
    <cellStyle name="20 % - Markeringsfarve4 3 3 2 2 2 3 2" xfId="31521" xr:uid="{00000000-0005-0000-0000-0000D61E0000}"/>
    <cellStyle name="20 % - Markeringsfarve4 3 3 2 2 2 4" xfId="24519" xr:uid="{00000000-0005-0000-0000-0000D71E0000}"/>
    <cellStyle name="20 % - Markeringsfarve4 3 3 2 2 3" xfId="8502" xr:uid="{00000000-0005-0000-0000-0000D81E0000}"/>
    <cellStyle name="20 % - Markeringsfarve4 3 3 2 2 3 2" xfId="16419" xr:uid="{00000000-0005-0000-0000-0000D91E0000}"/>
    <cellStyle name="20 % - Markeringsfarve4 3 3 2 2 3 2 2" xfId="34579" xr:uid="{00000000-0005-0000-0000-0000DA1E0000}"/>
    <cellStyle name="20 % - Markeringsfarve4 3 3 2 2 3 3" xfId="27578" xr:uid="{00000000-0005-0000-0000-0000DB1E0000}"/>
    <cellStyle name="20 % - Markeringsfarve4 3 3 2 2 4" xfId="13353" xr:uid="{00000000-0005-0000-0000-0000DC1E0000}"/>
    <cellStyle name="20 % - Markeringsfarve4 3 3 2 2 4 2" xfId="31520" xr:uid="{00000000-0005-0000-0000-0000DD1E0000}"/>
    <cellStyle name="20 % - Markeringsfarve4 3 3 2 2 5" xfId="24518" xr:uid="{00000000-0005-0000-0000-0000DE1E0000}"/>
    <cellStyle name="20 % - Markeringsfarve4 3 3 2 3" xfId="4801" xr:uid="{00000000-0005-0000-0000-0000DF1E0000}"/>
    <cellStyle name="20 % - Markeringsfarve4 3 3 2 3 2" xfId="9164" xr:uid="{00000000-0005-0000-0000-0000E01E0000}"/>
    <cellStyle name="20 % - Markeringsfarve4 3 3 2 3 2 2" xfId="17075" xr:uid="{00000000-0005-0000-0000-0000E11E0000}"/>
    <cellStyle name="20 % - Markeringsfarve4 3 3 2 3 2 2 2" xfId="35235" xr:uid="{00000000-0005-0000-0000-0000E21E0000}"/>
    <cellStyle name="20 % - Markeringsfarve4 3 3 2 3 2 3" xfId="28234" xr:uid="{00000000-0005-0000-0000-0000E31E0000}"/>
    <cellStyle name="20 % - Markeringsfarve4 3 3 2 3 3" xfId="13355" xr:uid="{00000000-0005-0000-0000-0000E41E0000}"/>
    <cellStyle name="20 % - Markeringsfarve4 3 3 2 3 3 2" xfId="31522" xr:uid="{00000000-0005-0000-0000-0000E51E0000}"/>
    <cellStyle name="20 % - Markeringsfarve4 3 3 2 3 4" xfId="24520" xr:uid="{00000000-0005-0000-0000-0000E61E0000}"/>
    <cellStyle name="20 % - Markeringsfarve4 3 3 2 4" xfId="4802" xr:uid="{00000000-0005-0000-0000-0000E71E0000}"/>
    <cellStyle name="20 % - Markeringsfarve4 3 3 2 4 2" xfId="9728" xr:uid="{00000000-0005-0000-0000-0000E81E0000}"/>
    <cellStyle name="20 % - Markeringsfarve4 3 3 2 4 2 2" xfId="17629" xr:uid="{00000000-0005-0000-0000-0000E91E0000}"/>
    <cellStyle name="20 % - Markeringsfarve4 3 3 2 4 2 2 2" xfId="35789" xr:uid="{00000000-0005-0000-0000-0000EA1E0000}"/>
    <cellStyle name="20 % - Markeringsfarve4 3 3 2 4 2 3" xfId="28788" xr:uid="{00000000-0005-0000-0000-0000EB1E0000}"/>
    <cellStyle name="20 % - Markeringsfarve4 3 3 2 4 3" xfId="13356" xr:uid="{00000000-0005-0000-0000-0000EC1E0000}"/>
    <cellStyle name="20 % - Markeringsfarve4 3 3 2 4 3 2" xfId="31523" xr:uid="{00000000-0005-0000-0000-0000ED1E0000}"/>
    <cellStyle name="20 % - Markeringsfarve4 3 3 2 4 4" xfId="24521" xr:uid="{00000000-0005-0000-0000-0000EE1E0000}"/>
    <cellStyle name="20 % - Markeringsfarve4 3 3 2 5" xfId="7835" xr:uid="{00000000-0005-0000-0000-0000EF1E0000}"/>
    <cellStyle name="20 % - Markeringsfarve4 3 3 2 5 2" xfId="15753" xr:uid="{00000000-0005-0000-0000-0000F01E0000}"/>
    <cellStyle name="20 % - Markeringsfarve4 3 3 2 5 2 2" xfId="33913" xr:uid="{00000000-0005-0000-0000-0000F11E0000}"/>
    <cellStyle name="20 % - Markeringsfarve4 3 3 2 5 3" xfId="26912" xr:uid="{00000000-0005-0000-0000-0000F21E0000}"/>
    <cellStyle name="20 % - Markeringsfarve4 3 3 2 6" xfId="13352" xr:uid="{00000000-0005-0000-0000-0000F31E0000}"/>
    <cellStyle name="20 % - Markeringsfarve4 3 3 2 6 2" xfId="31519" xr:uid="{00000000-0005-0000-0000-0000F41E0000}"/>
    <cellStyle name="20 % - Markeringsfarve4 3 3 2 7" xfId="24517" xr:uid="{00000000-0005-0000-0000-0000F51E0000}"/>
    <cellStyle name="20 % - Markeringsfarve4 3 3 3" xfId="4803" xr:uid="{00000000-0005-0000-0000-0000F61E0000}"/>
    <cellStyle name="20 % - Markeringsfarve4 3 3 3 2" xfId="4804" xr:uid="{00000000-0005-0000-0000-0000F71E0000}"/>
    <cellStyle name="20 % - Markeringsfarve4 3 3 3 2 2" xfId="4805" xr:uid="{00000000-0005-0000-0000-0000F81E0000}"/>
    <cellStyle name="20 % - Markeringsfarve4 3 3 3 2 2 2" xfId="9986" xr:uid="{00000000-0005-0000-0000-0000F91E0000}"/>
    <cellStyle name="20 % - Markeringsfarve4 3 3 3 2 2 2 2" xfId="17887" xr:uid="{00000000-0005-0000-0000-0000FA1E0000}"/>
    <cellStyle name="20 % - Markeringsfarve4 3 3 3 2 2 2 2 2" xfId="36047" xr:uid="{00000000-0005-0000-0000-0000FB1E0000}"/>
    <cellStyle name="20 % - Markeringsfarve4 3 3 3 2 2 2 3" xfId="29046" xr:uid="{00000000-0005-0000-0000-0000FC1E0000}"/>
    <cellStyle name="20 % - Markeringsfarve4 3 3 3 2 2 3" xfId="13359" xr:uid="{00000000-0005-0000-0000-0000FD1E0000}"/>
    <cellStyle name="20 % - Markeringsfarve4 3 3 3 2 2 3 2" xfId="31526" xr:uid="{00000000-0005-0000-0000-0000FE1E0000}"/>
    <cellStyle name="20 % - Markeringsfarve4 3 3 3 2 2 4" xfId="24524" xr:uid="{00000000-0005-0000-0000-0000FF1E0000}"/>
    <cellStyle name="20 % - Markeringsfarve4 3 3 3 2 3" xfId="8550" xr:uid="{00000000-0005-0000-0000-0000001F0000}"/>
    <cellStyle name="20 % - Markeringsfarve4 3 3 3 2 3 2" xfId="16467" xr:uid="{00000000-0005-0000-0000-0000011F0000}"/>
    <cellStyle name="20 % - Markeringsfarve4 3 3 3 2 3 2 2" xfId="34627" xr:uid="{00000000-0005-0000-0000-0000021F0000}"/>
    <cellStyle name="20 % - Markeringsfarve4 3 3 3 2 3 3" xfId="27626" xr:uid="{00000000-0005-0000-0000-0000031F0000}"/>
    <cellStyle name="20 % - Markeringsfarve4 3 3 3 2 4" xfId="13358" xr:uid="{00000000-0005-0000-0000-0000041F0000}"/>
    <cellStyle name="20 % - Markeringsfarve4 3 3 3 2 4 2" xfId="31525" xr:uid="{00000000-0005-0000-0000-0000051F0000}"/>
    <cellStyle name="20 % - Markeringsfarve4 3 3 3 2 5" xfId="24523" xr:uid="{00000000-0005-0000-0000-0000061F0000}"/>
    <cellStyle name="20 % - Markeringsfarve4 3 3 3 3" xfId="4806" xr:uid="{00000000-0005-0000-0000-0000071F0000}"/>
    <cellStyle name="20 % - Markeringsfarve4 3 3 3 3 2" xfId="9216" xr:uid="{00000000-0005-0000-0000-0000081F0000}"/>
    <cellStyle name="20 % - Markeringsfarve4 3 3 3 3 2 2" xfId="17127" xr:uid="{00000000-0005-0000-0000-0000091F0000}"/>
    <cellStyle name="20 % - Markeringsfarve4 3 3 3 3 2 2 2" xfId="35287" xr:uid="{00000000-0005-0000-0000-00000A1F0000}"/>
    <cellStyle name="20 % - Markeringsfarve4 3 3 3 3 2 3" xfId="28286" xr:uid="{00000000-0005-0000-0000-00000B1F0000}"/>
    <cellStyle name="20 % - Markeringsfarve4 3 3 3 3 3" xfId="13360" xr:uid="{00000000-0005-0000-0000-00000C1F0000}"/>
    <cellStyle name="20 % - Markeringsfarve4 3 3 3 3 3 2" xfId="31527" xr:uid="{00000000-0005-0000-0000-00000D1F0000}"/>
    <cellStyle name="20 % - Markeringsfarve4 3 3 3 3 4" xfId="24525" xr:uid="{00000000-0005-0000-0000-00000E1F0000}"/>
    <cellStyle name="20 % - Markeringsfarve4 3 3 3 4" xfId="4807" xr:uid="{00000000-0005-0000-0000-00000F1F0000}"/>
    <cellStyle name="20 % - Markeringsfarve4 3 3 3 4 2" xfId="9314" xr:uid="{00000000-0005-0000-0000-0000101F0000}"/>
    <cellStyle name="20 % - Markeringsfarve4 3 3 3 4 2 2" xfId="17225" xr:uid="{00000000-0005-0000-0000-0000111F0000}"/>
    <cellStyle name="20 % - Markeringsfarve4 3 3 3 4 2 2 2" xfId="35385" xr:uid="{00000000-0005-0000-0000-0000121F0000}"/>
    <cellStyle name="20 % - Markeringsfarve4 3 3 3 4 2 3" xfId="28384" xr:uid="{00000000-0005-0000-0000-0000131F0000}"/>
    <cellStyle name="20 % - Markeringsfarve4 3 3 3 4 3" xfId="13361" xr:uid="{00000000-0005-0000-0000-0000141F0000}"/>
    <cellStyle name="20 % - Markeringsfarve4 3 3 3 4 3 2" xfId="31528" xr:uid="{00000000-0005-0000-0000-0000151F0000}"/>
    <cellStyle name="20 % - Markeringsfarve4 3 3 3 4 4" xfId="24526" xr:uid="{00000000-0005-0000-0000-0000161F0000}"/>
    <cellStyle name="20 % - Markeringsfarve4 3 3 3 5" xfId="7836" xr:uid="{00000000-0005-0000-0000-0000171F0000}"/>
    <cellStyle name="20 % - Markeringsfarve4 3 3 3 5 2" xfId="15754" xr:uid="{00000000-0005-0000-0000-0000181F0000}"/>
    <cellStyle name="20 % - Markeringsfarve4 3 3 3 5 2 2" xfId="33914" xr:uid="{00000000-0005-0000-0000-0000191F0000}"/>
    <cellStyle name="20 % - Markeringsfarve4 3 3 3 5 3" xfId="26913" xr:uid="{00000000-0005-0000-0000-00001A1F0000}"/>
    <cellStyle name="20 % - Markeringsfarve4 3 3 3 6" xfId="13357" xr:uid="{00000000-0005-0000-0000-00001B1F0000}"/>
    <cellStyle name="20 % - Markeringsfarve4 3 3 3 6 2" xfId="31524" xr:uid="{00000000-0005-0000-0000-00001C1F0000}"/>
    <cellStyle name="20 % - Markeringsfarve4 3 3 3 7" xfId="24522" xr:uid="{00000000-0005-0000-0000-00001D1F0000}"/>
    <cellStyle name="20 % - Markeringsfarve4 3 3 4" xfId="4808" xr:uid="{00000000-0005-0000-0000-00001E1F0000}"/>
    <cellStyle name="20 % - Markeringsfarve4 3 3 4 2" xfId="4809" xr:uid="{00000000-0005-0000-0000-00001F1F0000}"/>
    <cellStyle name="20 % - Markeringsfarve4 3 3 4 2 2" xfId="4810" xr:uid="{00000000-0005-0000-0000-0000201F0000}"/>
    <cellStyle name="20 % - Markeringsfarve4 3 3 4 2 2 2" xfId="10172" xr:uid="{00000000-0005-0000-0000-0000211F0000}"/>
    <cellStyle name="20 % - Markeringsfarve4 3 3 4 2 2 2 2" xfId="18073" xr:uid="{00000000-0005-0000-0000-0000221F0000}"/>
    <cellStyle name="20 % - Markeringsfarve4 3 3 4 2 2 2 2 2" xfId="36233" xr:uid="{00000000-0005-0000-0000-0000231F0000}"/>
    <cellStyle name="20 % - Markeringsfarve4 3 3 4 2 2 2 3" xfId="29232" xr:uid="{00000000-0005-0000-0000-0000241F0000}"/>
    <cellStyle name="20 % - Markeringsfarve4 3 3 4 2 2 3" xfId="13364" xr:uid="{00000000-0005-0000-0000-0000251F0000}"/>
    <cellStyle name="20 % - Markeringsfarve4 3 3 4 2 2 3 2" xfId="31531" xr:uid="{00000000-0005-0000-0000-0000261F0000}"/>
    <cellStyle name="20 % - Markeringsfarve4 3 3 4 2 2 4" xfId="24529" xr:uid="{00000000-0005-0000-0000-0000271F0000}"/>
    <cellStyle name="20 % - Markeringsfarve4 3 3 4 2 3" xfId="8704" xr:uid="{00000000-0005-0000-0000-0000281F0000}"/>
    <cellStyle name="20 % - Markeringsfarve4 3 3 4 2 3 2" xfId="16618" xr:uid="{00000000-0005-0000-0000-0000291F0000}"/>
    <cellStyle name="20 % - Markeringsfarve4 3 3 4 2 3 2 2" xfId="34778" xr:uid="{00000000-0005-0000-0000-00002A1F0000}"/>
    <cellStyle name="20 % - Markeringsfarve4 3 3 4 2 3 3" xfId="27777" xr:uid="{00000000-0005-0000-0000-00002B1F0000}"/>
    <cellStyle name="20 % - Markeringsfarve4 3 3 4 2 4" xfId="13363" xr:uid="{00000000-0005-0000-0000-00002C1F0000}"/>
    <cellStyle name="20 % - Markeringsfarve4 3 3 4 2 4 2" xfId="31530" xr:uid="{00000000-0005-0000-0000-00002D1F0000}"/>
    <cellStyle name="20 % - Markeringsfarve4 3 3 4 2 5" xfId="24528" xr:uid="{00000000-0005-0000-0000-00002E1F0000}"/>
    <cellStyle name="20 % - Markeringsfarve4 3 3 4 3" xfId="4811" xr:uid="{00000000-0005-0000-0000-00002F1F0000}"/>
    <cellStyle name="20 % - Markeringsfarve4 3 3 4 3 2" xfId="9448" xr:uid="{00000000-0005-0000-0000-0000301F0000}"/>
    <cellStyle name="20 % - Markeringsfarve4 3 3 4 3 2 2" xfId="17358" xr:uid="{00000000-0005-0000-0000-0000311F0000}"/>
    <cellStyle name="20 % - Markeringsfarve4 3 3 4 3 2 2 2" xfId="35518" xr:uid="{00000000-0005-0000-0000-0000321F0000}"/>
    <cellStyle name="20 % - Markeringsfarve4 3 3 4 3 2 3" xfId="28517" xr:uid="{00000000-0005-0000-0000-0000331F0000}"/>
    <cellStyle name="20 % - Markeringsfarve4 3 3 4 3 3" xfId="13365" xr:uid="{00000000-0005-0000-0000-0000341F0000}"/>
    <cellStyle name="20 % - Markeringsfarve4 3 3 4 3 3 2" xfId="31532" xr:uid="{00000000-0005-0000-0000-0000351F0000}"/>
    <cellStyle name="20 % - Markeringsfarve4 3 3 4 3 4" xfId="24530" xr:uid="{00000000-0005-0000-0000-0000361F0000}"/>
    <cellStyle name="20 % - Markeringsfarve4 3 3 4 4" xfId="4812" xr:uid="{00000000-0005-0000-0000-0000371F0000}"/>
    <cellStyle name="20 % - Markeringsfarve4 3 3 4 4 2" xfId="11012" xr:uid="{00000000-0005-0000-0000-0000381F0000}"/>
    <cellStyle name="20 % - Markeringsfarve4 3 3 4 4 2 2" xfId="18888" xr:uid="{00000000-0005-0000-0000-0000391F0000}"/>
    <cellStyle name="20 % - Markeringsfarve4 3 3 4 4 2 2 2" xfId="37048" xr:uid="{00000000-0005-0000-0000-00003A1F0000}"/>
    <cellStyle name="20 % - Markeringsfarve4 3 3 4 4 2 3" xfId="30047" xr:uid="{00000000-0005-0000-0000-00003B1F0000}"/>
    <cellStyle name="20 % - Markeringsfarve4 3 3 4 4 3" xfId="13366" xr:uid="{00000000-0005-0000-0000-00003C1F0000}"/>
    <cellStyle name="20 % - Markeringsfarve4 3 3 4 4 3 2" xfId="31533" xr:uid="{00000000-0005-0000-0000-00003D1F0000}"/>
    <cellStyle name="20 % - Markeringsfarve4 3 3 4 4 4" xfId="24531" xr:uid="{00000000-0005-0000-0000-00003E1F0000}"/>
    <cellStyle name="20 % - Markeringsfarve4 3 3 4 5" xfId="7837" xr:uid="{00000000-0005-0000-0000-00003F1F0000}"/>
    <cellStyle name="20 % - Markeringsfarve4 3 3 4 5 2" xfId="15755" xr:uid="{00000000-0005-0000-0000-0000401F0000}"/>
    <cellStyle name="20 % - Markeringsfarve4 3 3 4 5 2 2" xfId="33915" xr:uid="{00000000-0005-0000-0000-0000411F0000}"/>
    <cellStyle name="20 % - Markeringsfarve4 3 3 4 5 3" xfId="26914" xr:uid="{00000000-0005-0000-0000-0000421F0000}"/>
    <cellStyle name="20 % - Markeringsfarve4 3 3 4 6" xfId="13362" xr:uid="{00000000-0005-0000-0000-0000431F0000}"/>
    <cellStyle name="20 % - Markeringsfarve4 3 3 4 6 2" xfId="31529" xr:uid="{00000000-0005-0000-0000-0000441F0000}"/>
    <cellStyle name="20 % - Markeringsfarve4 3 3 4 7" xfId="24527" xr:uid="{00000000-0005-0000-0000-0000451F0000}"/>
    <cellStyle name="20 % - Markeringsfarve4 3 3 5" xfId="4813" xr:uid="{00000000-0005-0000-0000-0000461F0000}"/>
    <cellStyle name="20 % - Markeringsfarve4 3 3 5 2" xfId="4814" xr:uid="{00000000-0005-0000-0000-0000471F0000}"/>
    <cellStyle name="20 % - Markeringsfarve4 3 3 5 2 2" xfId="4815" xr:uid="{00000000-0005-0000-0000-0000481F0000}"/>
    <cellStyle name="20 % - Markeringsfarve4 3 3 5 2 2 2" xfId="10289" xr:uid="{00000000-0005-0000-0000-0000491F0000}"/>
    <cellStyle name="20 % - Markeringsfarve4 3 3 5 2 2 2 2" xfId="18190" xr:uid="{00000000-0005-0000-0000-00004A1F0000}"/>
    <cellStyle name="20 % - Markeringsfarve4 3 3 5 2 2 2 2 2" xfId="36350" xr:uid="{00000000-0005-0000-0000-00004B1F0000}"/>
    <cellStyle name="20 % - Markeringsfarve4 3 3 5 2 2 2 3" xfId="29349" xr:uid="{00000000-0005-0000-0000-00004C1F0000}"/>
    <cellStyle name="20 % - Markeringsfarve4 3 3 5 2 2 3" xfId="13369" xr:uid="{00000000-0005-0000-0000-00004D1F0000}"/>
    <cellStyle name="20 % - Markeringsfarve4 3 3 5 2 2 3 2" xfId="31536" xr:uid="{00000000-0005-0000-0000-00004E1F0000}"/>
    <cellStyle name="20 % - Markeringsfarve4 3 3 5 2 2 4" xfId="24534" xr:uid="{00000000-0005-0000-0000-00004F1F0000}"/>
    <cellStyle name="20 % - Markeringsfarve4 3 3 5 2 3" xfId="8803" xr:uid="{00000000-0005-0000-0000-0000501F0000}"/>
    <cellStyle name="20 % - Markeringsfarve4 3 3 5 2 3 2" xfId="16717" xr:uid="{00000000-0005-0000-0000-0000511F0000}"/>
    <cellStyle name="20 % - Markeringsfarve4 3 3 5 2 3 2 2" xfId="34877" xr:uid="{00000000-0005-0000-0000-0000521F0000}"/>
    <cellStyle name="20 % - Markeringsfarve4 3 3 5 2 3 3" xfId="27876" xr:uid="{00000000-0005-0000-0000-0000531F0000}"/>
    <cellStyle name="20 % - Markeringsfarve4 3 3 5 2 4" xfId="13368" xr:uid="{00000000-0005-0000-0000-0000541F0000}"/>
    <cellStyle name="20 % - Markeringsfarve4 3 3 5 2 4 2" xfId="31535" xr:uid="{00000000-0005-0000-0000-0000551F0000}"/>
    <cellStyle name="20 % - Markeringsfarve4 3 3 5 2 5" xfId="24533" xr:uid="{00000000-0005-0000-0000-0000561F0000}"/>
    <cellStyle name="20 % - Markeringsfarve4 3 3 5 3" xfId="4816" xr:uid="{00000000-0005-0000-0000-0000571F0000}"/>
    <cellStyle name="20 % - Markeringsfarve4 3 3 5 3 2" xfId="9565" xr:uid="{00000000-0005-0000-0000-0000581F0000}"/>
    <cellStyle name="20 % - Markeringsfarve4 3 3 5 3 2 2" xfId="17475" xr:uid="{00000000-0005-0000-0000-0000591F0000}"/>
    <cellStyle name="20 % - Markeringsfarve4 3 3 5 3 2 2 2" xfId="35635" xr:uid="{00000000-0005-0000-0000-00005A1F0000}"/>
    <cellStyle name="20 % - Markeringsfarve4 3 3 5 3 2 3" xfId="28634" xr:uid="{00000000-0005-0000-0000-00005B1F0000}"/>
    <cellStyle name="20 % - Markeringsfarve4 3 3 5 3 3" xfId="13370" xr:uid="{00000000-0005-0000-0000-00005C1F0000}"/>
    <cellStyle name="20 % - Markeringsfarve4 3 3 5 3 3 2" xfId="31537" xr:uid="{00000000-0005-0000-0000-00005D1F0000}"/>
    <cellStyle name="20 % - Markeringsfarve4 3 3 5 3 4" xfId="24535" xr:uid="{00000000-0005-0000-0000-00005E1F0000}"/>
    <cellStyle name="20 % - Markeringsfarve4 3 3 5 4" xfId="4817" xr:uid="{00000000-0005-0000-0000-00005F1F0000}"/>
    <cellStyle name="20 % - Markeringsfarve4 3 3 5 4 2" xfId="10732" xr:uid="{00000000-0005-0000-0000-0000601F0000}"/>
    <cellStyle name="20 % - Markeringsfarve4 3 3 5 4 2 2" xfId="18621" xr:uid="{00000000-0005-0000-0000-0000611F0000}"/>
    <cellStyle name="20 % - Markeringsfarve4 3 3 5 4 2 2 2" xfId="36781" xr:uid="{00000000-0005-0000-0000-0000621F0000}"/>
    <cellStyle name="20 % - Markeringsfarve4 3 3 5 4 2 3" xfId="29780" xr:uid="{00000000-0005-0000-0000-0000631F0000}"/>
    <cellStyle name="20 % - Markeringsfarve4 3 3 5 4 3" xfId="13371" xr:uid="{00000000-0005-0000-0000-0000641F0000}"/>
    <cellStyle name="20 % - Markeringsfarve4 3 3 5 4 3 2" xfId="31538" xr:uid="{00000000-0005-0000-0000-0000651F0000}"/>
    <cellStyle name="20 % - Markeringsfarve4 3 3 5 4 4" xfId="24536" xr:uid="{00000000-0005-0000-0000-0000661F0000}"/>
    <cellStyle name="20 % - Markeringsfarve4 3 3 5 5" xfId="7838" xr:uid="{00000000-0005-0000-0000-0000671F0000}"/>
    <cellStyle name="20 % - Markeringsfarve4 3 3 5 5 2" xfId="15756" xr:uid="{00000000-0005-0000-0000-0000681F0000}"/>
    <cellStyle name="20 % - Markeringsfarve4 3 3 5 5 2 2" xfId="33916" xr:uid="{00000000-0005-0000-0000-0000691F0000}"/>
    <cellStyle name="20 % - Markeringsfarve4 3 3 5 5 3" xfId="26915" xr:uid="{00000000-0005-0000-0000-00006A1F0000}"/>
    <cellStyle name="20 % - Markeringsfarve4 3 3 5 6" xfId="13367" xr:uid="{00000000-0005-0000-0000-00006B1F0000}"/>
    <cellStyle name="20 % - Markeringsfarve4 3 3 5 6 2" xfId="31534" xr:uid="{00000000-0005-0000-0000-00006C1F0000}"/>
    <cellStyle name="20 % - Markeringsfarve4 3 3 5 7" xfId="24532" xr:uid="{00000000-0005-0000-0000-00006D1F0000}"/>
    <cellStyle name="20 % - Markeringsfarve4 3 3 6" xfId="4818" xr:uid="{00000000-0005-0000-0000-00006E1F0000}"/>
    <cellStyle name="20 % - Markeringsfarve4 3 3 6 2" xfId="4819" xr:uid="{00000000-0005-0000-0000-00006F1F0000}"/>
    <cellStyle name="20 % - Markeringsfarve4 3 3 6 2 2" xfId="4820" xr:uid="{00000000-0005-0000-0000-0000701F0000}"/>
    <cellStyle name="20 % - Markeringsfarve4 3 3 6 2 2 2" xfId="10341" xr:uid="{00000000-0005-0000-0000-0000711F0000}"/>
    <cellStyle name="20 % - Markeringsfarve4 3 3 6 2 2 2 2" xfId="18242" xr:uid="{00000000-0005-0000-0000-0000721F0000}"/>
    <cellStyle name="20 % - Markeringsfarve4 3 3 6 2 2 2 2 2" xfId="36402" xr:uid="{00000000-0005-0000-0000-0000731F0000}"/>
    <cellStyle name="20 % - Markeringsfarve4 3 3 6 2 2 2 3" xfId="29401" xr:uid="{00000000-0005-0000-0000-0000741F0000}"/>
    <cellStyle name="20 % - Markeringsfarve4 3 3 6 2 2 3" xfId="13374" xr:uid="{00000000-0005-0000-0000-0000751F0000}"/>
    <cellStyle name="20 % - Markeringsfarve4 3 3 6 2 2 3 2" xfId="31541" xr:uid="{00000000-0005-0000-0000-0000761F0000}"/>
    <cellStyle name="20 % - Markeringsfarve4 3 3 6 2 2 4" xfId="24539" xr:uid="{00000000-0005-0000-0000-0000771F0000}"/>
    <cellStyle name="20 % - Markeringsfarve4 3 3 6 2 3" xfId="8852" xr:uid="{00000000-0005-0000-0000-0000781F0000}"/>
    <cellStyle name="20 % - Markeringsfarve4 3 3 6 2 3 2" xfId="16766" xr:uid="{00000000-0005-0000-0000-0000791F0000}"/>
    <cellStyle name="20 % - Markeringsfarve4 3 3 6 2 3 2 2" xfId="34926" xr:uid="{00000000-0005-0000-0000-00007A1F0000}"/>
    <cellStyle name="20 % - Markeringsfarve4 3 3 6 2 3 3" xfId="27925" xr:uid="{00000000-0005-0000-0000-00007B1F0000}"/>
    <cellStyle name="20 % - Markeringsfarve4 3 3 6 2 4" xfId="13373" xr:uid="{00000000-0005-0000-0000-00007C1F0000}"/>
    <cellStyle name="20 % - Markeringsfarve4 3 3 6 2 4 2" xfId="31540" xr:uid="{00000000-0005-0000-0000-00007D1F0000}"/>
    <cellStyle name="20 % - Markeringsfarve4 3 3 6 2 5" xfId="24538" xr:uid="{00000000-0005-0000-0000-00007E1F0000}"/>
    <cellStyle name="20 % - Markeringsfarve4 3 3 6 3" xfId="4821" xr:uid="{00000000-0005-0000-0000-00007F1F0000}"/>
    <cellStyle name="20 % - Markeringsfarve4 3 3 6 3 2" xfId="9618" xr:uid="{00000000-0005-0000-0000-0000801F0000}"/>
    <cellStyle name="20 % - Markeringsfarve4 3 3 6 3 2 2" xfId="17528" xr:uid="{00000000-0005-0000-0000-0000811F0000}"/>
    <cellStyle name="20 % - Markeringsfarve4 3 3 6 3 2 2 2" xfId="35688" xr:uid="{00000000-0005-0000-0000-0000821F0000}"/>
    <cellStyle name="20 % - Markeringsfarve4 3 3 6 3 2 3" xfId="28687" xr:uid="{00000000-0005-0000-0000-0000831F0000}"/>
    <cellStyle name="20 % - Markeringsfarve4 3 3 6 3 3" xfId="13375" xr:uid="{00000000-0005-0000-0000-0000841F0000}"/>
    <cellStyle name="20 % - Markeringsfarve4 3 3 6 3 3 2" xfId="31542" xr:uid="{00000000-0005-0000-0000-0000851F0000}"/>
    <cellStyle name="20 % - Markeringsfarve4 3 3 6 3 4" xfId="24540" xr:uid="{00000000-0005-0000-0000-0000861F0000}"/>
    <cellStyle name="20 % - Markeringsfarve4 3 3 6 4" xfId="4822" xr:uid="{00000000-0005-0000-0000-0000871F0000}"/>
    <cellStyle name="20 % - Markeringsfarve4 3 3 6 4 2" xfId="10935" xr:uid="{00000000-0005-0000-0000-0000881F0000}"/>
    <cellStyle name="20 % - Markeringsfarve4 3 3 6 4 2 2" xfId="18815" xr:uid="{00000000-0005-0000-0000-0000891F0000}"/>
    <cellStyle name="20 % - Markeringsfarve4 3 3 6 4 2 2 2" xfId="36975" xr:uid="{00000000-0005-0000-0000-00008A1F0000}"/>
    <cellStyle name="20 % - Markeringsfarve4 3 3 6 4 2 3" xfId="29974" xr:uid="{00000000-0005-0000-0000-00008B1F0000}"/>
    <cellStyle name="20 % - Markeringsfarve4 3 3 6 4 3" xfId="13376" xr:uid="{00000000-0005-0000-0000-00008C1F0000}"/>
    <cellStyle name="20 % - Markeringsfarve4 3 3 6 4 3 2" xfId="31543" xr:uid="{00000000-0005-0000-0000-00008D1F0000}"/>
    <cellStyle name="20 % - Markeringsfarve4 3 3 6 4 4" xfId="24541" xr:uid="{00000000-0005-0000-0000-00008E1F0000}"/>
    <cellStyle name="20 % - Markeringsfarve4 3 3 6 5" xfId="7839" xr:uid="{00000000-0005-0000-0000-00008F1F0000}"/>
    <cellStyle name="20 % - Markeringsfarve4 3 3 6 5 2" xfId="15757" xr:uid="{00000000-0005-0000-0000-0000901F0000}"/>
    <cellStyle name="20 % - Markeringsfarve4 3 3 6 5 2 2" xfId="33917" xr:uid="{00000000-0005-0000-0000-0000911F0000}"/>
    <cellStyle name="20 % - Markeringsfarve4 3 3 6 5 3" xfId="26916" xr:uid="{00000000-0005-0000-0000-0000921F0000}"/>
    <cellStyle name="20 % - Markeringsfarve4 3 3 6 6" xfId="13372" xr:uid="{00000000-0005-0000-0000-0000931F0000}"/>
    <cellStyle name="20 % - Markeringsfarve4 3 3 6 6 2" xfId="31539" xr:uid="{00000000-0005-0000-0000-0000941F0000}"/>
    <cellStyle name="20 % - Markeringsfarve4 3 3 6 7" xfId="24537" xr:uid="{00000000-0005-0000-0000-0000951F0000}"/>
    <cellStyle name="20 % - Markeringsfarve4 3 3 7" xfId="4823" xr:uid="{00000000-0005-0000-0000-0000961F0000}"/>
    <cellStyle name="20 % - Markeringsfarve4 3 3 7 2" xfId="4824" xr:uid="{00000000-0005-0000-0000-0000971F0000}"/>
    <cellStyle name="20 % - Markeringsfarve4 3 3 7 2 2" xfId="9815" xr:uid="{00000000-0005-0000-0000-0000981F0000}"/>
    <cellStyle name="20 % - Markeringsfarve4 3 3 7 2 2 2" xfId="17716" xr:uid="{00000000-0005-0000-0000-0000991F0000}"/>
    <cellStyle name="20 % - Markeringsfarve4 3 3 7 2 2 2 2" xfId="35876" xr:uid="{00000000-0005-0000-0000-00009A1F0000}"/>
    <cellStyle name="20 % - Markeringsfarve4 3 3 7 2 2 3" xfId="28875" xr:uid="{00000000-0005-0000-0000-00009B1F0000}"/>
    <cellStyle name="20 % - Markeringsfarve4 3 3 7 2 3" xfId="13378" xr:uid="{00000000-0005-0000-0000-00009C1F0000}"/>
    <cellStyle name="20 % - Markeringsfarve4 3 3 7 2 3 2" xfId="31545" xr:uid="{00000000-0005-0000-0000-00009D1F0000}"/>
    <cellStyle name="20 % - Markeringsfarve4 3 3 7 2 4" xfId="24543" xr:uid="{00000000-0005-0000-0000-00009E1F0000}"/>
    <cellStyle name="20 % - Markeringsfarve4 3 3 7 3" xfId="8403" xr:uid="{00000000-0005-0000-0000-00009F1F0000}"/>
    <cellStyle name="20 % - Markeringsfarve4 3 3 7 3 2" xfId="16320" xr:uid="{00000000-0005-0000-0000-0000A01F0000}"/>
    <cellStyle name="20 % - Markeringsfarve4 3 3 7 3 2 2" xfId="34480" xr:uid="{00000000-0005-0000-0000-0000A11F0000}"/>
    <cellStyle name="20 % - Markeringsfarve4 3 3 7 3 3" xfId="27479" xr:uid="{00000000-0005-0000-0000-0000A21F0000}"/>
    <cellStyle name="20 % - Markeringsfarve4 3 3 7 4" xfId="13377" xr:uid="{00000000-0005-0000-0000-0000A31F0000}"/>
    <cellStyle name="20 % - Markeringsfarve4 3 3 7 4 2" xfId="31544" xr:uid="{00000000-0005-0000-0000-0000A41F0000}"/>
    <cellStyle name="20 % - Markeringsfarve4 3 3 7 5" xfId="24542" xr:uid="{00000000-0005-0000-0000-0000A51F0000}"/>
    <cellStyle name="20 % - Markeringsfarve4 3 3 8" xfId="4825" xr:uid="{00000000-0005-0000-0000-0000A61F0000}"/>
    <cellStyle name="20 % - Markeringsfarve4 3 3 8 2" xfId="9043" xr:uid="{00000000-0005-0000-0000-0000A71F0000}"/>
    <cellStyle name="20 % - Markeringsfarve4 3 3 8 2 2" xfId="16954" xr:uid="{00000000-0005-0000-0000-0000A81F0000}"/>
    <cellStyle name="20 % - Markeringsfarve4 3 3 8 2 2 2" xfId="35114" xr:uid="{00000000-0005-0000-0000-0000A91F0000}"/>
    <cellStyle name="20 % - Markeringsfarve4 3 3 8 2 3" xfId="28113" xr:uid="{00000000-0005-0000-0000-0000AA1F0000}"/>
    <cellStyle name="20 % - Markeringsfarve4 3 3 8 3" xfId="13379" xr:uid="{00000000-0005-0000-0000-0000AB1F0000}"/>
    <cellStyle name="20 % - Markeringsfarve4 3 3 8 3 2" xfId="31546" xr:uid="{00000000-0005-0000-0000-0000AC1F0000}"/>
    <cellStyle name="20 % - Markeringsfarve4 3 3 8 4" xfId="24544" xr:uid="{00000000-0005-0000-0000-0000AD1F0000}"/>
    <cellStyle name="20 % - Markeringsfarve4 3 3 9" xfId="4826" xr:uid="{00000000-0005-0000-0000-0000AE1F0000}"/>
    <cellStyle name="20 % - Markeringsfarve4 3 3 9 2" xfId="10468" xr:uid="{00000000-0005-0000-0000-0000AF1F0000}"/>
    <cellStyle name="20 % - Markeringsfarve4 3 3 9 2 2" xfId="18365" xr:uid="{00000000-0005-0000-0000-0000B01F0000}"/>
    <cellStyle name="20 % - Markeringsfarve4 3 3 9 2 2 2" xfId="36525" xr:uid="{00000000-0005-0000-0000-0000B11F0000}"/>
    <cellStyle name="20 % - Markeringsfarve4 3 3 9 2 3" xfId="29524" xr:uid="{00000000-0005-0000-0000-0000B21F0000}"/>
    <cellStyle name="20 % - Markeringsfarve4 3 3 9 3" xfId="13380" xr:uid="{00000000-0005-0000-0000-0000B31F0000}"/>
    <cellStyle name="20 % - Markeringsfarve4 3 3 9 3 2" xfId="31547" xr:uid="{00000000-0005-0000-0000-0000B41F0000}"/>
    <cellStyle name="20 % - Markeringsfarve4 3 3 9 4" xfId="24545" xr:uid="{00000000-0005-0000-0000-0000B51F0000}"/>
    <cellStyle name="20 % - Markeringsfarve4 3 4" xfId="4827" xr:uid="{00000000-0005-0000-0000-0000B61F0000}"/>
    <cellStyle name="20 % - Markeringsfarve4 3 4 2" xfId="4828" xr:uid="{00000000-0005-0000-0000-0000B71F0000}"/>
    <cellStyle name="20 % - Markeringsfarve4 3 4 2 2" xfId="4829" xr:uid="{00000000-0005-0000-0000-0000B81F0000}"/>
    <cellStyle name="20 % - Markeringsfarve4 3 4 2 2 2" xfId="9856" xr:uid="{00000000-0005-0000-0000-0000B91F0000}"/>
    <cellStyle name="20 % - Markeringsfarve4 3 4 2 2 2 2" xfId="17757" xr:uid="{00000000-0005-0000-0000-0000BA1F0000}"/>
    <cellStyle name="20 % - Markeringsfarve4 3 4 2 2 2 2 2" xfId="35917" xr:uid="{00000000-0005-0000-0000-0000BB1F0000}"/>
    <cellStyle name="20 % - Markeringsfarve4 3 4 2 2 2 3" xfId="28916" xr:uid="{00000000-0005-0000-0000-0000BC1F0000}"/>
    <cellStyle name="20 % - Markeringsfarve4 3 4 2 2 3" xfId="13383" xr:uid="{00000000-0005-0000-0000-0000BD1F0000}"/>
    <cellStyle name="20 % - Markeringsfarve4 3 4 2 2 3 2" xfId="31550" xr:uid="{00000000-0005-0000-0000-0000BE1F0000}"/>
    <cellStyle name="20 % - Markeringsfarve4 3 4 2 2 4" xfId="24548" xr:uid="{00000000-0005-0000-0000-0000BF1F0000}"/>
    <cellStyle name="20 % - Markeringsfarve4 3 4 2 3" xfId="8436" xr:uid="{00000000-0005-0000-0000-0000C01F0000}"/>
    <cellStyle name="20 % - Markeringsfarve4 3 4 2 3 2" xfId="16353" xr:uid="{00000000-0005-0000-0000-0000C11F0000}"/>
    <cellStyle name="20 % - Markeringsfarve4 3 4 2 3 2 2" xfId="34513" xr:uid="{00000000-0005-0000-0000-0000C21F0000}"/>
    <cellStyle name="20 % - Markeringsfarve4 3 4 2 3 3" xfId="27512" xr:uid="{00000000-0005-0000-0000-0000C31F0000}"/>
    <cellStyle name="20 % - Markeringsfarve4 3 4 2 4" xfId="13382" xr:uid="{00000000-0005-0000-0000-0000C41F0000}"/>
    <cellStyle name="20 % - Markeringsfarve4 3 4 2 4 2" xfId="31549" xr:uid="{00000000-0005-0000-0000-0000C51F0000}"/>
    <cellStyle name="20 % - Markeringsfarve4 3 4 2 5" xfId="24547" xr:uid="{00000000-0005-0000-0000-0000C61F0000}"/>
    <cellStyle name="20 % - Markeringsfarve4 3 4 3" xfId="4830" xr:uid="{00000000-0005-0000-0000-0000C71F0000}"/>
    <cellStyle name="20 % - Markeringsfarve4 3 4 3 2" xfId="9086" xr:uid="{00000000-0005-0000-0000-0000C81F0000}"/>
    <cellStyle name="20 % - Markeringsfarve4 3 4 3 2 2" xfId="16997" xr:uid="{00000000-0005-0000-0000-0000C91F0000}"/>
    <cellStyle name="20 % - Markeringsfarve4 3 4 3 2 2 2" xfId="35157" xr:uid="{00000000-0005-0000-0000-0000CA1F0000}"/>
    <cellStyle name="20 % - Markeringsfarve4 3 4 3 2 3" xfId="28156" xr:uid="{00000000-0005-0000-0000-0000CB1F0000}"/>
    <cellStyle name="20 % - Markeringsfarve4 3 4 3 3" xfId="13384" xr:uid="{00000000-0005-0000-0000-0000CC1F0000}"/>
    <cellStyle name="20 % - Markeringsfarve4 3 4 3 3 2" xfId="31551" xr:uid="{00000000-0005-0000-0000-0000CD1F0000}"/>
    <cellStyle name="20 % - Markeringsfarve4 3 4 3 4" xfId="24549" xr:uid="{00000000-0005-0000-0000-0000CE1F0000}"/>
    <cellStyle name="20 % - Markeringsfarve4 3 4 4" xfId="4831" xr:uid="{00000000-0005-0000-0000-0000CF1F0000}"/>
    <cellStyle name="20 % - Markeringsfarve4 3 4 4 2" xfId="10660" xr:uid="{00000000-0005-0000-0000-0000D01F0000}"/>
    <cellStyle name="20 % - Markeringsfarve4 3 4 4 2 2" xfId="18552" xr:uid="{00000000-0005-0000-0000-0000D11F0000}"/>
    <cellStyle name="20 % - Markeringsfarve4 3 4 4 2 2 2" xfId="36712" xr:uid="{00000000-0005-0000-0000-0000D21F0000}"/>
    <cellStyle name="20 % - Markeringsfarve4 3 4 4 2 3" xfId="29711" xr:uid="{00000000-0005-0000-0000-0000D31F0000}"/>
    <cellStyle name="20 % - Markeringsfarve4 3 4 4 3" xfId="13385" xr:uid="{00000000-0005-0000-0000-0000D41F0000}"/>
    <cellStyle name="20 % - Markeringsfarve4 3 4 4 3 2" xfId="31552" xr:uid="{00000000-0005-0000-0000-0000D51F0000}"/>
    <cellStyle name="20 % - Markeringsfarve4 3 4 4 4" xfId="24550" xr:uid="{00000000-0005-0000-0000-0000D61F0000}"/>
    <cellStyle name="20 % - Markeringsfarve4 3 4 5" xfId="7840" xr:uid="{00000000-0005-0000-0000-0000D71F0000}"/>
    <cellStyle name="20 % - Markeringsfarve4 3 4 5 2" xfId="15758" xr:uid="{00000000-0005-0000-0000-0000D81F0000}"/>
    <cellStyle name="20 % - Markeringsfarve4 3 4 5 2 2" xfId="33918" xr:uid="{00000000-0005-0000-0000-0000D91F0000}"/>
    <cellStyle name="20 % - Markeringsfarve4 3 4 5 3" xfId="26917" xr:uid="{00000000-0005-0000-0000-0000DA1F0000}"/>
    <cellStyle name="20 % - Markeringsfarve4 3 4 6" xfId="13381" xr:uid="{00000000-0005-0000-0000-0000DB1F0000}"/>
    <cellStyle name="20 % - Markeringsfarve4 3 4 6 2" xfId="31548" xr:uid="{00000000-0005-0000-0000-0000DC1F0000}"/>
    <cellStyle name="20 % - Markeringsfarve4 3 4 7" xfId="24546" xr:uid="{00000000-0005-0000-0000-0000DD1F0000}"/>
    <cellStyle name="20 % - Markeringsfarve4 3 5" xfId="4832" xr:uid="{00000000-0005-0000-0000-0000DE1F0000}"/>
    <cellStyle name="20 % - Markeringsfarve4 3 5 2" xfId="4833" xr:uid="{00000000-0005-0000-0000-0000DF1F0000}"/>
    <cellStyle name="20 % - Markeringsfarve4 3 5 2 2" xfId="4834" xr:uid="{00000000-0005-0000-0000-0000E01F0000}"/>
    <cellStyle name="20 % - Markeringsfarve4 3 5 2 2 2" xfId="9984" xr:uid="{00000000-0005-0000-0000-0000E11F0000}"/>
    <cellStyle name="20 % - Markeringsfarve4 3 5 2 2 2 2" xfId="17885" xr:uid="{00000000-0005-0000-0000-0000E21F0000}"/>
    <cellStyle name="20 % - Markeringsfarve4 3 5 2 2 2 2 2" xfId="36045" xr:uid="{00000000-0005-0000-0000-0000E31F0000}"/>
    <cellStyle name="20 % - Markeringsfarve4 3 5 2 2 2 3" xfId="29044" xr:uid="{00000000-0005-0000-0000-0000E41F0000}"/>
    <cellStyle name="20 % - Markeringsfarve4 3 5 2 2 3" xfId="13388" xr:uid="{00000000-0005-0000-0000-0000E51F0000}"/>
    <cellStyle name="20 % - Markeringsfarve4 3 5 2 2 3 2" xfId="31555" xr:uid="{00000000-0005-0000-0000-0000E61F0000}"/>
    <cellStyle name="20 % - Markeringsfarve4 3 5 2 2 4" xfId="24553" xr:uid="{00000000-0005-0000-0000-0000E71F0000}"/>
    <cellStyle name="20 % - Markeringsfarve4 3 5 2 3" xfId="8548" xr:uid="{00000000-0005-0000-0000-0000E81F0000}"/>
    <cellStyle name="20 % - Markeringsfarve4 3 5 2 3 2" xfId="16465" xr:uid="{00000000-0005-0000-0000-0000E91F0000}"/>
    <cellStyle name="20 % - Markeringsfarve4 3 5 2 3 2 2" xfId="34625" xr:uid="{00000000-0005-0000-0000-0000EA1F0000}"/>
    <cellStyle name="20 % - Markeringsfarve4 3 5 2 3 3" xfId="27624" xr:uid="{00000000-0005-0000-0000-0000EB1F0000}"/>
    <cellStyle name="20 % - Markeringsfarve4 3 5 2 4" xfId="13387" xr:uid="{00000000-0005-0000-0000-0000EC1F0000}"/>
    <cellStyle name="20 % - Markeringsfarve4 3 5 2 4 2" xfId="31554" xr:uid="{00000000-0005-0000-0000-0000ED1F0000}"/>
    <cellStyle name="20 % - Markeringsfarve4 3 5 2 5" xfId="24552" xr:uid="{00000000-0005-0000-0000-0000EE1F0000}"/>
    <cellStyle name="20 % - Markeringsfarve4 3 5 3" xfId="4835" xr:uid="{00000000-0005-0000-0000-0000EF1F0000}"/>
    <cellStyle name="20 % - Markeringsfarve4 3 5 3 2" xfId="9214" xr:uid="{00000000-0005-0000-0000-0000F01F0000}"/>
    <cellStyle name="20 % - Markeringsfarve4 3 5 3 2 2" xfId="17125" xr:uid="{00000000-0005-0000-0000-0000F11F0000}"/>
    <cellStyle name="20 % - Markeringsfarve4 3 5 3 2 2 2" xfId="35285" xr:uid="{00000000-0005-0000-0000-0000F21F0000}"/>
    <cellStyle name="20 % - Markeringsfarve4 3 5 3 2 3" xfId="28284" xr:uid="{00000000-0005-0000-0000-0000F31F0000}"/>
    <cellStyle name="20 % - Markeringsfarve4 3 5 3 3" xfId="13389" xr:uid="{00000000-0005-0000-0000-0000F41F0000}"/>
    <cellStyle name="20 % - Markeringsfarve4 3 5 3 3 2" xfId="31556" xr:uid="{00000000-0005-0000-0000-0000F51F0000}"/>
    <cellStyle name="20 % - Markeringsfarve4 3 5 3 4" xfId="24554" xr:uid="{00000000-0005-0000-0000-0000F61F0000}"/>
    <cellStyle name="20 % - Markeringsfarve4 3 5 4" xfId="4836" xr:uid="{00000000-0005-0000-0000-0000F71F0000}"/>
    <cellStyle name="20 % - Markeringsfarve4 3 5 4 2" xfId="10896" xr:uid="{00000000-0005-0000-0000-0000F81F0000}"/>
    <cellStyle name="20 % - Markeringsfarve4 3 5 4 2 2" xfId="18778" xr:uid="{00000000-0005-0000-0000-0000F91F0000}"/>
    <cellStyle name="20 % - Markeringsfarve4 3 5 4 2 2 2" xfId="36938" xr:uid="{00000000-0005-0000-0000-0000FA1F0000}"/>
    <cellStyle name="20 % - Markeringsfarve4 3 5 4 2 3" xfId="29937" xr:uid="{00000000-0005-0000-0000-0000FB1F0000}"/>
    <cellStyle name="20 % - Markeringsfarve4 3 5 4 3" xfId="13390" xr:uid="{00000000-0005-0000-0000-0000FC1F0000}"/>
    <cellStyle name="20 % - Markeringsfarve4 3 5 4 3 2" xfId="31557" xr:uid="{00000000-0005-0000-0000-0000FD1F0000}"/>
    <cellStyle name="20 % - Markeringsfarve4 3 5 4 4" xfId="24555" xr:uid="{00000000-0005-0000-0000-0000FE1F0000}"/>
    <cellStyle name="20 % - Markeringsfarve4 3 5 5" xfId="7841" xr:uid="{00000000-0005-0000-0000-0000FF1F0000}"/>
    <cellStyle name="20 % - Markeringsfarve4 3 5 5 2" xfId="15759" xr:uid="{00000000-0005-0000-0000-000000200000}"/>
    <cellStyle name="20 % - Markeringsfarve4 3 5 5 2 2" xfId="33919" xr:uid="{00000000-0005-0000-0000-000001200000}"/>
    <cellStyle name="20 % - Markeringsfarve4 3 5 5 3" xfId="26918" xr:uid="{00000000-0005-0000-0000-000002200000}"/>
    <cellStyle name="20 % - Markeringsfarve4 3 5 6" xfId="13386" xr:uid="{00000000-0005-0000-0000-000003200000}"/>
    <cellStyle name="20 % - Markeringsfarve4 3 5 6 2" xfId="31553" xr:uid="{00000000-0005-0000-0000-000004200000}"/>
    <cellStyle name="20 % - Markeringsfarve4 3 5 7" xfId="24551" xr:uid="{00000000-0005-0000-0000-000005200000}"/>
    <cellStyle name="20 % - Markeringsfarve4 3 6" xfId="4837" xr:uid="{00000000-0005-0000-0000-000006200000}"/>
    <cellStyle name="20 % - Markeringsfarve4 3 6 2" xfId="4838" xr:uid="{00000000-0005-0000-0000-000007200000}"/>
    <cellStyle name="20 % - Markeringsfarve4 3 6 2 2" xfId="4839" xr:uid="{00000000-0005-0000-0000-000008200000}"/>
    <cellStyle name="20 % - Markeringsfarve4 3 6 2 2 2" xfId="10094" xr:uid="{00000000-0005-0000-0000-000009200000}"/>
    <cellStyle name="20 % - Markeringsfarve4 3 6 2 2 2 2" xfId="17995" xr:uid="{00000000-0005-0000-0000-00000A200000}"/>
    <cellStyle name="20 % - Markeringsfarve4 3 6 2 2 2 2 2" xfId="36155" xr:uid="{00000000-0005-0000-0000-00000B200000}"/>
    <cellStyle name="20 % - Markeringsfarve4 3 6 2 2 2 3" xfId="29154" xr:uid="{00000000-0005-0000-0000-00000C200000}"/>
    <cellStyle name="20 % - Markeringsfarve4 3 6 2 2 3" xfId="13393" xr:uid="{00000000-0005-0000-0000-00000D200000}"/>
    <cellStyle name="20 % - Markeringsfarve4 3 6 2 2 3 2" xfId="31560" xr:uid="{00000000-0005-0000-0000-00000E200000}"/>
    <cellStyle name="20 % - Markeringsfarve4 3 6 2 2 4" xfId="24558" xr:uid="{00000000-0005-0000-0000-00000F200000}"/>
    <cellStyle name="20 % - Markeringsfarve4 3 6 2 3" xfId="8638" xr:uid="{00000000-0005-0000-0000-000010200000}"/>
    <cellStyle name="20 % - Markeringsfarve4 3 6 2 3 2" xfId="16552" xr:uid="{00000000-0005-0000-0000-000011200000}"/>
    <cellStyle name="20 % - Markeringsfarve4 3 6 2 3 2 2" xfId="34712" xr:uid="{00000000-0005-0000-0000-000012200000}"/>
    <cellStyle name="20 % - Markeringsfarve4 3 6 2 3 3" xfId="27711" xr:uid="{00000000-0005-0000-0000-000013200000}"/>
    <cellStyle name="20 % - Markeringsfarve4 3 6 2 4" xfId="13392" xr:uid="{00000000-0005-0000-0000-000014200000}"/>
    <cellStyle name="20 % - Markeringsfarve4 3 6 2 4 2" xfId="31559" xr:uid="{00000000-0005-0000-0000-000015200000}"/>
    <cellStyle name="20 % - Markeringsfarve4 3 6 2 5" xfId="24557" xr:uid="{00000000-0005-0000-0000-000016200000}"/>
    <cellStyle name="20 % - Markeringsfarve4 3 6 3" xfId="4840" xr:uid="{00000000-0005-0000-0000-000017200000}"/>
    <cellStyle name="20 % - Markeringsfarve4 3 6 3 2" xfId="9370" xr:uid="{00000000-0005-0000-0000-000018200000}"/>
    <cellStyle name="20 % - Markeringsfarve4 3 6 3 2 2" xfId="17280" xr:uid="{00000000-0005-0000-0000-000019200000}"/>
    <cellStyle name="20 % - Markeringsfarve4 3 6 3 2 2 2" xfId="35440" xr:uid="{00000000-0005-0000-0000-00001A200000}"/>
    <cellStyle name="20 % - Markeringsfarve4 3 6 3 2 3" xfId="28439" xr:uid="{00000000-0005-0000-0000-00001B200000}"/>
    <cellStyle name="20 % - Markeringsfarve4 3 6 3 3" xfId="13394" xr:uid="{00000000-0005-0000-0000-00001C200000}"/>
    <cellStyle name="20 % - Markeringsfarve4 3 6 3 3 2" xfId="31561" xr:uid="{00000000-0005-0000-0000-00001D200000}"/>
    <cellStyle name="20 % - Markeringsfarve4 3 6 3 4" xfId="24559" xr:uid="{00000000-0005-0000-0000-00001E200000}"/>
    <cellStyle name="20 % - Markeringsfarve4 3 6 4" xfId="4841" xr:uid="{00000000-0005-0000-0000-00001F200000}"/>
    <cellStyle name="20 % - Markeringsfarve4 3 6 4 2" xfId="10618" xr:uid="{00000000-0005-0000-0000-000020200000}"/>
    <cellStyle name="20 % - Markeringsfarve4 3 6 4 2 2" xfId="18511" xr:uid="{00000000-0005-0000-0000-000021200000}"/>
    <cellStyle name="20 % - Markeringsfarve4 3 6 4 2 2 2" xfId="36671" xr:uid="{00000000-0005-0000-0000-000022200000}"/>
    <cellStyle name="20 % - Markeringsfarve4 3 6 4 2 3" xfId="29670" xr:uid="{00000000-0005-0000-0000-000023200000}"/>
    <cellStyle name="20 % - Markeringsfarve4 3 6 4 3" xfId="13395" xr:uid="{00000000-0005-0000-0000-000024200000}"/>
    <cellStyle name="20 % - Markeringsfarve4 3 6 4 3 2" xfId="31562" xr:uid="{00000000-0005-0000-0000-000025200000}"/>
    <cellStyle name="20 % - Markeringsfarve4 3 6 4 4" xfId="24560" xr:uid="{00000000-0005-0000-0000-000026200000}"/>
    <cellStyle name="20 % - Markeringsfarve4 3 6 5" xfId="7842" xr:uid="{00000000-0005-0000-0000-000027200000}"/>
    <cellStyle name="20 % - Markeringsfarve4 3 6 5 2" xfId="15760" xr:uid="{00000000-0005-0000-0000-000028200000}"/>
    <cellStyle name="20 % - Markeringsfarve4 3 6 5 2 2" xfId="33920" xr:uid="{00000000-0005-0000-0000-000029200000}"/>
    <cellStyle name="20 % - Markeringsfarve4 3 6 5 3" xfId="26919" xr:uid="{00000000-0005-0000-0000-00002A200000}"/>
    <cellStyle name="20 % - Markeringsfarve4 3 6 6" xfId="13391" xr:uid="{00000000-0005-0000-0000-00002B200000}"/>
    <cellStyle name="20 % - Markeringsfarve4 3 6 6 2" xfId="31558" xr:uid="{00000000-0005-0000-0000-00002C200000}"/>
    <cellStyle name="20 % - Markeringsfarve4 3 6 7" xfId="24556" xr:uid="{00000000-0005-0000-0000-00002D200000}"/>
    <cellStyle name="20 % - Markeringsfarve4 3 7" xfId="4842" xr:uid="{00000000-0005-0000-0000-00002E200000}"/>
    <cellStyle name="20 % - Markeringsfarve4 3 7 2" xfId="4843" xr:uid="{00000000-0005-0000-0000-00002F200000}"/>
    <cellStyle name="20 % - Markeringsfarve4 3 7 2 2" xfId="4844" xr:uid="{00000000-0005-0000-0000-000030200000}"/>
    <cellStyle name="20 % - Markeringsfarve4 3 7 2 2 2" xfId="10211" xr:uid="{00000000-0005-0000-0000-000031200000}"/>
    <cellStyle name="20 % - Markeringsfarve4 3 7 2 2 2 2" xfId="18112" xr:uid="{00000000-0005-0000-0000-000032200000}"/>
    <cellStyle name="20 % - Markeringsfarve4 3 7 2 2 2 2 2" xfId="36272" xr:uid="{00000000-0005-0000-0000-000033200000}"/>
    <cellStyle name="20 % - Markeringsfarve4 3 7 2 2 2 3" xfId="29271" xr:uid="{00000000-0005-0000-0000-000034200000}"/>
    <cellStyle name="20 % - Markeringsfarve4 3 7 2 2 3" xfId="13398" xr:uid="{00000000-0005-0000-0000-000035200000}"/>
    <cellStyle name="20 % - Markeringsfarve4 3 7 2 2 3 2" xfId="31565" xr:uid="{00000000-0005-0000-0000-000036200000}"/>
    <cellStyle name="20 % - Markeringsfarve4 3 7 2 2 4" xfId="24563" xr:uid="{00000000-0005-0000-0000-000037200000}"/>
    <cellStyle name="20 % - Markeringsfarve4 3 7 2 3" xfId="8737" xr:uid="{00000000-0005-0000-0000-000038200000}"/>
    <cellStyle name="20 % - Markeringsfarve4 3 7 2 3 2" xfId="16651" xr:uid="{00000000-0005-0000-0000-000039200000}"/>
    <cellStyle name="20 % - Markeringsfarve4 3 7 2 3 2 2" xfId="34811" xr:uid="{00000000-0005-0000-0000-00003A200000}"/>
    <cellStyle name="20 % - Markeringsfarve4 3 7 2 3 3" xfId="27810" xr:uid="{00000000-0005-0000-0000-00003B200000}"/>
    <cellStyle name="20 % - Markeringsfarve4 3 7 2 4" xfId="13397" xr:uid="{00000000-0005-0000-0000-00003C200000}"/>
    <cellStyle name="20 % - Markeringsfarve4 3 7 2 4 2" xfId="31564" xr:uid="{00000000-0005-0000-0000-00003D200000}"/>
    <cellStyle name="20 % - Markeringsfarve4 3 7 2 5" xfId="24562" xr:uid="{00000000-0005-0000-0000-00003E200000}"/>
    <cellStyle name="20 % - Markeringsfarve4 3 7 3" xfId="4845" xr:uid="{00000000-0005-0000-0000-00003F200000}"/>
    <cellStyle name="20 % - Markeringsfarve4 3 7 3 2" xfId="9487" xr:uid="{00000000-0005-0000-0000-000040200000}"/>
    <cellStyle name="20 % - Markeringsfarve4 3 7 3 2 2" xfId="17397" xr:uid="{00000000-0005-0000-0000-000041200000}"/>
    <cellStyle name="20 % - Markeringsfarve4 3 7 3 2 2 2" xfId="35557" xr:uid="{00000000-0005-0000-0000-000042200000}"/>
    <cellStyle name="20 % - Markeringsfarve4 3 7 3 2 3" xfId="28556" xr:uid="{00000000-0005-0000-0000-000043200000}"/>
    <cellStyle name="20 % - Markeringsfarve4 3 7 3 3" xfId="13399" xr:uid="{00000000-0005-0000-0000-000044200000}"/>
    <cellStyle name="20 % - Markeringsfarve4 3 7 3 3 2" xfId="31566" xr:uid="{00000000-0005-0000-0000-000045200000}"/>
    <cellStyle name="20 % - Markeringsfarve4 3 7 3 4" xfId="24564" xr:uid="{00000000-0005-0000-0000-000046200000}"/>
    <cellStyle name="20 % - Markeringsfarve4 3 7 4" xfId="4846" xr:uid="{00000000-0005-0000-0000-000047200000}"/>
    <cellStyle name="20 % - Markeringsfarve4 3 7 4 2" xfId="10879" xr:uid="{00000000-0005-0000-0000-000048200000}"/>
    <cellStyle name="20 % - Markeringsfarve4 3 7 4 2 2" xfId="18762" xr:uid="{00000000-0005-0000-0000-000049200000}"/>
    <cellStyle name="20 % - Markeringsfarve4 3 7 4 2 2 2" xfId="36922" xr:uid="{00000000-0005-0000-0000-00004A200000}"/>
    <cellStyle name="20 % - Markeringsfarve4 3 7 4 2 3" xfId="29921" xr:uid="{00000000-0005-0000-0000-00004B200000}"/>
    <cellStyle name="20 % - Markeringsfarve4 3 7 4 3" xfId="13400" xr:uid="{00000000-0005-0000-0000-00004C200000}"/>
    <cellStyle name="20 % - Markeringsfarve4 3 7 4 3 2" xfId="31567" xr:uid="{00000000-0005-0000-0000-00004D200000}"/>
    <cellStyle name="20 % - Markeringsfarve4 3 7 4 4" xfId="24565" xr:uid="{00000000-0005-0000-0000-00004E200000}"/>
    <cellStyle name="20 % - Markeringsfarve4 3 7 5" xfId="7843" xr:uid="{00000000-0005-0000-0000-00004F200000}"/>
    <cellStyle name="20 % - Markeringsfarve4 3 7 5 2" xfId="15761" xr:uid="{00000000-0005-0000-0000-000050200000}"/>
    <cellStyle name="20 % - Markeringsfarve4 3 7 5 2 2" xfId="33921" xr:uid="{00000000-0005-0000-0000-000051200000}"/>
    <cellStyle name="20 % - Markeringsfarve4 3 7 5 3" xfId="26920" xr:uid="{00000000-0005-0000-0000-000052200000}"/>
    <cellStyle name="20 % - Markeringsfarve4 3 7 6" xfId="13396" xr:uid="{00000000-0005-0000-0000-000053200000}"/>
    <cellStyle name="20 % - Markeringsfarve4 3 7 6 2" xfId="31563" xr:uid="{00000000-0005-0000-0000-000054200000}"/>
    <cellStyle name="20 % - Markeringsfarve4 3 7 7" xfId="24561" xr:uid="{00000000-0005-0000-0000-000055200000}"/>
    <cellStyle name="20 % - Markeringsfarve4 3 8" xfId="4847" xr:uid="{00000000-0005-0000-0000-000056200000}"/>
    <cellStyle name="20 % - Markeringsfarve4 3 8 2" xfId="4848" xr:uid="{00000000-0005-0000-0000-000057200000}"/>
    <cellStyle name="20 % - Markeringsfarve4 3 8 2 2" xfId="4849" xr:uid="{00000000-0005-0000-0000-000058200000}"/>
    <cellStyle name="20 % - Markeringsfarve4 3 8 2 2 2" xfId="10339" xr:uid="{00000000-0005-0000-0000-000059200000}"/>
    <cellStyle name="20 % - Markeringsfarve4 3 8 2 2 2 2" xfId="18240" xr:uid="{00000000-0005-0000-0000-00005A200000}"/>
    <cellStyle name="20 % - Markeringsfarve4 3 8 2 2 2 2 2" xfId="36400" xr:uid="{00000000-0005-0000-0000-00005B200000}"/>
    <cellStyle name="20 % - Markeringsfarve4 3 8 2 2 2 3" xfId="29399" xr:uid="{00000000-0005-0000-0000-00005C200000}"/>
    <cellStyle name="20 % - Markeringsfarve4 3 8 2 2 3" xfId="13403" xr:uid="{00000000-0005-0000-0000-00005D200000}"/>
    <cellStyle name="20 % - Markeringsfarve4 3 8 2 2 3 2" xfId="31570" xr:uid="{00000000-0005-0000-0000-00005E200000}"/>
    <cellStyle name="20 % - Markeringsfarve4 3 8 2 2 4" xfId="24568" xr:uid="{00000000-0005-0000-0000-00005F200000}"/>
    <cellStyle name="20 % - Markeringsfarve4 3 8 2 3" xfId="8850" xr:uid="{00000000-0005-0000-0000-000060200000}"/>
    <cellStyle name="20 % - Markeringsfarve4 3 8 2 3 2" xfId="16764" xr:uid="{00000000-0005-0000-0000-000061200000}"/>
    <cellStyle name="20 % - Markeringsfarve4 3 8 2 3 2 2" xfId="34924" xr:uid="{00000000-0005-0000-0000-000062200000}"/>
    <cellStyle name="20 % - Markeringsfarve4 3 8 2 3 3" xfId="27923" xr:uid="{00000000-0005-0000-0000-000063200000}"/>
    <cellStyle name="20 % - Markeringsfarve4 3 8 2 4" xfId="13402" xr:uid="{00000000-0005-0000-0000-000064200000}"/>
    <cellStyle name="20 % - Markeringsfarve4 3 8 2 4 2" xfId="31569" xr:uid="{00000000-0005-0000-0000-000065200000}"/>
    <cellStyle name="20 % - Markeringsfarve4 3 8 2 5" xfId="24567" xr:uid="{00000000-0005-0000-0000-000066200000}"/>
    <cellStyle name="20 % - Markeringsfarve4 3 8 3" xfId="4850" xr:uid="{00000000-0005-0000-0000-000067200000}"/>
    <cellStyle name="20 % - Markeringsfarve4 3 8 3 2" xfId="9616" xr:uid="{00000000-0005-0000-0000-000068200000}"/>
    <cellStyle name="20 % - Markeringsfarve4 3 8 3 2 2" xfId="17526" xr:uid="{00000000-0005-0000-0000-000069200000}"/>
    <cellStyle name="20 % - Markeringsfarve4 3 8 3 2 2 2" xfId="35686" xr:uid="{00000000-0005-0000-0000-00006A200000}"/>
    <cellStyle name="20 % - Markeringsfarve4 3 8 3 2 3" xfId="28685" xr:uid="{00000000-0005-0000-0000-00006B200000}"/>
    <cellStyle name="20 % - Markeringsfarve4 3 8 3 3" xfId="13404" xr:uid="{00000000-0005-0000-0000-00006C200000}"/>
    <cellStyle name="20 % - Markeringsfarve4 3 8 3 3 2" xfId="31571" xr:uid="{00000000-0005-0000-0000-00006D200000}"/>
    <cellStyle name="20 % - Markeringsfarve4 3 8 3 4" xfId="24569" xr:uid="{00000000-0005-0000-0000-00006E200000}"/>
    <cellStyle name="20 % - Markeringsfarve4 3 8 4" xfId="4851" xr:uid="{00000000-0005-0000-0000-00006F200000}"/>
    <cellStyle name="20 % - Markeringsfarve4 3 8 4 2" xfId="10528" xr:uid="{00000000-0005-0000-0000-000070200000}"/>
    <cellStyle name="20 % - Markeringsfarve4 3 8 4 2 2" xfId="18422" xr:uid="{00000000-0005-0000-0000-000071200000}"/>
    <cellStyle name="20 % - Markeringsfarve4 3 8 4 2 2 2" xfId="36582" xr:uid="{00000000-0005-0000-0000-000072200000}"/>
    <cellStyle name="20 % - Markeringsfarve4 3 8 4 2 3" xfId="29581" xr:uid="{00000000-0005-0000-0000-000073200000}"/>
    <cellStyle name="20 % - Markeringsfarve4 3 8 4 3" xfId="13405" xr:uid="{00000000-0005-0000-0000-000074200000}"/>
    <cellStyle name="20 % - Markeringsfarve4 3 8 4 3 2" xfId="31572" xr:uid="{00000000-0005-0000-0000-000075200000}"/>
    <cellStyle name="20 % - Markeringsfarve4 3 8 4 4" xfId="24570" xr:uid="{00000000-0005-0000-0000-000076200000}"/>
    <cellStyle name="20 % - Markeringsfarve4 3 8 5" xfId="7844" xr:uid="{00000000-0005-0000-0000-000077200000}"/>
    <cellStyle name="20 % - Markeringsfarve4 3 8 5 2" xfId="15762" xr:uid="{00000000-0005-0000-0000-000078200000}"/>
    <cellStyle name="20 % - Markeringsfarve4 3 8 5 2 2" xfId="33922" xr:uid="{00000000-0005-0000-0000-000079200000}"/>
    <cellStyle name="20 % - Markeringsfarve4 3 8 5 3" xfId="26921" xr:uid="{00000000-0005-0000-0000-00007A200000}"/>
    <cellStyle name="20 % - Markeringsfarve4 3 8 6" xfId="13401" xr:uid="{00000000-0005-0000-0000-00007B200000}"/>
    <cellStyle name="20 % - Markeringsfarve4 3 8 6 2" xfId="31568" xr:uid="{00000000-0005-0000-0000-00007C200000}"/>
    <cellStyle name="20 % - Markeringsfarve4 3 8 7" xfId="24566" xr:uid="{00000000-0005-0000-0000-00007D200000}"/>
    <cellStyle name="20 % - Markeringsfarve4 3 9" xfId="4852" xr:uid="{00000000-0005-0000-0000-00007E200000}"/>
    <cellStyle name="20 % - Markeringsfarve4 3 9 2" xfId="4853" xr:uid="{00000000-0005-0000-0000-00007F200000}"/>
    <cellStyle name="20 % - Markeringsfarve4 3 9 2 2" xfId="9737" xr:uid="{00000000-0005-0000-0000-000080200000}"/>
    <cellStyle name="20 % - Markeringsfarve4 3 9 2 2 2" xfId="17638" xr:uid="{00000000-0005-0000-0000-000081200000}"/>
    <cellStyle name="20 % - Markeringsfarve4 3 9 2 2 2 2" xfId="35798" xr:uid="{00000000-0005-0000-0000-000082200000}"/>
    <cellStyle name="20 % - Markeringsfarve4 3 9 2 2 3" xfId="28797" xr:uid="{00000000-0005-0000-0000-000083200000}"/>
    <cellStyle name="20 % - Markeringsfarve4 3 9 2 3" xfId="13407" xr:uid="{00000000-0005-0000-0000-000084200000}"/>
    <cellStyle name="20 % - Markeringsfarve4 3 9 2 3 2" xfId="31574" xr:uid="{00000000-0005-0000-0000-000085200000}"/>
    <cellStyle name="20 % - Markeringsfarve4 3 9 2 4" xfId="24572" xr:uid="{00000000-0005-0000-0000-000086200000}"/>
    <cellStyle name="20 % - Markeringsfarve4 3 9 3" xfId="8337" xr:uid="{00000000-0005-0000-0000-000087200000}"/>
    <cellStyle name="20 % - Markeringsfarve4 3 9 3 2" xfId="16254" xr:uid="{00000000-0005-0000-0000-000088200000}"/>
    <cellStyle name="20 % - Markeringsfarve4 3 9 3 2 2" xfId="34414" xr:uid="{00000000-0005-0000-0000-000089200000}"/>
    <cellStyle name="20 % - Markeringsfarve4 3 9 3 3" xfId="27413" xr:uid="{00000000-0005-0000-0000-00008A200000}"/>
    <cellStyle name="20 % - Markeringsfarve4 3 9 4" xfId="13406" xr:uid="{00000000-0005-0000-0000-00008B200000}"/>
    <cellStyle name="20 % - Markeringsfarve4 3 9 4 2" xfId="31573" xr:uid="{00000000-0005-0000-0000-00008C200000}"/>
    <cellStyle name="20 % - Markeringsfarve4 3 9 5" xfId="24571" xr:uid="{00000000-0005-0000-0000-00008D200000}"/>
    <cellStyle name="20 % - Markeringsfarve4 4" xfId="1824" xr:uid="{00000000-0005-0000-0000-00008E200000}"/>
    <cellStyle name="20 % - Markeringsfarve4 4 10" xfId="7845" xr:uid="{00000000-0005-0000-0000-00008F200000}"/>
    <cellStyle name="20 % - Markeringsfarve4 4 10 2" xfId="15763" xr:uid="{00000000-0005-0000-0000-000090200000}"/>
    <cellStyle name="20 % - Markeringsfarve4 4 10 2 2" xfId="33923" xr:uid="{00000000-0005-0000-0000-000091200000}"/>
    <cellStyle name="20 % - Markeringsfarve4 4 10 3" xfId="26922" xr:uid="{00000000-0005-0000-0000-000092200000}"/>
    <cellStyle name="20 % - Markeringsfarve4 4 11" xfId="13408" xr:uid="{00000000-0005-0000-0000-000093200000}"/>
    <cellStyle name="20 % - Markeringsfarve4 4 11 2" xfId="31575" xr:uid="{00000000-0005-0000-0000-000094200000}"/>
    <cellStyle name="20 % - Markeringsfarve4 4 12" xfId="4854" xr:uid="{00000000-0005-0000-0000-000095200000}"/>
    <cellStyle name="20 % - Markeringsfarve4 4 12 2" xfId="24573" xr:uid="{00000000-0005-0000-0000-000096200000}"/>
    <cellStyle name="20 % - Markeringsfarve4 4 13" xfId="21948" xr:uid="{00000000-0005-0000-0000-000097200000}"/>
    <cellStyle name="20 % - Markeringsfarve4 4 2" xfId="1825" xr:uid="{00000000-0005-0000-0000-000098200000}"/>
    <cellStyle name="20 % - Markeringsfarve4 4 2 2" xfId="4856" xr:uid="{00000000-0005-0000-0000-000099200000}"/>
    <cellStyle name="20 % - Markeringsfarve4 4 2 2 2" xfId="4857" xr:uid="{00000000-0005-0000-0000-00009A200000}"/>
    <cellStyle name="20 % - Markeringsfarve4 4 2 2 2 2" xfId="9881" xr:uid="{00000000-0005-0000-0000-00009B200000}"/>
    <cellStyle name="20 % - Markeringsfarve4 4 2 2 2 2 2" xfId="17782" xr:uid="{00000000-0005-0000-0000-00009C200000}"/>
    <cellStyle name="20 % - Markeringsfarve4 4 2 2 2 2 2 2" xfId="35942" xr:uid="{00000000-0005-0000-0000-00009D200000}"/>
    <cellStyle name="20 % - Markeringsfarve4 4 2 2 2 2 3" xfId="28941" xr:uid="{00000000-0005-0000-0000-00009E200000}"/>
    <cellStyle name="20 % - Markeringsfarve4 4 2 2 2 3" xfId="13411" xr:uid="{00000000-0005-0000-0000-00009F200000}"/>
    <cellStyle name="20 % - Markeringsfarve4 4 2 2 2 3 2" xfId="31578" xr:uid="{00000000-0005-0000-0000-0000A0200000}"/>
    <cellStyle name="20 % - Markeringsfarve4 4 2 2 2 4" xfId="24576" xr:uid="{00000000-0005-0000-0000-0000A1200000}"/>
    <cellStyle name="20 % - Markeringsfarve4 4 2 2 3" xfId="8457" xr:uid="{00000000-0005-0000-0000-0000A2200000}"/>
    <cellStyle name="20 % - Markeringsfarve4 4 2 2 3 2" xfId="16374" xr:uid="{00000000-0005-0000-0000-0000A3200000}"/>
    <cellStyle name="20 % - Markeringsfarve4 4 2 2 3 2 2" xfId="34534" xr:uid="{00000000-0005-0000-0000-0000A4200000}"/>
    <cellStyle name="20 % - Markeringsfarve4 4 2 2 3 3" xfId="27533" xr:uid="{00000000-0005-0000-0000-0000A5200000}"/>
    <cellStyle name="20 % - Markeringsfarve4 4 2 2 4" xfId="13410" xr:uid="{00000000-0005-0000-0000-0000A6200000}"/>
    <cellStyle name="20 % - Markeringsfarve4 4 2 2 4 2" xfId="31577" xr:uid="{00000000-0005-0000-0000-0000A7200000}"/>
    <cellStyle name="20 % - Markeringsfarve4 4 2 2 5" xfId="24575" xr:uid="{00000000-0005-0000-0000-0000A8200000}"/>
    <cellStyle name="20 % - Markeringsfarve4 4 2 3" xfId="4858" xr:uid="{00000000-0005-0000-0000-0000A9200000}"/>
    <cellStyle name="20 % - Markeringsfarve4 4 2 3 2" xfId="9111" xr:uid="{00000000-0005-0000-0000-0000AA200000}"/>
    <cellStyle name="20 % - Markeringsfarve4 4 2 3 2 2" xfId="17022" xr:uid="{00000000-0005-0000-0000-0000AB200000}"/>
    <cellStyle name="20 % - Markeringsfarve4 4 2 3 2 2 2" xfId="35182" xr:uid="{00000000-0005-0000-0000-0000AC200000}"/>
    <cellStyle name="20 % - Markeringsfarve4 4 2 3 2 3" xfId="28181" xr:uid="{00000000-0005-0000-0000-0000AD200000}"/>
    <cellStyle name="20 % - Markeringsfarve4 4 2 3 3" xfId="13412" xr:uid="{00000000-0005-0000-0000-0000AE200000}"/>
    <cellStyle name="20 % - Markeringsfarve4 4 2 3 3 2" xfId="31579" xr:uid="{00000000-0005-0000-0000-0000AF200000}"/>
    <cellStyle name="20 % - Markeringsfarve4 4 2 3 4" xfId="24577" xr:uid="{00000000-0005-0000-0000-0000B0200000}"/>
    <cellStyle name="20 % - Markeringsfarve4 4 2 4" xfId="4859" xr:uid="{00000000-0005-0000-0000-0000B1200000}"/>
    <cellStyle name="20 % - Markeringsfarve4 4 2 4 2" xfId="10453" xr:uid="{00000000-0005-0000-0000-0000B2200000}"/>
    <cellStyle name="20 % - Markeringsfarve4 4 2 4 2 2" xfId="18350" xr:uid="{00000000-0005-0000-0000-0000B3200000}"/>
    <cellStyle name="20 % - Markeringsfarve4 4 2 4 2 2 2" xfId="36510" xr:uid="{00000000-0005-0000-0000-0000B4200000}"/>
    <cellStyle name="20 % - Markeringsfarve4 4 2 4 2 3" xfId="29509" xr:uid="{00000000-0005-0000-0000-0000B5200000}"/>
    <cellStyle name="20 % - Markeringsfarve4 4 2 4 3" xfId="13413" xr:uid="{00000000-0005-0000-0000-0000B6200000}"/>
    <cellStyle name="20 % - Markeringsfarve4 4 2 4 3 2" xfId="31580" xr:uid="{00000000-0005-0000-0000-0000B7200000}"/>
    <cellStyle name="20 % - Markeringsfarve4 4 2 4 4" xfId="24578" xr:uid="{00000000-0005-0000-0000-0000B8200000}"/>
    <cellStyle name="20 % - Markeringsfarve4 4 2 5" xfId="7846" xr:uid="{00000000-0005-0000-0000-0000B9200000}"/>
    <cellStyle name="20 % - Markeringsfarve4 4 2 5 2" xfId="15764" xr:uid="{00000000-0005-0000-0000-0000BA200000}"/>
    <cellStyle name="20 % - Markeringsfarve4 4 2 5 2 2" xfId="33924" xr:uid="{00000000-0005-0000-0000-0000BB200000}"/>
    <cellStyle name="20 % - Markeringsfarve4 4 2 5 3" xfId="26923" xr:uid="{00000000-0005-0000-0000-0000BC200000}"/>
    <cellStyle name="20 % - Markeringsfarve4 4 2 6" xfId="13409" xr:uid="{00000000-0005-0000-0000-0000BD200000}"/>
    <cellStyle name="20 % - Markeringsfarve4 4 2 6 2" xfId="31576" xr:uid="{00000000-0005-0000-0000-0000BE200000}"/>
    <cellStyle name="20 % - Markeringsfarve4 4 2 7" xfId="4855" xr:uid="{00000000-0005-0000-0000-0000BF200000}"/>
    <cellStyle name="20 % - Markeringsfarve4 4 2 7 2" xfId="24574" xr:uid="{00000000-0005-0000-0000-0000C0200000}"/>
    <cellStyle name="20 % - Markeringsfarve4 4 2 8" xfId="21949" xr:uid="{00000000-0005-0000-0000-0000C1200000}"/>
    <cellStyle name="20 % - Markeringsfarve4 4 3" xfId="4860" xr:uid="{00000000-0005-0000-0000-0000C2200000}"/>
    <cellStyle name="20 % - Markeringsfarve4 4 3 2" xfId="4861" xr:uid="{00000000-0005-0000-0000-0000C3200000}"/>
    <cellStyle name="20 % - Markeringsfarve4 4 3 2 2" xfId="4862" xr:uid="{00000000-0005-0000-0000-0000C4200000}"/>
    <cellStyle name="20 % - Markeringsfarve4 4 3 2 2 2" xfId="9987" xr:uid="{00000000-0005-0000-0000-0000C5200000}"/>
    <cellStyle name="20 % - Markeringsfarve4 4 3 2 2 2 2" xfId="17888" xr:uid="{00000000-0005-0000-0000-0000C6200000}"/>
    <cellStyle name="20 % - Markeringsfarve4 4 3 2 2 2 2 2" xfId="36048" xr:uid="{00000000-0005-0000-0000-0000C7200000}"/>
    <cellStyle name="20 % - Markeringsfarve4 4 3 2 2 2 3" xfId="29047" xr:uid="{00000000-0005-0000-0000-0000C8200000}"/>
    <cellStyle name="20 % - Markeringsfarve4 4 3 2 2 3" xfId="13416" xr:uid="{00000000-0005-0000-0000-0000C9200000}"/>
    <cellStyle name="20 % - Markeringsfarve4 4 3 2 2 3 2" xfId="31583" xr:uid="{00000000-0005-0000-0000-0000CA200000}"/>
    <cellStyle name="20 % - Markeringsfarve4 4 3 2 2 4" xfId="24581" xr:uid="{00000000-0005-0000-0000-0000CB200000}"/>
    <cellStyle name="20 % - Markeringsfarve4 4 3 2 3" xfId="8551" xr:uid="{00000000-0005-0000-0000-0000CC200000}"/>
    <cellStyle name="20 % - Markeringsfarve4 4 3 2 3 2" xfId="16468" xr:uid="{00000000-0005-0000-0000-0000CD200000}"/>
    <cellStyle name="20 % - Markeringsfarve4 4 3 2 3 2 2" xfId="34628" xr:uid="{00000000-0005-0000-0000-0000CE200000}"/>
    <cellStyle name="20 % - Markeringsfarve4 4 3 2 3 3" xfId="27627" xr:uid="{00000000-0005-0000-0000-0000CF200000}"/>
    <cellStyle name="20 % - Markeringsfarve4 4 3 2 4" xfId="13415" xr:uid="{00000000-0005-0000-0000-0000D0200000}"/>
    <cellStyle name="20 % - Markeringsfarve4 4 3 2 4 2" xfId="31582" xr:uid="{00000000-0005-0000-0000-0000D1200000}"/>
    <cellStyle name="20 % - Markeringsfarve4 4 3 2 5" xfId="24580" xr:uid="{00000000-0005-0000-0000-0000D2200000}"/>
    <cellStyle name="20 % - Markeringsfarve4 4 3 3" xfId="4863" xr:uid="{00000000-0005-0000-0000-0000D3200000}"/>
    <cellStyle name="20 % - Markeringsfarve4 4 3 3 2" xfId="9217" xr:uid="{00000000-0005-0000-0000-0000D4200000}"/>
    <cellStyle name="20 % - Markeringsfarve4 4 3 3 2 2" xfId="17128" xr:uid="{00000000-0005-0000-0000-0000D5200000}"/>
    <cellStyle name="20 % - Markeringsfarve4 4 3 3 2 2 2" xfId="35288" xr:uid="{00000000-0005-0000-0000-0000D6200000}"/>
    <cellStyle name="20 % - Markeringsfarve4 4 3 3 2 3" xfId="28287" xr:uid="{00000000-0005-0000-0000-0000D7200000}"/>
    <cellStyle name="20 % - Markeringsfarve4 4 3 3 3" xfId="13417" xr:uid="{00000000-0005-0000-0000-0000D8200000}"/>
    <cellStyle name="20 % - Markeringsfarve4 4 3 3 3 2" xfId="31584" xr:uid="{00000000-0005-0000-0000-0000D9200000}"/>
    <cellStyle name="20 % - Markeringsfarve4 4 3 3 4" xfId="24582" xr:uid="{00000000-0005-0000-0000-0000DA200000}"/>
    <cellStyle name="20 % - Markeringsfarve4 4 3 4" xfId="4864" xr:uid="{00000000-0005-0000-0000-0000DB200000}"/>
    <cellStyle name="20 % - Markeringsfarve4 4 3 4 2" xfId="10790" xr:uid="{00000000-0005-0000-0000-0000DC200000}"/>
    <cellStyle name="20 % - Markeringsfarve4 4 3 4 2 2" xfId="18677" xr:uid="{00000000-0005-0000-0000-0000DD200000}"/>
    <cellStyle name="20 % - Markeringsfarve4 4 3 4 2 2 2" xfId="36837" xr:uid="{00000000-0005-0000-0000-0000DE200000}"/>
    <cellStyle name="20 % - Markeringsfarve4 4 3 4 2 3" xfId="29836" xr:uid="{00000000-0005-0000-0000-0000DF200000}"/>
    <cellStyle name="20 % - Markeringsfarve4 4 3 4 3" xfId="13418" xr:uid="{00000000-0005-0000-0000-0000E0200000}"/>
    <cellStyle name="20 % - Markeringsfarve4 4 3 4 3 2" xfId="31585" xr:uid="{00000000-0005-0000-0000-0000E1200000}"/>
    <cellStyle name="20 % - Markeringsfarve4 4 3 4 4" xfId="24583" xr:uid="{00000000-0005-0000-0000-0000E2200000}"/>
    <cellStyle name="20 % - Markeringsfarve4 4 3 5" xfId="7847" xr:uid="{00000000-0005-0000-0000-0000E3200000}"/>
    <cellStyle name="20 % - Markeringsfarve4 4 3 5 2" xfId="15765" xr:uid="{00000000-0005-0000-0000-0000E4200000}"/>
    <cellStyle name="20 % - Markeringsfarve4 4 3 5 2 2" xfId="33925" xr:uid="{00000000-0005-0000-0000-0000E5200000}"/>
    <cellStyle name="20 % - Markeringsfarve4 4 3 5 3" xfId="26924" xr:uid="{00000000-0005-0000-0000-0000E6200000}"/>
    <cellStyle name="20 % - Markeringsfarve4 4 3 6" xfId="13414" xr:uid="{00000000-0005-0000-0000-0000E7200000}"/>
    <cellStyle name="20 % - Markeringsfarve4 4 3 6 2" xfId="31581" xr:uid="{00000000-0005-0000-0000-0000E8200000}"/>
    <cellStyle name="20 % - Markeringsfarve4 4 3 7" xfId="24579" xr:uid="{00000000-0005-0000-0000-0000E9200000}"/>
    <cellStyle name="20 % - Markeringsfarve4 4 4" xfId="4865" xr:uid="{00000000-0005-0000-0000-0000EA200000}"/>
    <cellStyle name="20 % - Markeringsfarve4 4 4 2" xfId="4866" xr:uid="{00000000-0005-0000-0000-0000EB200000}"/>
    <cellStyle name="20 % - Markeringsfarve4 4 4 2 2" xfId="4867" xr:uid="{00000000-0005-0000-0000-0000EC200000}"/>
    <cellStyle name="20 % - Markeringsfarve4 4 4 2 2 2" xfId="10119" xr:uid="{00000000-0005-0000-0000-0000ED200000}"/>
    <cellStyle name="20 % - Markeringsfarve4 4 4 2 2 2 2" xfId="18020" xr:uid="{00000000-0005-0000-0000-0000EE200000}"/>
    <cellStyle name="20 % - Markeringsfarve4 4 4 2 2 2 2 2" xfId="36180" xr:uid="{00000000-0005-0000-0000-0000EF200000}"/>
    <cellStyle name="20 % - Markeringsfarve4 4 4 2 2 2 3" xfId="29179" xr:uid="{00000000-0005-0000-0000-0000F0200000}"/>
    <cellStyle name="20 % - Markeringsfarve4 4 4 2 2 3" xfId="13421" xr:uid="{00000000-0005-0000-0000-0000F1200000}"/>
    <cellStyle name="20 % - Markeringsfarve4 4 4 2 2 3 2" xfId="31588" xr:uid="{00000000-0005-0000-0000-0000F2200000}"/>
    <cellStyle name="20 % - Markeringsfarve4 4 4 2 2 4" xfId="24586" xr:uid="{00000000-0005-0000-0000-0000F3200000}"/>
    <cellStyle name="20 % - Markeringsfarve4 4 4 2 3" xfId="8659" xr:uid="{00000000-0005-0000-0000-0000F4200000}"/>
    <cellStyle name="20 % - Markeringsfarve4 4 4 2 3 2" xfId="16573" xr:uid="{00000000-0005-0000-0000-0000F5200000}"/>
    <cellStyle name="20 % - Markeringsfarve4 4 4 2 3 2 2" xfId="34733" xr:uid="{00000000-0005-0000-0000-0000F6200000}"/>
    <cellStyle name="20 % - Markeringsfarve4 4 4 2 3 3" xfId="27732" xr:uid="{00000000-0005-0000-0000-0000F7200000}"/>
    <cellStyle name="20 % - Markeringsfarve4 4 4 2 4" xfId="13420" xr:uid="{00000000-0005-0000-0000-0000F8200000}"/>
    <cellStyle name="20 % - Markeringsfarve4 4 4 2 4 2" xfId="31587" xr:uid="{00000000-0005-0000-0000-0000F9200000}"/>
    <cellStyle name="20 % - Markeringsfarve4 4 4 2 5" xfId="24585" xr:uid="{00000000-0005-0000-0000-0000FA200000}"/>
    <cellStyle name="20 % - Markeringsfarve4 4 4 3" xfId="4868" xr:uid="{00000000-0005-0000-0000-0000FB200000}"/>
    <cellStyle name="20 % - Markeringsfarve4 4 4 3 2" xfId="9395" xr:uid="{00000000-0005-0000-0000-0000FC200000}"/>
    <cellStyle name="20 % - Markeringsfarve4 4 4 3 2 2" xfId="17305" xr:uid="{00000000-0005-0000-0000-0000FD200000}"/>
    <cellStyle name="20 % - Markeringsfarve4 4 4 3 2 2 2" xfId="35465" xr:uid="{00000000-0005-0000-0000-0000FE200000}"/>
    <cellStyle name="20 % - Markeringsfarve4 4 4 3 2 3" xfId="28464" xr:uid="{00000000-0005-0000-0000-0000FF200000}"/>
    <cellStyle name="20 % - Markeringsfarve4 4 4 3 3" xfId="13422" xr:uid="{00000000-0005-0000-0000-000000210000}"/>
    <cellStyle name="20 % - Markeringsfarve4 4 4 3 3 2" xfId="31589" xr:uid="{00000000-0005-0000-0000-000001210000}"/>
    <cellStyle name="20 % - Markeringsfarve4 4 4 3 4" xfId="24587" xr:uid="{00000000-0005-0000-0000-000002210000}"/>
    <cellStyle name="20 % - Markeringsfarve4 4 4 4" xfId="4869" xr:uid="{00000000-0005-0000-0000-000003210000}"/>
    <cellStyle name="20 % - Markeringsfarve4 4 4 4 2" xfId="11014" xr:uid="{00000000-0005-0000-0000-000004210000}"/>
    <cellStyle name="20 % - Markeringsfarve4 4 4 4 2 2" xfId="18890" xr:uid="{00000000-0005-0000-0000-000005210000}"/>
    <cellStyle name="20 % - Markeringsfarve4 4 4 4 2 2 2" xfId="37050" xr:uid="{00000000-0005-0000-0000-000006210000}"/>
    <cellStyle name="20 % - Markeringsfarve4 4 4 4 2 3" xfId="30049" xr:uid="{00000000-0005-0000-0000-000007210000}"/>
    <cellStyle name="20 % - Markeringsfarve4 4 4 4 3" xfId="13423" xr:uid="{00000000-0005-0000-0000-000008210000}"/>
    <cellStyle name="20 % - Markeringsfarve4 4 4 4 3 2" xfId="31590" xr:uid="{00000000-0005-0000-0000-000009210000}"/>
    <cellStyle name="20 % - Markeringsfarve4 4 4 4 4" xfId="24588" xr:uid="{00000000-0005-0000-0000-00000A210000}"/>
    <cellStyle name="20 % - Markeringsfarve4 4 4 5" xfId="7848" xr:uid="{00000000-0005-0000-0000-00000B210000}"/>
    <cellStyle name="20 % - Markeringsfarve4 4 4 5 2" xfId="15766" xr:uid="{00000000-0005-0000-0000-00000C210000}"/>
    <cellStyle name="20 % - Markeringsfarve4 4 4 5 2 2" xfId="33926" xr:uid="{00000000-0005-0000-0000-00000D210000}"/>
    <cellStyle name="20 % - Markeringsfarve4 4 4 5 3" xfId="26925" xr:uid="{00000000-0005-0000-0000-00000E210000}"/>
    <cellStyle name="20 % - Markeringsfarve4 4 4 6" xfId="13419" xr:uid="{00000000-0005-0000-0000-00000F210000}"/>
    <cellStyle name="20 % - Markeringsfarve4 4 4 6 2" xfId="31586" xr:uid="{00000000-0005-0000-0000-000010210000}"/>
    <cellStyle name="20 % - Markeringsfarve4 4 4 7" xfId="24584" xr:uid="{00000000-0005-0000-0000-000011210000}"/>
    <cellStyle name="20 % - Markeringsfarve4 4 5" xfId="4870" xr:uid="{00000000-0005-0000-0000-000012210000}"/>
    <cellStyle name="20 % - Markeringsfarve4 4 5 2" xfId="4871" xr:uid="{00000000-0005-0000-0000-000013210000}"/>
    <cellStyle name="20 % - Markeringsfarve4 4 5 2 2" xfId="4872" xr:uid="{00000000-0005-0000-0000-000014210000}"/>
    <cellStyle name="20 % - Markeringsfarve4 4 5 2 2 2" xfId="10236" xr:uid="{00000000-0005-0000-0000-000015210000}"/>
    <cellStyle name="20 % - Markeringsfarve4 4 5 2 2 2 2" xfId="18137" xr:uid="{00000000-0005-0000-0000-000016210000}"/>
    <cellStyle name="20 % - Markeringsfarve4 4 5 2 2 2 2 2" xfId="36297" xr:uid="{00000000-0005-0000-0000-000017210000}"/>
    <cellStyle name="20 % - Markeringsfarve4 4 5 2 2 2 3" xfId="29296" xr:uid="{00000000-0005-0000-0000-000018210000}"/>
    <cellStyle name="20 % - Markeringsfarve4 4 5 2 2 3" xfId="13426" xr:uid="{00000000-0005-0000-0000-000019210000}"/>
    <cellStyle name="20 % - Markeringsfarve4 4 5 2 2 3 2" xfId="31593" xr:uid="{00000000-0005-0000-0000-00001A210000}"/>
    <cellStyle name="20 % - Markeringsfarve4 4 5 2 2 4" xfId="24591" xr:uid="{00000000-0005-0000-0000-00001B210000}"/>
    <cellStyle name="20 % - Markeringsfarve4 4 5 2 3" xfId="8758" xr:uid="{00000000-0005-0000-0000-00001C210000}"/>
    <cellStyle name="20 % - Markeringsfarve4 4 5 2 3 2" xfId="16672" xr:uid="{00000000-0005-0000-0000-00001D210000}"/>
    <cellStyle name="20 % - Markeringsfarve4 4 5 2 3 2 2" xfId="34832" xr:uid="{00000000-0005-0000-0000-00001E210000}"/>
    <cellStyle name="20 % - Markeringsfarve4 4 5 2 3 3" xfId="27831" xr:uid="{00000000-0005-0000-0000-00001F210000}"/>
    <cellStyle name="20 % - Markeringsfarve4 4 5 2 4" xfId="13425" xr:uid="{00000000-0005-0000-0000-000020210000}"/>
    <cellStyle name="20 % - Markeringsfarve4 4 5 2 4 2" xfId="31592" xr:uid="{00000000-0005-0000-0000-000021210000}"/>
    <cellStyle name="20 % - Markeringsfarve4 4 5 2 5" xfId="24590" xr:uid="{00000000-0005-0000-0000-000022210000}"/>
    <cellStyle name="20 % - Markeringsfarve4 4 5 3" xfId="4873" xr:uid="{00000000-0005-0000-0000-000023210000}"/>
    <cellStyle name="20 % - Markeringsfarve4 4 5 3 2" xfId="9512" xr:uid="{00000000-0005-0000-0000-000024210000}"/>
    <cellStyle name="20 % - Markeringsfarve4 4 5 3 2 2" xfId="17422" xr:uid="{00000000-0005-0000-0000-000025210000}"/>
    <cellStyle name="20 % - Markeringsfarve4 4 5 3 2 2 2" xfId="35582" xr:uid="{00000000-0005-0000-0000-000026210000}"/>
    <cellStyle name="20 % - Markeringsfarve4 4 5 3 2 3" xfId="28581" xr:uid="{00000000-0005-0000-0000-000027210000}"/>
    <cellStyle name="20 % - Markeringsfarve4 4 5 3 3" xfId="13427" xr:uid="{00000000-0005-0000-0000-000028210000}"/>
    <cellStyle name="20 % - Markeringsfarve4 4 5 3 3 2" xfId="31594" xr:uid="{00000000-0005-0000-0000-000029210000}"/>
    <cellStyle name="20 % - Markeringsfarve4 4 5 3 4" xfId="24592" xr:uid="{00000000-0005-0000-0000-00002A210000}"/>
    <cellStyle name="20 % - Markeringsfarve4 4 5 4" xfId="4874" xr:uid="{00000000-0005-0000-0000-00002B210000}"/>
    <cellStyle name="20 % - Markeringsfarve4 4 5 4 2" xfId="10734" xr:uid="{00000000-0005-0000-0000-00002C210000}"/>
    <cellStyle name="20 % - Markeringsfarve4 4 5 4 2 2" xfId="18623" xr:uid="{00000000-0005-0000-0000-00002D210000}"/>
    <cellStyle name="20 % - Markeringsfarve4 4 5 4 2 2 2" xfId="36783" xr:uid="{00000000-0005-0000-0000-00002E210000}"/>
    <cellStyle name="20 % - Markeringsfarve4 4 5 4 2 3" xfId="29782" xr:uid="{00000000-0005-0000-0000-00002F210000}"/>
    <cellStyle name="20 % - Markeringsfarve4 4 5 4 3" xfId="13428" xr:uid="{00000000-0005-0000-0000-000030210000}"/>
    <cellStyle name="20 % - Markeringsfarve4 4 5 4 3 2" xfId="31595" xr:uid="{00000000-0005-0000-0000-000031210000}"/>
    <cellStyle name="20 % - Markeringsfarve4 4 5 4 4" xfId="24593" xr:uid="{00000000-0005-0000-0000-000032210000}"/>
    <cellStyle name="20 % - Markeringsfarve4 4 5 5" xfId="7849" xr:uid="{00000000-0005-0000-0000-000033210000}"/>
    <cellStyle name="20 % - Markeringsfarve4 4 5 5 2" xfId="15767" xr:uid="{00000000-0005-0000-0000-000034210000}"/>
    <cellStyle name="20 % - Markeringsfarve4 4 5 5 2 2" xfId="33927" xr:uid="{00000000-0005-0000-0000-000035210000}"/>
    <cellStyle name="20 % - Markeringsfarve4 4 5 5 3" xfId="26926" xr:uid="{00000000-0005-0000-0000-000036210000}"/>
    <cellStyle name="20 % - Markeringsfarve4 4 5 6" xfId="13424" xr:uid="{00000000-0005-0000-0000-000037210000}"/>
    <cellStyle name="20 % - Markeringsfarve4 4 5 6 2" xfId="31591" xr:uid="{00000000-0005-0000-0000-000038210000}"/>
    <cellStyle name="20 % - Markeringsfarve4 4 5 7" xfId="24589" xr:uid="{00000000-0005-0000-0000-000039210000}"/>
    <cellStyle name="20 % - Markeringsfarve4 4 6" xfId="4875" xr:uid="{00000000-0005-0000-0000-00003A210000}"/>
    <cellStyle name="20 % - Markeringsfarve4 4 6 2" xfId="4876" xr:uid="{00000000-0005-0000-0000-00003B210000}"/>
    <cellStyle name="20 % - Markeringsfarve4 4 6 2 2" xfId="4877" xr:uid="{00000000-0005-0000-0000-00003C210000}"/>
    <cellStyle name="20 % - Markeringsfarve4 4 6 2 2 2" xfId="10342" xr:uid="{00000000-0005-0000-0000-00003D210000}"/>
    <cellStyle name="20 % - Markeringsfarve4 4 6 2 2 2 2" xfId="18243" xr:uid="{00000000-0005-0000-0000-00003E210000}"/>
    <cellStyle name="20 % - Markeringsfarve4 4 6 2 2 2 2 2" xfId="36403" xr:uid="{00000000-0005-0000-0000-00003F210000}"/>
    <cellStyle name="20 % - Markeringsfarve4 4 6 2 2 2 3" xfId="29402" xr:uid="{00000000-0005-0000-0000-000040210000}"/>
    <cellStyle name="20 % - Markeringsfarve4 4 6 2 2 3" xfId="13431" xr:uid="{00000000-0005-0000-0000-000041210000}"/>
    <cellStyle name="20 % - Markeringsfarve4 4 6 2 2 3 2" xfId="31598" xr:uid="{00000000-0005-0000-0000-000042210000}"/>
    <cellStyle name="20 % - Markeringsfarve4 4 6 2 2 4" xfId="24596" xr:uid="{00000000-0005-0000-0000-000043210000}"/>
    <cellStyle name="20 % - Markeringsfarve4 4 6 2 3" xfId="8853" xr:uid="{00000000-0005-0000-0000-000044210000}"/>
    <cellStyle name="20 % - Markeringsfarve4 4 6 2 3 2" xfId="16767" xr:uid="{00000000-0005-0000-0000-000045210000}"/>
    <cellStyle name="20 % - Markeringsfarve4 4 6 2 3 2 2" xfId="34927" xr:uid="{00000000-0005-0000-0000-000046210000}"/>
    <cellStyle name="20 % - Markeringsfarve4 4 6 2 3 3" xfId="27926" xr:uid="{00000000-0005-0000-0000-000047210000}"/>
    <cellStyle name="20 % - Markeringsfarve4 4 6 2 4" xfId="13430" xr:uid="{00000000-0005-0000-0000-000048210000}"/>
    <cellStyle name="20 % - Markeringsfarve4 4 6 2 4 2" xfId="31597" xr:uid="{00000000-0005-0000-0000-000049210000}"/>
    <cellStyle name="20 % - Markeringsfarve4 4 6 2 5" xfId="24595" xr:uid="{00000000-0005-0000-0000-00004A210000}"/>
    <cellStyle name="20 % - Markeringsfarve4 4 6 3" xfId="4878" xr:uid="{00000000-0005-0000-0000-00004B210000}"/>
    <cellStyle name="20 % - Markeringsfarve4 4 6 3 2" xfId="9619" xr:uid="{00000000-0005-0000-0000-00004C210000}"/>
    <cellStyle name="20 % - Markeringsfarve4 4 6 3 2 2" xfId="17529" xr:uid="{00000000-0005-0000-0000-00004D210000}"/>
    <cellStyle name="20 % - Markeringsfarve4 4 6 3 2 2 2" xfId="35689" xr:uid="{00000000-0005-0000-0000-00004E210000}"/>
    <cellStyle name="20 % - Markeringsfarve4 4 6 3 2 3" xfId="28688" xr:uid="{00000000-0005-0000-0000-00004F210000}"/>
    <cellStyle name="20 % - Markeringsfarve4 4 6 3 3" xfId="13432" xr:uid="{00000000-0005-0000-0000-000050210000}"/>
    <cellStyle name="20 % - Markeringsfarve4 4 6 3 3 2" xfId="31599" xr:uid="{00000000-0005-0000-0000-000051210000}"/>
    <cellStyle name="20 % - Markeringsfarve4 4 6 3 4" xfId="24597" xr:uid="{00000000-0005-0000-0000-000052210000}"/>
    <cellStyle name="20 % - Markeringsfarve4 4 6 4" xfId="4879" xr:uid="{00000000-0005-0000-0000-000053210000}"/>
    <cellStyle name="20 % - Markeringsfarve4 4 6 4 2" xfId="10963" xr:uid="{00000000-0005-0000-0000-000054210000}"/>
    <cellStyle name="20 % - Markeringsfarve4 4 6 4 2 2" xfId="18842" xr:uid="{00000000-0005-0000-0000-000055210000}"/>
    <cellStyle name="20 % - Markeringsfarve4 4 6 4 2 2 2" xfId="37002" xr:uid="{00000000-0005-0000-0000-000056210000}"/>
    <cellStyle name="20 % - Markeringsfarve4 4 6 4 2 3" xfId="30001" xr:uid="{00000000-0005-0000-0000-000057210000}"/>
    <cellStyle name="20 % - Markeringsfarve4 4 6 4 3" xfId="13433" xr:uid="{00000000-0005-0000-0000-000058210000}"/>
    <cellStyle name="20 % - Markeringsfarve4 4 6 4 3 2" xfId="31600" xr:uid="{00000000-0005-0000-0000-000059210000}"/>
    <cellStyle name="20 % - Markeringsfarve4 4 6 4 4" xfId="24598" xr:uid="{00000000-0005-0000-0000-00005A210000}"/>
    <cellStyle name="20 % - Markeringsfarve4 4 6 5" xfId="7850" xr:uid="{00000000-0005-0000-0000-00005B210000}"/>
    <cellStyle name="20 % - Markeringsfarve4 4 6 5 2" xfId="15768" xr:uid="{00000000-0005-0000-0000-00005C210000}"/>
    <cellStyle name="20 % - Markeringsfarve4 4 6 5 2 2" xfId="33928" xr:uid="{00000000-0005-0000-0000-00005D210000}"/>
    <cellStyle name="20 % - Markeringsfarve4 4 6 5 3" xfId="26927" xr:uid="{00000000-0005-0000-0000-00005E210000}"/>
    <cellStyle name="20 % - Markeringsfarve4 4 6 6" xfId="13429" xr:uid="{00000000-0005-0000-0000-00005F210000}"/>
    <cellStyle name="20 % - Markeringsfarve4 4 6 6 2" xfId="31596" xr:uid="{00000000-0005-0000-0000-000060210000}"/>
    <cellStyle name="20 % - Markeringsfarve4 4 6 7" xfId="24594" xr:uid="{00000000-0005-0000-0000-000061210000}"/>
    <cellStyle name="20 % - Markeringsfarve4 4 7" xfId="4880" xr:uid="{00000000-0005-0000-0000-000062210000}"/>
    <cellStyle name="20 % - Markeringsfarve4 4 7 2" xfId="4881" xr:uid="{00000000-0005-0000-0000-000063210000}"/>
    <cellStyle name="20 % - Markeringsfarve4 4 7 2 2" xfId="9762" xr:uid="{00000000-0005-0000-0000-000064210000}"/>
    <cellStyle name="20 % - Markeringsfarve4 4 7 2 2 2" xfId="17663" xr:uid="{00000000-0005-0000-0000-000065210000}"/>
    <cellStyle name="20 % - Markeringsfarve4 4 7 2 2 2 2" xfId="35823" xr:uid="{00000000-0005-0000-0000-000066210000}"/>
    <cellStyle name="20 % - Markeringsfarve4 4 7 2 2 3" xfId="28822" xr:uid="{00000000-0005-0000-0000-000067210000}"/>
    <cellStyle name="20 % - Markeringsfarve4 4 7 2 3" xfId="13435" xr:uid="{00000000-0005-0000-0000-000068210000}"/>
    <cellStyle name="20 % - Markeringsfarve4 4 7 2 3 2" xfId="31602" xr:uid="{00000000-0005-0000-0000-000069210000}"/>
    <cellStyle name="20 % - Markeringsfarve4 4 7 2 4" xfId="24600" xr:uid="{00000000-0005-0000-0000-00006A210000}"/>
    <cellStyle name="20 % - Markeringsfarve4 4 7 3" xfId="8358" xr:uid="{00000000-0005-0000-0000-00006B210000}"/>
    <cellStyle name="20 % - Markeringsfarve4 4 7 3 2" xfId="16275" xr:uid="{00000000-0005-0000-0000-00006C210000}"/>
    <cellStyle name="20 % - Markeringsfarve4 4 7 3 2 2" xfId="34435" xr:uid="{00000000-0005-0000-0000-00006D210000}"/>
    <cellStyle name="20 % - Markeringsfarve4 4 7 3 3" xfId="27434" xr:uid="{00000000-0005-0000-0000-00006E210000}"/>
    <cellStyle name="20 % - Markeringsfarve4 4 7 4" xfId="13434" xr:uid="{00000000-0005-0000-0000-00006F210000}"/>
    <cellStyle name="20 % - Markeringsfarve4 4 7 4 2" xfId="31601" xr:uid="{00000000-0005-0000-0000-000070210000}"/>
    <cellStyle name="20 % - Markeringsfarve4 4 7 5" xfId="24599" xr:uid="{00000000-0005-0000-0000-000071210000}"/>
    <cellStyle name="20 % - Markeringsfarve4 4 8" xfId="4882" xr:uid="{00000000-0005-0000-0000-000072210000}"/>
    <cellStyle name="20 % - Markeringsfarve4 4 8 2" xfId="8990" xr:uid="{00000000-0005-0000-0000-000073210000}"/>
    <cellStyle name="20 % - Markeringsfarve4 4 8 2 2" xfId="16901" xr:uid="{00000000-0005-0000-0000-000074210000}"/>
    <cellStyle name="20 % - Markeringsfarve4 4 8 2 2 2" xfId="35061" xr:uid="{00000000-0005-0000-0000-000075210000}"/>
    <cellStyle name="20 % - Markeringsfarve4 4 8 2 3" xfId="28060" xr:uid="{00000000-0005-0000-0000-000076210000}"/>
    <cellStyle name="20 % - Markeringsfarve4 4 8 3" xfId="13436" xr:uid="{00000000-0005-0000-0000-000077210000}"/>
    <cellStyle name="20 % - Markeringsfarve4 4 8 3 2" xfId="31603" xr:uid="{00000000-0005-0000-0000-000078210000}"/>
    <cellStyle name="20 % - Markeringsfarve4 4 8 4" xfId="24601" xr:uid="{00000000-0005-0000-0000-000079210000}"/>
    <cellStyle name="20 % - Markeringsfarve4 4 9" xfId="4883" xr:uid="{00000000-0005-0000-0000-00007A210000}"/>
    <cellStyle name="20 % - Markeringsfarve4 4 9 2" xfId="10804" xr:uid="{00000000-0005-0000-0000-00007B210000}"/>
    <cellStyle name="20 % - Markeringsfarve4 4 9 2 2" xfId="18691" xr:uid="{00000000-0005-0000-0000-00007C210000}"/>
    <cellStyle name="20 % - Markeringsfarve4 4 9 2 2 2" xfId="36851" xr:uid="{00000000-0005-0000-0000-00007D210000}"/>
    <cellStyle name="20 % - Markeringsfarve4 4 9 2 3" xfId="29850" xr:uid="{00000000-0005-0000-0000-00007E210000}"/>
    <cellStyle name="20 % - Markeringsfarve4 4 9 3" xfId="13437" xr:uid="{00000000-0005-0000-0000-00007F210000}"/>
    <cellStyle name="20 % - Markeringsfarve4 4 9 3 2" xfId="31604" xr:uid="{00000000-0005-0000-0000-000080210000}"/>
    <cellStyle name="20 % - Markeringsfarve4 4 9 4" xfId="24602" xr:uid="{00000000-0005-0000-0000-000081210000}"/>
    <cellStyle name="20 % - Markeringsfarve4 5" xfId="1826" xr:uid="{00000000-0005-0000-0000-000082210000}"/>
    <cellStyle name="20 % - Markeringsfarve4 5 10" xfId="7851" xr:uid="{00000000-0005-0000-0000-000083210000}"/>
    <cellStyle name="20 % - Markeringsfarve4 5 10 2" xfId="15769" xr:uid="{00000000-0005-0000-0000-000084210000}"/>
    <cellStyle name="20 % - Markeringsfarve4 5 10 2 2" xfId="33929" xr:uid="{00000000-0005-0000-0000-000085210000}"/>
    <cellStyle name="20 % - Markeringsfarve4 5 10 3" xfId="26928" xr:uid="{00000000-0005-0000-0000-000086210000}"/>
    <cellStyle name="20 % - Markeringsfarve4 5 11" xfId="13438" xr:uid="{00000000-0005-0000-0000-000087210000}"/>
    <cellStyle name="20 % - Markeringsfarve4 5 11 2" xfId="31605" xr:uid="{00000000-0005-0000-0000-000088210000}"/>
    <cellStyle name="20 % - Markeringsfarve4 5 12" xfId="4884" xr:uid="{00000000-0005-0000-0000-000089210000}"/>
    <cellStyle name="20 % - Markeringsfarve4 5 12 2" xfId="24603" xr:uid="{00000000-0005-0000-0000-00008A210000}"/>
    <cellStyle name="20 % - Markeringsfarve4 5 13" xfId="21950" xr:uid="{00000000-0005-0000-0000-00008B210000}"/>
    <cellStyle name="20 % - Markeringsfarve4 5 2" xfId="1827" xr:uid="{00000000-0005-0000-0000-00008C210000}"/>
    <cellStyle name="20 % - Markeringsfarve4 5 2 2" xfId="4886" xr:uid="{00000000-0005-0000-0000-00008D210000}"/>
    <cellStyle name="20 % - Markeringsfarve4 5 2 2 2" xfId="4887" xr:uid="{00000000-0005-0000-0000-00008E210000}"/>
    <cellStyle name="20 % - Markeringsfarve4 5 2 2 2 2" xfId="9920" xr:uid="{00000000-0005-0000-0000-00008F210000}"/>
    <cellStyle name="20 % - Markeringsfarve4 5 2 2 2 2 2" xfId="17821" xr:uid="{00000000-0005-0000-0000-000090210000}"/>
    <cellStyle name="20 % - Markeringsfarve4 5 2 2 2 2 2 2" xfId="35981" xr:uid="{00000000-0005-0000-0000-000091210000}"/>
    <cellStyle name="20 % - Markeringsfarve4 5 2 2 2 2 3" xfId="28980" xr:uid="{00000000-0005-0000-0000-000092210000}"/>
    <cellStyle name="20 % - Markeringsfarve4 5 2 2 2 3" xfId="13441" xr:uid="{00000000-0005-0000-0000-000093210000}"/>
    <cellStyle name="20 % - Markeringsfarve4 5 2 2 2 3 2" xfId="31608" xr:uid="{00000000-0005-0000-0000-000094210000}"/>
    <cellStyle name="20 % - Markeringsfarve4 5 2 2 2 4" xfId="24606" xr:uid="{00000000-0005-0000-0000-000095210000}"/>
    <cellStyle name="20 % - Markeringsfarve4 5 2 2 3" xfId="8490" xr:uid="{00000000-0005-0000-0000-000096210000}"/>
    <cellStyle name="20 % - Markeringsfarve4 5 2 2 3 2" xfId="16407" xr:uid="{00000000-0005-0000-0000-000097210000}"/>
    <cellStyle name="20 % - Markeringsfarve4 5 2 2 3 2 2" xfId="34567" xr:uid="{00000000-0005-0000-0000-000098210000}"/>
    <cellStyle name="20 % - Markeringsfarve4 5 2 2 3 3" xfId="27566" xr:uid="{00000000-0005-0000-0000-000099210000}"/>
    <cellStyle name="20 % - Markeringsfarve4 5 2 2 4" xfId="13440" xr:uid="{00000000-0005-0000-0000-00009A210000}"/>
    <cellStyle name="20 % - Markeringsfarve4 5 2 2 4 2" xfId="31607" xr:uid="{00000000-0005-0000-0000-00009B210000}"/>
    <cellStyle name="20 % - Markeringsfarve4 5 2 2 5" xfId="24605" xr:uid="{00000000-0005-0000-0000-00009C210000}"/>
    <cellStyle name="20 % - Markeringsfarve4 5 2 3" xfId="4888" xr:uid="{00000000-0005-0000-0000-00009D210000}"/>
    <cellStyle name="20 % - Markeringsfarve4 5 2 3 2" xfId="9150" xr:uid="{00000000-0005-0000-0000-00009E210000}"/>
    <cellStyle name="20 % - Markeringsfarve4 5 2 3 2 2" xfId="17061" xr:uid="{00000000-0005-0000-0000-00009F210000}"/>
    <cellStyle name="20 % - Markeringsfarve4 5 2 3 2 2 2" xfId="35221" xr:uid="{00000000-0005-0000-0000-0000A0210000}"/>
    <cellStyle name="20 % - Markeringsfarve4 5 2 3 2 3" xfId="28220" xr:uid="{00000000-0005-0000-0000-0000A1210000}"/>
    <cellStyle name="20 % - Markeringsfarve4 5 2 3 3" xfId="13442" xr:uid="{00000000-0005-0000-0000-0000A2210000}"/>
    <cellStyle name="20 % - Markeringsfarve4 5 2 3 3 2" xfId="31609" xr:uid="{00000000-0005-0000-0000-0000A3210000}"/>
    <cellStyle name="20 % - Markeringsfarve4 5 2 3 4" xfId="24607" xr:uid="{00000000-0005-0000-0000-0000A4210000}"/>
    <cellStyle name="20 % - Markeringsfarve4 5 2 4" xfId="4889" xr:uid="{00000000-0005-0000-0000-0000A5210000}"/>
    <cellStyle name="20 % - Markeringsfarve4 5 2 4 2" xfId="10922" xr:uid="{00000000-0005-0000-0000-0000A6210000}"/>
    <cellStyle name="20 % - Markeringsfarve4 5 2 4 2 2" xfId="18803" xr:uid="{00000000-0005-0000-0000-0000A7210000}"/>
    <cellStyle name="20 % - Markeringsfarve4 5 2 4 2 2 2" xfId="36963" xr:uid="{00000000-0005-0000-0000-0000A8210000}"/>
    <cellStyle name="20 % - Markeringsfarve4 5 2 4 2 3" xfId="29962" xr:uid="{00000000-0005-0000-0000-0000A9210000}"/>
    <cellStyle name="20 % - Markeringsfarve4 5 2 4 3" xfId="13443" xr:uid="{00000000-0005-0000-0000-0000AA210000}"/>
    <cellStyle name="20 % - Markeringsfarve4 5 2 4 3 2" xfId="31610" xr:uid="{00000000-0005-0000-0000-0000AB210000}"/>
    <cellStyle name="20 % - Markeringsfarve4 5 2 4 4" xfId="24608" xr:uid="{00000000-0005-0000-0000-0000AC210000}"/>
    <cellStyle name="20 % - Markeringsfarve4 5 2 5" xfId="7852" xr:uid="{00000000-0005-0000-0000-0000AD210000}"/>
    <cellStyle name="20 % - Markeringsfarve4 5 2 5 2" xfId="15770" xr:uid="{00000000-0005-0000-0000-0000AE210000}"/>
    <cellStyle name="20 % - Markeringsfarve4 5 2 5 2 2" xfId="33930" xr:uid="{00000000-0005-0000-0000-0000AF210000}"/>
    <cellStyle name="20 % - Markeringsfarve4 5 2 5 3" xfId="26929" xr:uid="{00000000-0005-0000-0000-0000B0210000}"/>
    <cellStyle name="20 % - Markeringsfarve4 5 2 6" xfId="13439" xr:uid="{00000000-0005-0000-0000-0000B1210000}"/>
    <cellStyle name="20 % - Markeringsfarve4 5 2 6 2" xfId="31606" xr:uid="{00000000-0005-0000-0000-0000B2210000}"/>
    <cellStyle name="20 % - Markeringsfarve4 5 2 7" xfId="4885" xr:uid="{00000000-0005-0000-0000-0000B3210000}"/>
    <cellStyle name="20 % - Markeringsfarve4 5 2 7 2" xfId="24604" xr:uid="{00000000-0005-0000-0000-0000B4210000}"/>
    <cellStyle name="20 % - Markeringsfarve4 5 2 8" xfId="21951" xr:uid="{00000000-0005-0000-0000-0000B5210000}"/>
    <cellStyle name="20 % - Markeringsfarve4 5 3" xfId="4890" xr:uid="{00000000-0005-0000-0000-0000B6210000}"/>
    <cellStyle name="20 % - Markeringsfarve4 5 3 2" xfId="4891" xr:uid="{00000000-0005-0000-0000-0000B7210000}"/>
    <cellStyle name="20 % - Markeringsfarve4 5 3 2 2" xfId="4892" xr:uid="{00000000-0005-0000-0000-0000B8210000}"/>
    <cellStyle name="20 % - Markeringsfarve4 5 3 2 2 2" xfId="9988" xr:uid="{00000000-0005-0000-0000-0000B9210000}"/>
    <cellStyle name="20 % - Markeringsfarve4 5 3 2 2 2 2" xfId="17889" xr:uid="{00000000-0005-0000-0000-0000BA210000}"/>
    <cellStyle name="20 % - Markeringsfarve4 5 3 2 2 2 2 2" xfId="36049" xr:uid="{00000000-0005-0000-0000-0000BB210000}"/>
    <cellStyle name="20 % - Markeringsfarve4 5 3 2 2 2 3" xfId="29048" xr:uid="{00000000-0005-0000-0000-0000BC210000}"/>
    <cellStyle name="20 % - Markeringsfarve4 5 3 2 2 3" xfId="13446" xr:uid="{00000000-0005-0000-0000-0000BD210000}"/>
    <cellStyle name="20 % - Markeringsfarve4 5 3 2 2 3 2" xfId="31613" xr:uid="{00000000-0005-0000-0000-0000BE210000}"/>
    <cellStyle name="20 % - Markeringsfarve4 5 3 2 2 4" xfId="24611" xr:uid="{00000000-0005-0000-0000-0000BF210000}"/>
    <cellStyle name="20 % - Markeringsfarve4 5 3 2 3" xfId="8552" xr:uid="{00000000-0005-0000-0000-0000C0210000}"/>
    <cellStyle name="20 % - Markeringsfarve4 5 3 2 3 2" xfId="16469" xr:uid="{00000000-0005-0000-0000-0000C1210000}"/>
    <cellStyle name="20 % - Markeringsfarve4 5 3 2 3 2 2" xfId="34629" xr:uid="{00000000-0005-0000-0000-0000C2210000}"/>
    <cellStyle name="20 % - Markeringsfarve4 5 3 2 3 3" xfId="27628" xr:uid="{00000000-0005-0000-0000-0000C3210000}"/>
    <cellStyle name="20 % - Markeringsfarve4 5 3 2 4" xfId="13445" xr:uid="{00000000-0005-0000-0000-0000C4210000}"/>
    <cellStyle name="20 % - Markeringsfarve4 5 3 2 4 2" xfId="31612" xr:uid="{00000000-0005-0000-0000-0000C5210000}"/>
    <cellStyle name="20 % - Markeringsfarve4 5 3 2 5" xfId="24610" xr:uid="{00000000-0005-0000-0000-0000C6210000}"/>
    <cellStyle name="20 % - Markeringsfarve4 5 3 3" xfId="4893" xr:uid="{00000000-0005-0000-0000-0000C7210000}"/>
    <cellStyle name="20 % - Markeringsfarve4 5 3 3 2" xfId="9218" xr:uid="{00000000-0005-0000-0000-0000C8210000}"/>
    <cellStyle name="20 % - Markeringsfarve4 5 3 3 2 2" xfId="17129" xr:uid="{00000000-0005-0000-0000-0000C9210000}"/>
    <cellStyle name="20 % - Markeringsfarve4 5 3 3 2 2 2" xfId="35289" xr:uid="{00000000-0005-0000-0000-0000CA210000}"/>
    <cellStyle name="20 % - Markeringsfarve4 5 3 3 2 3" xfId="28288" xr:uid="{00000000-0005-0000-0000-0000CB210000}"/>
    <cellStyle name="20 % - Markeringsfarve4 5 3 3 3" xfId="13447" xr:uid="{00000000-0005-0000-0000-0000CC210000}"/>
    <cellStyle name="20 % - Markeringsfarve4 5 3 3 3 2" xfId="31614" xr:uid="{00000000-0005-0000-0000-0000CD210000}"/>
    <cellStyle name="20 % - Markeringsfarve4 5 3 3 4" xfId="24612" xr:uid="{00000000-0005-0000-0000-0000CE210000}"/>
    <cellStyle name="20 % - Markeringsfarve4 5 3 4" xfId="4894" xr:uid="{00000000-0005-0000-0000-0000CF210000}"/>
    <cellStyle name="20 % - Markeringsfarve4 5 3 4 2" xfId="10647" xr:uid="{00000000-0005-0000-0000-0000D0210000}"/>
    <cellStyle name="20 % - Markeringsfarve4 5 3 4 2 2" xfId="18540" xr:uid="{00000000-0005-0000-0000-0000D1210000}"/>
    <cellStyle name="20 % - Markeringsfarve4 5 3 4 2 2 2" xfId="36700" xr:uid="{00000000-0005-0000-0000-0000D2210000}"/>
    <cellStyle name="20 % - Markeringsfarve4 5 3 4 2 3" xfId="29699" xr:uid="{00000000-0005-0000-0000-0000D3210000}"/>
    <cellStyle name="20 % - Markeringsfarve4 5 3 4 3" xfId="13448" xr:uid="{00000000-0005-0000-0000-0000D4210000}"/>
    <cellStyle name="20 % - Markeringsfarve4 5 3 4 3 2" xfId="31615" xr:uid="{00000000-0005-0000-0000-0000D5210000}"/>
    <cellStyle name="20 % - Markeringsfarve4 5 3 4 4" xfId="24613" xr:uid="{00000000-0005-0000-0000-0000D6210000}"/>
    <cellStyle name="20 % - Markeringsfarve4 5 3 5" xfId="7853" xr:uid="{00000000-0005-0000-0000-0000D7210000}"/>
    <cellStyle name="20 % - Markeringsfarve4 5 3 5 2" xfId="15771" xr:uid="{00000000-0005-0000-0000-0000D8210000}"/>
    <cellStyle name="20 % - Markeringsfarve4 5 3 5 2 2" xfId="33931" xr:uid="{00000000-0005-0000-0000-0000D9210000}"/>
    <cellStyle name="20 % - Markeringsfarve4 5 3 5 3" xfId="26930" xr:uid="{00000000-0005-0000-0000-0000DA210000}"/>
    <cellStyle name="20 % - Markeringsfarve4 5 3 6" xfId="13444" xr:uid="{00000000-0005-0000-0000-0000DB210000}"/>
    <cellStyle name="20 % - Markeringsfarve4 5 3 6 2" xfId="31611" xr:uid="{00000000-0005-0000-0000-0000DC210000}"/>
    <cellStyle name="20 % - Markeringsfarve4 5 3 7" xfId="24609" xr:uid="{00000000-0005-0000-0000-0000DD210000}"/>
    <cellStyle name="20 % - Markeringsfarve4 5 4" xfId="4895" xr:uid="{00000000-0005-0000-0000-0000DE210000}"/>
    <cellStyle name="20 % - Markeringsfarve4 5 4 2" xfId="4896" xr:uid="{00000000-0005-0000-0000-0000DF210000}"/>
    <cellStyle name="20 % - Markeringsfarve4 5 4 2 2" xfId="4897" xr:uid="{00000000-0005-0000-0000-0000E0210000}"/>
    <cellStyle name="20 % - Markeringsfarve4 5 4 2 2 2" xfId="10158" xr:uid="{00000000-0005-0000-0000-0000E1210000}"/>
    <cellStyle name="20 % - Markeringsfarve4 5 4 2 2 2 2" xfId="18059" xr:uid="{00000000-0005-0000-0000-0000E2210000}"/>
    <cellStyle name="20 % - Markeringsfarve4 5 4 2 2 2 2 2" xfId="36219" xr:uid="{00000000-0005-0000-0000-0000E3210000}"/>
    <cellStyle name="20 % - Markeringsfarve4 5 4 2 2 2 3" xfId="29218" xr:uid="{00000000-0005-0000-0000-0000E4210000}"/>
    <cellStyle name="20 % - Markeringsfarve4 5 4 2 2 3" xfId="13451" xr:uid="{00000000-0005-0000-0000-0000E5210000}"/>
    <cellStyle name="20 % - Markeringsfarve4 5 4 2 2 3 2" xfId="31618" xr:uid="{00000000-0005-0000-0000-0000E6210000}"/>
    <cellStyle name="20 % - Markeringsfarve4 5 4 2 2 4" xfId="24616" xr:uid="{00000000-0005-0000-0000-0000E7210000}"/>
    <cellStyle name="20 % - Markeringsfarve4 5 4 2 3" xfId="8692" xr:uid="{00000000-0005-0000-0000-0000E8210000}"/>
    <cellStyle name="20 % - Markeringsfarve4 5 4 2 3 2" xfId="16606" xr:uid="{00000000-0005-0000-0000-0000E9210000}"/>
    <cellStyle name="20 % - Markeringsfarve4 5 4 2 3 2 2" xfId="34766" xr:uid="{00000000-0005-0000-0000-0000EA210000}"/>
    <cellStyle name="20 % - Markeringsfarve4 5 4 2 3 3" xfId="27765" xr:uid="{00000000-0005-0000-0000-0000EB210000}"/>
    <cellStyle name="20 % - Markeringsfarve4 5 4 2 4" xfId="13450" xr:uid="{00000000-0005-0000-0000-0000EC210000}"/>
    <cellStyle name="20 % - Markeringsfarve4 5 4 2 4 2" xfId="31617" xr:uid="{00000000-0005-0000-0000-0000ED210000}"/>
    <cellStyle name="20 % - Markeringsfarve4 5 4 2 5" xfId="24615" xr:uid="{00000000-0005-0000-0000-0000EE210000}"/>
    <cellStyle name="20 % - Markeringsfarve4 5 4 3" xfId="4898" xr:uid="{00000000-0005-0000-0000-0000EF210000}"/>
    <cellStyle name="20 % - Markeringsfarve4 5 4 3 2" xfId="9434" xr:uid="{00000000-0005-0000-0000-0000F0210000}"/>
    <cellStyle name="20 % - Markeringsfarve4 5 4 3 2 2" xfId="17344" xr:uid="{00000000-0005-0000-0000-0000F1210000}"/>
    <cellStyle name="20 % - Markeringsfarve4 5 4 3 2 2 2" xfId="35504" xr:uid="{00000000-0005-0000-0000-0000F2210000}"/>
    <cellStyle name="20 % - Markeringsfarve4 5 4 3 2 3" xfId="28503" xr:uid="{00000000-0005-0000-0000-0000F3210000}"/>
    <cellStyle name="20 % - Markeringsfarve4 5 4 3 3" xfId="13452" xr:uid="{00000000-0005-0000-0000-0000F4210000}"/>
    <cellStyle name="20 % - Markeringsfarve4 5 4 3 3 2" xfId="31619" xr:uid="{00000000-0005-0000-0000-0000F5210000}"/>
    <cellStyle name="20 % - Markeringsfarve4 5 4 3 4" xfId="24617" xr:uid="{00000000-0005-0000-0000-0000F6210000}"/>
    <cellStyle name="20 % - Markeringsfarve4 5 4 4" xfId="4899" xr:uid="{00000000-0005-0000-0000-0000F7210000}"/>
    <cellStyle name="20 % - Markeringsfarve4 5 4 4 2" xfId="10880" xr:uid="{00000000-0005-0000-0000-0000F8210000}"/>
    <cellStyle name="20 % - Markeringsfarve4 5 4 4 2 2" xfId="18763" xr:uid="{00000000-0005-0000-0000-0000F9210000}"/>
    <cellStyle name="20 % - Markeringsfarve4 5 4 4 2 2 2" xfId="36923" xr:uid="{00000000-0005-0000-0000-0000FA210000}"/>
    <cellStyle name="20 % - Markeringsfarve4 5 4 4 2 3" xfId="29922" xr:uid="{00000000-0005-0000-0000-0000FB210000}"/>
    <cellStyle name="20 % - Markeringsfarve4 5 4 4 3" xfId="13453" xr:uid="{00000000-0005-0000-0000-0000FC210000}"/>
    <cellStyle name="20 % - Markeringsfarve4 5 4 4 3 2" xfId="31620" xr:uid="{00000000-0005-0000-0000-0000FD210000}"/>
    <cellStyle name="20 % - Markeringsfarve4 5 4 4 4" xfId="24618" xr:uid="{00000000-0005-0000-0000-0000FE210000}"/>
    <cellStyle name="20 % - Markeringsfarve4 5 4 5" xfId="7854" xr:uid="{00000000-0005-0000-0000-0000FF210000}"/>
    <cellStyle name="20 % - Markeringsfarve4 5 4 5 2" xfId="15772" xr:uid="{00000000-0005-0000-0000-000000220000}"/>
    <cellStyle name="20 % - Markeringsfarve4 5 4 5 2 2" xfId="33932" xr:uid="{00000000-0005-0000-0000-000001220000}"/>
    <cellStyle name="20 % - Markeringsfarve4 5 4 5 3" xfId="26931" xr:uid="{00000000-0005-0000-0000-000002220000}"/>
    <cellStyle name="20 % - Markeringsfarve4 5 4 6" xfId="13449" xr:uid="{00000000-0005-0000-0000-000003220000}"/>
    <cellStyle name="20 % - Markeringsfarve4 5 4 6 2" xfId="31616" xr:uid="{00000000-0005-0000-0000-000004220000}"/>
    <cellStyle name="20 % - Markeringsfarve4 5 4 7" xfId="24614" xr:uid="{00000000-0005-0000-0000-000005220000}"/>
    <cellStyle name="20 % - Markeringsfarve4 5 5" xfId="4900" xr:uid="{00000000-0005-0000-0000-000006220000}"/>
    <cellStyle name="20 % - Markeringsfarve4 5 5 2" xfId="4901" xr:uid="{00000000-0005-0000-0000-000007220000}"/>
    <cellStyle name="20 % - Markeringsfarve4 5 5 2 2" xfId="4902" xr:uid="{00000000-0005-0000-0000-000008220000}"/>
    <cellStyle name="20 % - Markeringsfarve4 5 5 2 2 2" xfId="10275" xr:uid="{00000000-0005-0000-0000-000009220000}"/>
    <cellStyle name="20 % - Markeringsfarve4 5 5 2 2 2 2" xfId="18176" xr:uid="{00000000-0005-0000-0000-00000A220000}"/>
    <cellStyle name="20 % - Markeringsfarve4 5 5 2 2 2 2 2" xfId="36336" xr:uid="{00000000-0005-0000-0000-00000B220000}"/>
    <cellStyle name="20 % - Markeringsfarve4 5 5 2 2 2 3" xfId="29335" xr:uid="{00000000-0005-0000-0000-00000C220000}"/>
    <cellStyle name="20 % - Markeringsfarve4 5 5 2 2 3" xfId="13456" xr:uid="{00000000-0005-0000-0000-00000D220000}"/>
    <cellStyle name="20 % - Markeringsfarve4 5 5 2 2 3 2" xfId="31623" xr:uid="{00000000-0005-0000-0000-00000E220000}"/>
    <cellStyle name="20 % - Markeringsfarve4 5 5 2 2 4" xfId="24621" xr:uid="{00000000-0005-0000-0000-00000F220000}"/>
    <cellStyle name="20 % - Markeringsfarve4 5 5 2 3" xfId="8791" xr:uid="{00000000-0005-0000-0000-000010220000}"/>
    <cellStyle name="20 % - Markeringsfarve4 5 5 2 3 2" xfId="16705" xr:uid="{00000000-0005-0000-0000-000011220000}"/>
    <cellStyle name="20 % - Markeringsfarve4 5 5 2 3 2 2" xfId="34865" xr:uid="{00000000-0005-0000-0000-000012220000}"/>
    <cellStyle name="20 % - Markeringsfarve4 5 5 2 3 3" xfId="27864" xr:uid="{00000000-0005-0000-0000-000013220000}"/>
    <cellStyle name="20 % - Markeringsfarve4 5 5 2 4" xfId="13455" xr:uid="{00000000-0005-0000-0000-000014220000}"/>
    <cellStyle name="20 % - Markeringsfarve4 5 5 2 4 2" xfId="31622" xr:uid="{00000000-0005-0000-0000-000015220000}"/>
    <cellStyle name="20 % - Markeringsfarve4 5 5 2 5" xfId="24620" xr:uid="{00000000-0005-0000-0000-000016220000}"/>
    <cellStyle name="20 % - Markeringsfarve4 5 5 3" xfId="4903" xr:uid="{00000000-0005-0000-0000-000017220000}"/>
    <cellStyle name="20 % - Markeringsfarve4 5 5 3 2" xfId="9551" xr:uid="{00000000-0005-0000-0000-000018220000}"/>
    <cellStyle name="20 % - Markeringsfarve4 5 5 3 2 2" xfId="17461" xr:uid="{00000000-0005-0000-0000-000019220000}"/>
    <cellStyle name="20 % - Markeringsfarve4 5 5 3 2 2 2" xfId="35621" xr:uid="{00000000-0005-0000-0000-00001A220000}"/>
    <cellStyle name="20 % - Markeringsfarve4 5 5 3 2 3" xfId="28620" xr:uid="{00000000-0005-0000-0000-00001B220000}"/>
    <cellStyle name="20 % - Markeringsfarve4 5 5 3 3" xfId="13457" xr:uid="{00000000-0005-0000-0000-00001C220000}"/>
    <cellStyle name="20 % - Markeringsfarve4 5 5 3 3 2" xfId="31624" xr:uid="{00000000-0005-0000-0000-00001D220000}"/>
    <cellStyle name="20 % - Markeringsfarve4 5 5 3 4" xfId="24622" xr:uid="{00000000-0005-0000-0000-00001E220000}"/>
    <cellStyle name="20 % - Markeringsfarve4 5 5 4" xfId="4904" xr:uid="{00000000-0005-0000-0000-00001F220000}"/>
    <cellStyle name="20 % - Markeringsfarve4 5 5 4 2" xfId="10529" xr:uid="{00000000-0005-0000-0000-000020220000}"/>
    <cellStyle name="20 % - Markeringsfarve4 5 5 4 2 2" xfId="18423" xr:uid="{00000000-0005-0000-0000-000021220000}"/>
    <cellStyle name="20 % - Markeringsfarve4 5 5 4 2 2 2" xfId="36583" xr:uid="{00000000-0005-0000-0000-000022220000}"/>
    <cellStyle name="20 % - Markeringsfarve4 5 5 4 2 3" xfId="29582" xr:uid="{00000000-0005-0000-0000-000023220000}"/>
    <cellStyle name="20 % - Markeringsfarve4 5 5 4 3" xfId="13458" xr:uid="{00000000-0005-0000-0000-000024220000}"/>
    <cellStyle name="20 % - Markeringsfarve4 5 5 4 3 2" xfId="31625" xr:uid="{00000000-0005-0000-0000-000025220000}"/>
    <cellStyle name="20 % - Markeringsfarve4 5 5 4 4" xfId="24623" xr:uid="{00000000-0005-0000-0000-000026220000}"/>
    <cellStyle name="20 % - Markeringsfarve4 5 5 5" xfId="7855" xr:uid="{00000000-0005-0000-0000-000027220000}"/>
    <cellStyle name="20 % - Markeringsfarve4 5 5 5 2" xfId="15773" xr:uid="{00000000-0005-0000-0000-000028220000}"/>
    <cellStyle name="20 % - Markeringsfarve4 5 5 5 2 2" xfId="33933" xr:uid="{00000000-0005-0000-0000-000029220000}"/>
    <cellStyle name="20 % - Markeringsfarve4 5 5 5 3" xfId="26932" xr:uid="{00000000-0005-0000-0000-00002A220000}"/>
    <cellStyle name="20 % - Markeringsfarve4 5 5 6" xfId="13454" xr:uid="{00000000-0005-0000-0000-00002B220000}"/>
    <cellStyle name="20 % - Markeringsfarve4 5 5 6 2" xfId="31621" xr:uid="{00000000-0005-0000-0000-00002C220000}"/>
    <cellStyle name="20 % - Markeringsfarve4 5 5 7" xfId="24619" xr:uid="{00000000-0005-0000-0000-00002D220000}"/>
    <cellStyle name="20 % - Markeringsfarve4 5 6" xfId="4905" xr:uid="{00000000-0005-0000-0000-00002E220000}"/>
    <cellStyle name="20 % - Markeringsfarve4 5 6 2" xfId="4906" xr:uid="{00000000-0005-0000-0000-00002F220000}"/>
    <cellStyle name="20 % - Markeringsfarve4 5 6 2 2" xfId="4907" xr:uid="{00000000-0005-0000-0000-000030220000}"/>
    <cellStyle name="20 % - Markeringsfarve4 5 6 2 2 2" xfId="10343" xr:uid="{00000000-0005-0000-0000-000031220000}"/>
    <cellStyle name="20 % - Markeringsfarve4 5 6 2 2 2 2" xfId="18244" xr:uid="{00000000-0005-0000-0000-000032220000}"/>
    <cellStyle name="20 % - Markeringsfarve4 5 6 2 2 2 2 2" xfId="36404" xr:uid="{00000000-0005-0000-0000-000033220000}"/>
    <cellStyle name="20 % - Markeringsfarve4 5 6 2 2 2 3" xfId="29403" xr:uid="{00000000-0005-0000-0000-000034220000}"/>
    <cellStyle name="20 % - Markeringsfarve4 5 6 2 2 3" xfId="13461" xr:uid="{00000000-0005-0000-0000-000035220000}"/>
    <cellStyle name="20 % - Markeringsfarve4 5 6 2 2 3 2" xfId="31628" xr:uid="{00000000-0005-0000-0000-000036220000}"/>
    <cellStyle name="20 % - Markeringsfarve4 5 6 2 2 4" xfId="24626" xr:uid="{00000000-0005-0000-0000-000037220000}"/>
    <cellStyle name="20 % - Markeringsfarve4 5 6 2 3" xfId="8854" xr:uid="{00000000-0005-0000-0000-000038220000}"/>
    <cellStyle name="20 % - Markeringsfarve4 5 6 2 3 2" xfId="16768" xr:uid="{00000000-0005-0000-0000-000039220000}"/>
    <cellStyle name="20 % - Markeringsfarve4 5 6 2 3 2 2" xfId="34928" xr:uid="{00000000-0005-0000-0000-00003A220000}"/>
    <cellStyle name="20 % - Markeringsfarve4 5 6 2 3 3" xfId="27927" xr:uid="{00000000-0005-0000-0000-00003B220000}"/>
    <cellStyle name="20 % - Markeringsfarve4 5 6 2 4" xfId="13460" xr:uid="{00000000-0005-0000-0000-00003C220000}"/>
    <cellStyle name="20 % - Markeringsfarve4 5 6 2 4 2" xfId="31627" xr:uid="{00000000-0005-0000-0000-00003D220000}"/>
    <cellStyle name="20 % - Markeringsfarve4 5 6 2 5" xfId="24625" xr:uid="{00000000-0005-0000-0000-00003E220000}"/>
    <cellStyle name="20 % - Markeringsfarve4 5 6 3" xfId="4908" xr:uid="{00000000-0005-0000-0000-00003F220000}"/>
    <cellStyle name="20 % - Markeringsfarve4 5 6 3 2" xfId="9620" xr:uid="{00000000-0005-0000-0000-000040220000}"/>
    <cellStyle name="20 % - Markeringsfarve4 5 6 3 2 2" xfId="17530" xr:uid="{00000000-0005-0000-0000-000041220000}"/>
    <cellStyle name="20 % - Markeringsfarve4 5 6 3 2 2 2" xfId="35690" xr:uid="{00000000-0005-0000-0000-000042220000}"/>
    <cellStyle name="20 % - Markeringsfarve4 5 6 3 2 3" xfId="28689" xr:uid="{00000000-0005-0000-0000-000043220000}"/>
    <cellStyle name="20 % - Markeringsfarve4 5 6 3 3" xfId="13462" xr:uid="{00000000-0005-0000-0000-000044220000}"/>
    <cellStyle name="20 % - Markeringsfarve4 5 6 3 3 2" xfId="31629" xr:uid="{00000000-0005-0000-0000-000045220000}"/>
    <cellStyle name="20 % - Markeringsfarve4 5 6 3 4" xfId="24627" xr:uid="{00000000-0005-0000-0000-000046220000}"/>
    <cellStyle name="20 % - Markeringsfarve4 5 6 4" xfId="4909" xr:uid="{00000000-0005-0000-0000-000047220000}"/>
    <cellStyle name="20 % - Markeringsfarve4 5 6 4 2" xfId="10832" xr:uid="{00000000-0005-0000-0000-000048220000}"/>
    <cellStyle name="20 % - Markeringsfarve4 5 6 4 2 2" xfId="18718" xr:uid="{00000000-0005-0000-0000-000049220000}"/>
    <cellStyle name="20 % - Markeringsfarve4 5 6 4 2 2 2" xfId="36878" xr:uid="{00000000-0005-0000-0000-00004A220000}"/>
    <cellStyle name="20 % - Markeringsfarve4 5 6 4 2 3" xfId="29877" xr:uid="{00000000-0005-0000-0000-00004B220000}"/>
    <cellStyle name="20 % - Markeringsfarve4 5 6 4 3" xfId="13463" xr:uid="{00000000-0005-0000-0000-00004C220000}"/>
    <cellStyle name="20 % - Markeringsfarve4 5 6 4 3 2" xfId="31630" xr:uid="{00000000-0005-0000-0000-00004D220000}"/>
    <cellStyle name="20 % - Markeringsfarve4 5 6 4 4" xfId="24628" xr:uid="{00000000-0005-0000-0000-00004E220000}"/>
    <cellStyle name="20 % - Markeringsfarve4 5 6 5" xfId="7856" xr:uid="{00000000-0005-0000-0000-00004F220000}"/>
    <cellStyle name="20 % - Markeringsfarve4 5 6 5 2" xfId="15774" xr:uid="{00000000-0005-0000-0000-000050220000}"/>
    <cellStyle name="20 % - Markeringsfarve4 5 6 5 2 2" xfId="33934" xr:uid="{00000000-0005-0000-0000-000051220000}"/>
    <cellStyle name="20 % - Markeringsfarve4 5 6 5 3" xfId="26933" xr:uid="{00000000-0005-0000-0000-000052220000}"/>
    <cellStyle name="20 % - Markeringsfarve4 5 6 6" xfId="13459" xr:uid="{00000000-0005-0000-0000-000053220000}"/>
    <cellStyle name="20 % - Markeringsfarve4 5 6 6 2" xfId="31626" xr:uid="{00000000-0005-0000-0000-000054220000}"/>
    <cellStyle name="20 % - Markeringsfarve4 5 6 7" xfId="24624" xr:uid="{00000000-0005-0000-0000-000055220000}"/>
    <cellStyle name="20 % - Markeringsfarve4 5 7" xfId="4910" xr:uid="{00000000-0005-0000-0000-000056220000}"/>
    <cellStyle name="20 % - Markeringsfarve4 5 7 2" xfId="4911" xr:uid="{00000000-0005-0000-0000-000057220000}"/>
    <cellStyle name="20 % - Markeringsfarve4 5 7 2 2" xfId="9801" xr:uid="{00000000-0005-0000-0000-000058220000}"/>
    <cellStyle name="20 % - Markeringsfarve4 5 7 2 2 2" xfId="17702" xr:uid="{00000000-0005-0000-0000-000059220000}"/>
    <cellStyle name="20 % - Markeringsfarve4 5 7 2 2 2 2" xfId="35862" xr:uid="{00000000-0005-0000-0000-00005A220000}"/>
    <cellStyle name="20 % - Markeringsfarve4 5 7 2 2 3" xfId="28861" xr:uid="{00000000-0005-0000-0000-00005B220000}"/>
    <cellStyle name="20 % - Markeringsfarve4 5 7 2 3" xfId="13465" xr:uid="{00000000-0005-0000-0000-00005C220000}"/>
    <cellStyle name="20 % - Markeringsfarve4 5 7 2 3 2" xfId="31632" xr:uid="{00000000-0005-0000-0000-00005D220000}"/>
    <cellStyle name="20 % - Markeringsfarve4 5 7 2 4" xfId="24630" xr:uid="{00000000-0005-0000-0000-00005E220000}"/>
    <cellStyle name="20 % - Markeringsfarve4 5 7 3" xfId="8391" xr:uid="{00000000-0005-0000-0000-00005F220000}"/>
    <cellStyle name="20 % - Markeringsfarve4 5 7 3 2" xfId="16308" xr:uid="{00000000-0005-0000-0000-000060220000}"/>
    <cellStyle name="20 % - Markeringsfarve4 5 7 3 2 2" xfId="34468" xr:uid="{00000000-0005-0000-0000-000061220000}"/>
    <cellStyle name="20 % - Markeringsfarve4 5 7 3 3" xfId="27467" xr:uid="{00000000-0005-0000-0000-000062220000}"/>
    <cellStyle name="20 % - Markeringsfarve4 5 7 4" xfId="13464" xr:uid="{00000000-0005-0000-0000-000063220000}"/>
    <cellStyle name="20 % - Markeringsfarve4 5 7 4 2" xfId="31631" xr:uid="{00000000-0005-0000-0000-000064220000}"/>
    <cellStyle name="20 % - Markeringsfarve4 5 7 5" xfId="24629" xr:uid="{00000000-0005-0000-0000-000065220000}"/>
    <cellStyle name="20 % - Markeringsfarve4 5 8" xfId="4912" xr:uid="{00000000-0005-0000-0000-000066220000}"/>
    <cellStyle name="20 % - Markeringsfarve4 5 8 2" xfId="9029" xr:uid="{00000000-0005-0000-0000-000067220000}"/>
    <cellStyle name="20 % - Markeringsfarve4 5 8 2 2" xfId="16940" xr:uid="{00000000-0005-0000-0000-000068220000}"/>
    <cellStyle name="20 % - Markeringsfarve4 5 8 2 2 2" xfId="35100" xr:uid="{00000000-0005-0000-0000-000069220000}"/>
    <cellStyle name="20 % - Markeringsfarve4 5 8 2 3" xfId="28099" xr:uid="{00000000-0005-0000-0000-00006A220000}"/>
    <cellStyle name="20 % - Markeringsfarve4 5 8 3" xfId="13466" xr:uid="{00000000-0005-0000-0000-00006B220000}"/>
    <cellStyle name="20 % - Markeringsfarve4 5 8 3 2" xfId="31633" xr:uid="{00000000-0005-0000-0000-00006C220000}"/>
    <cellStyle name="20 % - Markeringsfarve4 5 8 4" xfId="24631" xr:uid="{00000000-0005-0000-0000-00006D220000}"/>
    <cellStyle name="20 % - Markeringsfarve4 5 9" xfId="4913" xr:uid="{00000000-0005-0000-0000-00006E220000}"/>
    <cellStyle name="20 % - Markeringsfarve4 5 9 2" xfId="10687" xr:uid="{00000000-0005-0000-0000-00006F220000}"/>
    <cellStyle name="20 % - Markeringsfarve4 5 9 2 2" xfId="18578" xr:uid="{00000000-0005-0000-0000-000070220000}"/>
    <cellStyle name="20 % - Markeringsfarve4 5 9 2 2 2" xfId="36738" xr:uid="{00000000-0005-0000-0000-000071220000}"/>
    <cellStyle name="20 % - Markeringsfarve4 5 9 2 3" xfId="29737" xr:uid="{00000000-0005-0000-0000-000072220000}"/>
    <cellStyle name="20 % - Markeringsfarve4 5 9 3" xfId="13467" xr:uid="{00000000-0005-0000-0000-000073220000}"/>
    <cellStyle name="20 % - Markeringsfarve4 5 9 3 2" xfId="31634" xr:uid="{00000000-0005-0000-0000-000074220000}"/>
    <cellStyle name="20 % - Markeringsfarve4 5 9 4" xfId="24632" xr:uid="{00000000-0005-0000-0000-000075220000}"/>
    <cellStyle name="20 % - Markeringsfarve4 6" xfId="1828" xr:uid="{00000000-0005-0000-0000-000076220000}"/>
    <cellStyle name="20 % - Markeringsfarve4 6 2" xfId="1829" xr:uid="{00000000-0005-0000-0000-000077220000}"/>
    <cellStyle name="20 % - Markeringsfarve4 6 2 2" xfId="4916" xr:uid="{00000000-0005-0000-0000-000078220000}"/>
    <cellStyle name="20 % - Markeringsfarve4 6 2 2 2" xfId="4917" xr:uid="{00000000-0005-0000-0000-000079220000}"/>
    <cellStyle name="20 % - Markeringsfarve4 6 2 2 2 2" xfId="9989" xr:uid="{00000000-0005-0000-0000-00007A220000}"/>
    <cellStyle name="20 % - Markeringsfarve4 6 2 2 2 2 2" xfId="17890" xr:uid="{00000000-0005-0000-0000-00007B220000}"/>
    <cellStyle name="20 % - Markeringsfarve4 6 2 2 2 2 2 2" xfId="36050" xr:uid="{00000000-0005-0000-0000-00007C220000}"/>
    <cellStyle name="20 % - Markeringsfarve4 6 2 2 2 2 3" xfId="29049" xr:uid="{00000000-0005-0000-0000-00007D220000}"/>
    <cellStyle name="20 % - Markeringsfarve4 6 2 2 2 3" xfId="13471" xr:uid="{00000000-0005-0000-0000-00007E220000}"/>
    <cellStyle name="20 % - Markeringsfarve4 6 2 2 2 3 2" xfId="31638" xr:uid="{00000000-0005-0000-0000-00007F220000}"/>
    <cellStyle name="20 % - Markeringsfarve4 6 2 2 2 4" xfId="24636" xr:uid="{00000000-0005-0000-0000-000080220000}"/>
    <cellStyle name="20 % - Markeringsfarve4 6 2 2 3" xfId="8553" xr:uid="{00000000-0005-0000-0000-000081220000}"/>
    <cellStyle name="20 % - Markeringsfarve4 6 2 2 3 2" xfId="16470" xr:uid="{00000000-0005-0000-0000-000082220000}"/>
    <cellStyle name="20 % - Markeringsfarve4 6 2 2 3 2 2" xfId="34630" xr:uid="{00000000-0005-0000-0000-000083220000}"/>
    <cellStyle name="20 % - Markeringsfarve4 6 2 2 3 3" xfId="27629" xr:uid="{00000000-0005-0000-0000-000084220000}"/>
    <cellStyle name="20 % - Markeringsfarve4 6 2 2 4" xfId="13470" xr:uid="{00000000-0005-0000-0000-000085220000}"/>
    <cellStyle name="20 % - Markeringsfarve4 6 2 2 4 2" xfId="31637" xr:uid="{00000000-0005-0000-0000-000086220000}"/>
    <cellStyle name="20 % - Markeringsfarve4 6 2 2 5" xfId="24635" xr:uid="{00000000-0005-0000-0000-000087220000}"/>
    <cellStyle name="20 % - Markeringsfarve4 6 2 3" xfId="4918" xr:uid="{00000000-0005-0000-0000-000088220000}"/>
    <cellStyle name="20 % - Markeringsfarve4 6 2 3 2" xfId="9219" xr:uid="{00000000-0005-0000-0000-000089220000}"/>
    <cellStyle name="20 % - Markeringsfarve4 6 2 3 2 2" xfId="17130" xr:uid="{00000000-0005-0000-0000-00008A220000}"/>
    <cellStyle name="20 % - Markeringsfarve4 6 2 3 2 2 2" xfId="35290" xr:uid="{00000000-0005-0000-0000-00008B220000}"/>
    <cellStyle name="20 % - Markeringsfarve4 6 2 3 2 3" xfId="28289" xr:uid="{00000000-0005-0000-0000-00008C220000}"/>
    <cellStyle name="20 % - Markeringsfarve4 6 2 3 3" xfId="13472" xr:uid="{00000000-0005-0000-0000-00008D220000}"/>
    <cellStyle name="20 % - Markeringsfarve4 6 2 3 3 2" xfId="31639" xr:uid="{00000000-0005-0000-0000-00008E220000}"/>
    <cellStyle name="20 % - Markeringsfarve4 6 2 3 4" xfId="24637" xr:uid="{00000000-0005-0000-0000-00008F220000}"/>
    <cellStyle name="20 % - Markeringsfarve4 6 2 4" xfId="4919" xr:uid="{00000000-0005-0000-0000-000090220000}"/>
    <cellStyle name="20 % - Markeringsfarve4 6 2 4 2" xfId="10436" xr:uid="{00000000-0005-0000-0000-000091220000}"/>
    <cellStyle name="20 % - Markeringsfarve4 6 2 4 2 2" xfId="18333" xr:uid="{00000000-0005-0000-0000-000092220000}"/>
    <cellStyle name="20 % - Markeringsfarve4 6 2 4 2 2 2" xfId="36493" xr:uid="{00000000-0005-0000-0000-000093220000}"/>
    <cellStyle name="20 % - Markeringsfarve4 6 2 4 2 3" xfId="29492" xr:uid="{00000000-0005-0000-0000-000094220000}"/>
    <cellStyle name="20 % - Markeringsfarve4 6 2 4 3" xfId="13473" xr:uid="{00000000-0005-0000-0000-000095220000}"/>
    <cellStyle name="20 % - Markeringsfarve4 6 2 4 3 2" xfId="31640" xr:uid="{00000000-0005-0000-0000-000096220000}"/>
    <cellStyle name="20 % - Markeringsfarve4 6 2 4 4" xfId="24638" xr:uid="{00000000-0005-0000-0000-000097220000}"/>
    <cellStyle name="20 % - Markeringsfarve4 6 2 5" xfId="7858" xr:uid="{00000000-0005-0000-0000-000098220000}"/>
    <cellStyle name="20 % - Markeringsfarve4 6 2 5 2" xfId="15776" xr:uid="{00000000-0005-0000-0000-000099220000}"/>
    <cellStyle name="20 % - Markeringsfarve4 6 2 5 2 2" xfId="33936" xr:uid="{00000000-0005-0000-0000-00009A220000}"/>
    <cellStyle name="20 % - Markeringsfarve4 6 2 5 3" xfId="26935" xr:uid="{00000000-0005-0000-0000-00009B220000}"/>
    <cellStyle name="20 % - Markeringsfarve4 6 2 6" xfId="13469" xr:uid="{00000000-0005-0000-0000-00009C220000}"/>
    <cellStyle name="20 % - Markeringsfarve4 6 2 6 2" xfId="31636" xr:uid="{00000000-0005-0000-0000-00009D220000}"/>
    <cellStyle name="20 % - Markeringsfarve4 6 2 7" xfId="4915" xr:uid="{00000000-0005-0000-0000-00009E220000}"/>
    <cellStyle name="20 % - Markeringsfarve4 6 2 7 2" xfId="24634" xr:uid="{00000000-0005-0000-0000-00009F220000}"/>
    <cellStyle name="20 % - Markeringsfarve4 6 2 8" xfId="21953" xr:uid="{00000000-0005-0000-0000-0000A0220000}"/>
    <cellStyle name="20 % - Markeringsfarve4 6 3" xfId="4920" xr:uid="{00000000-0005-0000-0000-0000A1220000}"/>
    <cellStyle name="20 % - Markeringsfarve4 6 3 2" xfId="4921" xr:uid="{00000000-0005-0000-0000-0000A2220000}"/>
    <cellStyle name="20 % - Markeringsfarve4 6 3 2 2" xfId="9842" xr:uid="{00000000-0005-0000-0000-0000A3220000}"/>
    <cellStyle name="20 % - Markeringsfarve4 6 3 2 2 2" xfId="17743" xr:uid="{00000000-0005-0000-0000-0000A4220000}"/>
    <cellStyle name="20 % - Markeringsfarve4 6 3 2 2 2 2" xfId="35903" xr:uid="{00000000-0005-0000-0000-0000A5220000}"/>
    <cellStyle name="20 % - Markeringsfarve4 6 3 2 2 3" xfId="28902" xr:uid="{00000000-0005-0000-0000-0000A6220000}"/>
    <cellStyle name="20 % - Markeringsfarve4 6 3 2 3" xfId="13475" xr:uid="{00000000-0005-0000-0000-0000A7220000}"/>
    <cellStyle name="20 % - Markeringsfarve4 6 3 2 3 2" xfId="31642" xr:uid="{00000000-0005-0000-0000-0000A8220000}"/>
    <cellStyle name="20 % - Markeringsfarve4 6 3 2 4" xfId="24640" xr:uid="{00000000-0005-0000-0000-0000A9220000}"/>
    <cellStyle name="20 % - Markeringsfarve4 6 3 3" xfId="8424" xr:uid="{00000000-0005-0000-0000-0000AA220000}"/>
    <cellStyle name="20 % - Markeringsfarve4 6 3 3 2" xfId="16341" xr:uid="{00000000-0005-0000-0000-0000AB220000}"/>
    <cellStyle name="20 % - Markeringsfarve4 6 3 3 2 2" xfId="34501" xr:uid="{00000000-0005-0000-0000-0000AC220000}"/>
    <cellStyle name="20 % - Markeringsfarve4 6 3 3 3" xfId="27500" xr:uid="{00000000-0005-0000-0000-0000AD220000}"/>
    <cellStyle name="20 % - Markeringsfarve4 6 3 4" xfId="13474" xr:uid="{00000000-0005-0000-0000-0000AE220000}"/>
    <cellStyle name="20 % - Markeringsfarve4 6 3 4 2" xfId="31641" xr:uid="{00000000-0005-0000-0000-0000AF220000}"/>
    <cellStyle name="20 % - Markeringsfarve4 6 3 5" xfId="24639" xr:uid="{00000000-0005-0000-0000-0000B0220000}"/>
    <cellStyle name="20 % - Markeringsfarve4 6 4" xfId="4922" xr:uid="{00000000-0005-0000-0000-0000B1220000}"/>
    <cellStyle name="20 % - Markeringsfarve4 6 4 2" xfId="9072" xr:uid="{00000000-0005-0000-0000-0000B2220000}"/>
    <cellStyle name="20 % - Markeringsfarve4 6 4 2 2" xfId="16983" xr:uid="{00000000-0005-0000-0000-0000B3220000}"/>
    <cellStyle name="20 % - Markeringsfarve4 6 4 2 2 2" xfId="35143" xr:uid="{00000000-0005-0000-0000-0000B4220000}"/>
    <cellStyle name="20 % - Markeringsfarve4 6 4 2 3" xfId="28142" xr:uid="{00000000-0005-0000-0000-0000B5220000}"/>
    <cellStyle name="20 % - Markeringsfarve4 6 4 3" xfId="13476" xr:uid="{00000000-0005-0000-0000-0000B6220000}"/>
    <cellStyle name="20 % - Markeringsfarve4 6 4 3 2" xfId="31643" xr:uid="{00000000-0005-0000-0000-0000B7220000}"/>
    <cellStyle name="20 % - Markeringsfarve4 6 4 4" xfId="24641" xr:uid="{00000000-0005-0000-0000-0000B8220000}"/>
    <cellStyle name="20 % - Markeringsfarve4 6 5" xfId="4923" xr:uid="{00000000-0005-0000-0000-0000B9220000}"/>
    <cellStyle name="20 % - Markeringsfarve4 6 5 2" xfId="10483" xr:uid="{00000000-0005-0000-0000-0000BA220000}"/>
    <cellStyle name="20 % - Markeringsfarve4 6 5 2 2" xfId="18379" xr:uid="{00000000-0005-0000-0000-0000BB220000}"/>
    <cellStyle name="20 % - Markeringsfarve4 6 5 2 2 2" xfId="36539" xr:uid="{00000000-0005-0000-0000-0000BC220000}"/>
    <cellStyle name="20 % - Markeringsfarve4 6 5 2 3" xfId="29538" xr:uid="{00000000-0005-0000-0000-0000BD220000}"/>
    <cellStyle name="20 % - Markeringsfarve4 6 5 3" xfId="13477" xr:uid="{00000000-0005-0000-0000-0000BE220000}"/>
    <cellStyle name="20 % - Markeringsfarve4 6 5 3 2" xfId="31644" xr:uid="{00000000-0005-0000-0000-0000BF220000}"/>
    <cellStyle name="20 % - Markeringsfarve4 6 5 4" xfId="24642" xr:uid="{00000000-0005-0000-0000-0000C0220000}"/>
    <cellStyle name="20 % - Markeringsfarve4 6 6" xfId="7857" xr:uid="{00000000-0005-0000-0000-0000C1220000}"/>
    <cellStyle name="20 % - Markeringsfarve4 6 6 2" xfId="15775" xr:uid="{00000000-0005-0000-0000-0000C2220000}"/>
    <cellStyle name="20 % - Markeringsfarve4 6 6 2 2" xfId="33935" xr:uid="{00000000-0005-0000-0000-0000C3220000}"/>
    <cellStyle name="20 % - Markeringsfarve4 6 6 3" xfId="26934" xr:uid="{00000000-0005-0000-0000-0000C4220000}"/>
    <cellStyle name="20 % - Markeringsfarve4 6 7" xfId="13468" xr:uid="{00000000-0005-0000-0000-0000C5220000}"/>
    <cellStyle name="20 % - Markeringsfarve4 6 7 2" xfId="31635" xr:uid="{00000000-0005-0000-0000-0000C6220000}"/>
    <cellStyle name="20 % - Markeringsfarve4 6 8" xfId="4914" xr:uid="{00000000-0005-0000-0000-0000C7220000}"/>
    <cellStyle name="20 % - Markeringsfarve4 6 8 2" xfId="24633" xr:uid="{00000000-0005-0000-0000-0000C8220000}"/>
    <cellStyle name="20 % - Markeringsfarve4 6 9" xfId="21952" xr:uid="{00000000-0005-0000-0000-0000C9220000}"/>
    <cellStyle name="20 % - Markeringsfarve4 7" xfId="1830" xr:uid="{00000000-0005-0000-0000-0000CA220000}"/>
    <cellStyle name="20 % - Markeringsfarve4 7 2" xfId="4925" xr:uid="{00000000-0005-0000-0000-0000CB220000}"/>
    <cellStyle name="20 % - Markeringsfarve4 7 2 2" xfId="4926" xr:uid="{00000000-0005-0000-0000-0000CC220000}"/>
    <cellStyle name="20 % - Markeringsfarve4 7 2 2 2" xfId="10080" xr:uid="{00000000-0005-0000-0000-0000CD220000}"/>
    <cellStyle name="20 % - Markeringsfarve4 7 2 2 2 2" xfId="17981" xr:uid="{00000000-0005-0000-0000-0000CE220000}"/>
    <cellStyle name="20 % - Markeringsfarve4 7 2 2 2 2 2" xfId="36141" xr:uid="{00000000-0005-0000-0000-0000CF220000}"/>
    <cellStyle name="20 % - Markeringsfarve4 7 2 2 2 3" xfId="29140" xr:uid="{00000000-0005-0000-0000-0000D0220000}"/>
    <cellStyle name="20 % - Markeringsfarve4 7 2 2 3" xfId="13480" xr:uid="{00000000-0005-0000-0000-0000D1220000}"/>
    <cellStyle name="20 % - Markeringsfarve4 7 2 2 3 2" xfId="31647" xr:uid="{00000000-0005-0000-0000-0000D2220000}"/>
    <cellStyle name="20 % - Markeringsfarve4 7 2 2 4" xfId="24645" xr:uid="{00000000-0005-0000-0000-0000D3220000}"/>
    <cellStyle name="20 % - Markeringsfarve4 7 2 3" xfId="8626" xr:uid="{00000000-0005-0000-0000-0000D4220000}"/>
    <cellStyle name="20 % - Markeringsfarve4 7 2 3 2" xfId="16540" xr:uid="{00000000-0005-0000-0000-0000D5220000}"/>
    <cellStyle name="20 % - Markeringsfarve4 7 2 3 2 2" xfId="34700" xr:uid="{00000000-0005-0000-0000-0000D6220000}"/>
    <cellStyle name="20 % - Markeringsfarve4 7 2 3 3" xfId="27699" xr:uid="{00000000-0005-0000-0000-0000D7220000}"/>
    <cellStyle name="20 % - Markeringsfarve4 7 2 4" xfId="13479" xr:uid="{00000000-0005-0000-0000-0000D8220000}"/>
    <cellStyle name="20 % - Markeringsfarve4 7 2 4 2" xfId="31646" xr:uid="{00000000-0005-0000-0000-0000D9220000}"/>
    <cellStyle name="20 % - Markeringsfarve4 7 2 5" xfId="24644" xr:uid="{00000000-0005-0000-0000-0000DA220000}"/>
    <cellStyle name="20 % - Markeringsfarve4 7 3" xfId="4927" xr:uid="{00000000-0005-0000-0000-0000DB220000}"/>
    <cellStyle name="20 % - Markeringsfarve4 7 3 2" xfId="9356" xr:uid="{00000000-0005-0000-0000-0000DC220000}"/>
    <cellStyle name="20 % - Markeringsfarve4 7 3 2 2" xfId="17266" xr:uid="{00000000-0005-0000-0000-0000DD220000}"/>
    <cellStyle name="20 % - Markeringsfarve4 7 3 2 2 2" xfId="35426" xr:uid="{00000000-0005-0000-0000-0000DE220000}"/>
    <cellStyle name="20 % - Markeringsfarve4 7 3 2 3" xfId="28425" xr:uid="{00000000-0005-0000-0000-0000DF220000}"/>
    <cellStyle name="20 % - Markeringsfarve4 7 3 3" xfId="13481" xr:uid="{00000000-0005-0000-0000-0000E0220000}"/>
    <cellStyle name="20 % - Markeringsfarve4 7 3 3 2" xfId="31648" xr:uid="{00000000-0005-0000-0000-0000E1220000}"/>
    <cellStyle name="20 % - Markeringsfarve4 7 3 4" xfId="24646" xr:uid="{00000000-0005-0000-0000-0000E2220000}"/>
    <cellStyle name="20 % - Markeringsfarve4 7 4" xfId="4928" xr:uid="{00000000-0005-0000-0000-0000E3220000}"/>
    <cellStyle name="20 % - Markeringsfarve4 7 4 2" xfId="10777" xr:uid="{00000000-0005-0000-0000-0000E4220000}"/>
    <cellStyle name="20 % - Markeringsfarve4 7 4 2 2" xfId="18665" xr:uid="{00000000-0005-0000-0000-0000E5220000}"/>
    <cellStyle name="20 % - Markeringsfarve4 7 4 2 2 2" xfId="36825" xr:uid="{00000000-0005-0000-0000-0000E6220000}"/>
    <cellStyle name="20 % - Markeringsfarve4 7 4 2 3" xfId="29824" xr:uid="{00000000-0005-0000-0000-0000E7220000}"/>
    <cellStyle name="20 % - Markeringsfarve4 7 4 3" xfId="13482" xr:uid="{00000000-0005-0000-0000-0000E8220000}"/>
    <cellStyle name="20 % - Markeringsfarve4 7 4 3 2" xfId="31649" xr:uid="{00000000-0005-0000-0000-0000E9220000}"/>
    <cellStyle name="20 % - Markeringsfarve4 7 4 4" xfId="24647" xr:uid="{00000000-0005-0000-0000-0000EA220000}"/>
    <cellStyle name="20 % - Markeringsfarve4 7 5" xfId="7859" xr:uid="{00000000-0005-0000-0000-0000EB220000}"/>
    <cellStyle name="20 % - Markeringsfarve4 7 5 2" xfId="15777" xr:uid="{00000000-0005-0000-0000-0000EC220000}"/>
    <cellStyle name="20 % - Markeringsfarve4 7 5 2 2" xfId="33937" xr:uid="{00000000-0005-0000-0000-0000ED220000}"/>
    <cellStyle name="20 % - Markeringsfarve4 7 5 3" xfId="26936" xr:uid="{00000000-0005-0000-0000-0000EE220000}"/>
    <cellStyle name="20 % - Markeringsfarve4 7 6" xfId="13478" xr:uid="{00000000-0005-0000-0000-0000EF220000}"/>
    <cellStyle name="20 % - Markeringsfarve4 7 6 2" xfId="31645" xr:uid="{00000000-0005-0000-0000-0000F0220000}"/>
    <cellStyle name="20 % - Markeringsfarve4 7 7" xfId="4924" xr:uid="{00000000-0005-0000-0000-0000F1220000}"/>
    <cellStyle name="20 % - Markeringsfarve4 7 7 2" xfId="24643" xr:uid="{00000000-0005-0000-0000-0000F2220000}"/>
    <cellStyle name="20 % - Markeringsfarve4 7 8" xfId="21954" xr:uid="{00000000-0005-0000-0000-0000F3220000}"/>
    <cellStyle name="20 % - Markeringsfarve4 8" xfId="4929" xr:uid="{00000000-0005-0000-0000-0000F4220000}"/>
    <cellStyle name="20 % - Markeringsfarve4 8 2" xfId="4930" xr:uid="{00000000-0005-0000-0000-0000F5220000}"/>
    <cellStyle name="20 % - Markeringsfarve4 8 2 2" xfId="4931" xr:uid="{00000000-0005-0000-0000-0000F6220000}"/>
    <cellStyle name="20 % - Markeringsfarve4 8 2 2 2" xfId="10197" xr:uid="{00000000-0005-0000-0000-0000F7220000}"/>
    <cellStyle name="20 % - Markeringsfarve4 8 2 2 2 2" xfId="18098" xr:uid="{00000000-0005-0000-0000-0000F8220000}"/>
    <cellStyle name="20 % - Markeringsfarve4 8 2 2 2 2 2" xfId="36258" xr:uid="{00000000-0005-0000-0000-0000F9220000}"/>
    <cellStyle name="20 % - Markeringsfarve4 8 2 2 2 3" xfId="29257" xr:uid="{00000000-0005-0000-0000-0000FA220000}"/>
    <cellStyle name="20 % - Markeringsfarve4 8 2 2 3" xfId="13485" xr:uid="{00000000-0005-0000-0000-0000FB220000}"/>
    <cellStyle name="20 % - Markeringsfarve4 8 2 2 3 2" xfId="31652" xr:uid="{00000000-0005-0000-0000-0000FC220000}"/>
    <cellStyle name="20 % - Markeringsfarve4 8 2 2 4" xfId="24650" xr:uid="{00000000-0005-0000-0000-0000FD220000}"/>
    <cellStyle name="20 % - Markeringsfarve4 8 2 3" xfId="8725" xr:uid="{00000000-0005-0000-0000-0000FE220000}"/>
    <cellStyle name="20 % - Markeringsfarve4 8 2 3 2" xfId="16639" xr:uid="{00000000-0005-0000-0000-0000FF220000}"/>
    <cellStyle name="20 % - Markeringsfarve4 8 2 3 2 2" xfId="34799" xr:uid="{00000000-0005-0000-0000-000000230000}"/>
    <cellStyle name="20 % - Markeringsfarve4 8 2 3 3" xfId="27798" xr:uid="{00000000-0005-0000-0000-000001230000}"/>
    <cellStyle name="20 % - Markeringsfarve4 8 2 4" xfId="13484" xr:uid="{00000000-0005-0000-0000-000002230000}"/>
    <cellStyle name="20 % - Markeringsfarve4 8 2 4 2" xfId="31651" xr:uid="{00000000-0005-0000-0000-000003230000}"/>
    <cellStyle name="20 % - Markeringsfarve4 8 2 5" xfId="24649" xr:uid="{00000000-0005-0000-0000-000004230000}"/>
    <cellStyle name="20 % - Markeringsfarve4 8 3" xfId="4932" xr:uid="{00000000-0005-0000-0000-000005230000}"/>
    <cellStyle name="20 % - Markeringsfarve4 8 3 2" xfId="9473" xr:uid="{00000000-0005-0000-0000-000006230000}"/>
    <cellStyle name="20 % - Markeringsfarve4 8 3 2 2" xfId="17383" xr:uid="{00000000-0005-0000-0000-000007230000}"/>
    <cellStyle name="20 % - Markeringsfarve4 8 3 2 2 2" xfId="35543" xr:uid="{00000000-0005-0000-0000-000008230000}"/>
    <cellStyle name="20 % - Markeringsfarve4 8 3 2 3" xfId="28542" xr:uid="{00000000-0005-0000-0000-000009230000}"/>
    <cellStyle name="20 % - Markeringsfarve4 8 3 3" xfId="13486" xr:uid="{00000000-0005-0000-0000-00000A230000}"/>
    <cellStyle name="20 % - Markeringsfarve4 8 3 3 2" xfId="31653" xr:uid="{00000000-0005-0000-0000-00000B230000}"/>
    <cellStyle name="20 % - Markeringsfarve4 8 3 4" xfId="24651" xr:uid="{00000000-0005-0000-0000-00000C230000}"/>
    <cellStyle name="20 % - Markeringsfarve4 8 4" xfId="4933" xr:uid="{00000000-0005-0000-0000-00000D230000}"/>
    <cellStyle name="20 % - Markeringsfarve4 8 4 2" xfId="11013" xr:uid="{00000000-0005-0000-0000-00000E230000}"/>
    <cellStyle name="20 % - Markeringsfarve4 8 4 2 2" xfId="18889" xr:uid="{00000000-0005-0000-0000-00000F230000}"/>
    <cellStyle name="20 % - Markeringsfarve4 8 4 2 2 2" xfId="37049" xr:uid="{00000000-0005-0000-0000-000010230000}"/>
    <cellStyle name="20 % - Markeringsfarve4 8 4 2 3" xfId="30048" xr:uid="{00000000-0005-0000-0000-000011230000}"/>
    <cellStyle name="20 % - Markeringsfarve4 8 4 3" xfId="13487" xr:uid="{00000000-0005-0000-0000-000012230000}"/>
    <cellStyle name="20 % - Markeringsfarve4 8 4 3 2" xfId="31654" xr:uid="{00000000-0005-0000-0000-000013230000}"/>
    <cellStyle name="20 % - Markeringsfarve4 8 4 4" xfId="24652" xr:uid="{00000000-0005-0000-0000-000014230000}"/>
    <cellStyle name="20 % - Markeringsfarve4 8 5" xfId="7860" xr:uid="{00000000-0005-0000-0000-000015230000}"/>
    <cellStyle name="20 % - Markeringsfarve4 8 5 2" xfId="15778" xr:uid="{00000000-0005-0000-0000-000016230000}"/>
    <cellStyle name="20 % - Markeringsfarve4 8 5 2 2" xfId="33938" xr:uid="{00000000-0005-0000-0000-000017230000}"/>
    <cellStyle name="20 % - Markeringsfarve4 8 5 3" xfId="26937" xr:uid="{00000000-0005-0000-0000-000018230000}"/>
    <cellStyle name="20 % - Markeringsfarve4 8 6" xfId="13483" xr:uid="{00000000-0005-0000-0000-000019230000}"/>
    <cellStyle name="20 % - Markeringsfarve4 8 6 2" xfId="31650" xr:uid="{00000000-0005-0000-0000-00001A230000}"/>
    <cellStyle name="20 % - Markeringsfarve4 8 7" xfId="24648" xr:uid="{00000000-0005-0000-0000-00001B230000}"/>
    <cellStyle name="20 % - Markeringsfarve4 9" xfId="4934" xr:uid="{00000000-0005-0000-0000-00001C230000}"/>
    <cellStyle name="20 % - Markeringsfarve4 9 2" xfId="4935" xr:uid="{00000000-0005-0000-0000-00001D230000}"/>
    <cellStyle name="20 % - Markeringsfarve4 9 2 2" xfId="4936" xr:uid="{00000000-0005-0000-0000-00001E230000}"/>
    <cellStyle name="20 % - Markeringsfarve4 9 2 2 2" xfId="10335" xr:uid="{00000000-0005-0000-0000-00001F230000}"/>
    <cellStyle name="20 % - Markeringsfarve4 9 2 2 2 2" xfId="18236" xr:uid="{00000000-0005-0000-0000-000020230000}"/>
    <cellStyle name="20 % - Markeringsfarve4 9 2 2 2 2 2" xfId="36396" xr:uid="{00000000-0005-0000-0000-000021230000}"/>
    <cellStyle name="20 % - Markeringsfarve4 9 2 2 2 3" xfId="29395" xr:uid="{00000000-0005-0000-0000-000022230000}"/>
    <cellStyle name="20 % - Markeringsfarve4 9 2 2 3" xfId="13490" xr:uid="{00000000-0005-0000-0000-000023230000}"/>
    <cellStyle name="20 % - Markeringsfarve4 9 2 2 3 2" xfId="31657" xr:uid="{00000000-0005-0000-0000-000024230000}"/>
    <cellStyle name="20 % - Markeringsfarve4 9 2 2 4" xfId="24655" xr:uid="{00000000-0005-0000-0000-000025230000}"/>
    <cellStyle name="20 % - Markeringsfarve4 9 2 3" xfId="8846" xr:uid="{00000000-0005-0000-0000-000026230000}"/>
    <cellStyle name="20 % - Markeringsfarve4 9 2 3 2" xfId="16760" xr:uid="{00000000-0005-0000-0000-000027230000}"/>
    <cellStyle name="20 % - Markeringsfarve4 9 2 3 2 2" xfId="34920" xr:uid="{00000000-0005-0000-0000-000028230000}"/>
    <cellStyle name="20 % - Markeringsfarve4 9 2 3 3" xfId="27919" xr:uid="{00000000-0005-0000-0000-000029230000}"/>
    <cellStyle name="20 % - Markeringsfarve4 9 2 4" xfId="13489" xr:uid="{00000000-0005-0000-0000-00002A230000}"/>
    <cellStyle name="20 % - Markeringsfarve4 9 2 4 2" xfId="31656" xr:uid="{00000000-0005-0000-0000-00002B230000}"/>
    <cellStyle name="20 % - Markeringsfarve4 9 2 5" xfId="24654" xr:uid="{00000000-0005-0000-0000-00002C230000}"/>
    <cellStyle name="20 % - Markeringsfarve4 9 3" xfId="4937" xr:uid="{00000000-0005-0000-0000-00002D230000}"/>
    <cellStyle name="20 % - Markeringsfarve4 9 3 2" xfId="9612" xr:uid="{00000000-0005-0000-0000-00002E230000}"/>
    <cellStyle name="20 % - Markeringsfarve4 9 3 2 2" xfId="17522" xr:uid="{00000000-0005-0000-0000-00002F230000}"/>
    <cellStyle name="20 % - Markeringsfarve4 9 3 2 2 2" xfId="35682" xr:uid="{00000000-0005-0000-0000-000030230000}"/>
    <cellStyle name="20 % - Markeringsfarve4 9 3 2 3" xfId="28681" xr:uid="{00000000-0005-0000-0000-000031230000}"/>
    <cellStyle name="20 % - Markeringsfarve4 9 3 3" xfId="13491" xr:uid="{00000000-0005-0000-0000-000032230000}"/>
    <cellStyle name="20 % - Markeringsfarve4 9 3 3 2" xfId="31658" xr:uid="{00000000-0005-0000-0000-000033230000}"/>
    <cellStyle name="20 % - Markeringsfarve4 9 3 4" xfId="24656" xr:uid="{00000000-0005-0000-0000-000034230000}"/>
    <cellStyle name="20 % - Markeringsfarve4 9 4" xfId="4938" xr:uid="{00000000-0005-0000-0000-000035230000}"/>
    <cellStyle name="20 % - Markeringsfarve4 9 4 2" xfId="10733" xr:uid="{00000000-0005-0000-0000-000036230000}"/>
    <cellStyle name="20 % - Markeringsfarve4 9 4 2 2" xfId="18622" xr:uid="{00000000-0005-0000-0000-000037230000}"/>
    <cellStyle name="20 % - Markeringsfarve4 9 4 2 2 2" xfId="36782" xr:uid="{00000000-0005-0000-0000-000038230000}"/>
    <cellStyle name="20 % - Markeringsfarve4 9 4 2 3" xfId="29781" xr:uid="{00000000-0005-0000-0000-000039230000}"/>
    <cellStyle name="20 % - Markeringsfarve4 9 4 3" xfId="13492" xr:uid="{00000000-0005-0000-0000-00003A230000}"/>
    <cellStyle name="20 % - Markeringsfarve4 9 4 3 2" xfId="31659" xr:uid="{00000000-0005-0000-0000-00003B230000}"/>
    <cellStyle name="20 % - Markeringsfarve4 9 4 4" xfId="24657" xr:uid="{00000000-0005-0000-0000-00003C230000}"/>
    <cellStyle name="20 % - Markeringsfarve4 9 5" xfId="7861" xr:uid="{00000000-0005-0000-0000-00003D230000}"/>
    <cellStyle name="20 % - Markeringsfarve4 9 5 2" xfId="15779" xr:uid="{00000000-0005-0000-0000-00003E230000}"/>
    <cellStyle name="20 % - Markeringsfarve4 9 5 2 2" xfId="33939" xr:uid="{00000000-0005-0000-0000-00003F230000}"/>
    <cellStyle name="20 % - Markeringsfarve4 9 5 3" xfId="26938" xr:uid="{00000000-0005-0000-0000-000040230000}"/>
    <cellStyle name="20 % - Markeringsfarve4 9 6" xfId="13488" xr:uid="{00000000-0005-0000-0000-000041230000}"/>
    <cellStyle name="20 % - Markeringsfarve4 9 6 2" xfId="31655" xr:uid="{00000000-0005-0000-0000-000042230000}"/>
    <cellStyle name="20 % - Markeringsfarve4 9 7" xfId="24653" xr:uid="{00000000-0005-0000-0000-000043230000}"/>
    <cellStyle name="20 % - Markeringsfarve5 10" xfId="4939" xr:uid="{00000000-0005-0000-0000-000044230000}"/>
    <cellStyle name="20 % - Markeringsfarve5 10 2" xfId="4940" xr:uid="{00000000-0005-0000-0000-000045230000}"/>
    <cellStyle name="20 % - Markeringsfarve5 10 2 2" xfId="10344" xr:uid="{00000000-0005-0000-0000-000046230000}"/>
    <cellStyle name="20 % - Markeringsfarve5 10 2 2 2" xfId="18245" xr:uid="{00000000-0005-0000-0000-000047230000}"/>
    <cellStyle name="20 % - Markeringsfarve5 10 2 2 2 2" xfId="36405" xr:uid="{00000000-0005-0000-0000-000048230000}"/>
    <cellStyle name="20 % - Markeringsfarve5 10 2 2 3" xfId="29404" xr:uid="{00000000-0005-0000-0000-000049230000}"/>
    <cellStyle name="20 % - Markeringsfarve5 10 2 3" xfId="13494" xr:uid="{00000000-0005-0000-0000-00004A230000}"/>
    <cellStyle name="20 % - Markeringsfarve5 10 2 3 2" xfId="31661" xr:uid="{00000000-0005-0000-0000-00004B230000}"/>
    <cellStyle name="20 % - Markeringsfarve5 10 2 4" xfId="24659" xr:uid="{00000000-0005-0000-0000-00004C230000}"/>
    <cellStyle name="20 % - Markeringsfarve5 10 3" xfId="4941" xr:uid="{00000000-0005-0000-0000-00004D230000}"/>
    <cellStyle name="20 % - Markeringsfarve5 10 3 2" xfId="9621" xr:uid="{00000000-0005-0000-0000-00004E230000}"/>
    <cellStyle name="20 % - Markeringsfarve5 10 3 2 2" xfId="17531" xr:uid="{00000000-0005-0000-0000-00004F230000}"/>
    <cellStyle name="20 % - Markeringsfarve5 10 3 2 2 2" xfId="35691" xr:uid="{00000000-0005-0000-0000-000050230000}"/>
    <cellStyle name="20 % - Markeringsfarve5 10 3 2 3" xfId="28690" xr:uid="{00000000-0005-0000-0000-000051230000}"/>
    <cellStyle name="20 % - Markeringsfarve5 10 3 3" xfId="13495" xr:uid="{00000000-0005-0000-0000-000052230000}"/>
    <cellStyle name="20 % - Markeringsfarve5 10 3 3 2" xfId="31662" xr:uid="{00000000-0005-0000-0000-000053230000}"/>
    <cellStyle name="20 % - Markeringsfarve5 10 3 4" xfId="24660" xr:uid="{00000000-0005-0000-0000-000054230000}"/>
    <cellStyle name="20 % - Markeringsfarve5 10 4" xfId="7862" xr:uid="{00000000-0005-0000-0000-000055230000}"/>
    <cellStyle name="20 % - Markeringsfarve5 10 4 2" xfId="15780" xr:uid="{00000000-0005-0000-0000-000056230000}"/>
    <cellStyle name="20 % - Markeringsfarve5 10 4 2 2" xfId="33940" xr:uid="{00000000-0005-0000-0000-000057230000}"/>
    <cellStyle name="20 % - Markeringsfarve5 10 4 3" xfId="26939" xr:uid="{00000000-0005-0000-0000-000058230000}"/>
    <cellStyle name="20 % - Markeringsfarve5 10 5" xfId="13493" xr:uid="{00000000-0005-0000-0000-000059230000}"/>
    <cellStyle name="20 % - Markeringsfarve5 10 5 2" xfId="31660" xr:uid="{00000000-0005-0000-0000-00005A230000}"/>
    <cellStyle name="20 % - Markeringsfarve5 10 6" xfId="24658" xr:uid="{00000000-0005-0000-0000-00005B230000}"/>
    <cellStyle name="20 % - Markeringsfarve5 11" xfId="4942" xr:uid="{00000000-0005-0000-0000-00005C230000}"/>
    <cellStyle name="20 % - Markeringsfarve5 11 2" xfId="4943" xr:uid="{00000000-0005-0000-0000-00005D230000}"/>
    <cellStyle name="20 % - Markeringsfarve5 11 2 2" xfId="9724" xr:uid="{00000000-0005-0000-0000-00005E230000}"/>
    <cellStyle name="20 % - Markeringsfarve5 11 2 2 2" xfId="17625" xr:uid="{00000000-0005-0000-0000-00005F230000}"/>
    <cellStyle name="20 % - Markeringsfarve5 11 2 2 2 2" xfId="35785" xr:uid="{00000000-0005-0000-0000-000060230000}"/>
    <cellStyle name="20 % - Markeringsfarve5 11 2 2 3" xfId="28784" xr:uid="{00000000-0005-0000-0000-000061230000}"/>
    <cellStyle name="20 % - Markeringsfarve5 11 2 3" xfId="13497" xr:uid="{00000000-0005-0000-0000-000062230000}"/>
    <cellStyle name="20 % - Markeringsfarve5 11 2 3 2" xfId="31664" xr:uid="{00000000-0005-0000-0000-000063230000}"/>
    <cellStyle name="20 % - Markeringsfarve5 11 2 4" xfId="24662" xr:uid="{00000000-0005-0000-0000-000064230000}"/>
    <cellStyle name="20 % - Markeringsfarve5 11 3" xfId="7863" xr:uid="{00000000-0005-0000-0000-000065230000}"/>
    <cellStyle name="20 % - Markeringsfarve5 11 3 2" xfId="15781" xr:uid="{00000000-0005-0000-0000-000066230000}"/>
    <cellStyle name="20 % - Markeringsfarve5 11 3 2 2" xfId="33941" xr:uid="{00000000-0005-0000-0000-000067230000}"/>
    <cellStyle name="20 % - Markeringsfarve5 11 3 3" xfId="26940" xr:uid="{00000000-0005-0000-0000-000068230000}"/>
    <cellStyle name="20 % - Markeringsfarve5 11 4" xfId="13496" xr:uid="{00000000-0005-0000-0000-000069230000}"/>
    <cellStyle name="20 % - Markeringsfarve5 11 4 2" xfId="31663" xr:uid="{00000000-0005-0000-0000-00006A230000}"/>
    <cellStyle name="20 % - Markeringsfarve5 11 5" xfId="24661" xr:uid="{00000000-0005-0000-0000-00006B230000}"/>
    <cellStyle name="20 % - Markeringsfarve5 12" xfId="4944" xr:uid="{00000000-0005-0000-0000-00006C230000}"/>
    <cellStyle name="20 % - Markeringsfarve5 12 2" xfId="8948" xr:uid="{00000000-0005-0000-0000-00006D230000}"/>
    <cellStyle name="20 % - Markeringsfarve5 12 2 2" xfId="16861" xr:uid="{00000000-0005-0000-0000-00006E230000}"/>
    <cellStyle name="20 % - Markeringsfarve5 12 2 2 2" xfId="35021" xr:uid="{00000000-0005-0000-0000-00006F230000}"/>
    <cellStyle name="20 % - Markeringsfarve5 12 2 3" xfId="28020" xr:uid="{00000000-0005-0000-0000-000070230000}"/>
    <cellStyle name="20 % - Markeringsfarve5 12 3" xfId="13498" xr:uid="{00000000-0005-0000-0000-000071230000}"/>
    <cellStyle name="20 % - Markeringsfarve5 12 3 2" xfId="31665" xr:uid="{00000000-0005-0000-0000-000072230000}"/>
    <cellStyle name="20 % - Markeringsfarve5 12 4" xfId="24663" xr:uid="{00000000-0005-0000-0000-000073230000}"/>
    <cellStyle name="20 % - Markeringsfarve5 13" xfId="7627" xr:uid="{00000000-0005-0000-0000-000074230000}"/>
    <cellStyle name="20 % - Markeringsfarve5 13 2" xfId="15548" xr:uid="{00000000-0005-0000-0000-000075230000}"/>
    <cellStyle name="20 % - Markeringsfarve5 13 2 2" xfId="33708" xr:uid="{00000000-0005-0000-0000-000076230000}"/>
    <cellStyle name="20 % - Markeringsfarve5 13 3" xfId="26707" xr:uid="{00000000-0005-0000-0000-000077230000}"/>
    <cellStyle name="20 % - Markeringsfarve5 2" xfId="1831" xr:uid="{00000000-0005-0000-0000-000078230000}"/>
    <cellStyle name="20 % - Markeringsfarve5 2 10" xfId="4946" xr:uid="{00000000-0005-0000-0000-000079230000}"/>
    <cellStyle name="20 % - Markeringsfarve5 2 10 2" xfId="8978" xr:uid="{00000000-0005-0000-0000-00007A230000}"/>
    <cellStyle name="20 % - Markeringsfarve5 2 10 2 2" xfId="16889" xr:uid="{00000000-0005-0000-0000-00007B230000}"/>
    <cellStyle name="20 % - Markeringsfarve5 2 10 2 2 2" xfId="35049" xr:uid="{00000000-0005-0000-0000-00007C230000}"/>
    <cellStyle name="20 % - Markeringsfarve5 2 10 2 3" xfId="28048" xr:uid="{00000000-0005-0000-0000-00007D230000}"/>
    <cellStyle name="20 % - Markeringsfarve5 2 10 3" xfId="13500" xr:uid="{00000000-0005-0000-0000-00007E230000}"/>
    <cellStyle name="20 % - Markeringsfarve5 2 10 3 2" xfId="31667" xr:uid="{00000000-0005-0000-0000-00007F230000}"/>
    <cellStyle name="20 % - Markeringsfarve5 2 10 4" xfId="24665" xr:uid="{00000000-0005-0000-0000-000080230000}"/>
    <cellStyle name="20 % - Markeringsfarve5 2 11" xfId="7864" xr:uid="{00000000-0005-0000-0000-000081230000}"/>
    <cellStyle name="20 % - Markeringsfarve5 2 11 2" xfId="15782" xr:uid="{00000000-0005-0000-0000-000082230000}"/>
    <cellStyle name="20 % - Markeringsfarve5 2 11 2 2" xfId="33942" xr:uid="{00000000-0005-0000-0000-000083230000}"/>
    <cellStyle name="20 % - Markeringsfarve5 2 11 3" xfId="26941" xr:uid="{00000000-0005-0000-0000-000084230000}"/>
    <cellStyle name="20 % - Markeringsfarve5 2 12" xfId="13499" xr:uid="{00000000-0005-0000-0000-000085230000}"/>
    <cellStyle name="20 % - Markeringsfarve5 2 12 2" xfId="31666" xr:uid="{00000000-0005-0000-0000-000086230000}"/>
    <cellStyle name="20 % - Markeringsfarve5 2 13" xfId="4945" xr:uid="{00000000-0005-0000-0000-000087230000}"/>
    <cellStyle name="20 % - Markeringsfarve5 2 13 2" xfId="24664" xr:uid="{00000000-0005-0000-0000-000088230000}"/>
    <cellStyle name="20 % - Markeringsfarve5 2 14" xfId="21955" xr:uid="{00000000-0005-0000-0000-000089230000}"/>
    <cellStyle name="20 % - Markeringsfarve5 2 2" xfId="1832" xr:uid="{00000000-0005-0000-0000-00008A230000}"/>
    <cellStyle name="20 % - Markeringsfarve5 2 2 10" xfId="13501" xr:uid="{00000000-0005-0000-0000-00008B230000}"/>
    <cellStyle name="20 % - Markeringsfarve5 2 2 10 2" xfId="31668" xr:uid="{00000000-0005-0000-0000-00008C230000}"/>
    <cellStyle name="20 % - Markeringsfarve5 2 2 11" xfId="4947" xr:uid="{00000000-0005-0000-0000-00008D230000}"/>
    <cellStyle name="20 % - Markeringsfarve5 2 2 11 2" xfId="24666" xr:uid="{00000000-0005-0000-0000-00008E230000}"/>
    <cellStyle name="20 % - Markeringsfarve5 2 2 12" xfId="21956" xr:uid="{00000000-0005-0000-0000-00008F230000}"/>
    <cellStyle name="20 % - Markeringsfarve5 2 2 2" xfId="1833" xr:uid="{00000000-0005-0000-0000-000090230000}"/>
    <cellStyle name="20 % - Markeringsfarve5 2 2 2 2" xfId="4949" xr:uid="{00000000-0005-0000-0000-000091230000}"/>
    <cellStyle name="20 % - Markeringsfarve5 2 2 2 2 2" xfId="9909" xr:uid="{00000000-0005-0000-0000-000092230000}"/>
    <cellStyle name="20 % - Markeringsfarve5 2 2 2 2 2 2" xfId="17810" xr:uid="{00000000-0005-0000-0000-000093230000}"/>
    <cellStyle name="20 % - Markeringsfarve5 2 2 2 2 2 2 2" xfId="35970" xr:uid="{00000000-0005-0000-0000-000094230000}"/>
    <cellStyle name="20 % - Markeringsfarve5 2 2 2 2 2 3" xfId="28969" xr:uid="{00000000-0005-0000-0000-000095230000}"/>
    <cellStyle name="20 % - Markeringsfarve5 2 2 2 2 3" xfId="13503" xr:uid="{00000000-0005-0000-0000-000096230000}"/>
    <cellStyle name="20 % - Markeringsfarve5 2 2 2 2 3 2" xfId="31670" xr:uid="{00000000-0005-0000-0000-000097230000}"/>
    <cellStyle name="20 % - Markeringsfarve5 2 2 2 2 4" xfId="24668" xr:uid="{00000000-0005-0000-0000-000098230000}"/>
    <cellStyle name="20 % - Markeringsfarve5 2 2 2 3" xfId="4950" xr:uid="{00000000-0005-0000-0000-000099230000}"/>
    <cellStyle name="20 % - Markeringsfarve5 2 2 2 3 2" xfId="9139" xr:uid="{00000000-0005-0000-0000-00009A230000}"/>
    <cellStyle name="20 % - Markeringsfarve5 2 2 2 3 2 2" xfId="17050" xr:uid="{00000000-0005-0000-0000-00009B230000}"/>
    <cellStyle name="20 % - Markeringsfarve5 2 2 2 3 2 2 2" xfId="35210" xr:uid="{00000000-0005-0000-0000-00009C230000}"/>
    <cellStyle name="20 % - Markeringsfarve5 2 2 2 3 2 3" xfId="28209" xr:uid="{00000000-0005-0000-0000-00009D230000}"/>
    <cellStyle name="20 % - Markeringsfarve5 2 2 2 3 3" xfId="13504" xr:uid="{00000000-0005-0000-0000-00009E230000}"/>
    <cellStyle name="20 % - Markeringsfarve5 2 2 2 3 3 2" xfId="31671" xr:uid="{00000000-0005-0000-0000-00009F230000}"/>
    <cellStyle name="20 % - Markeringsfarve5 2 2 2 3 4" xfId="24669" xr:uid="{00000000-0005-0000-0000-0000A0230000}"/>
    <cellStyle name="20 % - Markeringsfarve5 2 2 2 4" xfId="7866" xr:uid="{00000000-0005-0000-0000-0000A1230000}"/>
    <cellStyle name="20 % - Markeringsfarve5 2 2 2 4 2" xfId="15784" xr:uid="{00000000-0005-0000-0000-0000A2230000}"/>
    <cellStyle name="20 % - Markeringsfarve5 2 2 2 4 2 2" xfId="33944" xr:uid="{00000000-0005-0000-0000-0000A3230000}"/>
    <cellStyle name="20 % - Markeringsfarve5 2 2 2 4 3" xfId="26943" xr:uid="{00000000-0005-0000-0000-0000A4230000}"/>
    <cellStyle name="20 % - Markeringsfarve5 2 2 2 5" xfId="13502" xr:uid="{00000000-0005-0000-0000-0000A5230000}"/>
    <cellStyle name="20 % - Markeringsfarve5 2 2 2 5 2" xfId="31669" xr:uid="{00000000-0005-0000-0000-0000A6230000}"/>
    <cellStyle name="20 % - Markeringsfarve5 2 2 2 6" xfId="4948" xr:uid="{00000000-0005-0000-0000-0000A7230000}"/>
    <cellStyle name="20 % - Markeringsfarve5 2 2 2 6 2" xfId="24667" xr:uid="{00000000-0005-0000-0000-0000A8230000}"/>
    <cellStyle name="20 % - Markeringsfarve5 2 2 2 7" xfId="21957" xr:uid="{00000000-0005-0000-0000-0000A9230000}"/>
    <cellStyle name="20 % - Markeringsfarve5 2 2 3" xfId="4951" xr:uid="{00000000-0005-0000-0000-0000AA230000}"/>
    <cellStyle name="20 % - Markeringsfarve5 2 2 3 2" xfId="4952" xr:uid="{00000000-0005-0000-0000-0000AB230000}"/>
    <cellStyle name="20 % - Markeringsfarve5 2 2 3 2 2" xfId="9992" xr:uid="{00000000-0005-0000-0000-0000AC230000}"/>
    <cellStyle name="20 % - Markeringsfarve5 2 2 3 2 2 2" xfId="17893" xr:uid="{00000000-0005-0000-0000-0000AD230000}"/>
    <cellStyle name="20 % - Markeringsfarve5 2 2 3 2 2 2 2" xfId="36053" xr:uid="{00000000-0005-0000-0000-0000AE230000}"/>
    <cellStyle name="20 % - Markeringsfarve5 2 2 3 2 2 3" xfId="29052" xr:uid="{00000000-0005-0000-0000-0000AF230000}"/>
    <cellStyle name="20 % - Markeringsfarve5 2 2 3 2 3" xfId="13506" xr:uid="{00000000-0005-0000-0000-0000B0230000}"/>
    <cellStyle name="20 % - Markeringsfarve5 2 2 3 2 3 2" xfId="31673" xr:uid="{00000000-0005-0000-0000-0000B1230000}"/>
    <cellStyle name="20 % - Markeringsfarve5 2 2 3 2 4" xfId="24671" xr:uid="{00000000-0005-0000-0000-0000B2230000}"/>
    <cellStyle name="20 % - Markeringsfarve5 2 2 3 3" xfId="4953" xr:uid="{00000000-0005-0000-0000-0000B3230000}"/>
    <cellStyle name="20 % - Markeringsfarve5 2 2 3 3 2" xfId="9222" xr:uid="{00000000-0005-0000-0000-0000B4230000}"/>
    <cellStyle name="20 % - Markeringsfarve5 2 2 3 3 2 2" xfId="17133" xr:uid="{00000000-0005-0000-0000-0000B5230000}"/>
    <cellStyle name="20 % - Markeringsfarve5 2 2 3 3 2 2 2" xfId="35293" xr:uid="{00000000-0005-0000-0000-0000B6230000}"/>
    <cellStyle name="20 % - Markeringsfarve5 2 2 3 3 2 3" xfId="28292" xr:uid="{00000000-0005-0000-0000-0000B7230000}"/>
    <cellStyle name="20 % - Markeringsfarve5 2 2 3 3 3" xfId="13507" xr:uid="{00000000-0005-0000-0000-0000B8230000}"/>
    <cellStyle name="20 % - Markeringsfarve5 2 2 3 3 3 2" xfId="31674" xr:uid="{00000000-0005-0000-0000-0000B9230000}"/>
    <cellStyle name="20 % - Markeringsfarve5 2 2 3 3 4" xfId="24672" xr:uid="{00000000-0005-0000-0000-0000BA230000}"/>
    <cellStyle name="20 % - Markeringsfarve5 2 2 3 4" xfId="7867" xr:uid="{00000000-0005-0000-0000-0000BB230000}"/>
    <cellStyle name="20 % - Markeringsfarve5 2 2 3 4 2" xfId="15785" xr:uid="{00000000-0005-0000-0000-0000BC230000}"/>
    <cellStyle name="20 % - Markeringsfarve5 2 2 3 4 2 2" xfId="33945" xr:uid="{00000000-0005-0000-0000-0000BD230000}"/>
    <cellStyle name="20 % - Markeringsfarve5 2 2 3 4 3" xfId="26944" xr:uid="{00000000-0005-0000-0000-0000BE230000}"/>
    <cellStyle name="20 % - Markeringsfarve5 2 2 3 5" xfId="13505" xr:uid="{00000000-0005-0000-0000-0000BF230000}"/>
    <cellStyle name="20 % - Markeringsfarve5 2 2 3 5 2" xfId="31672" xr:uid="{00000000-0005-0000-0000-0000C0230000}"/>
    <cellStyle name="20 % - Markeringsfarve5 2 2 3 6" xfId="24670" xr:uid="{00000000-0005-0000-0000-0000C1230000}"/>
    <cellStyle name="20 % - Markeringsfarve5 2 2 4" xfId="4954" xr:uid="{00000000-0005-0000-0000-0000C2230000}"/>
    <cellStyle name="20 % - Markeringsfarve5 2 2 4 2" xfId="4955" xr:uid="{00000000-0005-0000-0000-0000C3230000}"/>
    <cellStyle name="20 % - Markeringsfarve5 2 2 4 2 2" xfId="10147" xr:uid="{00000000-0005-0000-0000-0000C4230000}"/>
    <cellStyle name="20 % - Markeringsfarve5 2 2 4 2 2 2" xfId="18048" xr:uid="{00000000-0005-0000-0000-0000C5230000}"/>
    <cellStyle name="20 % - Markeringsfarve5 2 2 4 2 2 2 2" xfId="36208" xr:uid="{00000000-0005-0000-0000-0000C6230000}"/>
    <cellStyle name="20 % - Markeringsfarve5 2 2 4 2 2 3" xfId="29207" xr:uid="{00000000-0005-0000-0000-0000C7230000}"/>
    <cellStyle name="20 % - Markeringsfarve5 2 2 4 2 3" xfId="13509" xr:uid="{00000000-0005-0000-0000-0000C8230000}"/>
    <cellStyle name="20 % - Markeringsfarve5 2 2 4 2 3 2" xfId="31676" xr:uid="{00000000-0005-0000-0000-0000C9230000}"/>
    <cellStyle name="20 % - Markeringsfarve5 2 2 4 2 4" xfId="24674" xr:uid="{00000000-0005-0000-0000-0000CA230000}"/>
    <cellStyle name="20 % - Markeringsfarve5 2 2 4 3" xfId="4956" xr:uid="{00000000-0005-0000-0000-0000CB230000}"/>
    <cellStyle name="20 % - Markeringsfarve5 2 2 4 3 2" xfId="9423" xr:uid="{00000000-0005-0000-0000-0000CC230000}"/>
    <cellStyle name="20 % - Markeringsfarve5 2 2 4 3 2 2" xfId="17333" xr:uid="{00000000-0005-0000-0000-0000CD230000}"/>
    <cellStyle name="20 % - Markeringsfarve5 2 2 4 3 2 2 2" xfId="35493" xr:uid="{00000000-0005-0000-0000-0000CE230000}"/>
    <cellStyle name="20 % - Markeringsfarve5 2 2 4 3 2 3" xfId="28492" xr:uid="{00000000-0005-0000-0000-0000CF230000}"/>
    <cellStyle name="20 % - Markeringsfarve5 2 2 4 3 3" xfId="13510" xr:uid="{00000000-0005-0000-0000-0000D0230000}"/>
    <cellStyle name="20 % - Markeringsfarve5 2 2 4 3 3 2" xfId="31677" xr:uid="{00000000-0005-0000-0000-0000D1230000}"/>
    <cellStyle name="20 % - Markeringsfarve5 2 2 4 3 4" xfId="24675" xr:uid="{00000000-0005-0000-0000-0000D2230000}"/>
    <cellStyle name="20 % - Markeringsfarve5 2 2 4 4" xfId="7868" xr:uid="{00000000-0005-0000-0000-0000D3230000}"/>
    <cellStyle name="20 % - Markeringsfarve5 2 2 4 4 2" xfId="15786" xr:uid="{00000000-0005-0000-0000-0000D4230000}"/>
    <cellStyle name="20 % - Markeringsfarve5 2 2 4 4 2 2" xfId="33946" xr:uid="{00000000-0005-0000-0000-0000D5230000}"/>
    <cellStyle name="20 % - Markeringsfarve5 2 2 4 4 3" xfId="26945" xr:uid="{00000000-0005-0000-0000-0000D6230000}"/>
    <cellStyle name="20 % - Markeringsfarve5 2 2 4 5" xfId="13508" xr:uid="{00000000-0005-0000-0000-0000D7230000}"/>
    <cellStyle name="20 % - Markeringsfarve5 2 2 4 5 2" xfId="31675" xr:uid="{00000000-0005-0000-0000-0000D8230000}"/>
    <cellStyle name="20 % - Markeringsfarve5 2 2 4 6" xfId="24673" xr:uid="{00000000-0005-0000-0000-0000D9230000}"/>
    <cellStyle name="20 % - Markeringsfarve5 2 2 5" xfId="4957" xr:uid="{00000000-0005-0000-0000-0000DA230000}"/>
    <cellStyle name="20 % - Markeringsfarve5 2 2 5 2" xfId="4958" xr:uid="{00000000-0005-0000-0000-0000DB230000}"/>
    <cellStyle name="20 % - Markeringsfarve5 2 2 5 2 2" xfId="10264" xr:uid="{00000000-0005-0000-0000-0000DC230000}"/>
    <cellStyle name="20 % - Markeringsfarve5 2 2 5 2 2 2" xfId="18165" xr:uid="{00000000-0005-0000-0000-0000DD230000}"/>
    <cellStyle name="20 % - Markeringsfarve5 2 2 5 2 2 2 2" xfId="36325" xr:uid="{00000000-0005-0000-0000-0000DE230000}"/>
    <cellStyle name="20 % - Markeringsfarve5 2 2 5 2 2 3" xfId="29324" xr:uid="{00000000-0005-0000-0000-0000DF230000}"/>
    <cellStyle name="20 % - Markeringsfarve5 2 2 5 2 3" xfId="13512" xr:uid="{00000000-0005-0000-0000-0000E0230000}"/>
    <cellStyle name="20 % - Markeringsfarve5 2 2 5 2 3 2" xfId="31679" xr:uid="{00000000-0005-0000-0000-0000E1230000}"/>
    <cellStyle name="20 % - Markeringsfarve5 2 2 5 2 4" xfId="24677" xr:uid="{00000000-0005-0000-0000-0000E2230000}"/>
    <cellStyle name="20 % - Markeringsfarve5 2 2 5 3" xfId="4959" xr:uid="{00000000-0005-0000-0000-0000E3230000}"/>
    <cellStyle name="20 % - Markeringsfarve5 2 2 5 3 2" xfId="9540" xr:uid="{00000000-0005-0000-0000-0000E4230000}"/>
    <cellStyle name="20 % - Markeringsfarve5 2 2 5 3 2 2" xfId="17450" xr:uid="{00000000-0005-0000-0000-0000E5230000}"/>
    <cellStyle name="20 % - Markeringsfarve5 2 2 5 3 2 2 2" xfId="35610" xr:uid="{00000000-0005-0000-0000-0000E6230000}"/>
    <cellStyle name="20 % - Markeringsfarve5 2 2 5 3 2 3" xfId="28609" xr:uid="{00000000-0005-0000-0000-0000E7230000}"/>
    <cellStyle name="20 % - Markeringsfarve5 2 2 5 3 3" xfId="13513" xr:uid="{00000000-0005-0000-0000-0000E8230000}"/>
    <cellStyle name="20 % - Markeringsfarve5 2 2 5 3 3 2" xfId="31680" xr:uid="{00000000-0005-0000-0000-0000E9230000}"/>
    <cellStyle name="20 % - Markeringsfarve5 2 2 5 3 4" xfId="24678" xr:uid="{00000000-0005-0000-0000-0000EA230000}"/>
    <cellStyle name="20 % - Markeringsfarve5 2 2 5 4" xfId="7869" xr:uid="{00000000-0005-0000-0000-0000EB230000}"/>
    <cellStyle name="20 % - Markeringsfarve5 2 2 5 4 2" xfId="15787" xr:uid="{00000000-0005-0000-0000-0000EC230000}"/>
    <cellStyle name="20 % - Markeringsfarve5 2 2 5 4 2 2" xfId="33947" xr:uid="{00000000-0005-0000-0000-0000ED230000}"/>
    <cellStyle name="20 % - Markeringsfarve5 2 2 5 4 3" xfId="26946" xr:uid="{00000000-0005-0000-0000-0000EE230000}"/>
    <cellStyle name="20 % - Markeringsfarve5 2 2 5 5" xfId="13511" xr:uid="{00000000-0005-0000-0000-0000EF230000}"/>
    <cellStyle name="20 % - Markeringsfarve5 2 2 5 5 2" xfId="31678" xr:uid="{00000000-0005-0000-0000-0000F0230000}"/>
    <cellStyle name="20 % - Markeringsfarve5 2 2 5 6" xfId="24676" xr:uid="{00000000-0005-0000-0000-0000F1230000}"/>
    <cellStyle name="20 % - Markeringsfarve5 2 2 6" xfId="4960" xr:uid="{00000000-0005-0000-0000-0000F2230000}"/>
    <cellStyle name="20 % - Markeringsfarve5 2 2 6 2" xfId="4961" xr:uid="{00000000-0005-0000-0000-0000F3230000}"/>
    <cellStyle name="20 % - Markeringsfarve5 2 2 6 2 2" xfId="10346" xr:uid="{00000000-0005-0000-0000-0000F4230000}"/>
    <cellStyle name="20 % - Markeringsfarve5 2 2 6 2 2 2" xfId="18247" xr:uid="{00000000-0005-0000-0000-0000F5230000}"/>
    <cellStyle name="20 % - Markeringsfarve5 2 2 6 2 2 2 2" xfId="36407" xr:uid="{00000000-0005-0000-0000-0000F6230000}"/>
    <cellStyle name="20 % - Markeringsfarve5 2 2 6 2 2 3" xfId="29406" xr:uid="{00000000-0005-0000-0000-0000F7230000}"/>
    <cellStyle name="20 % - Markeringsfarve5 2 2 6 2 3" xfId="13515" xr:uid="{00000000-0005-0000-0000-0000F8230000}"/>
    <cellStyle name="20 % - Markeringsfarve5 2 2 6 2 3 2" xfId="31682" xr:uid="{00000000-0005-0000-0000-0000F9230000}"/>
    <cellStyle name="20 % - Markeringsfarve5 2 2 6 2 4" xfId="24680" xr:uid="{00000000-0005-0000-0000-0000FA230000}"/>
    <cellStyle name="20 % - Markeringsfarve5 2 2 6 3" xfId="4962" xr:uid="{00000000-0005-0000-0000-0000FB230000}"/>
    <cellStyle name="20 % - Markeringsfarve5 2 2 6 3 2" xfId="9623" xr:uid="{00000000-0005-0000-0000-0000FC230000}"/>
    <cellStyle name="20 % - Markeringsfarve5 2 2 6 3 2 2" xfId="17533" xr:uid="{00000000-0005-0000-0000-0000FD230000}"/>
    <cellStyle name="20 % - Markeringsfarve5 2 2 6 3 2 2 2" xfId="35693" xr:uid="{00000000-0005-0000-0000-0000FE230000}"/>
    <cellStyle name="20 % - Markeringsfarve5 2 2 6 3 2 3" xfId="28692" xr:uid="{00000000-0005-0000-0000-0000FF230000}"/>
    <cellStyle name="20 % - Markeringsfarve5 2 2 6 3 3" xfId="13516" xr:uid="{00000000-0005-0000-0000-000000240000}"/>
    <cellStyle name="20 % - Markeringsfarve5 2 2 6 3 3 2" xfId="31683" xr:uid="{00000000-0005-0000-0000-000001240000}"/>
    <cellStyle name="20 % - Markeringsfarve5 2 2 6 3 4" xfId="24681" xr:uid="{00000000-0005-0000-0000-000002240000}"/>
    <cellStyle name="20 % - Markeringsfarve5 2 2 6 4" xfId="7870" xr:uid="{00000000-0005-0000-0000-000003240000}"/>
    <cellStyle name="20 % - Markeringsfarve5 2 2 6 4 2" xfId="15788" xr:uid="{00000000-0005-0000-0000-000004240000}"/>
    <cellStyle name="20 % - Markeringsfarve5 2 2 6 4 2 2" xfId="33948" xr:uid="{00000000-0005-0000-0000-000005240000}"/>
    <cellStyle name="20 % - Markeringsfarve5 2 2 6 4 3" xfId="26947" xr:uid="{00000000-0005-0000-0000-000006240000}"/>
    <cellStyle name="20 % - Markeringsfarve5 2 2 6 5" xfId="13514" xr:uid="{00000000-0005-0000-0000-000007240000}"/>
    <cellStyle name="20 % - Markeringsfarve5 2 2 6 5 2" xfId="31681" xr:uid="{00000000-0005-0000-0000-000008240000}"/>
    <cellStyle name="20 % - Markeringsfarve5 2 2 6 6" xfId="24679" xr:uid="{00000000-0005-0000-0000-000009240000}"/>
    <cellStyle name="20 % - Markeringsfarve5 2 2 7" xfId="4963" xr:uid="{00000000-0005-0000-0000-00000A240000}"/>
    <cellStyle name="20 % - Markeringsfarve5 2 2 7 2" xfId="9790" xr:uid="{00000000-0005-0000-0000-00000B240000}"/>
    <cellStyle name="20 % - Markeringsfarve5 2 2 7 2 2" xfId="17691" xr:uid="{00000000-0005-0000-0000-00000C240000}"/>
    <cellStyle name="20 % - Markeringsfarve5 2 2 7 2 2 2" xfId="35851" xr:uid="{00000000-0005-0000-0000-00000D240000}"/>
    <cellStyle name="20 % - Markeringsfarve5 2 2 7 2 3" xfId="28850" xr:uid="{00000000-0005-0000-0000-00000E240000}"/>
    <cellStyle name="20 % - Markeringsfarve5 2 2 7 3" xfId="13517" xr:uid="{00000000-0005-0000-0000-00000F240000}"/>
    <cellStyle name="20 % - Markeringsfarve5 2 2 7 3 2" xfId="31684" xr:uid="{00000000-0005-0000-0000-000010240000}"/>
    <cellStyle name="20 % - Markeringsfarve5 2 2 7 4" xfId="24682" xr:uid="{00000000-0005-0000-0000-000011240000}"/>
    <cellStyle name="20 % - Markeringsfarve5 2 2 8" xfId="4964" xr:uid="{00000000-0005-0000-0000-000012240000}"/>
    <cellStyle name="20 % - Markeringsfarve5 2 2 8 2" xfId="9018" xr:uid="{00000000-0005-0000-0000-000013240000}"/>
    <cellStyle name="20 % - Markeringsfarve5 2 2 8 2 2" xfId="16929" xr:uid="{00000000-0005-0000-0000-000014240000}"/>
    <cellStyle name="20 % - Markeringsfarve5 2 2 8 2 2 2" xfId="35089" xr:uid="{00000000-0005-0000-0000-000015240000}"/>
    <cellStyle name="20 % - Markeringsfarve5 2 2 8 2 3" xfId="28088" xr:uid="{00000000-0005-0000-0000-000016240000}"/>
    <cellStyle name="20 % - Markeringsfarve5 2 2 8 3" xfId="13518" xr:uid="{00000000-0005-0000-0000-000017240000}"/>
    <cellStyle name="20 % - Markeringsfarve5 2 2 8 3 2" xfId="31685" xr:uid="{00000000-0005-0000-0000-000018240000}"/>
    <cellStyle name="20 % - Markeringsfarve5 2 2 8 4" xfId="24683" xr:uid="{00000000-0005-0000-0000-000019240000}"/>
    <cellStyle name="20 % - Markeringsfarve5 2 2 9" xfId="7865" xr:uid="{00000000-0005-0000-0000-00001A240000}"/>
    <cellStyle name="20 % - Markeringsfarve5 2 2 9 2" xfId="15783" xr:uid="{00000000-0005-0000-0000-00001B240000}"/>
    <cellStyle name="20 % - Markeringsfarve5 2 2 9 2 2" xfId="33943" xr:uid="{00000000-0005-0000-0000-00001C240000}"/>
    <cellStyle name="20 % - Markeringsfarve5 2 2 9 3" xfId="26942" xr:uid="{00000000-0005-0000-0000-00001D240000}"/>
    <cellStyle name="20 % - Markeringsfarve5 2 3" xfId="1834" xr:uid="{00000000-0005-0000-0000-00001E240000}"/>
    <cellStyle name="20 % - Markeringsfarve5 2 3 10" xfId="13519" xr:uid="{00000000-0005-0000-0000-00001F240000}"/>
    <cellStyle name="20 % - Markeringsfarve5 2 3 10 2" xfId="31686" xr:uid="{00000000-0005-0000-0000-000020240000}"/>
    <cellStyle name="20 % - Markeringsfarve5 2 3 11" xfId="4965" xr:uid="{00000000-0005-0000-0000-000021240000}"/>
    <cellStyle name="20 % - Markeringsfarve5 2 3 11 2" xfId="24684" xr:uid="{00000000-0005-0000-0000-000022240000}"/>
    <cellStyle name="20 % - Markeringsfarve5 2 3 12" xfId="21958" xr:uid="{00000000-0005-0000-0000-000023240000}"/>
    <cellStyle name="20 % - Markeringsfarve5 2 3 2" xfId="1835" xr:uid="{00000000-0005-0000-0000-000024240000}"/>
    <cellStyle name="20 % - Markeringsfarve5 2 3 2 2" xfId="4967" xr:uid="{00000000-0005-0000-0000-000025240000}"/>
    <cellStyle name="20 % - Markeringsfarve5 2 3 2 2 2" xfId="9948" xr:uid="{00000000-0005-0000-0000-000026240000}"/>
    <cellStyle name="20 % - Markeringsfarve5 2 3 2 2 2 2" xfId="17849" xr:uid="{00000000-0005-0000-0000-000027240000}"/>
    <cellStyle name="20 % - Markeringsfarve5 2 3 2 2 2 2 2" xfId="36009" xr:uid="{00000000-0005-0000-0000-000028240000}"/>
    <cellStyle name="20 % - Markeringsfarve5 2 3 2 2 2 3" xfId="29008" xr:uid="{00000000-0005-0000-0000-000029240000}"/>
    <cellStyle name="20 % - Markeringsfarve5 2 3 2 2 3" xfId="13521" xr:uid="{00000000-0005-0000-0000-00002A240000}"/>
    <cellStyle name="20 % - Markeringsfarve5 2 3 2 2 3 2" xfId="31688" xr:uid="{00000000-0005-0000-0000-00002B240000}"/>
    <cellStyle name="20 % - Markeringsfarve5 2 3 2 2 4" xfId="24686" xr:uid="{00000000-0005-0000-0000-00002C240000}"/>
    <cellStyle name="20 % - Markeringsfarve5 2 3 2 3" xfId="4968" xr:uid="{00000000-0005-0000-0000-00002D240000}"/>
    <cellStyle name="20 % - Markeringsfarve5 2 3 2 3 2" xfId="9178" xr:uid="{00000000-0005-0000-0000-00002E240000}"/>
    <cellStyle name="20 % - Markeringsfarve5 2 3 2 3 2 2" xfId="17089" xr:uid="{00000000-0005-0000-0000-00002F240000}"/>
    <cellStyle name="20 % - Markeringsfarve5 2 3 2 3 2 2 2" xfId="35249" xr:uid="{00000000-0005-0000-0000-000030240000}"/>
    <cellStyle name="20 % - Markeringsfarve5 2 3 2 3 2 3" xfId="28248" xr:uid="{00000000-0005-0000-0000-000031240000}"/>
    <cellStyle name="20 % - Markeringsfarve5 2 3 2 3 3" xfId="13522" xr:uid="{00000000-0005-0000-0000-000032240000}"/>
    <cellStyle name="20 % - Markeringsfarve5 2 3 2 3 3 2" xfId="31689" xr:uid="{00000000-0005-0000-0000-000033240000}"/>
    <cellStyle name="20 % - Markeringsfarve5 2 3 2 3 4" xfId="24687" xr:uid="{00000000-0005-0000-0000-000034240000}"/>
    <cellStyle name="20 % - Markeringsfarve5 2 3 2 4" xfId="7872" xr:uid="{00000000-0005-0000-0000-000035240000}"/>
    <cellStyle name="20 % - Markeringsfarve5 2 3 2 4 2" xfId="15790" xr:uid="{00000000-0005-0000-0000-000036240000}"/>
    <cellStyle name="20 % - Markeringsfarve5 2 3 2 4 2 2" xfId="33950" xr:uid="{00000000-0005-0000-0000-000037240000}"/>
    <cellStyle name="20 % - Markeringsfarve5 2 3 2 4 3" xfId="26949" xr:uid="{00000000-0005-0000-0000-000038240000}"/>
    <cellStyle name="20 % - Markeringsfarve5 2 3 2 5" xfId="13520" xr:uid="{00000000-0005-0000-0000-000039240000}"/>
    <cellStyle name="20 % - Markeringsfarve5 2 3 2 5 2" xfId="31687" xr:uid="{00000000-0005-0000-0000-00003A240000}"/>
    <cellStyle name="20 % - Markeringsfarve5 2 3 2 6" xfId="4966" xr:uid="{00000000-0005-0000-0000-00003B240000}"/>
    <cellStyle name="20 % - Markeringsfarve5 2 3 2 6 2" xfId="24685" xr:uid="{00000000-0005-0000-0000-00003C240000}"/>
    <cellStyle name="20 % - Markeringsfarve5 2 3 2 7" xfId="21959" xr:uid="{00000000-0005-0000-0000-00003D240000}"/>
    <cellStyle name="20 % - Markeringsfarve5 2 3 3" xfId="4969" xr:uid="{00000000-0005-0000-0000-00003E240000}"/>
    <cellStyle name="20 % - Markeringsfarve5 2 3 3 2" xfId="4970" xr:uid="{00000000-0005-0000-0000-00003F240000}"/>
    <cellStyle name="20 % - Markeringsfarve5 2 3 3 2 2" xfId="9993" xr:uid="{00000000-0005-0000-0000-000040240000}"/>
    <cellStyle name="20 % - Markeringsfarve5 2 3 3 2 2 2" xfId="17894" xr:uid="{00000000-0005-0000-0000-000041240000}"/>
    <cellStyle name="20 % - Markeringsfarve5 2 3 3 2 2 2 2" xfId="36054" xr:uid="{00000000-0005-0000-0000-000042240000}"/>
    <cellStyle name="20 % - Markeringsfarve5 2 3 3 2 2 3" xfId="29053" xr:uid="{00000000-0005-0000-0000-000043240000}"/>
    <cellStyle name="20 % - Markeringsfarve5 2 3 3 2 3" xfId="13524" xr:uid="{00000000-0005-0000-0000-000044240000}"/>
    <cellStyle name="20 % - Markeringsfarve5 2 3 3 2 3 2" xfId="31691" xr:uid="{00000000-0005-0000-0000-000045240000}"/>
    <cellStyle name="20 % - Markeringsfarve5 2 3 3 2 4" xfId="24689" xr:uid="{00000000-0005-0000-0000-000046240000}"/>
    <cellStyle name="20 % - Markeringsfarve5 2 3 3 3" xfId="4971" xr:uid="{00000000-0005-0000-0000-000047240000}"/>
    <cellStyle name="20 % - Markeringsfarve5 2 3 3 3 2" xfId="9223" xr:uid="{00000000-0005-0000-0000-000048240000}"/>
    <cellStyle name="20 % - Markeringsfarve5 2 3 3 3 2 2" xfId="17134" xr:uid="{00000000-0005-0000-0000-000049240000}"/>
    <cellStyle name="20 % - Markeringsfarve5 2 3 3 3 2 2 2" xfId="35294" xr:uid="{00000000-0005-0000-0000-00004A240000}"/>
    <cellStyle name="20 % - Markeringsfarve5 2 3 3 3 2 3" xfId="28293" xr:uid="{00000000-0005-0000-0000-00004B240000}"/>
    <cellStyle name="20 % - Markeringsfarve5 2 3 3 3 3" xfId="13525" xr:uid="{00000000-0005-0000-0000-00004C240000}"/>
    <cellStyle name="20 % - Markeringsfarve5 2 3 3 3 3 2" xfId="31692" xr:uid="{00000000-0005-0000-0000-00004D240000}"/>
    <cellStyle name="20 % - Markeringsfarve5 2 3 3 3 4" xfId="24690" xr:uid="{00000000-0005-0000-0000-00004E240000}"/>
    <cellStyle name="20 % - Markeringsfarve5 2 3 3 4" xfId="7873" xr:uid="{00000000-0005-0000-0000-00004F240000}"/>
    <cellStyle name="20 % - Markeringsfarve5 2 3 3 4 2" xfId="15791" xr:uid="{00000000-0005-0000-0000-000050240000}"/>
    <cellStyle name="20 % - Markeringsfarve5 2 3 3 4 2 2" xfId="33951" xr:uid="{00000000-0005-0000-0000-000051240000}"/>
    <cellStyle name="20 % - Markeringsfarve5 2 3 3 4 3" xfId="26950" xr:uid="{00000000-0005-0000-0000-000052240000}"/>
    <cellStyle name="20 % - Markeringsfarve5 2 3 3 5" xfId="13523" xr:uid="{00000000-0005-0000-0000-000053240000}"/>
    <cellStyle name="20 % - Markeringsfarve5 2 3 3 5 2" xfId="31690" xr:uid="{00000000-0005-0000-0000-000054240000}"/>
    <cellStyle name="20 % - Markeringsfarve5 2 3 3 6" xfId="24688" xr:uid="{00000000-0005-0000-0000-000055240000}"/>
    <cellStyle name="20 % - Markeringsfarve5 2 3 4" xfId="4972" xr:uid="{00000000-0005-0000-0000-000056240000}"/>
    <cellStyle name="20 % - Markeringsfarve5 2 3 4 2" xfId="4973" xr:uid="{00000000-0005-0000-0000-000057240000}"/>
    <cellStyle name="20 % - Markeringsfarve5 2 3 4 2 2" xfId="10186" xr:uid="{00000000-0005-0000-0000-000058240000}"/>
    <cellStyle name="20 % - Markeringsfarve5 2 3 4 2 2 2" xfId="18087" xr:uid="{00000000-0005-0000-0000-000059240000}"/>
    <cellStyle name="20 % - Markeringsfarve5 2 3 4 2 2 2 2" xfId="36247" xr:uid="{00000000-0005-0000-0000-00005A240000}"/>
    <cellStyle name="20 % - Markeringsfarve5 2 3 4 2 2 3" xfId="29246" xr:uid="{00000000-0005-0000-0000-00005B240000}"/>
    <cellStyle name="20 % - Markeringsfarve5 2 3 4 2 3" xfId="13527" xr:uid="{00000000-0005-0000-0000-00005C240000}"/>
    <cellStyle name="20 % - Markeringsfarve5 2 3 4 2 3 2" xfId="31694" xr:uid="{00000000-0005-0000-0000-00005D240000}"/>
    <cellStyle name="20 % - Markeringsfarve5 2 3 4 2 4" xfId="24692" xr:uid="{00000000-0005-0000-0000-00005E240000}"/>
    <cellStyle name="20 % - Markeringsfarve5 2 3 4 3" xfId="4974" xr:uid="{00000000-0005-0000-0000-00005F240000}"/>
    <cellStyle name="20 % - Markeringsfarve5 2 3 4 3 2" xfId="9462" xr:uid="{00000000-0005-0000-0000-000060240000}"/>
    <cellStyle name="20 % - Markeringsfarve5 2 3 4 3 2 2" xfId="17372" xr:uid="{00000000-0005-0000-0000-000061240000}"/>
    <cellStyle name="20 % - Markeringsfarve5 2 3 4 3 2 2 2" xfId="35532" xr:uid="{00000000-0005-0000-0000-000062240000}"/>
    <cellStyle name="20 % - Markeringsfarve5 2 3 4 3 2 3" xfId="28531" xr:uid="{00000000-0005-0000-0000-000063240000}"/>
    <cellStyle name="20 % - Markeringsfarve5 2 3 4 3 3" xfId="13528" xr:uid="{00000000-0005-0000-0000-000064240000}"/>
    <cellStyle name="20 % - Markeringsfarve5 2 3 4 3 3 2" xfId="31695" xr:uid="{00000000-0005-0000-0000-000065240000}"/>
    <cellStyle name="20 % - Markeringsfarve5 2 3 4 3 4" xfId="24693" xr:uid="{00000000-0005-0000-0000-000066240000}"/>
    <cellStyle name="20 % - Markeringsfarve5 2 3 4 4" xfId="7874" xr:uid="{00000000-0005-0000-0000-000067240000}"/>
    <cellStyle name="20 % - Markeringsfarve5 2 3 4 4 2" xfId="15792" xr:uid="{00000000-0005-0000-0000-000068240000}"/>
    <cellStyle name="20 % - Markeringsfarve5 2 3 4 4 2 2" xfId="33952" xr:uid="{00000000-0005-0000-0000-000069240000}"/>
    <cellStyle name="20 % - Markeringsfarve5 2 3 4 4 3" xfId="26951" xr:uid="{00000000-0005-0000-0000-00006A240000}"/>
    <cellStyle name="20 % - Markeringsfarve5 2 3 4 5" xfId="13526" xr:uid="{00000000-0005-0000-0000-00006B240000}"/>
    <cellStyle name="20 % - Markeringsfarve5 2 3 4 5 2" xfId="31693" xr:uid="{00000000-0005-0000-0000-00006C240000}"/>
    <cellStyle name="20 % - Markeringsfarve5 2 3 4 6" xfId="24691" xr:uid="{00000000-0005-0000-0000-00006D240000}"/>
    <cellStyle name="20 % - Markeringsfarve5 2 3 5" xfId="4975" xr:uid="{00000000-0005-0000-0000-00006E240000}"/>
    <cellStyle name="20 % - Markeringsfarve5 2 3 5 2" xfId="4976" xr:uid="{00000000-0005-0000-0000-00006F240000}"/>
    <cellStyle name="20 % - Markeringsfarve5 2 3 5 2 2" xfId="10303" xr:uid="{00000000-0005-0000-0000-000070240000}"/>
    <cellStyle name="20 % - Markeringsfarve5 2 3 5 2 2 2" xfId="18204" xr:uid="{00000000-0005-0000-0000-000071240000}"/>
    <cellStyle name="20 % - Markeringsfarve5 2 3 5 2 2 2 2" xfId="36364" xr:uid="{00000000-0005-0000-0000-000072240000}"/>
    <cellStyle name="20 % - Markeringsfarve5 2 3 5 2 2 3" xfId="29363" xr:uid="{00000000-0005-0000-0000-000073240000}"/>
    <cellStyle name="20 % - Markeringsfarve5 2 3 5 2 3" xfId="13530" xr:uid="{00000000-0005-0000-0000-000074240000}"/>
    <cellStyle name="20 % - Markeringsfarve5 2 3 5 2 3 2" xfId="31697" xr:uid="{00000000-0005-0000-0000-000075240000}"/>
    <cellStyle name="20 % - Markeringsfarve5 2 3 5 2 4" xfId="24695" xr:uid="{00000000-0005-0000-0000-000076240000}"/>
    <cellStyle name="20 % - Markeringsfarve5 2 3 5 3" xfId="4977" xr:uid="{00000000-0005-0000-0000-000077240000}"/>
    <cellStyle name="20 % - Markeringsfarve5 2 3 5 3 2" xfId="9579" xr:uid="{00000000-0005-0000-0000-000078240000}"/>
    <cellStyle name="20 % - Markeringsfarve5 2 3 5 3 2 2" xfId="17489" xr:uid="{00000000-0005-0000-0000-000079240000}"/>
    <cellStyle name="20 % - Markeringsfarve5 2 3 5 3 2 2 2" xfId="35649" xr:uid="{00000000-0005-0000-0000-00007A240000}"/>
    <cellStyle name="20 % - Markeringsfarve5 2 3 5 3 2 3" xfId="28648" xr:uid="{00000000-0005-0000-0000-00007B240000}"/>
    <cellStyle name="20 % - Markeringsfarve5 2 3 5 3 3" xfId="13531" xr:uid="{00000000-0005-0000-0000-00007C240000}"/>
    <cellStyle name="20 % - Markeringsfarve5 2 3 5 3 3 2" xfId="31698" xr:uid="{00000000-0005-0000-0000-00007D240000}"/>
    <cellStyle name="20 % - Markeringsfarve5 2 3 5 3 4" xfId="24696" xr:uid="{00000000-0005-0000-0000-00007E240000}"/>
    <cellStyle name="20 % - Markeringsfarve5 2 3 5 4" xfId="7875" xr:uid="{00000000-0005-0000-0000-00007F240000}"/>
    <cellStyle name="20 % - Markeringsfarve5 2 3 5 4 2" xfId="15793" xr:uid="{00000000-0005-0000-0000-000080240000}"/>
    <cellStyle name="20 % - Markeringsfarve5 2 3 5 4 2 2" xfId="33953" xr:uid="{00000000-0005-0000-0000-000081240000}"/>
    <cellStyle name="20 % - Markeringsfarve5 2 3 5 4 3" xfId="26952" xr:uid="{00000000-0005-0000-0000-000082240000}"/>
    <cellStyle name="20 % - Markeringsfarve5 2 3 5 5" xfId="13529" xr:uid="{00000000-0005-0000-0000-000083240000}"/>
    <cellStyle name="20 % - Markeringsfarve5 2 3 5 5 2" xfId="31696" xr:uid="{00000000-0005-0000-0000-000084240000}"/>
    <cellStyle name="20 % - Markeringsfarve5 2 3 5 6" xfId="24694" xr:uid="{00000000-0005-0000-0000-000085240000}"/>
    <cellStyle name="20 % - Markeringsfarve5 2 3 6" xfId="4978" xr:uid="{00000000-0005-0000-0000-000086240000}"/>
    <cellStyle name="20 % - Markeringsfarve5 2 3 6 2" xfId="4979" xr:uid="{00000000-0005-0000-0000-000087240000}"/>
    <cellStyle name="20 % - Markeringsfarve5 2 3 6 2 2" xfId="10347" xr:uid="{00000000-0005-0000-0000-000088240000}"/>
    <cellStyle name="20 % - Markeringsfarve5 2 3 6 2 2 2" xfId="18248" xr:uid="{00000000-0005-0000-0000-000089240000}"/>
    <cellStyle name="20 % - Markeringsfarve5 2 3 6 2 2 2 2" xfId="36408" xr:uid="{00000000-0005-0000-0000-00008A240000}"/>
    <cellStyle name="20 % - Markeringsfarve5 2 3 6 2 2 3" xfId="29407" xr:uid="{00000000-0005-0000-0000-00008B240000}"/>
    <cellStyle name="20 % - Markeringsfarve5 2 3 6 2 3" xfId="13533" xr:uid="{00000000-0005-0000-0000-00008C240000}"/>
    <cellStyle name="20 % - Markeringsfarve5 2 3 6 2 3 2" xfId="31700" xr:uid="{00000000-0005-0000-0000-00008D240000}"/>
    <cellStyle name="20 % - Markeringsfarve5 2 3 6 2 4" xfId="24698" xr:uid="{00000000-0005-0000-0000-00008E240000}"/>
    <cellStyle name="20 % - Markeringsfarve5 2 3 6 3" xfId="4980" xr:uid="{00000000-0005-0000-0000-00008F240000}"/>
    <cellStyle name="20 % - Markeringsfarve5 2 3 6 3 2" xfId="9624" xr:uid="{00000000-0005-0000-0000-000090240000}"/>
    <cellStyle name="20 % - Markeringsfarve5 2 3 6 3 2 2" xfId="17534" xr:uid="{00000000-0005-0000-0000-000091240000}"/>
    <cellStyle name="20 % - Markeringsfarve5 2 3 6 3 2 2 2" xfId="35694" xr:uid="{00000000-0005-0000-0000-000092240000}"/>
    <cellStyle name="20 % - Markeringsfarve5 2 3 6 3 2 3" xfId="28693" xr:uid="{00000000-0005-0000-0000-000093240000}"/>
    <cellStyle name="20 % - Markeringsfarve5 2 3 6 3 3" xfId="13534" xr:uid="{00000000-0005-0000-0000-000094240000}"/>
    <cellStyle name="20 % - Markeringsfarve5 2 3 6 3 3 2" xfId="31701" xr:uid="{00000000-0005-0000-0000-000095240000}"/>
    <cellStyle name="20 % - Markeringsfarve5 2 3 6 3 4" xfId="24699" xr:uid="{00000000-0005-0000-0000-000096240000}"/>
    <cellStyle name="20 % - Markeringsfarve5 2 3 6 4" xfId="7876" xr:uid="{00000000-0005-0000-0000-000097240000}"/>
    <cellStyle name="20 % - Markeringsfarve5 2 3 6 4 2" xfId="15794" xr:uid="{00000000-0005-0000-0000-000098240000}"/>
    <cellStyle name="20 % - Markeringsfarve5 2 3 6 4 2 2" xfId="33954" xr:uid="{00000000-0005-0000-0000-000099240000}"/>
    <cellStyle name="20 % - Markeringsfarve5 2 3 6 4 3" xfId="26953" xr:uid="{00000000-0005-0000-0000-00009A240000}"/>
    <cellStyle name="20 % - Markeringsfarve5 2 3 6 5" xfId="13532" xr:uid="{00000000-0005-0000-0000-00009B240000}"/>
    <cellStyle name="20 % - Markeringsfarve5 2 3 6 5 2" xfId="31699" xr:uid="{00000000-0005-0000-0000-00009C240000}"/>
    <cellStyle name="20 % - Markeringsfarve5 2 3 6 6" xfId="24697" xr:uid="{00000000-0005-0000-0000-00009D240000}"/>
    <cellStyle name="20 % - Markeringsfarve5 2 3 7" xfId="4981" xr:uid="{00000000-0005-0000-0000-00009E240000}"/>
    <cellStyle name="20 % - Markeringsfarve5 2 3 7 2" xfId="9829" xr:uid="{00000000-0005-0000-0000-00009F240000}"/>
    <cellStyle name="20 % - Markeringsfarve5 2 3 7 2 2" xfId="17730" xr:uid="{00000000-0005-0000-0000-0000A0240000}"/>
    <cellStyle name="20 % - Markeringsfarve5 2 3 7 2 2 2" xfId="35890" xr:uid="{00000000-0005-0000-0000-0000A1240000}"/>
    <cellStyle name="20 % - Markeringsfarve5 2 3 7 2 3" xfId="28889" xr:uid="{00000000-0005-0000-0000-0000A2240000}"/>
    <cellStyle name="20 % - Markeringsfarve5 2 3 7 3" xfId="13535" xr:uid="{00000000-0005-0000-0000-0000A3240000}"/>
    <cellStyle name="20 % - Markeringsfarve5 2 3 7 3 2" xfId="31702" xr:uid="{00000000-0005-0000-0000-0000A4240000}"/>
    <cellStyle name="20 % - Markeringsfarve5 2 3 7 4" xfId="24700" xr:uid="{00000000-0005-0000-0000-0000A5240000}"/>
    <cellStyle name="20 % - Markeringsfarve5 2 3 8" xfId="4982" xr:uid="{00000000-0005-0000-0000-0000A6240000}"/>
    <cellStyle name="20 % - Markeringsfarve5 2 3 8 2" xfId="9057" xr:uid="{00000000-0005-0000-0000-0000A7240000}"/>
    <cellStyle name="20 % - Markeringsfarve5 2 3 8 2 2" xfId="16968" xr:uid="{00000000-0005-0000-0000-0000A8240000}"/>
    <cellStyle name="20 % - Markeringsfarve5 2 3 8 2 2 2" xfId="35128" xr:uid="{00000000-0005-0000-0000-0000A9240000}"/>
    <cellStyle name="20 % - Markeringsfarve5 2 3 8 2 3" xfId="28127" xr:uid="{00000000-0005-0000-0000-0000AA240000}"/>
    <cellStyle name="20 % - Markeringsfarve5 2 3 8 3" xfId="13536" xr:uid="{00000000-0005-0000-0000-0000AB240000}"/>
    <cellStyle name="20 % - Markeringsfarve5 2 3 8 3 2" xfId="31703" xr:uid="{00000000-0005-0000-0000-0000AC240000}"/>
    <cellStyle name="20 % - Markeringsfarve5 2 3 8 4" xfId="24701" xr:uid="{00000000-0005-0000-0000-0000AD240000}"/>
    <cellStyle name="20 % - Markeringsfarve5 2 3 9" xfId="7871" xr:uid="{00000000-0005-0000-0000-0000AE240000}"/>
    <cellStyle name="20 % - Markeringsfarve5 2 3 9 2" xfId="15789" xr:uid="{00000000-0005-0000-0000-0000AF240000}"/>
    <cellStyle name="20 % - Markeringsfarve5 2 3 9 2 2" xfId="33949" xr:uid="{00000000-0005-0000-0000-0000B0240000}"/>
    <cellStyle name="20 % - Markeringsfarve5 2 3 9 3" xfId="26948" xr:uid="{00000000-0005-0000-0000-0000B1240000}"/>
    <cellStyle name="20 % - Markeringsfarve5 2 4" xfId="1836" xr:uid="{00000000-0005-0000-0000-0000B2240000}"/>
    <cellStyle name="20 % - Markeringsfarve5 2 4 2" xfId="4984" xr:uid="{00000000-0005-0000-0000-0000B3240000}"/>
    <cellStyle name="20 % - Markeringsfarve5 2 4 2 2" xfId="9870" xr:uid="{00000000-0005-0000-0000-0000B4240000}"/>
    <cellStyle name="20 % - Markeringsfarve5 2 4 2 2 2" xfId="17771" xr:uid="{00000000-0005-0000-0000-0000B5240000}"/>
    <cellStyle name="20 % - Markeringsfarve5 2 4 2 2 2 2" xfId="35931" xr:uid="{00000000-0005-0000-0000-0000B6240000}"/>
    <cellStyle name="20 % - Markeringsfarve5 2 4 2 2 3" xfId="28930" xr:uid="{00000000-0005-0000-0000-0000B7240000}"/>
    <cellStyle name="20 % - Markeringsfarve5 2 4 2 3" xfId="13538" xr:uid="{00000000-0005-0000-0000-0000B8240000}"/>
    <cellStyle name="20 % - Markeringsfarve5 2 4 2 3 2" xfId="31705" xr:uid="{00000000-0005-0000-0000-0000B9240000}"/>
    <cellStyle name="20 % - Markeringsfarve5 2 4 2 4" xfId="24703" xr:uid="{00000000-0005-0000-0000-0000BA240000}"/>
    <cellStyle name="20 % - Markeringsfarve5 2 4 3" xfId="4985" xr:uid="{00000000-0005-0000-0000-0000BB240000}"/>
    <cellStyle name="20 % - Markeringsfarve5 2 4 3 2" xfId="9100" xr:uid="{00000000-0005-0000-0000-0000BC240000}"/>
    <cellStyle name="20 % - Markeringsfarve5 2 4 3 2 2" xfId="17011" xr:uid="{00000000-0005-0000-0000-0000BD240000}"/>
    <cellStyle name="20 % - Markeringsfarve5 2 4 3 2 2 2" xfId="35171" xr:uid="{00000000-0005-0000-0000-0000BE240000}"/>
    <cellStyle name="20 % - Markeringsfarve5 2 4 3 2 3" xfId="28170" xr:uid="{00000000-0005-0000-0000-0000BF240000}"/>
    <cellStyle name="20 % - Markeringsfarve5 2 4 3 3" xfId="13539" xr:uid="{00000000-0005-0000-0000-0000C0240000}"/>
    <cellStyle name="20 % - Markeringsfarve5 2 4 3 3 2" xfId="31706" xr:uid="{00000000-0005-0000-0000-0000C1240000}"/>
    <cellStyle name="20 % - Markeringsfarve5 2 4 3 4" xfId="24704" xr:uid="{00000000-0005-0000-0000-0000C2240000}"/>
    <cellStyle name="20 % - Markeringsfarve5 2 4 4" xfId="7877" xr:uid="{00000000-0005-0000-0000-0000C3240000}"/>
    <cellStyle name="20 % - Markeringsfarve5 2 4 4 2" xfId="15795" xr:uid="{00000000-0005-0000-0000-0000C4240000}"/>
    <cellStyle name="20 % - Markeringsfarve5 2 4 4 2 2" xfId="33955" xr:uid="{00000000-0005-0000-0000-0000C5240000}"/>
    <cellStyle name="20 % - Markeringsfarve5 2 4 4 3" xfId="26954" xr:uid="{00000000-0005-0000-0000-0000C6240000}"/>
    <cellStyle name="20 % - Markeringsfarve5 2 4 5" xfId="13537" xr:uid="{00000000-0005-0000-0000-0000C7240000}"/>
    <cellStyle name="20 % - Markeringsfarve5 2 4 5 2" xfId="31704" xr:uid="{00000000-0005-0000-0000-0000C8240000}"/>
    <cellStyle name="20 % - Markeringsfarve5 2 4 6" xfId="4983" xr:uid="{00000000-0005-0000-0000-0000C9240000}"/>
    <cellStyle name="20 % - Markeringsfarve5 2 4 6 2" xfId="24702" xr:uid="{00000000-0005-0000-0000-0000CA240000}"/>
    <cellStyle name="20 % - Markeringsfarve5 2 4 7" xfId="21960" xr:uid="{00000000-0005-0000-0000-0000CB240000}"/>
    <cellStyle name="20 % - Markeringsfarve5 2 5" xfId="4986" xr:uid="{00000000-0005-0000-0000-0000CC240000}"/>
    <cellStyle name="20 % - Markeringsfarve5 2 5 2" xfId="4987" xr:uid="{00000000-0005-0000-0000-0000CD240000}"/>
    <cellStyle name="20 % - Markeringsfarve5 2 5 2 2" xfId="9991" xr:uid="{00000000-0005-0000-0000-0000CE240000}"/>
    <cellStyle name="20 % - Markeringsfarve5 2 5 2 2 2" xfId="17892" xr:uid="{00000000-0005-0000-0000-0000CF240000}"/>
    <cellStyle name="20 % - Markeringsfarve5 2 5 2 2 2 2" xfId="36052" xr:uid="{00000000-0005-0000-0000-0000D0240000}"/>
    <cellStyle name="20 % - Markeringsfarve5 2 5 2 2 3" xfId="29051" xr:uid="{00000000-0005-0000-0000-0000D1240000}"/>
    <cellStyle name="20 % - Markeringsfarve5 2 5 2 3" xfId="13541" xr:uid="{00000000-0005-0000-0000-0000D2240000}"/>
    <cellStyle name="20 % - Markeringsfarve5 2 5 2 3 2" xfId="31708" xr:uid="{00000000-0005-0000-0000-0000D3240000}"/>
    <cellStyle name="20 % - Markeringsfarve5 2 5 2 4" xfId="24706" xr:uid="{00000000-0005-0000-0000-0000D4240000}"/>
    <cellStyle name="20 % - Markeringsfarve5 2 5 3" xfId="4988" xr:uid="{00000000-0005-0000-0000-0000D5240000}"/>
    <cellStyle name="20 % - Markeringsfarve5 2 5 3 2" xfId="9221" xr:uid="{00000000-0005-0000-0000-0000D6240000}"/>
    <cellStyle name="20 % - Markeringsfarve5 2 5 3 2 2" xfId="17132" xr:uid="{00000000-0005-0000-0000-0000D7240000}"/>
    <cellStyle name="20 % - Markeringsfarve5 2 5 3 2 2 2" xfId="35292" xr:uid="{00000000-0005-0000-0000-0000D8240000}"/>
    <cellStyle name="20 % - Markeringsfarve5 2 5 3 2 3" xfId="28291" xr:uid="{00000000-0005-0000-0000-0000D9240000}"/>
    <cellStyle name="20 % - Markeringsfarve5 2 5 3 3" xfId="13542" xr:uid="{00000000-0005-0000-0000-0000DA240000}"/>
    <cellStyle name="20 % - Markeringsfarve5 2 5 3 3 2" xfId="31709" xr:uid="{00000000-0005-0000-0000-0000DB240000}"/>
    <cellStyle name="20 % - Markeringsfarve5 2 5 3 4" xfId="24707" xr:uid="{00000000-0005-0000-0000-0000DC240000}"/>
    <cellStyle name="20 % - Markeringsfarve5 2 5 4" xfId="7878" xr:uid="{00000000-0005-0000-0000-0000DD240000}"/>
    <cellStyle name="20 % - Markeringsfarve5 2 5 4 2" xfId="15796" xr:uid="{00000000-0005-0000-0000-0000DE240000}"/>
    <cellStyle name="20 % - Markeringsfarve5 2 5 4 2 2" xfId="33956" xr:uid="{00000000-0005-0000-0000-0000DF240000}"/>
    <cellStyle name="20 % - Markeringsfarve5 2 5 4 3" xfId="26955" xr:uid="{00000000-0005-0000-0000-0000E0240000}"/>
    <cellStyle name="20 % - Markeringsfarve5 2 5 5" xfId="13540" xr:uid="{00000000-0005-0000-0000-0000E1240000}"/>
    <cellStyle name="20 % - Markeringsfarve5 2 5 5 2" xfId="31707" xr:uid="{00000000-0005-0000-0000-0000E2240000}"/>
    <cellStyle name="20 % - Markeringsfarve5 2 5 6" xfId="24705" xr:uid="{00000000-0005-0000-0000-0000E3240000}"/>
    <cellStyle name="20 % - Markeringsfarve5 2 6" xfId="4989" xr:uid="{00000000-0005-0000-0000-0000E4240000}"/>
    <cellStyle name="20 % - Markeringsfarve5 2 6 2" xfId="4990" xr:uid="{00000000-0005-0000-0000-0000E5240000}"/>
    <cellStyle name="20 % - Markeringsfarve5 2 6 2 2" xfId="10108" xr:uid="{00000000-0005-0000-0000-0000E6240000}"/>
    <cellStyle name="20 % - Markeringsfarve5 2 6 2 2 2" xfId="18009" xr:uid="{00000000-0005-0000-0000-0000E7240000}"/>
    <cellStyle name="20 % - Markeringsfarve5 2 6 2 2 2 2" xfId="36169" xr:uid="{00000000-0005-0000-0000-0000E8240000}"/>
    <cellStyle name="20 % - Markeringsfarve5 2 6 2 2 3" xfId="29168" xr:uid="{00000000-0005-0000-0000-0000E9240000}"/>
    <cellStyle name="20 % - Markeringsfarve5 2 6 2 3" xfId="13544" xr:uid="{00000000-0005-0000-0000-0000EA240000}"/>
    <cellStyle name="20 % - Markeringsfarve5 2 6 2 3 2" xfId="31711" xr:uid="{00000000-0005-0000-0000-0000EB240000}"/>
    <cellStyle name="20 % - Markeringsfarve5 2 6 2 4" xfId="24709" xr:uid="{00000000-0005-0000-0000-0000EC240000}"/>
    <cellStyle name="20 % - Markeringsfarve5 2 6 3" xfId="4991" xr:uid="{00000000-0005-0000-0000-0000ED240000}"/>
    <cellStyle name="20 % - Markeringsfarve5 2 6 3 2" xfId="9384" xr:uid="{00000000-0005-0000-0000-0000EE240000}"/>
    <cellStyle name="20 % - Markeringsfarve5 2 6 3 2 2" xfId="17294" xr:uid="{00000000-0005-0000-0000-0000EF240000}"/>
    <cellStyle name="20 % - Markeringsfarve5 2 6 3 2 2 2" xfId="35454" xr:uid="{00000000-0005-0000-0000-0000F0240000}"/>
    <cellStyle name="20 % - Markeringsfarve5 2 6 3 2 3" xfId="28453" xr:uid="{00000000-0005-0000-0000-0000F1240000}"/>
    <cellStyle name="20 % - Markeringsfarve5 2 6 3 3" xfId="13545" xr:uid="{00000000-0005-0000-0000-0000F2240000}"/>
    <cellStyle name="20 % - Markeringsfarve5 2 6 3 3 2" xfId="31712" xr:uid="{00000000-0005-0000-0000-0000F3240000}"/>
    <cellStyle name="20 % - Markeringsfarve5 2 6 3 4" xfId="24710" xr:uid="{00000000-0005-0000-0000-0000F4240000}"/>
    <cellStyle name="20 % - Markeringsfarve5 2 6 4" xfId="7879" xr:uid="{00000000-0005-0000-0000-0000F5240000}"/>
    <cellStyle name="20 % - Markeringsfarve5 2 6 4 2" xfId="15797" xr:uid="{00000000-0005-0000-0000-0000F6240000}"/>
    <cellStyle name="20 % - Markeringsfarve5 2 6 4 2 2" xfId="33957" xr:uid="{00000000-0005-0000-0000-0000F7240000}"/>
    <cellStyle name="20 % - Markeringsfarve5 2 6 4 3" xfId="26956" xr:uid="{00000000-0005-0000-0000-0000F8240000}"/>
    <cellStyle name="20 % - Markeringsfarve5 2 6 5" xfId="13543" xr:uid="{00000000-0005-0000-0000-0000F9240000}"/>
    <cellStyle name="20 % - Markeringsfarve5 2 6 5 2" xfId="31710" xr:uid="{00000000-0005-0000-0000-0000FA240000}"/>
    <cellStyle name="20 % - Markeringsfarve5 2 6 6" xfId="24708" xr:uid="{00000000-0005-0000-0000-0000FB240000}"/>
    <cellStyle name="20 % - Markeringsfarve5 2 7" xfId="4992" xr:uid="{00000000-0005-0000-0000-0000FC240000}"/>
    <cellStyle name="20 % - Markeringsfarve5 2 7 2" xfId="4993" xr:uid="{00000000-0005-0000-0000-0000FD240000}"/>
    <cellStyle name="20 % - Markeringsfarve5 2 7 2 2" xfId="10225" xr:uid="{00000000-0005-0000-0000-0000FE240000}"/>
    <cellStyle name="20 % - Markeringsfarve5 2 7 2 2 2" xfId="18126" xr:uid="{00000000-0005-0000-0000-0000FF240000}"/>
    <cellStyle name="20 % - Markeringsfarve5 2 7 2 2 2 2" xfId="36286" xr:uid="{00000000-0005-0000-0000-000000250000}"/>
    <cellStyle name="20 % - Markeringsfarve5 2 7 2 2 3" xfId="29285" xr:uid="{00000000-0005-0000-0000-000001250000}"/>
    <cellStyle name="20 % - Markeringsfarve5 2 7 2 3" xfId="13547" xr:uid="{00000000-0005-0000-0000-000002250000}"/>
    <cellStyle name="20 % - Markeringsfarve5 2 7 2 3 2" xfId="31714" xr:uid="{00000000-0005-0000-0000-000003250000}"/>
    <cellStyle name="20 % - Markeringsfarve5 2 7 2 4" xfId="24712" xr:uid="{00000000-0005-0000-0000-000004250000}"/>
    <cellStyle name="20 % - Markeringsfarve5 2 7 3" xfId="4994" xr:uid="{00000000-0005-0000-0000-000005250000}"/>
    <cellStyle name="20 % - Markeringsfarve5 2 7 3 2" xfId="9501" xr:uid="{00000000-0005-0000-0000-000006250000}"/>
    <cellStyle name="20 % - Markeringsfarve5 2 7 3 2 2" xfId="17411" xr:uid="{00000000-0005-0000-0000-000007250000}"/>
    <cellStyle name="20 % - Markeringsfarve5 2 7 3 2 2 2" xfId="35571" xr:uid="{00000000-0005-0000-0000-000008250000}"/>
    <cellStyle name="20 % - Markeringsfarve5 2 7 3 2 3" xfId="28570" xr:uid="{00000000-0005-0000-0000-000009250000}"/>
    <cellStyle name="20 % - Markeringsfarve5 2 7 3 3" xfId="13548" xr:uid="{00000000-0005-0000-0000-00000A250000}"/>
    <cellStyle name="20 % - Markeringsfarve5 2 7 3 3 2" xfId="31715" xr:uid="{00000000-0005-0000-0000-00000B250000}"/>
    <cellStyle name="20 % - Markeringsfarve5 2 7 3 4" xfId="24713" xr:uid="{00000000-0005-0000-0000-00000C250000}"/>
    <cellStyle name="20 % - Markeringsfarve5 2 7 4" xfId="7880" xr:uid="{00000000-0005-0000-0000-00000D250000}"/>
    <cellStyle name="20 % - Markeringsfarve5 2 7 4 2" xfId="15798" xr:uid="{00000000-0005-0000-0000-00000E250000}"/>
    <cellStyle name="20 % - Markeringsfarve5 2 7 4 2 2" xfId="33958" xr:uid="{00000000-0005-0000-0000-00000F250000}"/>
    <cellStyle name="20 % - Markeringsfarve5 2 7 4 3" xfId="26957" xr:uid="{00000000-0005-0000-0000-000010250000}"/>
    <cellStyle name="20 % - Markeringsfarve5 2 7 5" xfId="13546" xr:uid="{00000000-0005-0000-0000-000011250000}"/>
    <cellStyle name="20 % - Markeringsfarve5 2 7 5 2" xfId="31713" xr:uid="{00000000-0005-0000-0000-000012250000}"/>
    <cellStyle name="20 % - Markeringsfarve5 2 7 6" xfId="24711" xr:uid="{00000000-0005-0000-0000-000013250000}"/>
    <cellStyle name="20 % - Markeringsfarve5 2 8" xfId="4995" xr:uid="{00000000-0005-0000-0000-000014250000}"/>
    <cellStyle name="20 % - Markeringsfarve5 2 8 2" xfId="4996" xr:uid="{00000000-0005-0000-0000-000015250000}"/>
    <cellStyle name="20 % - Markeringsfarve5 2 8 2 2" xfId="10345" xr:uid="{00000000-0005-0000-0000-000016250000}"/>
    <cellStyle name="20 % - Markeringsfarve5 2 8 2 2 2" xfId="18246" xr:uid="{00000000-0005-0000-0000-000017250000}"/>
    <cellStyle name="20 % - Markeringsfarve5 2 8 2 2 2 2" xfId="36406" xr:uid="{00000000-0005-0000-0000-000018250000}"/>
    <cellStyle name="20 % - Markeringsfarve5 2 8 2 2 3" xfId="29405" xr:uid="{00000000-0005-0000-0000-000019250000}"/>
    <cellStyle name="20 % - Markeringsfarve5 2 8 2 3" xfId="13550" xr:uid="{00000000-0005-0000-0000-00001A250000}"/>
    <cellStyle name="20 % - Markeringsfarve5 2 8 2 3 2" xfId="31717" xr:uid="{00000000-0005-0000-0000-00001B250000}"/>
    <cellStyle name="20 % - Markeringsfarve5 2 8 2 4" xfId="24715" xr:uid="{00000000-0005-0000-0000-00001C250000}"/>
    <cellStyle name="20 % - Markeringsfarve5 2 8 3" xfId="4997" xr:uid="{00000000-0005-0000-0000-00001D250000}"/>
    <cellStyle name="20 % - Markeringsfarve5 2 8 3 2" xfId="9622" xr:uid="{00000000-0005-0000-0000-00001E250000}"/>
    <cellStyle name="20 % - Markeringsfarve5 2 8 3 2 2" xfId="17532" xr:uid="{00000000-0005-0000-0000-00001F250000}"/>
    <cellStyle name="20 % - Markeringsfarve5 2 8 3 2 2 2" xfId="35692" xr:uid="{00000000-0005-0000-0000-000020250000}"/>
    <cellStyle name="20 % - Markeringsfarve5 2 8 3 2 3" xfId="28691" xr:uid="{00000000-0005-0000-0000-000021250000}"/>
    <cellStyle name="20 % - Markeringsfarve5 2 8 3 3" xfId="13551" xr:uid="{00000000-0005-0000-0000-000022250000}"/>
    <cellStyle name="20 % - Markeringsfarve5 2 8 3 3 2" xfId="31718" xr:uid="{00000000-0005-0000-0000-000023250000}"/>
    <cellStyle name="20 % - Markeringsfarve5 2 8 3 4" xfId="24716" xr:uid="{00000000-0005-0000-0000-000024250000}"/>
    <cellStyle name="20 % - Markeringsfarve5 2 8 4" xfId="7881" xr:uid="{00000000-0005-0000-0000-000025250000}"/>
    <cellStyle name="20 % - Markeringsfarve5 2 8 4 2" xfId="15799" xr:uid="{00000000-0005-0000-0000-000026250000}"/>
    <cellStyle name="20 % - Markeringsfarve5 2 8 4 2 2" xfId="33959" xr:uid="{00000000-0005-0000-0000-000027250000}"/>
    <cellStyle name="20 % - Markeringsfarve5 2 8 4 3" xfId="26958" xr:uid="{00000000-0005-0000-0000-000028250000}"/>
    <cellStyle name="20 % - Markeringsfarve5 2 8 5" xfId="13549" xr:uid="{00000000-0005-0000-0000-000029250000}"/>
    <cellStyle name="20 % - Markeringsfarve5 2 8 5 2" xfId="31716" xr:uid="{00000000-0005-0000-0000-00002A250000}"/>
    <cellStyle name="20 % - Markeringsfarve5 2 8 6" xfId="24714" xr:uid="{00000000-0005-0000-0000-00002B250000}"/>
    <cellStyle name="20 % - Markeringsfarve5 2 9" xfId="4998" xr:uid="{00000000-0005-0000-0000-00002C250000}"/>
    <cellStyle name="20 % - Markeringsfarve5 2 9 2" xfId="9751" xr:uid="{00000000-0005-0000-0000-00002D250000}"/>
    <cellStyle name="20 % - Markeringsfarve5 2 9 2 2" xfId="17652" xr:uid="{00000000-0005-0000-0000-00002E250000}"/>
    <cellStyle name="20 % - Markeringsfarve5 2 9 2 2 2" xfId="35812" xr:uid="{00000000-0005-0000-0000-00002F250000}"/>
    <cellStyle name="20 % - Markeringsfarve5 2 9 2 3" xfId="28811" xr:uid="{00000000-0005-0000-0000-000030250000}"/>
    <cellStyle name="20 % - Markeringsfarve5 2 9 3" xfId="13552" xr:uid="{00000000-0005-0000-0000-000031250000}"/>
    <cellStyle name="20 % - Markeringsfarve5 2 9 3 2" xfId="31719" xr:uid="{00000000-0005-0000-0000-000032250000}"/>
    <cellStyle name="20 % - Markeringsfarve5 2 9 4" xfId="24717" xr:uid="{00000000-0005-0000-0000-000033250000}"/>
    <cellStyle name="20 % - Markeringsfarve5 3" xfId="1837" xr:uid="{00000000-0005-0000-0000-000034250000}"/>
    <cellStyle name="20 % - Markeringsfarve5 3 10" xfId="5000" xr:uid="{00000000-0005-0000-0000-000035250000}"/>
    <cellStyle name="20 % - Markeringsfarve5 3 10 2" xfId="8964" xr:uid="{00000000-0005-0000-0000-000036250000}"/>
    <cellStyle name="20 % - Markeringsfarve5 3 10 2 2" xfId="16876" xr:uid="{00000000-0005-0000-0000-000037250000}"/>
    <cellStyle name="20 % - Markeringsfarve5 3 10 2 2 2" xfId="35036" xr:uid="{00000000-0005-0000-0000-000038250000}"/>
    <cellStyle name="20 % - Markeringsfarve5 3 10 2 3" xfId="28035" xr:uid="{00000000-0005-0000-0000-000039250000}"/>
    <cellStyle name="20 % - Markeringsfarve5 3 10 3" xfId="13554" xr:uid="{00000000-0005-0000-0000-00003A250000}"/>
    <cellStyle name="20 % - Markeringsfarve5 3 10 3 2" xfId="31721" xr:uid="{00000000-0005-0000-0000-00003B250000}"/>
    <cellStyle name="20 % - Markeringsfarve5 3 10 4" xfId="24719" xr:uid="{00000000-0005-0000-0000-00003C250000}"/>
    <cellStyle name="20 % - Markeringsfarve5 3 11" xfId="7882" xr:uid="{00000000-0005-0000-0000-00003D250000}"/>
    <cellStyle name="20 % - Markeringsfarve5 3 11 2" xfId="15800" xr:uid="{00000000-0005-0000-0000-00003E250000}"/>
    <cellStyle name="20 % - Markeringsfarve5 3 11 2 2" xfId="33960" xr:uid="{00000000-0005-0000-0000-00003F250000}"/>
    <cellStyle name="20 % - Markeringsfarve5 3 11 3" xfId="26959" xr:uid="{00000000-0005-0000-0000-000040250000}"/>
    <cellStyle name="20 % - Markeringsfarve5 3 12" xfId="13553" xr:uid="{00000000-0005-0000-0000-000041250000}"/>
    <cellStyle name="20 % - Markeringsfarve5 3 12 2" xfId="31720" xr:uid="{00000000-0005-0000-0000-000042250000}"/>
    <cellStyle name="20 % - Markeringsfarve5 3 13" xfId="4999" xr:uid="{00000000-0005-0000-0000-000043250000}"/>
    <cellStyle name="20 % - Markeringsfarve5 3 13 2" xfId="24718" xr:uid="{00000000-0005-0000-0000-000044250000}"/>
    <cellStyle name="20 % - Markeringsfarve5 3 14" xfId="21961" xr:uid="{00000000-0005-0000-0000-000045250000}"/>
    <cellStyle name="20 % - Markeringsfarve5 3 2" xfId="1838" xr:uid="{00000000-0005-0000-0000-000046250000}"/>
    <cellStyle name="20 % - Markeringsfarve5 3 2 10" xfId="13555" xr:uid="{00000000-0005-0000-0000-000047250000}"/>
    <cellStyle name="20 % - Markeringsfarve5 3 2 10 2" xfId="31722" xr:uid="{00000000-0005-0000-0000-000048250000}"/>
    <cellStyle name="20 % - Markeringsfarve5 3 2 11" xfId="5001" xr:uid="{00000000-0005-0000-0000-000049250000}"/>
    <cellStyle name="20 % - Markeringsfarve5 3 2 11 2" xfId="24720" xr:uid="{00000000-0005-0000-0000-00004A250000}"/>
    <cellStyle name="20 % - Markeringsfarve5 3 2 12" xfId="21962" xr:uid="{00000000-0005-0000-0000-00004B250000}"/>
    <cellStyle name="20 % - Markeringsfarve5 3 2 2" xfId="5002" xr:uid="{00000000-0005-0000-0000-00004C250000}"/>
    <cellStyle name="20 % - Markeringsfarve5 3 2 2 2" xfId="5003" xr:uid="{00000000-0005-0000-0000-00004D250000}"/>
    <cellStyle name="20 % - Markeringsfarve5 3 2 2 2 2" xfId="9897" xr:uid="{00000000-0005-0000-0000-00004E250000}"/>
    <cellStyle name="20 % - Markeringsfarve5 3 2 2 2 2 2" xfId="17798" xr:uid="{00000000-0005-0000-0000-00004F250000}"/>
    <cellStyle name="20 % - Markeringsfarve5 3 2 2 2 2 2 2" xfId="35958" xr:uid="{00000000-0005-0000-0000-000050250000}"/>
    <cellStyle name="20 % - Markeringsfarve5 3 2 2 2 2 3" xfId="28957" xr:uid="{00000000-0005-0000-0000-000051250000}"/>
    <cellStyle name="20 % - Markeringsfarve5 3 2 2 2 3" xfId="13557" xr:uid="{00000000-0005-0000-0000-000052250000}"/>
    <cellStyle name="20 % - Markeringsfarve5 3 2 2 2 3 2" xfId="31724" xr:uid="{00000000-0005-0000-0000-000053250000}"/>
    <cellStyle name="20 % - Markeringsfarve5 3 2 2 2 4" xfId="24722" xr:uid="{00000000-0005-0000-0000-000054250000}"/>
    <cellStyle name="20 % - Markeringsfarve5 3 2 2 3" xfId="5004" xr:uid="{00000000-0005-0000-0000-000055250000}"/>
    <cellStyle name="20 % - Markeringsfarve5 3 2 2 3 2" xfId="9127" xr:uid="{00000000-0005-0000-0000-000056250000}"/>
    <cellStyle name="20 % - Markeringsfarve5 3 2 2 3 2 2" xfId="17038" xr:uid="{00000000-0005-0000-0000-000057250000}"/>
    <cellStyle name="20 % - Markeringsfarve5 3 2 2 3 2 2 2" xfId="35198" xr:uid="{00000000-0005-0000-0000-000058250000}"/>
    <cellStyle name="20 % - Markeringsfarve5 3 2 2 3 2 3" xfId="28197" xr:uid="{00000000-0005-0000-0000-000059250000}"/>
    <cellStyle name="20 % - Markeringsfarve5 3 2 2 3 3" xfId="13558" xr:uid="{00000000-0005-0000-0000-00005A250000}"/>
    <cellStyle name="20 % - Markeringsfarve5 3 2 2 3 3 2" xfId="31725" xr:uid="{00000000-0005-0000-0000-00005B250000}"/>
    <cellStyle name="20 % - Markeringsfarve5 3 2 2 3 4" xfId="24723" xr:uid="{00000000-0005-0000-0000-00005C250000}"/>
    <cellStyle name="20 % - Markeringsfarve5 3 2 2 4" xfId="7884" xr:uid="{00000000-0005-0000-0000-00005D250000}"/>
    <cellStyle name="20 % - Markeringsfarve5 3 2 2 4 2" xfId="15802" xr:uid="{00000000-0005-0000-0000-00005E250000}"/>
    <cellStyle name="20 % - Markeringsfarve5 3 2 2 4 2 2" xfId="33962" xr:uid="{00000000-0005-0000-0000-00005F250000}"/>
    <cellStyle name="20 % - Markeringsfarve5 3 2 2 4 3" xfId="26961" xr:uid="{00000000-0005-0000-0000-000060250000}"/>
    <cellStyle name="20 % - Markeringsfarve5 3 2 2 5" xfId="13556" xr:uid="{00000000-0005-0000-0000-000061250000}"/>
    <cellStyle name="20 % - Markeringsfarve5 3 2 2 5 2" xfId="31723" xr:uid="{00000000-0005-0000-0000-000062250000}"/>
    <cellStyle name="20 % - Markeringsfarve5 3 2 2 6" xfId="24721" xr:uid="{00000000-0005-0000-0000-000063250000}"/>
    <cellStyle name="20 % - Markeringsfarve5 3 2 3" xfId="5005" xr:uid="{00000000-0005-0000-0000-000064250000}"/>
    <cellStyle name="20 % - Markeringsfarve5 3 2 3 2" xfId="5006" xr:uid="{00000000-0005-0000-0000-000065250000}"/>
    <cellStyle name="20 % - Markeringsfarve5 3 2 3 2 2" xfId="9995" xr:uid="{00000000-0005-0000-0000-000066250000}"/>
    <cellStyle name="20 % - Markeringsfarve5 3 2 3 2 2 2" xfId="17896" xr:uid="{00000000-0005-0000-0000-000067250000}"/>
    <cellStyle name="20 % - Markeringsfarve5 3 2 3 2 2 2 2" xfId="36056" xr:uid="{00000000-0005-0000-0000-000068250000}"/>
    <cellStyle name="20 % - Markeringsfarve5 3 2 3 2 2 3" xfId="29055" xr:uid="{00000000-0005-0000-0000-000069250000}"/>
    <cellStyle name="20 % - Markeringsfarve5 3 2 3 2 3" xfId="13560" xr:uid="{00000000-0005-0000-0000-00006A250000}"/>
    <cellStyle name="20 % - Markeringsfarve5 3 2 3 2 3 2" xfId="31727" xr:uid="{00000000-0005-0000-0000-00006B250000}"/>
    <cellStyle name="20 % - Markeringsfarve5 3 2 3 2 4" xfId="24725" xr:uid="{00000000-0005-0000-0000-00006C250000}"/>
    <cellStyle name="20 % - Markeringsfarve5 3 2 3 3" xfId="5007" xr:uid="{00000000-0005-0000-0000-00006D250000}"/>
    <cellStyle name="20 % - Markeringsfarve5 3 2 3 3 2" xfId="9225" xr:uid="{00000000-0005-0000-0000-00006E250000}"/>
    <cellStyle name="20 % - Markeringsfarve5 3 2 3 3 2 2" xfId="17136" xr:uid="{00000000-0005-0000-0000-00006F250000}"/>
    <cellStyle name="20 % - Markeringsfarve5 3 2 3 3 2 2 2" xfId="35296" xr:uid="{00000000-0005-0000-0000-000070250000}"/>
    <cellStyle name="20 % - Markeringsfarve5 3 2 3 3 2 3" xfId="28295" xr:uid="{00000000-0005-0000-0000-000071250000}"/>
    <cellStyle name="20 % - Markeringsfarve5 3 2 3 3 3" xfId="13561" xr:uid="{00000000-0005-0000-0000-000072250000}"/>
    <cellStyle name="20 % - Markeringsfarve5 3 2 3 3 3 2" xfId="31728" xr:uid="{00000000-0005-0000-0000-000073250000}"/>
    <cellStyle name="20 % - Markeringsfarve5 3 2 3 3 4" xfId="24726" xr:uid="{00000000-0005-0000-0000-000074250000}"/>
    <cellStyle name="20 % - Markeringsfarve5 3 2 3 4" xfId="7885" xr:uid="{00000000-0005-0000-0000-000075250000}"/>
    <cellStyle name="20 % - Markeringsfarve5 3 2 3 4 2" xfId="15803" xr:uid="{00000000-0005-0000-0000-000076250000}"/>
    <cellStyle name="20 % - Markeringsfarve5 3 2 3 4 2 2" xfId="33963" xr:uid="{00000000-0005-0000-0000-000077250000}"/>
    <cellStyle name="20 % - Markeringsfarve5 3 2 3 4 3" xfId="26962" xr:uid="{00000000-0005-0000-0000-000078250000}"/>
    <cellStyle name="20 % - Markeringsfarve5 3 2 3 5" xfId="13559" xr:uid="{00000000-0005-0000-0000-000079250000}"/>
    <cellStyle name="20 % - Markeringsfarve5 3 2 3 5 2" xfId="31726" xr:uid="{00000000-0005-0000-0000-00007A250000}"/>
    <cellStyle name="20 % - Markeringsfarve5 3 2 3 6" xfId="24724" xr:uid="{00000000-0005-0000-0000-00007B250000}"/>
    <cellStyle name="20 % - Markeringsfarve5 3 2 4" xfId="5008" xr:uid="{00000000-0005-0000-0000-00007C250000}"/>
    <cellStyle name="20 % - Markeringsfarve5 3 2 4 2" xfId="5009" xr:uid="{00000000-0005-0000-0000-00007D250000}"/>
    <cellStyle name="20 % - Markeringsfarve5 3 2 4 2 2" xfId="10135" xr:uid="{00000000-0005-0000-0000-00007E250000}"/>
    <cellStyle name="20 % - Markeringsfarve5 3 2 4 2 2 2" xfId="18036" xr:uid="{00000000-0005-0000-0000-00007F250000}"/>
    <cellStyle name="20 % - Markeringsfarve5 3 2 4 2 2 2 2" xfId="36196" xr:uid="{00000000-0005-0000-0000-000080250000}"/>
    <cellStyle name="20 % - Markeringsfarve5 3 2 4 2 2 3" xfId="29195" xr:uid="{00000000-0005-0000-0000-000081250000}"/>
    <cellStyle name="20 % - Markeringsfarve5 3 2 4 2 3" xfId="13563" xr:uid="{00000000-0005-0000-0000-000082250000}"/>
    <cellStyle name="20 % - Markeringsfarve5 3 2 4 2 3 2" xfId="31730" xr:uid="{00000000-0005-0000-0000-000083250000}"/>
    <cellStyle name="20 % - Markeringsfarve5 3 2 4 2 4" xfId="24728" xr:uid="{00000000-0005-0000-0000-000084250000}"/>
    <cellStyle name="20 % - Markeringsfarve5 3 2 4 3" xfId="5010" xr:uid="{00000000-0005-0000-0000-000085250000}"/>
    <cellStyle name="20 % - Markeringsfarve5 3 2 4 3 2" xfId="9411" xr:uid="{00000000-0005-0000-0000-000086250000}"/>
    <cellStyle name="20 % - Markeringsfarve5 3 2 4 3 2 2" xfId="17321" xr:uid="{00000000-0005-0000-0000-000087250000}"/>
    <cellStyle name="20 % - Markeringsfarve5 3 2 4 3 2 2 2" xfId="35481" xr:uid="{00000000-0005-0000-0000-000088250000}"/>
    <cellStyle name="20 % - Markeringsfarve5 3 2 4 3 2 3" xfId="28480" xr:uid="{00000000-0005-0000-0000-000089250000}"/>
    <cellStyle name="20 % - Markeringsfarve5 3 2 4 3 3" xfId="13564" xr:uid="{00000000-0005-0000-0000-00008A250000}"/>
    <cellStyle name="20 % - Markeringsfarve5 3 2 4 3 3 2" xfId="31731" xr:uid="{00000000-0005-0000-0000-00008B250000}"/>
    <cellStyle name="20 % - Markeringsfarve5 3 2 4 3 4" xfId="24729" xr:uid="{00000000-0005-0000-0000-00008C250000}"/>
    <cellStyle name="20 % - Markeringsfarve5 3 2 4 4" xfId="7886" xr:uid="{00000000-0005-0000-0000-00008D250000}"/>
    <cellStyle name="20 % - Markeringsfarve5 3 2 4 4 2" xfId="15804" xr:uid="{00000000-0005-0000-0000-00008E250000}"/>
    <cellStyle name="20 % - Markeringsfarve5 3 2 4 4 2 2" xfId="33964" xr:uid="{00000000-0005-0000-0000-00008F250000}"/>
    <cellStyle name="20 % - Markeringsfarve5 3 2 4 4 3" xfId="26963" xr:uid="{00000000-0005-0000-0000-000090250000}"/>
    <cellStyle name="20 % - Markeringsfarve5 3 2 4 5" xfId="13562" xr:uid="{00000000-0005-0000-0000-000091250000}"/>
    <cellStyle name="20 % - Markeringsfarve5 3 2 4 5 2" xfId="31729" xr:uid="{00000000-0005-0000-0000-000092250000}"/>
    <cellStyle name="20 % - Markeringsfarve5 3 2 4 6" xfId="24727" xr:uid="{00000000-0005-0000-0000-000093250000}"/>
    <cellStyle name="20 % - Markeringsfarve5 3 2 5" xfId="5011" xr:uid="{00000000-0005-0000-0000-000094250000}"/>
    <cellStyle name="20 % - Markeringsfarve5 3 2 5 2" xfId="5012" xr:uid="{00000000-0005-0000-0000-000095250000}"/>
    <cellStyle name="20 % - Markeringsfarve5 3 2 5 2 2" xfId="10252" xr:uid="{00000000-0005-0000-0000-000096250000}"/>
    <cellStyle name="20 % - Markeringsfarve5 3 2 5 2 2 2" xfId="18153" xr:uid="{00000000-0005-0000-0000-000097250000}"/>
    <cellStyle name="20 % - Markeringsfarve5 3 2 5 2 2 2 2" xfId="36313" xr:uid="{00000000-0005-0000-0000-000098250000}"/>
    <cellStyle name="20 % - Markeringsfarve5 3 2 5 2 2 3" xfId="29312" xr:uid="{00000000-0005-0000-0000-000099250000}"/>
    <cellStyle name="20 % - Markeringsfarve5 3 2 5 2 3" xfId="13566" xr:uid="{00000000-0005-0000-0000-00009A250000}"/>
    <cellStyle name="20 % - Markeringsfarve5 3 2 5 2 3 2" xfId="31733" xr:uid="{00000000-0005-0000-0000-00009B250000}"/>
    <cellStyle name="20 % - Markeringsfarve5 3 2 5 2 4" xfId="24731" xr:uid="{00000000-0005-0000-0000-00009C250000}"/>
    <cellStyle name="20 % - Markeringsfarve5 3 2 5 3" xfId="5013" xr:uid="{00000000-0005-0000-0000-00009D250000}"/>
    <cellStyle name="20 % - Markeringsfarve5 3 2 5 3 2" xfId="9528" xr:uid="{00000000-0005-0000-0000-00009E250000}"/>
    <cellStyle name="20 % - Markeringsfarve5 3 2 5 3 2 2" xfId="17438" xr:uid="{00000000-0005-0000-0000-00009F250000}"/>
    <cellStyle name="20 % - Markeringsfarve5 3 2 5 3 2 2 2" xfId="35598" xr:uid="{00000000-0005-0000-0000-0000A0250000}"/>
    <cellStyle name="20 % - Markeringsfarve5 3 2 5 3 2 3" xfId="28597" xr:uid="{00000000-0005-0000-0000-0000A1250000}"/>
    <cellStyle name="20 % - Markeringsfarve5 3 2 5 3 3" xfId="13567" xr:uid="{00000000-0005-0000-0000-0000A2250000}"/>
    <cellStyle name="20 % - Markeringsfarve5 3 2 5 3 3 2" xfId="31734" xr:uid="{00000000-0005-0000-0000-0000A3250000}"/>
    <cellStyle name="20 % - Markeringsfarve5 3 2 5 3 4" xfId="24732" xr:uid="{00000000-0005-0000-0000-0000A4250000}"/>
    <cellStyle name="20 % - Markeringsfarve5 3 2 5 4" xfId="7887" xr:uid="{00000000-0005-0000-0000-0000A5250000}"/>
    <cellStyle name="20 % - Markeringsfarve5 3 2 5 4 2" xfId="15805" xr:uid="{00000000-0005-0000-0000-0000A6250000}"/>
    <cellStyle name="20 % - Markeringsfarve5 3 2 5 4 2 2" xfId="33965" xr:uid="{00000000-0005-0000-0000-0000A7250000}"/>
    <cellStyle name="20 % - Markeringsfarve5 3 2 5 4 3" xfId="26964" xr:uid="{00000000-0005-0000-0000-0000A8250000}"/>
    <cellStyle name="20 % - Markeringsfarve5 3 2 5 5" xfId="13565" xr:uid="{00000000-0005-0000-0000-0000A9250000}"/>
    <cellStyle name="20 % - Markeringsfarve5 3 2 5 5 2" xfId="31732" xr:uid="{00000000-0005-0000-0000-0000AA250000}"/>
    <cellStyle name="20 % - Markeringsfarve5 3 2 5 6" xfId="24730" xr:uid="{00000000-0005-0000-0000-0000AB250000}"/>
    <cellStyle name="20 % - Markeringsfarve5 3 2 6" xfId="5014" xr:uid="{00000000-0005-0000-0000-0000AC250000}"/>
    <cellStyle name="20 % - Markeringsfarve5 3 2 6 2" xfId="5015" xr:uid="{00000000-0005-0000-0000-0000AD250000}"/>
    <cellStyle name="20 % - Markeringsfarve5 3 2 6 2 2" xfId="10349" xr:uid="{00000000-0005-0000-0000-0000AE250000}"/>
    <cellStyle name="20 % - Markeringsfarve5 3 2 6 2 2 2" xfId="18250" xr:uid="{00000000-0005-0000-0000-0000AF250000}"/>
    <cellStyle name="20 % - Markeringsfarve5 3 2 6 2 2 2 2" xfId="36410" xr:uid="{00000000-0005-0000-0000-0000B0250000}"/>
    <cellStyle name="20 % - Markeringsfarve5 3 2 6 2 2 3" xfId="29409" xr:uid="{00000000-0005-0000-0000-0000B1250000}"/>
    <cellStyle name="20 % - Markeringsfarve5 3 2 6 2 3" xfId="13569" xr:uid="{00000000-0005-0000-0000-0000B2250000}"/>
    <cellStyle name="20 % - Markeringsfarve5 3 2 6 2 3 2" xfId="31736" xr:uid="{00000000-0005-0000-0000-0000B3250000}"/>
    <cellStyle name="20 % - Markeringsfarve5 3 2 6 2 4" xfId="24734" xr:uid="{00000000-0005-0000-0000-0000B4250000}"/>
    <cellStyle name="20 % - Markeringsfarve5 3 2 6 3" xfId="5016" xr:uid="{00000000-0005-0000-0000-0000B5250000}"/>
    <cellStyle name="20 % - Markeringsfarve5 3 2 6 3 2" xfId="9626" xr:uid="{00000000-0005-0000-0000-0000B6250000}"/>
    <cellStyle name="20 % - Markeringsfarve5 3 2 6 3 2 2" xfId="17536" xr:uid="{00000000-0005-0000-0000-0000B7250000}"/>
    <cellStyle name="20 % - Markeringsfarve5 3 2 6 3 2 2 2" xfId="35696" xr:uid="{00000000-0005-0000-0000-0000B8250000}"/>
    <cellStyle name="20 % - Markeringsfarve5 3 2 6 3 2 3" xfId="28695" xr:uid="{00000000-0005-0000-0000-0000B9250000}"/>
    <cellStyle name="20 % - Markeringsfarve5 3 2 6 3 3" xfId="13570" xr:uid="{00000000-0005-0000-0000-0000BA250000}"/>
    <cellStyle name="20 % - Markeringsfarve5 3 2 6 3 3 2" xfId="31737" xr:uid="{00000000-0005-0000-0000-0000BB250000}"/>
    <cellStyle name="20 % - Markeringsfarve5 3 2 6 3 4" xfId="24735" xr:uid="{00000000-0005-0000-0000-0000BC250000}"/>
    <cellStyle name="20 % - Markeringsfarve5 3 2 6 4" xfId="7888" xr:uid="{00000000-0005-0000-0000-0000BD250000}"/>
    <cellStyle name="20 % - Markeringsfarve5 3 2 6 4 2" xfId="15806" xr:uid="{00000000-0005-0000-0000-0000BE250000}"/>
    <cellStyle name="20 % - Markeringsfarve5 3 2 6 4 2 2" xfId="33966" xr:uid="{00000000-0005-0000-0000-0000BF250000}"/>
    <cellStyle name="20 % - Markeringsfarve5 3 2 6 4 3" xfId="26965" xr:uid="{00000000-0005-0000-0000-0000C0250000}"/>
    <cellStyle name="20 % - Markeringsfarve5 3 2 6 5" xfId="13568" xr:uid="{00000000-0005-0000-0000-0000C1250000}"/>
    <cellStyle name="20 % - Markeringsfarve5 3 2 6 5 2" xfId="31735" xr:uid="{00000000-0005-0000-0000-0000C2250000}"/>
    <cellStyle name="20 % - Markeringsfarve5 3 2 6 6" xfId="24733" xr:uid="{00000000-0005-0000-0000-0000C3250000}"/>
    <cellStyle name="20 % - Markeringsfarve5 3 2 7" xfId="5017" xr:uid="{00000000-0005-0000-0000-0000C4250000}"/>
    <cellStyle name="20 % - Markeringsfarve5 3 2 7 2" xfId="9778" xr:uid="{00000000-0005-0000-0000-0000C5250000}"/>
    <cellStyle name="20 % - Markeringsfarve5 3 2 7 2 2" xfId="17679" xr:uid="{00000000-0005-0000-0000-0000C6250000}"/>
    <cellStyle name="20 % - Markeringsfarve5 3 2 7 2 2 2" xfId="35839" xr:uid="{00000000-0005-0000-0000-0000C7250000}"/>
    <cellStyle name="20 % - Markeringsfarve5 3 2 7 2 3" xfId="28838" xr:uid="{00000000-0005-0000-0000-0000C8250000}"/>
    <cellStyle name="20 % - Markeringsfarve5 3 2 7 3" xfId="13571" xr:uid="{00000000-0005-0000-0000-0000C9250000}"/>
    <cellStyle name="20 % - Markeringsfarve5 3 2 7 3 2" xfId="31738" xr:uid="{00000000-0005-0000-0000-0000CA250000}"/>
    <cellStyle name="20 % - Markeringsfarve5 3 2 7 4" xfId="24736" xr:uid="{00000000-0005-0000-0000-0000CB250000}"/>
    <cellStyle name="20 % - Markeringsfarve5 3 2 8" xfId="5018" xr:uid="{00000000-0005-0000-0000-0000CC250000}"/>
    <cellStyle name="20 % - Markeringsfarve5 3 2 8 2" xfId="9006" xr:uid="{00000000-0005-0000-0000-0000CD250000}"/>
    <cellStyle name="20 % - Markeringsfarve5 3 2 8 2 2" xfId="16917" xr:uid="{00000000-0005-0000-0000-0000CE250000}"/>
    <cellStyle name="20 % - Markeringsfarve5 3 2 8 2 2 2" xfId="35077" xr:uid="{00000000-0005-0000-0000-0000CF250000}"/>
    <cellStyle name="20 % - Markeringsfarve5 3 2 8 2 3" xfId="28076" xr:uid="{00000000-0005-0000-0000-0000D0250000}"/>
    <cellStyle name="20 % - Markeringsfarve5 3 2 8 3" xfId="13572" xr:uid="{00000000-0005-0000-0000-0000D1250000}"/>
    <cellStyle name="20 % - Markeringsfarve5 3 2 8 3 2" xfId="31739" xr:uid="{00000000-0005-0000-0000-0000D2250000}"/>
    <cellStyle name="20 % - Markeringsfarve5 3 2 8 4" xfId="24737" xr:uid="{00000000-0005-0000-0000-0000D3250000}"/>
    <cellStyle name="20 % - Markeringsfarve5 3 2 9" xfId="7883" xr:uid="{00000000-0005-0000-0000-0000D4250000}"/>
    <cellStyle name="20 % - Markeringsfarve5 3 2 9 2" xfId="15801" xr:uid="{00000000-0005-0000-0000-0000D5250000}"/>
    <cellStyle name="20 % - Markeringsfarve5 3 2 9 2 2" xfId="33961" xr:uid="{00000000-0005-0000-0000-0000D6250000}"/>
    <cellStyle name="20 % - Markeringsfarve5 3 2 9 3" xfId="26960" xr:uid="{00000000-0005-0000-0000-0000D7250000}"/>
    <cellStyle name="20 % - Markeringsfarve5 3 3" xfId="5019" xr:uid="{00000000-0005-0000-0000-0000D8250000}"/>
    <cellStyle name="20 % - Markeringsfarve5 3 3 10" xfId="13573" xr:uid="{00000000-0005-0000-0000-0000D9250000}"/>
    <cellStyle name="20 % - Markeringsfarve5 3 3 10 2" xfId="31740" xr:uid="{00000000-0005-0000-0000-0000DA250000}"/>
    <cellStyle name="20 % - Markeringsfarve5 3 3 11" xfId="24738" xr:uid="{00000000-0005-0000-0000-0000DB250000}"/>
    <cellStyle name="20 % - Markeringsfarve5 3 3 2" xfId="5020" xr:uid="{00000000-0005-0000-0000-0000DC250000}"/>
    <cellStyle name="20 % - Markeringsfarve5 3 3 2 2" xfId="5021" xr:uid="{00000000-0005-0000-0000-0000DD250000}"/>
    <cellStyle name="20 % - Markeringsfarve5 3 3 2 2 2" xfId="9936" xr:uid="{00000000-0005-0000-0000-0000DE250000}"/>
    <cellStyle name="20 % - Markeringsfarve5 3 3 2 2 2 2" xfId="17837" xr:uid="{00000000-0005-0000-0000-0000DF250000}"/>
    <cellStyle name="20 % - Markeringsfarve5 3 3 2 2 2 2 2" xfId="35997" xr:uid="{00000000-0005-0000-0000-0000E0250000}"/>
    <cellStyle name="20 % - Markeringsfarve5 3 3 2 2 2 3" xfId="28996" xr:uid="{00000000-0005-0000-0000-0000E1250000}"/>
    <cellStyle name="20 % - Markeringsfarve5 3 3 2 2 3" xfId="13575" xr:uid="{00000000-0005-0000-0000-0000E2250000}"/>
    <cellStyle name="20 % - Markeringsfarve5 3 3 2 2 3 2" xfId="31742" xr:uid="{00000000-0005-0000-0000-0000E3250000}"/>
    <cellStyle name="20 % - Markeringsfarve5 3 3 2 2 4" xfId="24740" xr:uid="{00000000-0005-0000-0000-0000E4250000}"/>
    <cellStyle name="20 % - Markeringsfarve5 3 3 2 3" xfId="5022" xr:uid="{00000000-0005-0000-0000-0000E5250000}"/>
    <cellStyle name="20 % - Markeringsfarve5 3 3 2 3 2" xfId="9166" xr:uid="{00000000-0005-0000-0000-0000E6250000}"/>
    <cellStyle name="20 % - Markeringsfarve5 3 3 2 3 2 2" xfId="17077" xr:uid="{00000000-0005-0000-0000-0000E7250000}"/>
    <cellStyle name="20 % - Markeringsfarve5 3 3 2 3 2 2 2" xfId="35237" xr:uid="{00000000-0005-0000-0000-0000E8250000}"/>
    <cellStyle name="20 % - Markeringsfarve5 3 3 2 3 2 3" xfId="28236" xr:uid="{00000000-0005-0000-0000-0000E9250000}"/>
    <cellStyle name="20 % - Markeringsfarve5 3 3 2 3 3" xfId="13576" xr:uid="{00000000-0005-0000-0000-0000EA250000}"/>
    <cellStyle name="20 % - Markeringsfarve5 3 3 2 3 3 2" xfId="31743" xr:uid="{00000000-0005-0000-0000-0000EB250000}"/>
    <cellStyle name="20 % - Markeringsfarve5 3 3 2 3 4" xfId="24741" xr:uid="{00000000-0005-0000-0000-0000EC250000}"/>
    <cellStyle name="20 % - Markeringsfarve5 3 3 2 4" xfId="7890" xr:uid="{00000000-0005-0000-0000-0000ED250000}"/>
    <cellStyle name="20 % - Markeringsfarve5 3 3 2 4 2" xfId="15808" xr:uid="{00000000-0005-0000-0000-0000EE250000}"/>
    <cellStyle name="20 % - Markeringsfarve5 3 3 2 4 2 2" xfId="33968" xr:uid="{00000000-0005-0000-0000-0000EF250000}"/>
    <cellStyle name="20 % - Markeringsfarve5 3 3 2 4 3" xfId="26967" xr:uid="{00000000-0005-0000-0000-0000F0250000}"/>
    <cellStyle name="20 % - Markeringsfarve5 3 3 2 5" xfId="13574" xr:uid="{00000000-0005-0000-0000-0000F1250000}"/>
    <cellStyle name="20 % - Markeringsfarve5 3 3 2 5 2" xfId="31741" xr:uid="{00000000-0005-0000-0000-0000F2250000}"/>
    <cellStyle name="20 % - Markeringsfarve5 3 3 2 6" xfId="24739" xr:uid="{00000000-0005-0000-0000-0000F3250000}"/>
    <cellStyle name="20 % - Markeringsfarve5 3 3 3" xfId="5023" xr:uid="{00000000-0005-0000-0000-0000F4250000}"/>
    <cellStyle name="20 % - Markeringsfarve5 3 3 3 2" xfId="5024" xr:uid="{00000000-0005-0000-0000-0000F5250000}"/>
    <cellStyle name="20 % - Markeringsfarve5 3 3 3 2 2" xfId="9996" xr:uid="{00000000-0005-0000-0000-0000F6250000}"/>
    <cellStyle name="20 % - Markeringsfarve5 3 3 3 2 2 2" xfId="17897" xr:uid="{00000000-0005-0000-0000-0000F7250000}"/>
    <cellStyle name="20 % - Markeringsfarve5 3 3 3 2 2 2 2" xfId="36057" xr:uid="{00000000-0005-0000-0000-0000F8250000}"/>
    <cellStyle name="20 % - Markeringsfarve5 3 3 3 2 2 3" xfId="29056" xr:uid="{00000000-0005-0000-0000-0000F9250000}"/>
    <cellStyle name="20 % - Markeringsfarve5 3 3 3 2 3" xfId="13578" xr:uid="{00000000-0005-0000-0000-0000FA250000}"/>
    <cellStyle name="20 % - Markeringsfarve5 3 3 3 2 3 2" xfId="31745" xr:uid="{00000000-0005-0000-0000-0000FB250000}"/>
    <cellStyle name="20 % - Markeringsfarve5 3 3 3 2 4" xfId="24743" xr:uid="{00000000-0005-0000-0000-0000FC250000}"/>
    <cellStyle name="20 % - Markeringsfarve5 3 3 3 3" xfId="5025" xr:uid="{00000000-0005-0000-0000-0000FD250000}"/>
    <cellStyle name="20 % - Markeringsfarve5 3 3 3 3 2" xfId="9226" xr:uid="{00000000-0005-0000-0000-0000FE250000}"/>
    <cellStyle name="20 % - Markeringsfarve5 3 3 3 3 2 2" xfId="17137" xr:uid="{00000000-0005-0000-0000-0000FF250000}"/>
    <cellStyle name="20 % - Markeringsfarve5 3 3 3 3 2 2 2" xfId="35297" xr:uid="{00000000-0005-0000-0000-000000260000}"/>
    <cellStyle name="20 % - Markeringsfarve5 3 3 3 3 2 3" xfId="28296" xr:uid="{00000000-0005-0000-0000-000001260000}"/>
    <cellStyle name="20 % - Markeringsfarve5 3 3 3 3 3" xfId="13579" xr:uid="{00000000-0005-0000-0000-000002260000}"/>
    <cellStyle name="20 % - Markeringsfarve5 3 3 3 3 3 2" xfId="31746" xr:uid="{00000000-0005-0000-0000-000003260000}"/>
    <cellStyle name="20 % - Markeringsfarve5 3 3 3 3 4" xfId="24744" xr:uid="{00000000-0005-0000-0000-000004260000}"/>
    <cellStyle name="20 % - Markeringsfarve5 3 3 3 4" xfId="7891" xr:uid="{00000000-0005-0000-0000-000005260000}"/>
    <cellStyle name="20 % - Markeringsfarve5 3 3 3 4 2" xfId="15809" xr:uid="{00000000-0005-0000-0000-000006260000}"/>
    <cellStyle name="20 % - Markeringsfarve5 3 3 3 4 2 2" xfId="33969" xr:uid="{00000000-0005-0000-0000-000007260000}"/>
    <cellStyle name="20 % - Markeringsfarve5 3 3 3 4 3" xfId="26968" xr:uid="{00000000-0005-0000-0000-000008260000}"/>
    <cellStyle name="20 % - Markeringsfarve5 3 3 3 5" xfId="13577" xr:uid="{00000000-0005-0000-0000-000009260000}"/>
    <cellStyle name="20 % - Markeringsfarve5 3 3 3 5 2" xfId="31744" xr:uid="{00000000-0005-0000-0000-00000A260000}"/>
    <cellStyle name="20 % - Markeringsfarve5 3 3 3 6" xfId="24742" xr:uid="{00000000-0005-0000-0000-00000B260000}"/>
    <cellStyle name="20 % - Markeringsfarve5 3 3 4" xfId="5026" xr:uid="{00000000-0005-0000-0000-00000C260000}"/>
    <cellStyle name="20 % - Markeringsfarve5 3 3 4 2" xfId="5027" xr:uid="{00000000-0005-0000-0000-00000D260000}"/>
    <cellStyle name="20 % - Markeringsfarve5 3 3 4 2 2" xfId="10174" xr:uid="{00000000-0005-0000-0000-00000E260000}"/>
    <cellStyle name="20 % - Markeringsfarve5 3 3 4 2 2 2" xfId="18075" xr:uid="{00000000-0005-0000-0000-00000F260000}"/>
    <cellStyle name="20 % - Markeringsfarve5 3 3 4 2 2 2 2" xfId="36235" xr:uid="{00000000-0005-0000-0000-000010260000}"/>
    <cellStyle name="20 % - Markeringsfarve5 3 3 4 2 2 3" xfId="29234" xr:uid="{00000000-0005-0000-0000-000011260000}"/>
    <cellStyle name="20 % - Markeringsfarve5 3 3 4 2 3" xfId="13581" xr:uid="{00000000-0005-0000-0000-000012260000}"/>
    <cellStyle name="20 % - Markeringsfarve5 3 3 4 2 3 2" xfId="31748" xr:uid="{00000000-0005-0000-0000-000013260000}"/>
    <cellStyle name="20 % - Markeringsfarve5 3 3 4 2 4" xfId="24746" xr:uid="{00000000-0005-0000-0000-000014260000}"/>
    <cellStyle name="20 % - Markeringsfarve5 3 3 4 3" xfId="5028" xr:uid="{00000000-0005-0000-0000-000015260000}"/>
    <cellStyle name="20 % - Markeringsfarve5 3 3 4 3 2" xfId="9450" xr:uid="{00000000-0005-0000-0000-000016260000}"/>
    <cellStyle name="20 % - Markeringsfarve5 3 3 4 3 2 2" xfId="17360" xr:uid="{00000000-0005-0000-0000-000017260000}"/>
    <cellStyle name="20 % - Markeringsfarve5 3 3 4 3 2 2 2" xfId="35520" xr:uid="{00000000-0005-0000-0000-000018260000}"/>
    <cellStyle name="20 % - Markeringsfarve5 3 3 4 3 2 3" xfId="28519" xr:uid="{00000000-0005-0000-0000-000019260000}"/>
    <cellStyle name="20 % - Markeringsfarve5 3 3 4 3 3" xfId="13582" xr:uid="{00000000-0005-0000-0000-00001A260000}"/>
    <cellStyle name="20 % - Markeringsfarve5 3 3 4 3 3 2" xfId="31749" xr:uid="{00000000-0005-0000-0000-00001B260000}"/>
    <cellStyle name="20 % - Markeringsfarve5 3 3 4 3 4" xfId="24747" xr:uid="{00000000-0005-0000-0000-00001C260000}"/>
    <cellStyle name="20 % - Markeringsfarve5 3 3 4 4" xfId="7892" xr:uid="{00000000-0005-0000-0000-00001D260000}"/>
    <cellStyle name="20 % - Markeringsfarve5 3 3 4 4 2" xfId="15810" xr:uid="{00000000-0005-0000-0000-00001E260000}"/>
    <cellStyle name="20 % - Markeringsfarve5 3 3 4 4 2 2" xfId="33970" xr:uid="{00000000-0005-0000-0000-00001F260000}"/>
    <cellStyle name="20 % - Markeringsfarve5 3 3 4 4 3" xfId="26969" xr:uid="{00000000-0005-0000-0000-000020260000}"/>
    <cellStyle name="20 % - Markeringsfarve5 3 3 4 5" xfId="13580" xr:uid="{00000000-0005-0000-0000-000021260000}"/>
    <cellStyle name="20 % - Markeringsfarve5 3 3 4 5 2" xfId="31747" xr:uid="{00000000-0005-0000-0000-000022260000}"/>
    <cellStyle name="20 % - Markeringsfarve5 3 3 4 6" xfId="24745" xr:uid="{00000000-0005-0000-0000-000023260000}"/>
    <cellStyle name="20 % - Markeringsfarve5 3 3 5" xfId="5029" xr:uid="{00000000-0005-0000-0000-000024260000}"/>
    <cellStyle name="20 % - Markeringsfarve5 3 3 5 2" xfId="5030" xr:uid="{00000000-0005-0000-0000-000025260000}"/>
    <cellStyle name="20 % - Markeringsfarve5 3 3 5 2 2" xfId="10291" xr:uid="{00000000-0005-0000-0000-000026260000}"/>
    <cellStyle name="20 % - Markeringsfarve5 3 3 5 2 2 2" xfId="18192" xr:uid="{00000000-0005-0000-0000-000027260000}"/>
    <cellStyle name="20 % - Markeringsfarve5 3 3 5 2 2 2 2" xfId="36352" xr:uid="{00000000-0005-0000-0000-000028260000}"/>
    <cellStyle name="20 % - Markeringsfarve5 3 3 5 2 2 3" xfId="29351" xr:uid="{00000000-0005-0000-0000-000029260000}"/>
    <cellStyle name="20 % - Markeringsfarve5 3 3 5 2 3" xfId="13584" xr:uid="{00000000-0005-0000-0000-00002A260000}"/>
    <cellStyle name="20 % - Markeringsfarve5 3 3 5 2 3 2" xfId="31751" xr:uid="{00000000-0005-0000-0000-00002B260000}"/>
    <cellStyle name="20 % - Markeringsfarve5 3 3 5 2 4" xfId="24749" xr:uid="{00000000-0005-0000-0000-00002C260000}"/>
    <cellStyle name="20 % - Markeringsfarve5 3 3 5 3" xfId="5031" xr:uid="{00000000-0005-0000-0000-00002D260000}"/>
    <cellStyle name="20 % - Markeringsfarve5 3 3 5 3 2" xfId="9567" xr:uid="{00000000-0005-0000-0000-00002E260000}"/>
    <cellStyle name="20 % - Markeringsfarve5 3 3 5 3 2 2" xfId="17477" xr:uid="{00000000-0005-0000-0000-00002F260000}"/>
    <cellStyle name="20 % - Markeringsfarve5 3 3 5 3 2 2 2" xfId="35637" xr:uid="{00000000-0005-0000-0000-000030260000}"/>
    <cellStyle name="20 % - Markeringsfarve5 3 3 5 3 2 3" xfId="28636" xr:uid="{00000000-0005-0000-0000-000031260000}"/>
    <cellStyle name="20 % - Markeringsfarve5 3 3 5 3 3" xfId="13585" xr:uid="{00000000-0005-0000-0000-000032260000}"/>
    <cellStyle name="20 % - Markeringsfarve5 3 3 5 3 3 2" xfId="31752" xr:uid="{00000000-0005-0000-0000-000033260000}"/>
    <cellStyle name="20 % - Markeringsfarve5 3 3 5 3 4" xfId="24750" xr:uid="{00000000-0005-0000-0000-000034260000}"/>
    <cellStyle name="20 % - Markeringsfarve5 3 3 5 4" xfId="7893" xr:uid="{00000000-0005-0000-0000-000035260000}"/>
    <cellStyle name="20 % - Markeringsfarve5 3 3 5 4 2" xfId="15811" xr:uid="{00000000-0005-0000-0000-000036260000}"/>
    <cellStyle name="20 % - Markeringsfarve5 3 3 5 4 2 2" xfId="33971" xr:uid="{00000000-0005-0000-0000-000037260000}"/>
    <cellStyle name="20 % - Markeringsfarve5 3 3 5 4 3" xfId="26970" xr:uid="{00000000-0005-0000-0000-000038260000}"/>
    <cellStyle name="20 % - Markeringsfarve5 3 3 5 5" xfId="13583" xr:uid="{00000000-0005-0000-0000-000039260000}"/>
    <cellStyle name="20 % - Markeringsfarve5 3 3 5 5 2" xfId="31750" xr:uid="{00000000-0005-0000-0000-00003A260000}"/>
    <cellStyle name="20 % - Markeringsfarve5 3 3 5 6" xfId="24748" xr:uid="{00000000-0005-0000-0000-00003B260000}"/>
    <cellStyle name="20 % - Markeringsfarve5 3 3 6" xfId="5032" xr:uid="{00000000-0005-0000-0000-00003C260000}"/>
    <cellStyle name="20 % - Markeringsfarve5 3 3 6 2" xfId="5033" xr:uid="{00000000-0005-0000-0000-00003D260000}"/>
    <cellStyle name="20 % - Markeringsfarve5 3 3 6 2 2" xfId="10350" xr:uid="{00000000-0005-0000-0000-00003E260000}"/>
    <cellStyle name="20 % - Markeringsfarve5 3 3 6 2 2 2" xfId="18251" xr:uid="{00000000-0005-0000-0000-00003F260000}"/>
    <cellStyle name="20 % - Markeringsfarve5 3 3 6 2 2 2 2" xfId="36411" xr:uid="{00000000-0005-0000-0000-000040260000}"/>
    <cellStyle name="20 % - Markeringsfarve5 3 3 6 2 2 3" xfId="29410" xr:uid="{00000000-0005-0000-0000-000041260000}"/>
    <cellStyle name="20 % - Markeringsfarve5 3 3 6 2 3" xfId="13587" xr:uid="{00000000-0005-0000-0000-000042260000}"/>
    <cellStyle name="20 % - Markeringsfarve5 3 3 6 2 3 2" xfId="31754" xr:uid="{00000000-0005-0000-0000-000043260000}"/>
    <cellStyle name="20 % - Markeringsfarve5 3 3 6 2 4" xfId="24752" xr:uid="{00000000-0005-0000-0000-000044260000}"/>
    <cellStyle name="20 % - Markeringsfarve5 3 3 6 3" xfId="5034" xr:uid="{00000000-0005-0000-0000-000045260000}"/>
    <cellStyle name="20 % - Markeringsfarve5 3 3 6 3 2" xfId="9627" xr:uid="{00000000-0005-0000-0000-000046260000}"/>
    <cellStyle name="20 % - Markeringsfarve5 3 3 6 3 2 2" xfId="17537" xr:uid="{00000000-0005-0000-0000-000047260000}"/>
    <cellStyle name="20 % - Markeringsfarve5 3 3 6 3 2 2 2" xfId="35697" xr:uid="{00000000-0005-0000-0000-000048260000}"/>
    <cellStyle name="20 % - Markeringsfarve5 3 3 6 3 2 3" xfId="28696" xr:uid="{00000000-0005-0000-0000-000049260000}"/>
    <cellStyle name="20 % - Markeringsfarve5 3 3 6 3 3" xfId="13588" xr:uid="{00000000-0005-0000-0000-00004A260000}"/>
    <cellStyle name="20 % - Markeringsfarve5 3 3 6 3 3 2" xfId="31755" xr:uid="{00000000-0005-0000-0000-00004B260000}"/>
    <cellStyle name="20 % - Markeringsfarve5 3 3 6 3 4" xfId="24753" xr:uid="{00000000-0005-0000-0000-00004C260000}"/>
    <cellStyle name="20 % - Markeringsfarve5 3 3 6 4" xfId="7894" xr:uid="{00000000-0005-0000-0000-00004D260000}"/>
    <cellStyle name="20 % - Markeringsfarve5 3 3 6 4 2" xfId="15812" xr:uid="{00000000-0005-0000-0000-00004E260000}"/>
    <cellStyle name="20 % - Markeringsfarve5 3 3 6 4 2 2" xfId="33972" xr:uid="{00000000-0005-0000-0000-00004F260000}"/>
    <cellStyle name="20 % - Markeringsfarve5 3 3 6 4 3" xfId="26971" xr:uid="{00000000-0005-0000-0000-000050260000}"/>
    <cellStyle name="20 % - Markeringsfarve5 3 3 6 5" xfId="13586" xr:uid="{00000000-0005-0000-0000-000051260000}"/>
    <cellStyle name="20 % - Markeringsfarve5 3 3 6 5 2" xfId="31753" xr:uid="{00000000-0005-0000-0000-000052260000}"/>
    <cellStyle name="20 % - Markeringsfarve5 3 3 6 6" xfId="24751" xr:uid="{00000000-0005-0000-0000-000053260000}"/>
    <cellStyle name="20 % - Markeringsfarve5 3 3 7" xfId="5035" xr:uid="{00000000-0005-0000-0000-000054260000}"/>
    <cellStyle name="20 % - Markeringsfarve5 3 3 7 2" xfId="9817" xr:uid="{00000000-0005-0000-0000-000055260000}"/>
    <cellStyle name="20 % - Markeringsfarve5 3 3 7 2 2" xfId="17718" xr:uid="{00000000-0005-0000-0000-000056260000}"/>
    <cellStyle name="20 % - Markeringsfarve5 3 3 7 2 2 2" xfId="35878" xr:uid="{00000000-0005-0000-0000-000057260000}"/>
    <cellStyle name="20 % - Markeringsfarve5 3 3 7 2 3" xfId="28877" xr:uid="{00000000-0005-0000-0000-000058260000}"/>
    <cellStyle name="20 % - Markeringsfarve5 3 3 7 3" xfId="13589" xr:uid="{00000000-0005-0000-0000-000059260000}"/>
    <cellStyle name="20 % - Markeringsfarve5 3 3 7 3 2" xfId="31756" xr:uid="{00000000-0005-0000-0000-00005A260000}"/>
    <cellStyle name="20 % - Markeringsfarve5 3 3 7 4" xfId="24754" xr:uid="{00000000-0005-0000-0000-00005B260000}"/>
    <cellStyle name="20 % - Markeringsfarve5 3 3 8" xfId="5036" xr:uid="{00000000-0005-0000-0000-00005C260000}"/>
    <cellStyle name="20 % - Markeringsfarve5 3 3 8 2" xfId="9045" xr:uid="{00000000-0005-0000-0000-00005D260000}"/>
    <cellStyle name="20 % - Markeringsfarve5 3 3 8 2 2" xfId="16956" xr:uid="{00000000-0005-0000-0000-00005E260000}"/>
    <cellStyle name="20 % - Markeringsfarve5 3 3 8 2 2 2" xfId="35116" xr:uid="{00000000-0005-0000-0000-00005F260000}"/>
    <cellStyle name="20 % - Markeringsfarve5 3 3 8 2 3" xfId="28115" xr:uid="{00000000-0005-0000-0000-000060260000}"/>
    <cellStyle name="20 % - Markeringsfarve5 3 3 8 3" xfId="13590" xr:uid="{00000000-0005-0000-0000-000061260000}"/>
    <cellStyle name="20 % - Markeringsfarve5 3 3 8 3 2" xfId="31757" xr:uid="{00000000-0005-0000-0000-000062260000}"/>
    <cellStyle name="20 % - Markeringsfarve5 3 3 8 4" xfId="24755" xr:uid="{00000000-0005-0000-0000-000063260000}"/>
    <cellStyle name="20 % - Markeringsfarve5 3 3 9" xfId="7889" xr:uid="{00000000-0005-0000-0000-000064260000}"/>
    <cellStyle name="20 % - Markeringsfarve5 3 3 9 2" xfId="15807" xr:uid="{00000000-0005-0000-0000-000065260000}"/>
    <cellStyle name="20 % - Markeringsfarve5 3 3 9 2 2" xfId="33967" xr:uid="{00000000-0005-0000-0000-000066260000}"/>
    <cellStyle name="20 % - Markeringsfarve5 3 3 9 3" xfId="26966" xr:uid="{00000000-0005-0000-0000-000067260000}"/>
    <cellStyle name="20 % - Markeringsfarve5 3 4" xfId="5037" xr:uid="{00000000-0005-0000-0000-000068260000}"/>
    <cellStyle name="20 % - Markeringsfarve5 3 4 2" xfId="5038" xr:uid="{00000000-0005-0000-0000-000069260000}"/>
    <cellStyle name="20 % - Markeringsfarve5 3 4 2 2" xfId="9858" xr:uid="{00000000-0005-0000-0000-00006A260000}"/>
    <cellStyle name="20 % - Markeringsfarve5 3 4 2 2 2" xfId="17759" xr:uid="{00000000-0005-0000-0000-00006B260000}"/>
    <cellStyle name="20 % - Markeringsfarve5 3 4 2 2 2 2" xfId="35919" xr:uid="{00000000-0005-0000-0000-00006C260000}"/>
    <cellStyle name="20 % - Markeringsfarve5 3 4 2 2 3" xfId="28918" xr:uid="{00000000-0005-0000-0000-00006D260000}"/>
    <cellStyle name="20 % - Markeringsfarve5 3 4 2 3" xfId="13592" xr:uid="{00000000-0005-0000-0000-00006E260000}"/>
    <cellStyle name="20 % - Markeringsfarve5 3 4 2 3 2" xfId="31759" xr:uid="{00000000-0005-0000-0000-00006F260000}"/>
    <cellStyle name="20 % - Markeringsfarve5 3 4 2 4" xfId="24757" xr:uid="{00000000-0005-0000-0000-000070260000}"/>
    <cellStyle name="20 % - Markeringsfarve5 3 4 3" xfId="5039" xr:uid="{00000000-0005-0000-0000-000071260000}"/>
    <cellStyle name="20 % - Markeringsfarve5 3 4 3 2" xfId="9088" xr:uid="{00000000-0005-0000-0000-000072260000}"/>
    <cellStyle name="20 % - Markeringsfarve5 3 4 3 2 2" xfId="16999" xr:uid="{00000000-0005-0000-0000-000073260000}"/>
    <cellStyle name="20 % - Markeringsfarve5 3 4 3 2 2 2" xfId="35159" xr:uid="{00000000-0005-0000-0000-000074260000}"/>
    <cellStyle name="20 % - Markeringsfarve5 3 4 3 2 3" xfId="28158" xr:uid="{00000000-0005-0000-0000-000075260000}"/>
    <cellStyle name="20 % - Markeringsfarve5 3 4 3 3" xfId="13593" xr:uid="{00000000-0005-0000-0000-000076260000}"/>
    <cellStyle name="20 % - Markeringsfarve5 3 4 3 3 2" xfId="31760" xr:uid="{00000000-0005-0000-0000-000077260000}"/>
    <cellStyle name="20 % - Markeringsfarve5 3 4 3 4" xfId="24758" xr:uid="{00000000-0005-0000-0000-000078260000}"/>
    <cellStyle name="20 % - Markeringsfarve5 3 4 4" xfId="7895" xr:uid="{00000000-0005-0000-0000-000079260000}"/>
    <cellStyle name="20 % - Markeringsfarve5 3 4 4 2" xfId="15813" xr:uid="{00000000-0005-0000-0000-00007A260000}"/>
    <cellStyle name="20 % - Markeringsfarve5 3 4 4 2 2" xfId="33973" xr:uid="{00000000-0005-0000-0000-00007B260000}"/>
    <cellStyle name="20 % - Markeringsfarve5 3 4 4 3" xfId="26972" xr:uid="{00000000-0005-0000-0000-00007C260000}"/>
    <cellStyle name="20 % - Markeringsfarve5 3 4 5" xfId="13591" xr:uid="{00000000-0005-0000-0000-00007D260000}"/>
    <cellStyle name="20 % - Markeringsfarve5 3 4 5 2" xfId="31758" xr:uid="{00000000-0005-0000-0000-00007E260000}"/>
    <cellStyle name="20 % - Markeringsfarve5 3 4 6" xfId="24756" xr:uid="{00000000-0005-0000-0000-00007F260000}"/>
    <cellStyle name="20 % - Markeringsfarve5 3 5" xfId="5040" xr:uid="{00000000-0005-0000-0000-000080260000}"/>
    <cellStyle name="20 % - Markeringsfarve5 3 5 2" xfId="5041" xr:uid="{00000000-0005-0000-0000-000081260000}"/>
    <cellStyle name="20 % - Markeringsfarve5 3 5 2 2" xfId="9994" xr:uid="{00000000-0005-0000-0000-000082260000}"/>
    <cellStyle name="20 % - Markeringsfarve5 3 5 2 2 2" xfId="17895" xr:uid="{00000000-0005-0000-0000-000083260000}"/>
    <cellStyle name="20 % - Markeringsfarve5 3 5 2 2 2 2" xfId="36055" xr:uid="{00000000-0005-0000-0000-000084260000}"/>
    <cellStyle name="20 % - Markeringsfarve5 3 5 2 2 3" xfId="29054" xr:uid="{00000000-0005-0000-0000-000085260000}"/>
    <cellStyle name="20 % - Markeringsfarve5 3 5 2 3" xfId="13595" xr:uid="{00000000-0005-0000-0000-000086260000}"/>
    <cellStyle name="20 % - Markeringsfarve5 3 5 2 3 2" xfId="31762" xr:uid="{00000000-0005-0000-0000-000087260000}"/>
    <cellStyle name="20 % - Markeringsfarve5 3 5 2 4" xfId="24760" xr:uid="{00000000-0005-0000-0000-000088260000}"/>
    <cellStyle name="20 % - Markeringsfarve5 3 5 3" xfId="5042" xr:uid="{00000000-0005-0000-0000-000089260000}"/>
    <cellStyle name="20 % - Markeringsfarve5 3 5 3 2" xfId="9224" xr:uid="{00000000-0005-0000-0000-00008A260000}"/>
    <cellStyle name="20 % - Markeringsfarve5 3 5 3 2 2" xfId="17135" xr:uid="{00000000-0005-0000-0000-00008B260000}"/>
    <cellStyle name="20 % - Markeringsfarve5 3 5 3 2 2 2" xfId="35295" xr:uid="{00000000-0005-0000-0000-00008C260000}"/>
    <cellStyle name="20 % - Markeringsfarve5 3 5 3 2 3" xfId="28294" xr:uid="{00000000-0005-0000-0000-00008D260000}"/>
    <cellStyle name="20 % - Markeringsfarve5 3 5 3 3" xfId="13596" xr:uid="{00000000-0005-0000-0000-00008E260000}"/>
    <cellStyle name="20 % - Markeringsfarve5 3 5 3 3 2" xfId="31763" xr:uid="{00000000-0005-0000-0000-00008F260000}"/>
    <cellStyle name="20 % - Markeringsfarve5 3 5 3 4" xfId="24761" xr:uid="{00000000-0005-0000-0000-000090260000}"/>
    <cellStyle name="20 % - Markeringsfarve5 3 5 4" xfId="7896" xr:uid="{00000000-0005-0000-0000-000091260000}"/>
    <cellStyle name="20 % - Markeringsfarve5 3 5 4 2" xfId="15814" xr:uid="{00000000-0005-0000-0000-000092260000}"/>
    <cellStyle name="20 % - Markeringsfarve5 3 5 4 2 2" xfId="33974" xr:uid="{00000000-0005-0000-0000-000093260000}"/>
    <cellStyle name="20 % - Markeringsfarve5 3 5 4 3" xfId="26973" xr:uid="{00000000-0005-0000-0000-000094260000}"/>
    <cellStyle name="20 % - Markeringsfarve5 3 5 5" xfId="13594" xr:uid="{00000000-0005-0000-0000-000095260000}"/>
    <cellStyle name="20 % - Markeringsfarve5 3 5 5 2" xfId="31761" xr:uid="{00000000-0005-0000-0000-000096260000}"/>
    <cellStyle name="20 % - Markeringsfarve5 3 5 6" xfId="24759" xr:uid="{00000000-0005-0000-0000-000097260000}"/>
    <cellStyle name="20 % - Markeringsfarve5 3 6" xfId="5043" xr:uid="{00000000-0005-0000-0000-000098260000}"/>
    <cellStyle name="20 % - Markeringsfarve5 3 6 2" xfId="5044" xr:uid="{00000000-0005-0000-0000-000099260000}"/>
    <cellStyle name="20 % - Markeringsfarve5 3 6 2 2" xfId="10096" xr:uid="{00000000-0005-0000-0000-00009A260000}"/>
    <cellStyle name="20 % - Markeringsfarve5 3 6 2 2 2" xfId="17997" xr:uid="{00000000-0005-0000-0000-00009B260000}"/>
    <cellStyle name="20 % - Markeringsfarve5 3 6 2 2 2 2" xfId="36157" xr:uid="{00000000-0005-0000-0000-00009C260000}"/>
    <cellStyle name="20 % - Markeringsfarve5 3 6 2 2 3" xfId="29156" xr:uid="{00000000-0005-0000-0000-00009D260000}"/>
    <cellStyle name="20 % - Markeringsfarve5 3 6 2 3" xfId="13598" xr:uid="{00000000-0005-0000-0000-00009E260000}"/>
    <cellStyle name="20 % - Markeringsfarve5 3 6 2 3 2" xfId="31765" xr:uid="{00000000-0005-0000-0000-00009F260000}"/>
    <cellStyle name="20 % - Markeringsfarve5 3 6 2 4" xfId="24763" xr:uid="{00000000-0005-0000-0000-0000A0260000}"/>
    <cellStyle name="20 % - Markeringsfarve5 3 6 3" xfId="5045" xr:uid="{00000000-0005-0000-0000-0000A1260000}"/>
    <cellStyle name="20 % - Markeringsfarve5 3 6 3 2" xfId="9372" xr:uid="{00000000-0005-0000-0000-0000A2260000}"/>
    <cellStyle name="20 % - Markeringsfarve5 3 6 3 2 2" xfId="17282" xr:uid="{00000000-0005-0000-0000-0000A3260000}"/>
    <cellStyle name="20 % - Markeringsfarve5 3 6 3 2 2 2" xfId="35442" xr:uid="{00000000-0005-0000-0000-0000A4260000}"/>
    <cellStyle name="20 % - Markeringsfarve5 3 6 3 2 3" xfId="28441" xr:uid="{00000000-0005-0000-0000-0000A5260000}"/>
    <cellStyle name="20 % - Markeringsfarve5 3 6 3 3" xfId="13599" xr:uid="{00000000-0005-0000-0000-0000A6260000}"/>
    <cellStyle name="20 % - Markeringsfarve5 3 6 3 3 2" xfId="31766" xr:uid="{00000000-0005-0000-0000-0000A7260000}"/>
    <cellStyle name="20 % - Markeringsfarve5 3 6 3 4" xfId="24764" xr:uid="{00000000-0005-0000-0000-0000A8260000}"/>
    <cellStyle name="20 % - Markeringsfarve5 3 6 4" xfId="7897" xr:uid="{00000000-0005-0000-0000-0000A9260000}"/>
    <cellStyle name="20 % - Markeringsfarve5 3 6 4 2" xfId="15815" xr:uid="{00000000-0005-0000-0000-0000AA260000}"/>
    <cellStyle name="20 % - Markeringsfarve5 3 6 4 2 2" xfId="33975" xr:uid="{00000000-0005-0000-0000-0000AB260000}"/>
    <cellStyle name="20 % - Markeringsfarve5 3 6 4 3" xfId="26974" xr:uid="{00000000-0005-0000-0000-0000AC260000}"/>
    <cellStyle name="20 % - Markeringsfarve5 3 6 5" xfId="13597" xr:uid="{00000000-0005-0000-0000-0000AD260000}"/>
    <cellStyle name="20 % - Markeringsfarve5 3 6 5 2" xfId="31764" xr:uid="{00000000-0005-0000-0000-0000AE260000}"/>
    <cellStyle name="20 % - Markeringsfarve5 3 6 6" xfId="24762" xr:uid="{00000000-0005-0000-0000-0000AF260000}"/>
    <cellStyle name="20 % - Markeringsfarve5 3 7" xfId="5046" xr:uid="{00000000-0005-0000-0000-0000B0260000}"/>
    <cellStyle name="20 % - Markeringsfarve5 3 7 2" xfId="5047" xr:uid="{00000000-0005-0000-0000-0000B1260000}"/>
    <cellStyle name="20 % - Markeringsfarve5 3 7 2 2" xfId="10213" xr:uid="{00000000-0005-0000-0000-0000B2260000}"/>
    <cellStyle name="20 % - Markeringsfarve5 3 7 2 2 2" xfId="18114" xr:uid="{00000000-0005-0000-0000-0000B3260000}"/>
    <cellStyle name="20 % - Markeringsfarve5 3 7 2 2 2 2" xfId="36274" xr:uid="{00000000-0005-0000-0000-0000B4260000}"/>
    <cellStyle name="20 % - Markeringsfarve5 3 7 2 2 3" xfId="29273" xr:uid="{00000000-0005-0000-0000-0000B5260000}"/>
    <cellStyle name="20 % - Markeringsfarve5 3 7 2 3" xfId="13601" xr:uid="{00000000-0005-0000-0000-0000B6260000}"/>
    <cellStyle name="20 % - Markeringsfarve5 3 7 2 3 2" xfId="31768" xr:uid="{00000000-0005-0000-0000-0000B7260000}"/>
    <cellStyle name="20 % - Markeringsfarve5 3 7 2 4" xfId="24766" xr:uid="{00000000-0005-0000-0000-0000B8260000}"/>
    <cellStyle name="20 % - Markeringsfarve5 3 7 3" xfId="5048" xr:uid="{00000000-0005-0000-0000-0000B9260000}"/>
    <cellStyle name="20 % - Markeringsfarve5 3 7 3 2" xfId="9489" xr:uid="{00000000-0005-0000-0000-0000BA260000}"/>
    <cellStyle name="20 % - Markeringsfarve5 3 7 3 2 2" xfId="17399" xr:uid="{00000000-0005-0000-0000-0000BB260000}"/>
    <cellStyle name="20 % - Markeringsfarve5 3 7 3 2 2 2" xfId="35559" xr:uid="{00000000-0005-0000-0000-0000BC260000}"/>
    <cellStyle name="20 % - Markeringsfarve5 3 7 3 2 3" xfId="28558" xr:uid="{00000000-0005-0000-0000-0000BD260000}"/>
    <cellStyle name="20 % - Markeringsfarve5 3 7 3 3" xfId="13602" xr:uid="{00000000-0005-0000-0000-0000BE260000}"/>
    <cellStyle name="20 % - Markeringsfarve5 3 7 3 3 2" xfId="31769" xr:uid="{00000000-0005-0000-0000-0000BF260000}"/>
    <cellStyle name="20 % - Markeringsfarve5 3 7 3 4" xfId="24767" xr:uid="{00000000-0005-0000-0000-0000C0260000}"/>
    <cellStyle name="20 % - Markeringsfarve5 3 7 4" xfId="7898" xr:uid="{00000000-0005-0000-0000-0000C1260000}"/>
    <cellStyle name="20 % - Markeringsfarve5 3 7 4 2" xfId="15816" xr:uid="{00000000-0005-0000-0000-0000C2260000}"/>
    <cellStyle name="20 % - Markeringsfarve5 3 7 4 2 2" xfId="33976" xr:uid="{00000000-0005-0000-0000-0000C3260000}"/>
    <cellStyle name="20 % - Markeringsfarve5 3 7 4 3" xfId="26975" xr:uid="{00000000-0005-0000-0000-0000C4260000}"/>
    <cellStyle name="20 % - Markeringsfarve5 3 7 5" xfId="13600" xr:uid="{00000000-0005-0000-0000-0000C5260000}"/>
    <cellStyle name="20 % - Markeringsfarve5 3 7 5 2" xfId="31767" xr:uid="{00000000-0005-0000-0000-0000C6260000}"/>
    <cellStyle name="20 % - Markeringsfarve5 3 7 6" xfId="24765" xr:uid="{00000000-0005-0000-0000-0000C7260000}"/>
    <cellStyle name="20 % - Markeringsfarve5 3 8" xfId="5049" xr:uid="{00000000-0005-0000-0000-0000C8260000}"/>
    <cellStyle name="20 % - Markeringsfarve5 3 8 2" xfId="5050" xr:uid="{00000000-0005-0000-0000-0000C9260000}"/>
    <cellStyle name="20 % - Markeringsfarve5 3 8 2 2" xfId="10348" xr:uid="{00000000-0005-0000-0000-0000CA260000}"/>
    <cellStyle name="20 % - Markeringsfarve5 3 8 2 2 2" xfId="18249" xr:uid="{00000000-0005-0000-0000-0000CB260000}"/>
    <cellStyle name="20 % - Markeringsfarve5 3 8 2 2 2 2" xfId="36409" xr:uid="{00000000-0005-0000-0000-0000CC260000}"/>
    <cellStyle name="20 % - Markeringsfarve5 3 8 2 2 3" xfId="29408" xr:uid="{00000000-0005-0000-0000-0000CD260000}"/>
    <cellStyle name="20 % - Markeringsfarve5 3 8 2 3" xfId="13604" xr:uid="{00000000-0005-0000-0000-0000CE260000}"/>
    <cellStyle name="20 % - Markeringsfarve5 3 8 2 3 2" xfId="31771" xr:uid="{00000000-0005-0000-0000-0000CF260000}"/>
    <cellStyle name="20 % - Markeringsfarve5 3 8 2 4" xfId="24769" xr:uid="{00000000-0005-0000-0000-0000D0260000}"/>
    <cellStyle name="20 % - Markeringsfarve5 3 8 3" xfId="5051" xr:uid="{00000000-0005-0000-0000-0000D1260000}"/>
    <cellStyle name="20 % - Markeringsfarve5 3 8 3 2" xfId="9625" xr:uid="{00000000-0005-0000-0000-0000D2260000}"/>
    <cellStyle name="20 % - Markeringsfarve5 3 8 3 2 2" xfId="17535" xr:uid="{00000000-0005-0000-0000-0000D3260000}"/>
    <cellStyle name="20 % - Markeringsfarve5 3 8 3 2 2 2" xfId="35695" xr:uid="{00000000-0005-0000-0000-0000D4260000}"/>
    <cellStyle name="20 % - Markeringsfarve5 3 8 3 2 3" xfId="28694" xr:uid="{00000000-0005-0000-0000-0000D5260000}"/>
    <cellStyle name="20 % - Markeringsfarve5 3 8 3 3" xfId="13605" xr:uid="{00000000-0005-0000-0000-0000D6260000}"/>
    <cellStyle name="20 % - Markeringsfarve5 3 8 3 3 2" xfId="31772" xr:uid="{00000000-0005-0000-0000-0000D7260000}"/>
    <cellStyle name="20 % - Markeringsfarve5 3 8 3 4" xfId="24770" xr:uid="{00000000-0005-0000-0000-0000D8260000}"/>
    <cellStyle name="20 % - Markeringsfarve5 3 8 4" xfId="7899" xr:uid="{00000000-0005-0000-0000-0000D9260000}"/>
    <cellStyle name="20 % - Markeringsfarve5 3 8 4 2" xfId="15817" xr:uid="{00000000-0005-0000-0000-0000DA260000}"/>
    <cellStyle name="20 % - Markeringsfarve5 3 8 4 2 2" xfId="33977" xr:uid="{00000000-0005-0000-0000-0000DB260000}"/>
    <cellStyle name="20 % - Markeringsfarve5 3 8 4 3" xfId="26976" xr:uid="{00000000-0005-0000-0000-0000DC260000}"/>
    <cellStyle name="20 % - Markeringsfarve5 3 8 5" xfId="13603" xr:uid="{00000000-0005-0000-0000-0000DD260000}"/>
    <cellStyle name="20 % - Markeringsfarve5 3 8 5 2" xfId="31770" xr:uid="{00000000-0005-0000-0000-0000DE260000}"/>
    <cellStyle name="20 % - Markeringsfarve5 3 8 6" xfId="24768" xr:uid="{00000000-0005-0000-0000-0000DF260000}"/>
    <cellStyle name="20 % - Markeringsfarve5 3 9" xfId="5052" xr:uid="{00000000-0005-0000-0000-0000E0260000}"/>
    <cellStyle name="20 % - Markeringsfarve5 3 9 2" xfId="9739" xr:uid="{00000000-0005-0000-0000-0000E1260000}"/>
    <cellStyle name="20 % - Markeringsfarve5 3 9 2 2" xfId="17640" xr:uid="{00000000-0005-0000-0000-0000E2260000}"/>
    <cellStyle name="20 % - Markeringsfarve5 3 9 2 2 2" xfId="35800" xr:uid="{00000000-0005-0000-0000-0000E3260000}"/>
    <cellStyle name="20 % - Markeringsfarve5 3 9 2 3" xfId="28799" xr:uid="{00000000-0005-0000-0000-0000E4260000}"/>
    <cellStyle name="20 % - Markeringsfarve5 3 9 3" xfId="13606" xr:uid="{00000000-0005-0000-0000-0000E5260000}"/>
    <cellStyle name="20 % - Markeringsfarve5 3 9 3 2" xfId="31773" xr:uid="{00000000-0005-0000-0000-0000E6260000}"/>
    <cellStyle name="20 % - Markeringsfarve5 3 9 4" xfId="24771" xr:uid="{00000000-0005-0000-0000-0000E7260000}"/>
    <cellStyle name="20 % - Markeringsfarve5 4" xfId="1839" xr:uid="{00000000-0005-0000-0000-0000E8260000}"/>
    <cellStyle name="20 % - Markeringsfarve5 4 10" xfId="13607" xr:uid="{00000000-0005-0000-0000-0000E9260000}"/>
    <cellStyle name="20 % - Markeringsfarve5 4 10 2" xfId="31774" xr:uid="{00000000-0005-0000-0000-0000EA260000}"/>
    <cellStyle name="20 % - Markeringsfarve5 4 11" xfId="5053" xr:uid="{00000000-0005-0000-0000-0000EB260000}"/>
    <cellStyle name="20 % - Markeringsfarve5 4 11 2" xfId="24772" xr:uid="{00000000-0005-0000-0000-0000EC260000}"/>
    <cellStyle name="20 % - Markeringsfarve5 4 12" xfId="21963" xr:uid="{00000000-0005-0000-0000-0000ED260000}"/>
    <cellStyle name="20 % - Markeringsfarve5 4 2" xfId="1840" xr:uid="{00000000-0005-0000-0000-0000EE260000}"/>
    <cellStyle name="20 % - Markeringsfarve5 4 2 2" xfId="5055" xr:uid="{00000000-0005-0000-0000-0000EF260000}"/>
    <cellStyle name="20 % - Markeringsfarve5 4 2 2 2" xfId="9883" xr:uid="{00000000-0005-0000-0000-0000F0260000}"/>
    <cellStyle name="20 % - Markeringsfarve5 4 2 2 2 2" xfId="17784" xr:uid="{00000000-0005-0000-0000-0000F1260000}"/>
    <cellStyle name="20 % - Markeringsfarve5 4 2 2 2 2 2" xfId="35944" xr:uid="{00000000-0005-0000-0000-0000F2260000}"/>
    <cellStyle name="20 % - Markeringsfarve5 4 2 2 2 3" xfId="28943" xr:uid="{00000000-0005-0000-0000-0000F3260000}"/>
    <cellStyle name="20 % - Markeringsfarve5 4 2 2 3" xfId="13609" xr:uid="{00000000-0005-0000-0000-0000F4260000}"/>
    <cellStyle name="20 % - Markeringsfarve5 4 2 2 3 2" xfId="31776" xr:uid="{00000000-0005-0000-0000-0000F5260000}"/>
    <cellStyle name="20 % - Markeringsfarve5 4 2 2 4" xfId="24774" xr:uid="{00000000-0005-0000-0000-0000F6260000}"/>
    <cellStyle name="20 % - Markeringsfarve5 4 2 3" xfId="5056" xr:uid="{00000000-0005-0000-0000-0000F7260000}"/>
    <cellStyle name="20 % - Markeringsfarve5 4 2 3 2" xfId="9113" xr:uid="{00000000-0005-0000-0000-0000F8260000}"/>
    <cellStyle name="20 % - Markeringsfarve5 4 2 3 2 2" xfId="17024" xr:uid="{00000000-0005-0000-0000-0000F9260000}"/>
    <cellStyle name="20 % - Markeringsfarve5 4 2 3 2 2 2" xfId="35184" xr:uid="{00000000-0005-0000-0000-0000FA260000}"/>
    <cellStyle name="20 % - Markeringsfarve5 4 2 3 2 3" xfId="28183" xr:uid="{00000000-0005-0000-0000-0000FB260000}"/>
    <cellStyle name="20 % - Markeringsfarve5 4 2 3 3" xfId="13610" xr:uid="{00000000-0005-0000-0000-0000FC260000}"/>
    <cellStyle name="20 % - Markeringsfarve5 4 2 3 3 2" xfId="31777" xr:uid="{00000000-0005-0000-0000-0000FD260000}"/>
    <cellStyle name="20 % - Markeringsfarve5 4 2 3 4" xfId="24775" xr:uid="{00000000-0005-0000-0000-0000FE260000}"/>
    <cellStyle name="20 % - Markeringsfarve5 4 2 4" xfId="7901" xr:uid="{00000000-0005-0000-0000-0000FF260000}"/>
    <cellStyle name="20 % - Markeringsfarve5 4 2 4 2" xfId="15819" xr:uid="{00000000-0005-0000-0000-000000270000}"/>
    <cellStyle name="20 % - Markeringsfarve5 4 2 4 2 2" xfId="33979" xr:uid="{00000000-0005-0000-0000-000001270000}"/>
    <cellStyle name="20 % - Markeringsfarve5 4 2 4 3" xfId="26978" xr:uid="{00000000-0005-0000-0000-000002270000}"/>
    <cellStyle name="20 % - Markeringsfarve5 4 2 5" xfId="13608" xr:uid="{00000000-0005-0000-0000-000003270000}"/>
    <cellStyle name="20 % - Markeringsfarve5 4 2 5 2" xfId="31775" xr:uid="{00000000-0005-0000-0000-000004270000}"/>
    <cellStyle name="20 % - Markeringsfarve5 4 2 6" xfId="5054" xr:uid="{00000000-0005-0000-0000-000005270000}"/>
    <cellStyle name="20 % - Markeringsfarve5 4 2 6 2" xfId="24773" xr:uid="{00000000-0005-0000-0000-000006270000}"/>
    <cellStyle name="20 % - Markeringsfarve5 4 2 7" xfId="21964" xr:uid="{00000000-0005-0000-0000-000007270000}"/>
    <cellStyle name="20 % - Markeringsfarve5 4 3" xfId="5057" xr:uid="{00000000-0005-0000-0000-000008270000}"/>
    <cellStyle name="20 % - Markeringsfarve5 4 3 2" xfId="5058" xr:uid="{00000000-0005-0000-0000-000009270000}"/>
    <cellStyle name="20 % - Markeringsfarve5 4 3 2 2" xfId="9997" xr:uid="{00000000-0005-0000-0000-00000A270000}"/>
    <cellStyle name="20 % - Markeringsfarve5 4 3 2 2 2" xfId="17898" xr:uid="{00000000-0005-0000-0000-00000B270000}"/>
    <cellStyle name="20 % - Markeringsfarve5 4 3 2 2 2 2" xfId="36058" xr:uid="{00000000-0005-0000-0000-00000C270000}"/>
    <cellStyle name="20 % - Markeringsfarve5 4 3 2 2 3" xfId="29057" xr:uid="{00000000-0005-0000-0000-00000D270000}"/>
    <cellStyle name="20 % - Markeringsfarve5 4 3 2 3" xfId="13612" xr:uid="{00000000-0005-0000-0000-00000E270000}"/>
    <cellStyle name="20 % - Markeringsfarve5 4 3 2 3 2" xfId="31779" xr:uid="{00000000-0005-0000-0000-00000F270000}"/>
    <cellStyle name="20 % - Markeringsfarve5 4 3 2 4" xfId="24777" xr:uid="{00000000-0005-0000-0000-000010270000}"/>
    <cellStyle name="20 % - Markeringsfarve5 4 3 3" xfId="5059" xr:uid="{00000000-0005-0000-0000-000011270000}"/>
    <cellStyle name="20 % - Markeringsfarve5 4 3 3 2" xfId="9227" xr:uid="{00000000-0005-0000-0000-000012270000}"/>
    <cellStyle name="20 % - Markeringsfarve5 4 3 3 2 2" xfId="17138" xr:uid="{00000000-0005-0000-0000-000013270000}"/>
    <cellStyle name="20 % - Markeringsfarve5 4 3 3 2 2 2" xfId="35298" xr:uid="{00000000-0005-0000-0000-000014270000}"/>
    <cellStyle name="20 % - Markeringsfarve5 4 3 3 2 3" xfId="28297" xr:uid="{00000000-0005-0000-0000-000015270000}"/>
    <cellStyle name="20 % - Markeringsfarve5 4 3 3 3" xfId="13613" xr:uid="{00000000-0005-0000-0000-000016270000}"/>
    <cellStyle name="20 % - Markeringsfarve5 4 3 3 3 2" xfId="31780" xr:uid="{00000000-0005-0000-0000-000017270000}"/>
    <cellStyle name="20 % - Markeringsfarve5 4 3 3 4" xfId="24778" xr:uid="{00000000-0005-0000-0000-000018270000}"/>
    <cellStyle name="20 % - Markeringsfarve5 4 3 4" xfId="7902" xr:uid="{00000000-0005-0000-0000-000019270000}"/>
    <cellStyle name="20 % - Markeringsfarve5 4 3 4 2" xfId="15820" xr:uid="{00000000-0005-0000-0000-00001A270000}"/>
    <cellStyle name="20 % - Markeringsfarve5 4 3 4 2 2" xfId="33980" xr:uid="{00000000-0005-0000-0000-00001B270000}"/>
    <cellStyle name="20 % - Markeringsfarve5 4 3 4 3" xfId="26979" xr:uid="{00000000-0005-0000-0000-00001C270000}"/>
    <cellStyle name="20 % - Markeringsfarve5 4 3 5" xfId="13611" xr:uid="{00000000-0005-0000-0000-00001D270000}"/>
    <cellStyle name="20 % - Markeringsfarve5 4 3 5 2" xfId="31778" xr:uid="{00000000-0005-0000-0000-00001E270000}"/>
    <cellStyle name="20 % - Markeringsfarve5 4 3 6" xfId="24776" xr:uid="{00000000-0005-0000-0000-00001F270000}"/>
    <cellStyle name="20 % - Markeringsfarve5 4 4" xfId="5060" xr:uid="{00000000-0005-0000-0000-000020270000}"/>
    <cellStyle name="20 % - Markeringsfarve5 4 4 2" xfId="5061" xr:uid="{00000000-0005-0000-0000-000021270000}"/>
    <cellStyle name="20 % - Markeringsfarve5 4 4 2 2" xfId="10121" xr:uid="{00000000-0005-0000-0000-000022270000}"/>
    <cellStyle name="20 % - Markeringsfarve5 4 4 2 2 2" xfId="18022" xr:uid="{00000000-0005-0000-0000-000023270000}"/>
    <cellStyle name="20 % - Markeringsfarve5 4 4 2 2 2 2" xfId="36182" xr:uid="{00000000-0005-0000-0000-000024270000}"/>
    <cellStyle name="20 % - Markeringsfarve5 4 4 2 2 3" xfId="29181" xr:uid="{00000000-0005-0000-0000-000025270000}"/>
    <cellStyle name="20 % - Markeringsfarve5 4 4 2 3" xfId="13615" xr:uid="{00000000-0005-0000-0000-000026270000}"/>
    <cellStyle name="20 % - Markeringsfarve5 4 4 2 3 2" xfId="31782" xr:uid="{00000000-0005-0000-0000-000027270000}"/>
    <cellStyle name="20 % - Markeringsfarve5 4 4 2 4" xfId="24780" xr:uid="{00000000-0005-0000-0000-000028270000}"/>
    <cellStyle name="20 % - Markeringsfarve5 4 4 3" xfId="5062" xr:uid="{00000000-0005-0000-0000-000029270000}"/>
    <cellStyle name="20 % - Markeringsfarve5 4 4 3 2" xfId="9397" xr:uid="{00000000-0005-0000-0000-00002A270000}"/>
    <cellStyle name="20 % - Markeringsfarve5 4 4 3 2 2" xfId="17307" xr:uid="{00000000-0005-0000-0000-00002B270000}"/>
    <cellStyle name="20 % - Markeringsfarve5 4 4 3 2 2 2" xfId="35467" xr:uid="{00000000-0005-0000-0000-00002C270000}"/>
    <cellStyle name="20 % - Markeringsfarve5 4 4 3 2 3" xfId="28466" xr:uid="{00000000-0005-0000-0000-00002D270000}"/>
    <cellStyle name="20 % - Markeringsfarve5 4 4 3 3" xfId="13616" xr:uid="{00000000-0005-0000-0000-00002E270000}"/>
    <cellStyle name="20 % - Markeringsfarve5 4 4 3 3 2" xfId="31783" xr:uid="{00000000-0005-0000-0000-00002F270000}"/>
    <cellStyle name="20 % - Markeringsfarve5 4 4 3 4" xfId="24781" xr:uid="{00000000-0005-0000-0000-000030270000}"/>
    <cellStyle name="20 % - Markeringsfarve5 4 4 4" xfId="7903" xr:uid="{00000000-0005-0000-0000-000031270000}"/>
    <cellStyle name="20 % - Markeringsfarve5 4 4 4 2" xfId="15821" xr:uid="{00000000-0005-0000-0000-000032270000}"/>
    <cellStyle name="20 % - Markeringsfarve5 4 4 4 2 2" xfId="33981" xr:uid="{00000000-0005-0000-0000-000033270000}"/>
    <cellStyle name="20 % - Markeringsfarve5 4 4 4 3" xfId="26980" xr:uid="{00000000-0005-0000-0000-000034270000}"/>
    <cellStyle name="20 % - Markeringsfarve5 4 4 5" xfId="13614" xr:uid="{00000000-0005-0000-0000-000035270000}"/>
    <cellStyle name="20 % - Markeringsfarve5 4 4 5 2" xfId="31781" xr:uid="{00000000-0005-0000-0000-000036270000}"/>
    <cellStyle name="20 % - Markeringsfarve5 4 4 6" xfId="24779" xr:uid="{00000000-0005-0000-0000-000037270000}"/>
    <cellStyle name="20 % - Markeringsfarve5 4 5" xfId="5063" xr:uid="{00000000-0005-0000-0000-000038270000}"/>
    <cellStyle name="20 % - Markeringsfarve5 4 5 2" xfId="5064" xr:uid="{00000000-0005-0000-0000-000039270000}"/>
    <cellStyle name="20 % - Markeringsfarve5 4 5 2 2" xfId="10238" xr:uid="{00000000-0005-0000-0000-00003A270000}"/>
    <cellStyle name="20 % - Markeringsfarve5 4 5 2 2 2" xfId="18139" xr:uid="{00000000-0005-0000-0000-00003B270000}"/>
    <cellStyle name="20 % - Markeringsfarve5 4 5 2 2 2 2" xfId="36299" xr:uid="{00000000-0005-0000-0000-00003C270000}"/>
    <cellStyle name="20 % - Markeringsfarve5 4 5 2 2 3" xfId="29298" xr:uid="{00000000-0005-0000-0000-00003D270000}"/>
    <cellStyle name="20 % - Markeringsfarve5 4 5 2 3" xfId="13618" xr:uid="{00000000-0005-0000-0000-00003E270000}"/>
    <cellStyle name="20 % - Markeringsfarve5 4 5 2 3 2" xfId="31785" xr:uid="{00000000-0005-0000-0000-00003F270000}"/>
    <cellStyle name="20 % - Markeringsfarve5 4 5 2 4" xfId="24783" xr:uid="{00000000-0005-0000-0000-000040270000}"/>
    <cellStyle name="20 % - Markeringsfarve5 4 5 3" xfId="5065" xr:uid="{00000000-0005-0000-0000-000041270000}"/>
    <cellStyle name="20 % - Markeringsfarve5 4 5 3 2" xfId="9514" xr:uid="{00000000-0005-0000-0000-000042270000}"/>
    <cellStyle name="20 % - Markeringsfarve5 4 5 3 2 2" xfId="17424" xr:uid="{00000000-0005-0000-0000-000043270000}"/>
    <cellStyle name="20 % - Markeringsfarve5 4 5 3 2 2 2" xfId="35584" xr:uid="{00000000-0005-0000-0000-000044270000}"/>
    <cellStyle name="20 % - Markeringsfarve5 4 5 3 2 3" xfId="28583" xr:uid="{00000000-0005-0000-0000-000045270000}"/>
    <cellStyle name="20 % - Markeringsfarve5 4 5 3 3" xfId="13619" xr:uid="{00000000-0005-0000-0000-000046270000}"/>
    <cellStyle name="20 % - Markeringsfarve5 4 5 3 3 2" xfId="31786" xr:uid="{00000000-0005-0000-0000-000047270000}"/>
    <cellStyle name="20 % - Markeringsfarve5 4 5 3 4" xfId="24784" xr:uid="{00000000-0005-0000-0000-000048270000}"/>
    <cellStyle name="20 % - Markeringsfarve5 4 5 4" xfId="7904" xr:uid="{00000000-0005-0000-0000-000049270000}"/>
    <cellStyle name="20 % - Markeringsfarve5 4 5 4 2" xfId="15822" xr:uid="{00000000-0005-0000-0000-00004A270000}"/>
    <cellStyle name="20 % - Markeringsfarve5 4 5 4 2 2" xfId="33982" xr:uid="{00000000-0005-0000-0000-00004B270000}"/>
    <cellStyle name="20 % - Markeringsfarve5 4 5 4 3" xfId="26981" xr:uid="{00000000-0005-0000-0000-00004C270000}"/>
    <cellStyle name="20 % - Markeringsfarve5 4 5 5" xfId="13617" xr:uid="{00000000-0005-0000-0000-00004D270000}"/>
    <cellStyle name="20 % - Markeringsfarve5 4 5 5 2" xfId="31784" xr:uid="{00000000-0005-0000-0000-00004E270000}"/>
    <cellStyle name="20 % - Markeringsfarve5 4 5 6" xfId="24782" xr:uid="{00000000-0005-0000-0000-00004F270000}"/>
    <cellStyle name="20 % - Markeringsfarve5 4 6" xfId="5066" xr:uid="{00000000-0005-0000-0000-000050270000}"/>
    <cellStyle name="20 % - Markeringsfarve5 4 6 2" xfId="5067" xr:uid="{00000000-0005-0000-0000-000051270000}"/>
    <cellStyle name="20 % - Markeringsfarve5 4 6 2 2" xfId="10351" xr:uid="{00000000-0005-0000-0000-000052270000}"/>
    <cellStyle name="20 % - Markeringsfarve5 4 6 2 2 2" xfId="18252" xr:uid="{00000000-0005-0000-0000-000053270000}"/>
    <cellStyle name="20 % - Markeringsfarve5 4 6 2 2 2 2" xfId="36412" xr:uid="{00000000-0005-0000-0000-000054270000}"/>
    <cellStyle name="20 % - Markeringsfarve5 4 6 2 2 3" xfId="29411" xr:uid="{00000000-0005-0000-0000-000055270000}"/>
    <cellStyle name="20 % - Markeringsfarve5 4 6 2 3" xfId="13621" xr:uid="{00000000-0005-0000-0000-000056270000}"/>
    <cellStyle name="20 % - Markeringsfarve5 4 6 2 3 2" xfId="31788" xr:uid="{00000000-0005-0000-0000-000057270000}"/>
    <cellStyle name="20 % - Markeringsfarve5 4 6 2 4" xfId="24786" xr:uid="{00000000-0005-0000-0000-000058270000}"/>
    <cellStyle name="20 % - Markeringsfarve5 4 6 3" xfId="5068" xr:uid="{00000000-0005-0000-0000-000059270000}"/>
    <cellStyle name="20 % - Markeringsfarve5 4 6 3 2" xfId="9628" xr:uid="{00000000-0005-0000-0000-00005A270000}"/>
    <cellStyle name="20 % - Markeringsfarve5 4 6 3 2 2" xfId="17538" xr:uid="{00000000-0005-0000-0000-00005B270000}"/>
    <cellStyle name="20 % - Markeringsfarve5 4 6 3 2 2 2" xfId="35698" xr:uid="{00000000-0005-0000-0000-00005C270000}"/>
    <cellStyle name="20 % - Markeringsfarve5 4 6 3 2 3" xfId="28697" xr:uid="{00000000-0005-0000-0000-00005D270000}"/>
    <cellStyle name="20 % - Markeringsfarve5 4 6 3 3" xfId="13622" xr:uid="{00000000-0005-0000-0000-00005E270000}"/>
    <cellStyle name="20 % - Markeringsfarve5 4 6 3 3 2" xfId="31789" xr:uid="{00000000-0005-0000-0000-00005F270000}"/>
    <cellStyle name="20 % - Markeringsfarve5 4 6 3 4" xfId="24787" xr:uid="{00000000-0005-0000-0000-000060270000}"/>
    <cellStyle name="20 % - Markeringsfarve5 4 6 4" xfId="7905" xr:uid="{00000000-0005-0000-0000-000061270000}"/>
    <cellStyle name="20 % - Markeringsfarve5 4 6 4 2" xfId="15823" xr:uid="{00000000-0005-0000-0000-000062270000}"/>
    <cellStyle name="20 % - Markeringsfarve5 4 6 4 2 2" xfId="33983" xr:uid="{00000000-0005-0000-0000-000063270000}"/>
    <cellStyle name="20 % - Markeringsfarve5 4 6 4 3" xfId="26982" xr:uid="{00000000-0005-0000-0000-000064270000}"/>
    <cellStyle name="20 % - Markeringsfarve5 4 6 5" xfId="13620" xr:uid="{00000000-0005-0000-0000-000065270000}"/>
    <cellStyle name="20 % - Markeringsfarve5 4 6 5 2" xfId="31787" xr:uid="{00000000-0005-0000-0000-000066270000}"/>
    <cellStyle name="20 % - Markeringsfarve5 4 6 6" xfId="24785" xr:uid="{00000000-0005-0000-0000-000067270000}"/>
    <cellStyle name="20 % - Markeringsfarve5 4 7" xfId="5069" xr:uid="{00000000-0005-0000-0000-000068270000}"/>
    <cellStyle name="20 % - Markeringsfarve5 4 7 2" xfId="9764" xr:uid="{00000000-0005-0000-0000-000069270000}"/>
    <cellStyle name="20 % - Markeringsfarve5 4 7 2 2" xfId="17665" xr:uid="{00000000-0005-0000-0000-00006A270000}"/>
    <cellStyle name="20 % - Markeringsfarve5 4 7 2 2 2" xfId="35825" xr:uid="{00000000-0005-0000-0000-00006B270000}"/>
    <cellStyle name="20 % - Markeringsfarve5 4 7 2 3" xfId="28824" xr:uid="{00000000-0005-0000-0000-00006C270000}"/>
    <cellStyle name="20 % - Markeringsfarve5 4 7 3" xfId="13623" xr:uid="{00000000-0005-0000-0000-00006D270000}"/>
    <cellStyle name="20 % - Markeringsfarve5 4 7 3 2" xfId="31790" xr:uid="{00000000-0005-0000-0000-00006E270000}"/>
    <cellStyle name="20 % - Markeringsfarve5 4 7 4" xfId="24788" xr:uid="{00000000-0005-0000-0000-00006F270000}"/>
    <cellStyle name="20 % - Markeringsfarve5 4 8" xfId="5070" xr:uid="{00000000-0005-0000-0000-000070270000}"/>
    <cellStyle name="20 % - Markeringsfarve5 4 8 2" xfId="8992" xr:uid="{00000000-0005-0000-0000-000071270000}"/>
    <cellStyle name="20 % - Markeringsfarve5 4 8 2 2" xfId="16903" xr:uid="{00000000-0005-0000-0000-000072270000}"/>
    <cellStyle name="20 % - Markeringsfarve5 4 8 2 2 2" xfId="35063" xr:uid="{00000000-0005-0000-0000-000073270000}"/>
    <cellStyle name="20 % - Markeringsfarve5 4 8 2 3" xfId="28062" xr:uid="{00000000-0005-0000-0000-000074270000}"/>
    <cellStyle name="20 % - Markeringsfarve5 4 8 3" xfId="13624" xr:uid="{00000000-0005-0000-0000-000075270000}"/>
    <cellStyle name="20 % - Markeringsfarve5 4 8 3 2" xfId="31791" xr:uid="{00000000-0005-0000-0000-000076270000}"/>
    <cellStyle name="20 % - Markeringsfarve5 4 8 4" xfId="24789" xr:uid="{00000000-0005-0000-0000-000077270000}"/>
    <cellStyle name="20 % - Markeringsfarve5 4 9" xfId="7900" xr:uid="{00000000-0005-0000-0000-000078270000}"/>
    <cellStyle name="20 % - Markeringsfarve5 4 9 2" xfId="15818" xr:uid="{00000000-0005-0000-0000-000079270000}"/>
    <cellStyle name="20 % - Markeringsfarve5 4 9 2 2" xfId="33978" xr:uid="{00000000-0005-0000-0000-00007A270000}"/>
    <cellStyle name="20 % - Markeringsfarve5 4 9 3" xfId="26977" xr:uid="{00000000-0005-0000-0000-00007B270000}"/>
    <cellStyle name="20 % - Markeringsfarve5 5" xfId="1841" xr:uid="{00000000-0005-0000-0000-00007C270000}"/>
    <cellStyle name="20 % - Markeringsfarve5 5 10" xfId="13625" xr:uid="{00000000-0005-0000-0000-00007D270000}"/>
    <cellStyle name="20 % - Markeringsfarve5 5 10 2" xfId="31792" xr:uid="{00000000-0005-0000-0000-00007E270000}"/>
    <cellStyle name="20 % - Markeringsfarve5 5 11" xfId="5071" xr:uid="{00000000-0005-0000-0000-00007F270000}"/>
    <cellStyle name="20 % - Markeringsfarve5 5 11 2" xfId="24790" xr:uid="{00000000-0005-0000-0000-000080270000}"/>
    <cellStyle name="20 % - Markeringsfarve5 5 12" xfId="21965" xr:uid="{00000000-0005-0000-0000-000081270000}"/>
    <cellStyle name="20 % - Markeringsfarve5 5 2" xfId="1842" xr:uid="{00000000-0005-0000-0000-000082270000}"/>
    <cellStyle name="20 % - Markeringsfarve5 5 2 2" xfId="5073" xr:uid="{00000000-0005-0000-0000-000083270000}"/>
    <cellStyle name="20 % - Markeringsfarve5 5 2 2 2" xfId="9922" xr:uid="{00000000-0005-0000-0000-000084270000}"/>
    <cellStyle name="20 % - Markeringsfarve5 5 2 2 2 2" xfId="17823" xr:uid="{00000000-0005-0000-0000-000085270000}"/>
    <cellStyle name="20 % - Markeringsfarve5 5 2 2 2 2 2" xfId="35983" xr:uid="{00000000-0005-0000-0000-000086270000}"/>
    <cellStyle name="20 % - Markeringsfarve5 5 2 2 2 3" xfId="28982" xr:uid="{00000000-0005-0000-0000-000087270000}"/>
    <cellStyle name="20 % - Markeringsfarve5 5 2 2 3" xfId="13627" xr:uid="{00000000-0005-0000-0000-000088270000}"/>
    <cellStyle name="20 % - Markeringsfarve5 5 2 2 3 2" xfId="31794" xr:uid="{00000000-0005-0000-0000-000089270000}"/>
    <cellStyle name="20 % - Markeringsfarve5 5 2 2 4" xfId="24792" xr:uid="{00000000-0005-0000-0000-00008A270000}"/>
    <cellStyle name="20 % - Markeringsfarve5 5 2 3" xfId="5074" xr:uid="{00000000-0005-0000-0000-00008B270000}"/>
    <cellStyle name="20 % - Markeringsfarve5 5 2 3 2" xfId="9152" xr:uid="{00000000-0005-0000-0000-00008C270000}"/>
    <cellStyle name="20 % - Markeringsfarve5 5 2 3 2 2" xfId="17063" xr:uid="{00000000-0005-0000-0000-00008D270000}"/>
    <cellStyle name="20 % - Markeringsfarve5 5 2 3 2 2 2" xfId="35223" xr:uid="{00000000-0005-0000-0000-00008E270000}"/>
    <cellStyle name="20 % - Markeringsfarve5 5 2 3 2 3" xfId="28222" xr:uid="{00000000-0005-0000-0000-00008F270000}"/>
    <cellStyle name="20 % - Markeringsfarve5 5 2 3 3" xfId="13628" xr:uid="{00000000-0005-0000-0000-000090270000}"/>
    <cellStyle name="20 % - Markeringsfarve5 5 2 3 3 2" xfId="31795" xr:uid="{00000000-0005-0000-0000-000091270000}"/>
    <cellStyle name="20 % - Markeringsfarve5 5 2 3 4" xfId="24793" xr:uid="{00000000-0005-0000-0000-000092270000}"/>
    <cellStyle name="20 % - Markeringsfarve5 5 2 4" xfId="7907" xr:uid="{00000000-0005-0000-0000-000093270000}"/>
    <cellStyle name="20 % - Markeringsfarve5 5 2 4 2" xfId="15825" xr:uid="{00000000-0005-0000-0000-000094270000}"/>
    <cellStyle name="20 % - Markeringsfarve5 5 2 4 2 2" xfId="33985" xr:uid="{00000000-0005-0000-0000-000095270000}"/>
    <cellStyle name="20 % - Markeringsfarve5 5 2 4 3" xfId="26984" xr:uid="{00000000-0005-0000-0000-000096270000}"/>
    <cellStyle name="20 % - Markeringsfarve5 5 2 5" xfId="13626" xr:uid="{00000000-0005-0000-0000-000097270000}"/>
    <cellStyle name="20 % - Markeringsfarve5 5 2 5 2" xfId="31793" xr:uid="{00000000-0005-0000-0000-000098270000}"/>
    <cellStyle name="20 % - Markeringsfarve5 5 2 6" xfId="5072" xr:uid="{00000000-0005-0000-0000-000099270000}"/>
    <cellStyle name="20 % - Markeringsfarve5 5 2 6 2" xfId="24791" xr:uid="{00000000-0005-0000-0000-00009A270000}"/>
    <cellStyle name="20 % - Markeringsfarve5 5 2 7" xfId="21966" xr:uid="{00000000-0005-0000-0000-00009B270000}"/>
    <cellStyle name="20 % - Markeringsfarve5 5 3" xfId="5075" xr:uid="{00000000-0005-0000-0000-00009C270000}"/>
    <cellStyle name="20 % - Markeringsfarve5 5 3 2" xfId="5076" xr:uid="{00000000-0005-0000-0000-00009D270000}"/>
    <cellStyle name="20 % - Markeringsfarve5 5 3 2 2" xfId="9998" xr:uid="{00000000-0005-0000-0000-00009E270000}"/>
    <cellStyle name="20 % - Markeringsfarve5 5 3 2 2 2" xfId="17899" xr:uid="{00000000-0005-0000-0000-00009F270000}"/>
    <cellStyle name="20 % - Markeringsfarve5 5 3 2 2 2 2" xfId="36059" xr:uid="{00000000-0005-0000-0000-0000A0270000}"/>
    <cellStyle name="20 % - Markeringsfarve5 5 3 2 2 3" xfId="29058" xr:uid="{00000000-0005-0000-0000-0000A1270000}"/>
    <cellStyle name="20 % - Markeringsfarve5 5 3 2 3" xfId="13630" xr:uid="{00000000-0005-0000-0000-0000A2270000}"/>
    <cellStyle name="20 % - Markeringsfarve5 5 3 2 3 2" xfId="31797" xr:uid="{00000000-0005-0000-0000-0000A3270000}"/>
    <cellStyle name="20 % - Markeringsfarve5 5 3 2 4" xfId="24795" xr:uid="{00000000-0005-0000-0000-0000A4270000}"/>
    <cellStyle name="20 % - Markeringsfarve5 5 3 3" xfId="5077" xr:uid="{00000000-0005-0000-0000-0000A5270000}"/>
    <cellStyle name="20 % - Markeringsfarve5 5 3 3 2" xfId="9228" xr:uid="{00000000-0005-0000-0000-0000A6270000}"/>
    <cellStyle name="20 % - Markeringsfarve5 5 3 3 2 2" xfId="17139" xr:uid="{00000000-0005-0000-0000-0000A7270000}"/>
    <cellStyle name="20 % - Markeringsfarve5 5 3 3 2 2 2" xfId="35299" xr:uid="{00000000-0005-0000-0000-0000A8270000}"/>
    <cellStyle name="20 % - Markeringsfarve5 5 3 3 2 3" xfId="28298" xr:uid="{00000000-0005-0000-0000-0000A9270000}"/>
    <cellStyle name="20 % - Markeringsfarve5 5 3 3 3" xfId="13631" xr:uid="{00000000-0005-0000-0000-0000AA270000}"/>
    <cellStyle name="20 % - Markeringsfarve5 5 3 3 3 2" xfId="31798" xr:uid="{00000000-0005-0000-0000-0000AB270000}"/>
    <cellStyle name="20 % - Markeringsfarve5 5 3 3 4" xfId="24796" xr:uid="{00000000-0005-0000-0000-0000AC270000}"/>
    <cellStyle name="20 % - Markeringsfarve5 5 3 4" xfId="7908" xr:uid="{00000000-0005-0000-0000-0000AD270000}"/>
    <cellStyle name="20 % - Markeringsfarve5 5 3 4 2" xfId="15826" xr:uid="{00000000-0005-0000-0000-0000AE270000}"/>
    <cellStyle name="20 % - Markeringsfarve5 5 3 4 2 2" xfId="33986" xr:uid="{00000000-0005-0000-0000-0000AF270000}"/>
    <cellStyle name="20 % - Markeringsfarve5 5 3 4 3" xfId="26985" xr:uid="{00000000-0005-0000-0000-0000B0270000}"/>
    <cellStyle name="20 % - Markeringsfarve5 5 3 5" xfId="13629" xr:uid="{00000000-0005-0000-0000-0000B1270000}"/>
    <cellStyle name="20 % - Markeringsfarve5 5 3 5 2" xfId="31796" xr:uid="{00000000-0005-0000-0000-0000B2270000}"/>
    <cellStyle name="20 % - Markeringsfarve5 5 3 6" xfId="24794" xr:uid="{00000000-0005-0000-0000-0000B3270000}"/>
    <cellStyle name="20 % - Markeringsfarve5 5 4" xfId="5078" xr:uid="{00000000-0005-0000-0000-0000B4270000}"/>
    <cellStyle name="20 % - Markeringsfarve5 5 4 2" xfId="5079" xr:uid="{00000000-0005-0000-0000-0000B5270000}"/>
    <cellStyle name="20 % - Markeringsfarve5 5 4 2 2" xfId="10160" xr:uid="{00000000-0005-0000-0000-0000B6270000}"/>
    <cellStyle name="20 % - Markeringsfarve5 5 4 2 2 2" xfId="18061" xr:uid="{00000000-0005-0000-0000-0000B7270000}"/>
    <cellStyle name="20 % - Markeringsfarve5 5 4 2 2 2 2" xfId="36221" xr:uid="{00000000-0005-0000-0000-0000B8270000}"/>
    <cellStyle name="20 % - Markeringsfarve5 5 4 2 2 3" xfId="29220" xr:uid="{00000000-0005-0000-0000-0000B9270000}"/>
    <cellStyle name="20 % - Markeringsfarve5 5 4 2 3" xfId="13633" xr:uid="{00000000-0005-0000-0000-0000BA270000}"/>
    <cellStyle name="20 % - Markeringsfarve5 5 4 2 3 2" xfId="31800" xr:uid="{00000000-0005-0000-0000-0000BB270000}"/>
    <cellStyle name="20 % - Markeringsfarve5 5 4 2 4" xfId="24798" xr:uid="{00000000-0005-0000-0000-0000BC270000}"/>
    <cellStyle name="20 % - Markeringsfarve5 5 4 3" xfId="5080" xr:uid="{00000000-0005-0000-0000-0000BD270000}"/>
    <cellStyle name="20 % - Markeringsfarve5 5 4 3 2" xfId="9436" xr:uid="{00000000-0005-0000-0000-0000BE270000}"/>
    <cellStyle name="20 % - Markeringsfarve5 5 4 3 2 2" xfId="17346" xr:uid="{00000000-0005-0000-0000-0000BF270000}"/>
    <cellStyle name="20 % - Markeringsfarve5 5 4 3 2 2 2" xfId="35506" xr:uid="{00000000-0005-0000-0000-0000C0270000}"/>
    <cellStyle name="20 % - Markeringsfarve5 5 4 3 2 3" xfId="28505" xr:uid="{00000000-0005-0000-0000-0000C1270000}"/>
    <cellStyle name="20 % - Markeringsfarve5 5 4 3 3" xfId="13634" xr:uid="{00000000-0005-0000-0000-0000C2270000}"/>
    <cellStyle name="20 % - Markeringsfarve5 5 4 3 3 2" xfId="31801" xr:uid="{00000000-0005-0000-0000-0000C3270000}"/>
    <cellStyle name="20 % - Markeringsfarve5 5 4 3 4" xfId="24799" xr:uid="{00000000-0005-0000-0000-0000C4270000}"/>
    <cellStyle name="20 % - Markeringsfarve5 5 4 4" xfId="7909" xr:uid="{00000000-0005-0000-0000-0000C5270000}"/>
    <cellStyle name="20 % - Markeringsfarve5 5 4 4 2" xfId="15827" xr:uid="{00000000-0005-0000-0000-0000C6270000}"/>
    <cellStyle name="20 % - Markeringsfarve5 5 4 4 2 2" xfId="33987" xr:uid="{00000000-0005-0000-0000-0000C7270000}"/>
    <cellStyle name="20 % - Markeringsfarve5 5 4 4 3" xfId="26986" xr:uid="{00000000-0005-0000-0000-0000C8270000}"/>
    <cellStyle name="20 % - Markeringsfarve5 5 4 5" xfId="13632" xr:uid="{00000000-0005-0000-0000-0000C9270000}"/>
    <cellStyle name="20 % - Markeringsfarve5 5 4 5 2" xfId="31799" xr:uid="{00000000-0005-0000-0000-0000CA270000}"/>
    <cellStyle name="20 % - Markeringsfarve5 5 4 6" xfId="24797" xr:uid="{00000000-0005-0000-0000-0000CB270000}"/>
    <cellStyle name="20 % - Markeringsfarve5 5 5" xfId="5081" xr:uid="{00000000-0005-0000-0000-0000CC270000}"/>
    <cellStyle name="20 % - Markeringsfarve5 5 5 2" xfId="5082" xr:uid="{00000000-0005-0000-0000-0000CD270000}"/>
    <cellStyle name="20 % - Markeringsfarve5 5 5 2 2" xfId="10277" xr:uid="{00000000-0005-0000-0000-0000CE270000}"/>
    <cellStyle name="20 % - Markeringsfarve5 5 5 2 2 2" xfId="18178" xr:uid="{00000000-0005-0000-0000-0000CF270000}"/>
    <cellStyle name="20 % - Markeringsfarve5 5 5 2 2 2 2" xfId="36338" xr:uid="{00000000-0005-0000-0000-0000D0270000}"/>
    <cellStyle name="20 % - Markeringsfarve5 5 5 2 2 3" xfId="29337" xr:uid="{00000000-0005-0000-0000-0000D1270000}"/>
    <cellStyle name="20 % - Markeringsfarve5 5 5 2 3" xfId="13636" xr:uid="{00000000-0005-0000-0000-0000D2270000}"/>
    <cellStyle name="20 % - Markeringsfarve5 5 5 2 3 2" xfId="31803" xr:uid="{00000000-0005-0000-0000-0000D3270000}"/>
    <cellStyle name="20 % - Markeringsfarve5 5 5 2 4" xfId="24801" xr:uid="{00000000-0005-0000-0000-0000D4270000}"/>
    <cellStyle name="20 % - Markeringsfarve5 5 5 3" xfId="5083" xr:uid="{00000000-0005-0000-0000-0000D5270000}"/>
    <cellStyle name="20 % - Markeringsfarve5 5 5 3 2" xfId="9553" xr:uid="{00000000-0005-0000-0000-0000D6270000}"/>
    <cellStyle name="20 % - Markeringsfarve5 5 5 3 2 2" xfId="17463" xr:uid="{00000000-0005-0000-0000-0000D7270000}"/>
    <cellStyle name="20 % - Markeringsfarve5 5 5 3 2 2 2" xfId="35623" xr:uid="{00000000-0005-0000-0000-0000D8270000}"/>
    <cellStyle name="20 % - Markeringsfarve5 5 5 3 2 3" xfId="28622" xr:uid="{00000000-0005-0000-0000-0000D9270000}"/>
    <cellStyle name="20 % - Markeringsfarve5 5 5 3 3" xfId="13637" xr:uid="{00000000-0005-0000-0000-0000DA270000}"/>
    <cellStyle name="20 % - Markeringsfarve5 5 5 3 3 2" xfId="31804" xr:uid="{00000000-0005-0000-0000-0000DB270000}"/>
    <cellStyle name="20 % - Markeringsfarve5 5 5 3 4" xfId="24802" xr:uid="{00000000-0005-0000-0000-0000DC270000}"/>
    <cellStyle name="20 % - Markeringsfarve5 5 5 4" xfId="7910" xr:uid="{00000000-0005-0000-0000-0000DD270000}"/>
    <cellStyle name="20 % - Markeringsfarve5 5 5 4 2" xfId="15828" xr:uid="{00000000-0005-0000-0000-0000DE270000}"/>
    <cellStyle name="20 % - Markeringsfarve5 5 5 4 2 2" xfId="33988" xr:uid="{00000000-0005-0000-0000-0000DF270000}"/>
    <cellStyle name="20 % - Markeringsfarve5 5 5 4 3" xfId="26987" xr:uid="{00000000-0005-0000-0000-0000E0270000}"/>
    <cellStyle name="20 % - Markeringsfarve5 5 5 5" xfId="13635" xr:uid="{00000000-0005-0000-0000-0000E1270000}"/>
    <cellStyle name="20 % - Markeringsfarve5 5 5 5 2" xfId="31802" xr:uid="{00000000-0005-0000-0000-0000E2270000}"/>
    <cellStyle name="20 % - Markeringsfarve5 5 5 6" xfId="24800" xr:uid="{00000000-0005-0000-0000-0000E3270000}"/>
    <cellStyle name="20 % - Markeringsfarve5 5 6" xfId="5084" xr:uid="{00000000-0005-0000-0000-0000E4270000}"/>
    <cellStyle name="20 % - Markeringsfarve5 5 6 2" xfId="5085" xr:uid="{00000000-0005-0000-0000-0000E5270000}"/>
    <cellStyle name="20 % - Markeringsfarve5 5 6 2 2" xfId="10352" xr:uid="{00000000-0005-0000-0000-0000E6270000}"/>
    <cellStyle name="20 % - Markeringsfarve5 5 6 2 2 2" xfId="18253" xr:uid="{00000000-0005-0000-0000-0000E7270000}"/>
    <cellStyle name="20 % - Markeringsfarve5 5 6 2 2 2 2" xfId="36413" xr:uid="{00000000-0005-0000-0000-0000E8270000}"/>
    <cellStyle name="20 % - Markeringsfarve5 5 6 2 2 3" xfId="29412" xr:uid="{00000000-0005-0000-0000-0000E9270000}"/>
    <cellStyle name="20 % - Markeringsfarve5 5 6 2 3" xfId="13639" xr:uid="{00000000-0005-0000-0000-0000EA270000}"/>
    <cellStyle name="20 % - Markeringsfarve5 5 6 2 3 2" xfId="31806" xr:uid="{00000000-0005-0000-0000-0000EB270000}"/>
    <cellStyle name="20 % - Markeringsfarve5 5 6 2 4" xfId="24804" xr:uid="{00000000-0005-0000-0000-0000EC270000}"/>
    <cellStyle name="20 % - Markeringsfarve5 5 6 3" xfId="5086" xr:uid="{00000000-0005-0000-0000-0000ED270000}"/>
    <cellStyle name="20 % - Markeringsfarve5 5 6 3 2" xfId="9629" xr:uid="{00000000-0005-0000-0000-0000EE270000}"/>
    <cellStyle name="20 % - Markeringsfarve5 5 6 3 2 2" xfId="17539" xr:uid="{00000000-0005-0000-0000-0000EF270000}"/>
    <cellStyle name="20 % - Markeringsfarve5 5 6 3 2 2 2" xfId="35699" xr:uid="{00000000-0005-0000-0000-0000F0270000}"/>
    <cellStyle name="20 % - Markeringsfarve5 5 6 3 2 3" xfId="28698" xr:uid="{00000000-0005-0000-0000-0000F1270000}"/>
    <cellStyle name="20 % - Markeringsfarve5 5 6 3 3" xfId="13640" xr:uid="{00000000-0005-0000-0000-0000F2270000}"/>
    <cellStyle name="20 % - Markeringsfarve5 5 6 3 3 2" xfId="31807" xr:uid="{00000000-0005-0000-0000-0000F3270000}"/>
    <cellStyle name="20 % - Markeringsfarve5 5 6 3 4" xfId="24805" xr:uid="{00000000-0005-0000-0000-0000F4270000}"/>
    <cellStyle name="20 % - Markeringsfarve5 5 6 4" xfId="7911" xr:uid="{00000000-0005-0000-0000-0000F5270000}"/>
    <cellStyle name="20 % - Markeringsfarve5 5 6 4 2" xfId="15829" xr:uid="{00000000-0005-0000-0000-0000F6270000}"/>
    <cellStyle name="20 % - Markeringsfarve5 5 6 4 2 2" xfId="33989" xr:uid="{00000000-0005-0000-0000-0000F7270000}"/>
    <cellStyle name="20 % - Markeringsfarve5 5 6 4 3" xfId="26988" xr:uid="{00000000-0005-0000-0000-0000F8270000}"/>
    <cellStyle name="20 % - Markeringsfarve5 5 6 5" xfId="13638" xr:uid="{00000000-0005-0000-0000-0000F9270000}"/>
    <cellStyle name="20 % - Markeringsfarve5 5 6 5 2" xfId="31805" xr:uid="{00000000-0005-0000-0000-0000FA270000}"/>
    <cellStyle name="20 % - Markeringsfarve5 5 6 6" xfId="24803" xr:uid="{00000000-0005-0000-0000-0000FB270000}"/>
    <cellStyle name="20 % - Markeringsfarve5 5 7" xfId="5087" xr:uid="{00000000-0005-0000-0000-0000FC270000}"/>
    <cellStyle name="20 % - Markeringsfarve5 5 7 2" xfId="9803" xr:uid="{00000000-0005-0000-0000-0000FD270000}"/>
    <cellStyle name="20 % - Markeringsfarve5 5 7 2 2" xfId="17704" xr:uid="{00000000-0005-0000-0000-0000FE270000}"/>
    <cellStyle name="20 % - Markeringsfarve5 5 7 2 2 2" xfId="35864" xr:uid="{00000000-0005-0000-0000-0000FF270000}"/>
    <cellStyle name="20 % - Markeringsfarve5 5 7 2 3" xfId="28863" xr:uid="{00000000-0005-0000-0000-000000280000}"/>
    <cellStyle name="20 % - Markeringsfarve5 5 7 3" xfId="13641" xr:uid="{00000000-0005-0000-0000-000001280000}"/>
    <cellStyle name="20 % - Markeringsfarve5 5 7 3 2" xfId="31808" xr:uid="{00000000-0005-0000-0000-000002280000}"/>
    <cellStyle name="20 % - Markeringsfarve5 5 7 4" xfId="24806" xr:uid="{00000000-0005-0000-0000-000003280000}"/>
    <cellStyle name="20 % - Markeringsfarve5 5 8" xfId="5088" xr:uid="{00000000-0005-0000-0000-000004280000}"/>
    <cellStyle name="20 % - Markeringsfarve5 5 8 2" xfId="9031" xr:uid="{00000000-0005-0000-0000-000005280000}"/>
    <cellStyle name="20 % - Markeringsfarve5 5 8 2 2" xfId="16942" xr:uid="{00000000-0005-0000-0000-000006280000}"/>
    <cellStyle name="20 % - Markeringsfarve5 5 8 2 2 2" xfId="35102" xr:uid="{00000000-0005-0000-0000-000007280000}"/>
    <cellStyle name="20 % - Markeringsfarve5 5 8 2 3" xfId="28101" xr:uid="{00000000-0005-0000-0000-000008280000}"/>
    <cellStyle name="20 % - Markeringsfarve5 5 8 3" xfId="13642" xr:uid="{00000000-0005-0000-0000-000009280000}"/>
    <cellStyle name="20 % - Markeringsfarve5 5 8 3 2" xfId="31809" xr:uid="{00000000-0005-0000-0000-00000A280000}"/>
    <cellStyle name="20 % - Markeringsfarve5 5 8 4" xfId="24807" xr:uid="{00000000-0005-0000-0000-00000B280000}"/>
    <cellStyle name="20 % - Markeringsfarve5 5 9" xfId="7906" xr:uid="{00000000-0005-0000-0000-00000C280000}"/>
    <cellStyle name="20 % - Markeringsfarve5 5 9 2" xfId="15824" xr:uid="{00000000-0005-0000-0000-00000D280000}"/>
    <cellStyle name="20 % - Markeringsfarve5 5 9 2 2" xfId="33984" xr:uid="{00000000-0005-0000-0000-00000E280000}"/>
    <cellStyle name="20 % - Markeringsfarve5 5 9 3" xfId="26983" xr:uid="{00000000-0005-0000-0000-00000F280000}"/>
    <cellStyle name="20 % - Markeringsfarve5 6" xfId="1843" xr:uid="{00000000-0005-0000-0000-000010280000}"/>
    <cellStyle name="20 % - Markeringsfarve5 6 2" xfId="1844" xr:uid="{00000000-0005-0000-0000-000011280000}"/>
    <cellStyle name="20 % - Markeringsfarve5 6 2 2" xfId="9844" xr:uid="{00000000-0005-0000-0000-000012280000}"/>
    <cellStyle name="20 % - Markeringsfarve5 6 2 2 2" xfId="17745" xr:uid="{00000000-0005-0000-0000-000013280000}"/>
    <cellStyle name="20 % - Markeringsfarve5 6 2 2 2 2" xfId="35905" xr:uid="{00000000-0005-0000-0000-000014280000}"/>
    <cellStyle name="20 % - Markeringsfarve5 6 2 2 3" xfId="28904" xr:uid="{00000000-0005-0000-0000-000015280000}"/>
    <cellStyle name="20 % - Markeringsfarve5 6 2 3" xfId="13644" xr:uid="{00000000-0005-0000-0000-000016280000}"/>
    <cellStyle name="20 % - Markeringsfarve5 6 2 3 2" xfId="31811" xr:uid="{00000000-0005-0000-0000-000017280000}"/>
    <cellStyle name="20 % - Markeringsfarve5 6 2 4" xfId="5090" xr:uid="{00000000-0005-0000-0000-000018280000}"/>
    <cellStyle name="20 % - Markeringsfarve5 6 2 4 2" xfId="24809" xr:uid="{00000000-0005-0000-0000-000019280000}"/>
    <cellStyle name="20 % - Markeringsfarve5 6 2 5" xfId="21968" xr:uid="{00000000-0005-0000-0000-00001A280000}"/>
    <cellStyle name="20 % - Markeringsfarve5 6 3" xfId="5091" xr:uid="{00000000-0005-0000-0000-00001B280000}"/>
    <cellStyle name="20 % - Markeringsfarve5 6 3 2" xfId="9074" xr:uid="{00000000-0005-0000-0000-00001C280000}"/>
    <cellStyle name="20 % - Markeringsfarve5 6 3 2 2" xfId="16985" xr:uid="{00000000-0005-0000-0000-00001D280000}"/>
    <cellStyle name="20 % - Markeringsfarve5 6 3 2 2 2" xfId="35145" xr:uid="{00000000-0005-0000-0000-00001E280000}"/>
    <cellStyle name="20 % - Markeringsfarve5 6 3 2 3" xfId="28144" xr:uid="{00000000-0005-0000-0000-00001F280000}"/>
    <cellStyle name="20 % - Markeringsfarve5 6 3 3" xfId="13645" xr:uid="{00000000-0005-0000-0000-000020280000}"/>
    <cellStyle name="20 % - Markeringsfarve5 6 3 3 2" xfId="31812" xr:uid="{00000000-0005-0000-0000-000021280000}"/>
    <cellStyle name="20 % - Markeringsfarve5 6 3 4" xfId="24810" xr:uid="{00000000-0005-0000-0000-000022280000}"/>
    <cellStyle name="20 % - Markeringsfarve5 6 4" xfId="7912" xr:uid="{00000000-0005-0000-0000-000023280000}"/>
    <cellStyle name="20 % - Markeringsfarve5 6 4 2" xfId="15830" xr:uid="{00000000-0005-0000-0000-000024280000}"/>
    <cellStyle name="20 % - Markeringsfarve5 6 4 2 2" xfId="33990" xr:uid="{00000000-0005-0000-0000-000025280000}"/>
    <cellStyle name="20 % - Markeringsfarve5 6 4 3" xfId="26989" xr:uid="{00000000-0005-0000-0000-000026280000}"/>
    <cellStyle name="20 % - Markeringsfarve5 6 5" xfId="13643" xr:uid="{00000000-0005-0000-0000-000027280000}"/>
    <cellStyle name="20 % - Markeringsfarve5 6 5 2" xfId="31810" xr:uid="{00000000-0005-0000-0000-000028280000}"/>
    <cellStyle name="20 % - Markeringsfarve5 6 6" xfId="5089" xr:uid="{00000000-0005-0000-0000-000029280000}"/>
    <cellStyle name="20 % - Markeringsfarve5 6 6 2" xfId="24808" xr:uid="{00000000-0005-0000-0000-00002A280000}"/>
    <cellStyle name="20 % - Markeringsfarve5 6 7" xfId="21967" xr:uid="{00000000-0005-0000-0000-00002B280000}"/>
    <cellStyle name="20 % - Markeringsfarve5 7" xfId="1845" xr:uid="{00000000-0005-0000-0000-00002C280000}"/>
    <cellStyle name="20 % - Markeringsfarve5 7 2" xfId="5093" xr:uid="{00000000-0005-0000-0000-00002D280000}"/>
    <cellStyle name="20 % - Markeringsfarve5 7 2 2" xfId="9990" xr:uid="{00000000-0005-0000-0000-00002E280000}"/>
    <cellStyle name="20 % - Markeringsfarve5 7 2 2 2" xfId="17891" xr:uid="{00000000-0005-0000-0000-00002F280000}"/>
    <cellStyle name="20 % - Markeringsfarve5 7 2 2 2 2" xfId="36051" xr:uid="{00000000-0005-0000-0000-000030280000}"/>
    <cellStyle name="20 % - Markeringsfarve5 7 2 2 3" xfId="29050" xr:uid="{00000000-0005-0000-0000-000031280000}"/>
    <cellStyle name="20 % - Markeringsfarve5 7 2 3" xfId="13647" xr:uid="{00000000-0005-0000-0000-000032280000}"/>
    <cellStyle name="20 % - Markeringsfarve5 7 2 3 2" xfId="31814" xr:uid="{00000000-0005-0000-0000-000033280000}"/>
    <cellStyle name="20 % - Markeringsfarve5 7 2 4" xfId="24812" xr:uid="{00000000-0005-0000-0000-000034280000}"/>
    <cellStyle name="20 % - Markeringsfarve5 7 3" xfId="5094" xr:uid="{00000000-0005-0000-0000-000035280000}"/>
    <cellStyle name="20 % - Markeringsfarve5 7 3 2" xfId="9220" xr:uid="{00000000-0005-0000-0000-000036280000}"/>
    <cellStyle name="20 % - Markeringsfarve5 7 3 2 2" xfId="17131" xr:uid="{00000000-0005-0000-0000-000037280000}"/>
    <cellStyle name="20 % - Markeringsfarve5 7 3 2 2 2" xfId="35291" xr:uid="{00000000-0005-0000-0000-000038280000}"/>
    <cellStyle name="20 % - Markeringsfarve5 7 3 2 3" xfId="28290" xr:uid="{00000000-0005-0000-0000-000039280000}"/>
    <cellStyle name="20 % - Markeringsfarve5 7 3 3" xfId="13648" xr:uid="{00000000-0005-0000-0000-00003A280000}"/>
    <cellStyle name="20 % - Markeringsfarve5 7 3 3 2" xfId="31815" xr:uid="{00000000-0005-0000-0000-00003B280000}"/>
    <cellStyle name="20 % - Markeringsfarve5 7 3 4" xfId="24813" xr:uid="{00000000-0005-0000-0000-00003C280000}"/>
    <cellStyle name="20 % - Markeringsfarve5 7 4" xfId="7913" xr:uid="{00000000-0005-0000-0000-00003D280000}"/>
    <cellStyle name="20 % - Markeringsfarve5 7 4 2" xfId="15831" xr:uid="{00000000-0005-0000-0000-00003E280000}"/>
    <cellStyle name="20 % - Markeringsfarve5 7 4 2 2" xfId="33991" xr:uid="{00000000-0005-0000-0000-00003F280000}"/>
    <cellStyle name="20 % - Markeringsfarve5 7 4 3" xfId="26990" xr:uid="{00000000-0005-0000-0000-000040280000}"/>
    <cellStyle name="20 % - Markeringsfarve5 7 5" xfId="13646" xr:uid="{00000000-0005-0000-0000-000041280000}"/>
    <cellStyle name="20 % - Markeringsfarve5 7 5 2" xfId="31813" xr:uid="{00000000-0005-0000-0000-000042280000}"/>
    <cellStyle name="20 % - Markeringsfarve5 7 6" xfId="5092" xr:uid="{00000000-0005-0000-0000-000043280000}"/>
    <cellStyle name="20 % - Markeringsfarve5 7 6 2" xfId="24811" xr:uid="{00000000-0005-0000-0000-000044280000}"/>
    <cellStyle name="20 % - Markeringsfarve5 7 7" xfId="21969" xr:uid="{00000000-0005-0000-0000-000045280000}"/>
    <cellStyle name="20 % - Markeringsfarve5 8" xfId="5095" xr:uid="{00000000-0005-0000-0000-000046280000}"/>
    <cellStyle name="20 % - Markeringsfarve5 8 2" xfId="5096" xr:uid="{00000000-0005-0000-0000-000047280000}"/>
    <cellStyle name="20 % - Markeringsfarve5 8 2 2" xfId="10082" xr:uid="{00000000-0005-0000-0000-000048280000}"/>
    <cellStyle name="20 % - Markeringsfarve5 8 2 2 2" xfId="17983" xr:uid="{00000000-0005-0000-0000-000049280000}"/>
    <cellStyle name="20 % - Markeringsfarve5 8 2 2 2 2" xfId="36143" xr:uid="{00000000-0005-0000-0000-00004A280000}"/>
    <cellStyle name="20 % - Markeringsfarve5 8 2 2 3" xfId="29142" xr:uid="{00000000-0005-0000-0000-00004B280000}"/>
    <cellStyle name="20 % - Markeringsfarve5 8 2 3" xfId="13650" xr:uid="{00000000-0005-0000-0000-00004C280000}"/>
    <cellStyle name="20 % - Markeringsfarve5 8 2 3 2" xfId="31817" xr:uid="{00000000-0005-0000-0000-00004D280000}"/>
    <cellStyle name="20 % - Markeringsfarve5 8 2 4" xfId="24815" xr:uid="{00000000-0005-0000-0000-00004E280000}"/>
    <cellStyle name="20 % - Markeringsfarve5 8 3" xfId="5097" xr:uid="{00000000-0005-0000-0000-00004F280000}"/>
    <cellStyle name="20 % - Markeringsfarve5 8 3 2" xfId="9358" xr:uid="{00000000-0005-0000-0000-000050280000}"/>
    <cellStyle name="20 % - Markeringsfarve5 8 3 2 2" xfId="17268" xr:uid="{00000000-0005-0000-0000-000051280000}"/>
    <cellStyle name="20 % - Markeringsfarve5 8 3 2 2 2" xfId="35428" xr:uid="{00000000-0005-0000-0000-000052280000}"/>
    <cellStyle name="20 % - Markeringsfarve5 8 3 2 3" xfId="28427" xr:uid="{00000000-0005-0000-0000-000053280000}"/>
    <cellStyle name="20 % - Markeringsfarve5 8 3 3" xfId="13651" xr:uid="{00000000-0005-0000-0000-000054280000}"/>
    <cellStyle name="20 % - Markeringsfarve5 8 3 3 2" xfId="31818" xr:uid="{00000000-0005-0000-0000-000055280000}"/>
    <cellStyle name="20 % - Markeringsfarve5 8 3 4" xfId="24816" xr:uid="{00000000-0005-0000-0000-000056280000}"/>
    <cellStyle name="20 % - Markeringsfarve5 8 4" xfId="7914" xr:uid="{00000000-0005-0000-0000-000057280000}"/>
    <cellStyle name="20 % - Markeringsfarve5 8 4 2" xfId="15832" xr:uid="{00000000-0005-0000-0000-000058280000}"/>
    <cellStyle name="20 % - Markeringsfarve5 8 4 2 2" xfId="33992" xr:uid="{00000000-0005-0000-0000-000059280000}"/>
    <cellStyle name="20 % - Markeringsfarve5 8 4 3" xfId="26991" xr:uid="{00000000-0005-0000-0000-00005A280000}"/>
    <cellStyle name="20 % - Markeringsfarve5 8 5" xfId="13649" xr:uid="{00000000-0005-0000-0000-00005B280000}"/>
    <cellStyle name="20 % - Markeringsfarve5 8 5 2" xfId="31816" xr:uid="{00000000-0005-0000-0000-00005C280000}"/>
    <cellStyle name="20 % - Markeringsfarve5 8 6" xfId="24814" xr:uid="{00000000-0005-0000-0000-00005D280000}"/>
    <cellStyle name="20 % - Markeringsfarve5 9" xfId="5098" xr:uid="{00000000-0005-0000-0000-00005E280000}"/>
    <cellStyle name="20 % - Markeringsfarve5 9 2" xfId="5099" xr:uid="{00000000-0005-0000-0000-00005F280000}"/>
    <cellStyle name="20 % - Markeringsfarve5 9 2 2" xfId="10199" xr:uid="{00000000-0005-0000-0000-000060280000}"/>
    <cellStyle name="20 % - Markeringsfarve5 9 2 2 2" xfId="18100" xr:uid="{00000000-0005-0000-0000-000061280000}"/>
    <cellStyle name="20 % - Markeringsfarve5 9 2 2 2 2" xfId="36260" xr:uid="{00000000-0005-0000-0000-000062280000}"/>
    <cellStyle name="20 % - Markeringsfarve5 9 2 2 3" xfId="29259" xr:uid="{00000000-0005-0000-0000-000063280000}"/>
    <cellStyle name="20 % - Markeringsfarve5 9 2 3" xfId="13653" xr:uid="{00000000-0005-0000-0000-000064280000}"/>
    <cellStyle name="20 % - Markeringsfarve5 9 2 3 2" xfId="31820" xr:uid="{00000000-0005-0000-0000-000065280000}"/>
    <cellStyle name="20 % - Markeringsfarve5 9 2 4" xfId="24818" xr:uid="{00000000-0005-0000-0000-000066280000}"/>
    <cellStyle name="20 % - Markeringsfarve5 9 3" xfId="5100" xr:uid="{00000000-0005-0000-0000-000067280000}"/>
    <cellStyle name="20 % - Markeringsfarve5 9 3 2" xfId="9475" xr:uid="{00000000-0005-0000-0000-000068280000}"/>
    <cellStyle name="20 % - Markeringsfarve5 9 3 2 2" xfId="17385" xr:uid="{00000000-0005-0000-0000-000069280000}"/>
    <cellStyle name="20 % - Markeringsfarve5 9 3 2 2 2" xfId="35545" xr:uid="{00000000-0005-0000-0000-00006A280000}"/>
    <cellStyle name="20 % - Markeringsfarve5 9 3 2 3" xfId="28544" xr:uid="{00000000-0005-0000-0000-00006B280000}"/>
    <cellStyle name="20 % - Markeringsfarve5 9 3 3" xfId="13654" xr:uid="{00000000-0005-0000-0000-00006C280000}"/>
    <cellStyle name="20 % - Markeringsfarve5 9 3 3 2" xfId="31821" xr:uid="{00000000-0005-0000-0000-00006D280000}"/>
    <cellStyle name="20 % - Markeringsfarve5 9 3 4" xfId="24819" xr:uid="{00000000-0005-0000-0000-00006E280000}"/>
    <cellStyle name="20 % - Markeringsfarve5 9 4" xfId="7915" xr:uid="{00000000-0005-0000-0000-00006F280000}"/>
    <cellStyle name="20 % - Markeringsfarve5 9 4 2" xfId="15833" xr:uid="{00000000-0005-0000-0000-000070280000}"/>
    <cellStyle name="20 % - Markeringsfarve5 9 4 2 2" xfId="33993" xr:uid="{00000000-0005-0000-0000-000071280000}"/>
    <cellStyle name="20 % - Markeringsfarve5 9 4 3" xfId="26992" xr:uid="{00000000-0005-0000-0000-000072280000}"/>
    <cellStyle name="20 % - Markeringsfarve5 9 5" xfId="13652" xr:uid="{00000000-0005-0000-0000-000073280000}"/>
    <cellStyle name="20 % - Markeringsfarve5 9 5 2" xfId="31819" xr:uid="{00000000-0005-0000-0000-000074280000}"/>
    <cellStyle name="20 % - Markeringsfarve5 9 6" xfId="24817" xr:uid="{00000000-0005-0000-0000-000075280000}"/>
    <cellStyle name="20 % - Markeringsfarve6 10" xfId="5102" xr:uid="{00000000-0005-0000-0000-000076280000}"/>
    <cellStyle name="20 % - Markeringsfarve6 10 2" xfId="5103" xr:uid="{00000000-0005-0000-0000-000077280000}"/>
    <cellStyle name="20 % - Markeringsfarve6 10 2 2" xfId="5104" xr:uid="{00000000-0005-0000-0000-000078280000}"/>
    <cellStyle name="20 % - Markeringsfarve6 10 2 2 2" xfId="10353" xr:uid="{00000000-0005-0000-0000-000079280000}"/>
    <cellStyle name="20 % - Markeringsfarve6 10 2 2 2 2" xfId="18254" xr:uid="{00000000-0005-0000-0000-00007A280000}"/>
    <cellStyle name="20 % - Markeringsfarve6 10 2 2 2 2 2" xfId="36414" xr:uid="{00000000-0005-0000-0000-00007B280000}"/>
    <cellStyle name="20 % - Markeringsfarve6 10 2 2 2 3" xfId="29413" xr:uid="{00000000-0005-0000-0000-00007C280000}"/>
    <cellStyle name="20 % - Markeringsfarve6 10 2 2 3" xfId="13658" xr:uid="{00000000-0005-0000-0000-00007D280000}"/>
    <cellStyle name="20 % - Markeringsfarve6 10 2 2 3 2" xfId="31825" xr:uid="{00000000-0005-0000-0000-00007E280000}"/>
    <cellStyle name="20 % - Markeringsfarve6 10 2 2 4" xfId="24823" xr:uid="{00000000-0005-0000-0000-00007F280000}"/>
    <cellStyle name="20 % - Markeringsfarve6 10 2 3" xfId="8855" xr:uid="{00000000-0005-0000-0000-000080280000}"/>
    <cellStyle name="20 % - Markeringsfarve6 10 2 3 2" xfId="16769" xr:uid="{00000000-0005-0000-0000-000081280000}"/>
    <cellStyle name="20 % - Markeringsfarve6 10 2 3 2 2" xfId="34929" xr:uid="{00000000-0005-0000-0000-000082280000}"/>
    <cellStyle name="20 % - Markeringsfarve6 10 2 3 3" xfId="27928" xr:uid="{00000000-0005-0000-0000-000083280000}"/>
    <cellStyle name="20 % - Markeringsfarve6 10 2 4" xfId="13657" xr:uid="{00000000-0005-0000-0000-000084280000}"/>
    <cellStyle name="20 % - Markeringsfarve6 10 2 4 2" xfId="31824" xr:uid="{00000000-0005-0000-0000-000085280000}"/>
    <cellStyle name="20 % - Markeringsfarve6 10 2 5" xfId="24822" xr:uid="{00000000-0005-0000-0000-000086280000}"/>
    <cellStyle name="20 % - Markeringsfarve6 10 3" xfId="5105" xr:uid="{00000000-0005-0000-0000-000087280000}"/>
    <cellStyle name="20 % - Markeringsfarve6 10 3 2" xfId="9630" xr:uid="{00000000-0005-0000-0000-000088280000}"/>
    <cellStyle name="20 % - Markeringsfarve6 10 3 2 2" xfId="17540" xr:uid="{00000000-0005-0000-0000-000089280000}"/>
    <cellStyle name="20 % - Markeringsfarve6 10 3 2 2 2" xfId="35700" xr:uid="{00000000-0005-0000-0000-00008A280000}"/>
    <cellStyle name="20 % - Markeringsfarve6 10 3 2 3" xfId="28699" xr:uid="{00000000-0005-0000-0000-00008B280000}"/>
    <cellStyle name="20 % - Markeringsfarve6 10 3 3" xfId="13659" xr:uid="{00000000-0005-0000-0000-00008C280000}"/>
    <cellStyle name="20 % - Markeringsfarve6 10 3 3 2" xfId="31826" xr:uid="{00000000-0005-0000-0000-00008D280000}"/>
    <cellStyle name="20 % - Markeringsfarve6 10 3 4" xfId="24824" xr:uid="{00000000-0005-0000-0000-00008E280000}"/>
    <cellStyle name="20 % - Markeringsfarve6 10 4" xfId="5106" xr:uid="{00000000-0005-0000-0000-00008F280000}"/>
    <cellStyle name="20 % - Markeringsfarve6 10 4 2" xfId="9325" xr:uid="{00000000-0005-0000-0000-000090280000}"/>
    <cellStyle name="20 % - Markeringsfarve6 10 4 2 2" xfId="17235" xr:uid="{00000000-0005-0000-0000-000091280000}"/>
    <cellStyle name="20 % - Markeringsfarve6 10 4 2 2 2" xfId="35395" xr:uid="{00000000-0005-0000-0000-000092280000}"/>
    <cellStyle name="20 % - Markeringsfarve6 10 4 2 3" xfId="28394" xr:uid="{00000000-0005-0000-0000-000093280000}"/>
    <cellStyle name="20 % - Markeringsfarve6 10 4 3" xfId="13660" xr:uid="{00000000-0005-0000-0000-000094280000}"/>
    <cellStyle name="20 % - Markeringsfarve6 10 4 3 2" xfId="31827" xr:uid="{00000000-0005-0000-0000-000095280000}"/>
    <cellStyle name="20 % - Markeringsfarve6 10 4 4" xfId="24825" xr:uid="{00000000-0005-0000-0000-000096280000}"/>
    <cellStyle name="20 % - Markeringsfarve6 10 5" xfId="7917" xr:uid="{00000000-0005-0000-0000-000097280000}"/>
    <cellStyle name="20 % - Markeringsfarve6 10 5 2" xfId="15835" xr:uid="{00000000-0005-0000-0000-000098280000}"/>
    <cellStyle name="20 % - Markeringsfarve6 10 5 2 2" xfId="33995" xr:uid="{00000000-0005-0000-0000-000099280000}"/>
    <cellStyle name="20 % - Markeringsfarve6 10 5 3" xfId="26994" xr:uid="{00000000-0005-0000-0000-00009A280000}"/>
    <cellStyle name="20 % - Markeringsfarve6 10 6" xfId="13656" xr:uid="{00000000-0005-0000-0000-00009B280000}"/>
    <cellStyle name="20 % - Markeringsfarve6 10 6 2" xfId="31823" xr:uid="{00000000-0005-0000-0000-00009C280000}"/>
    <cellStyle name="20 % - Markeringsfarve6 10 7" xfId="24821" xr:uid="{00000000-0005-0000-0000-00009D280000}"/>
    <cellStyle name="20 % - Markeringsfarve6 11" xfId="5107" xr:uid="{00000000-0005-0000-0000-00009E280000}"/>
    <cellStyle name="20 % - Markeringsfarve6 11 2" xfId="5108" xr:uid="{00000000-0005-0000-0000-00009F280000}"/>
    <cellStyle name="20 % - Markeringsfarve6 11 2 2" xfId="9726" xr:uid="{00000000-0005-0000-0000-0000A0280000}"/>
    <cellStyle name="20 % - Markeringsfarve6 11 2 2 2" xfId="17627" xr:uid="{00000000-0005-0000-0000-0000A1280000}"/>
    <cellStyle name="20 % - Markeringsfarve6 11 2 2 2 2" xfId="35787" xr:uid="{00000000-0005-0000-0000-0000A2280000}"/>
    <cellStyle name="20 % - Markeringsfarve6 11 2 2 3" xfId="28786" xr:uid="{00000000-0005-0000-0000-0000A3280000}"/>
    <cellStyle name="20 % - Markeringsfarve6 11 2 3" xfId="13662" xr:uid="{00000000-0005-0000-0000-0000A4280000}"/>
    <cellStyle name="20 % - Markeringsfarve6 11 2 3 2" xfId="31829" xr:uid="{00000000-0005-0000-0000-0000A5280000}"/>
    <cellStyle name="20 % - Markeringsfarve6 11 2 4" xfId="24827" xr:uid="{00000000-0005-0000-0000-0000A6280000}"/>
    <cellStyle name="20 % - Markeringsfarve6 11 3" xfId="5109" xr:uid="{00000000-0005-0000-0000-0000A7280000}"/>
    <cellStyle name="20 % - Markeringsfarve6 11 3 2" xfId="10934" xr:uid="{00000000-0005-0000-0000-0000A8280000}"/>
    <cellStyle name="20 % - Markeringsfarve6 11 3 2 2" xfId="18814" xr:uid="{00000000-0005-0000-0000-0000A9280000}"/>
    <cellStyle name="20 % - Markeringsfarve6 11 3 2 2 2" xfId="36974" xr:uid="{00000000-0005-0000-0000-0000AA280000}"/>
    <cellStyle name="20 % - Markeringsfarve6 11 3 2 3" xfId="29973" xr:uid="{00000000-0005-0000-0000-0000AB280000}"/>
    <cellStyle name="20 % - Markeringsfarve6 11 3 3" xfId="13663" xr:uid="{00000000-0005-0000-0000-0000AC280000}"/>
    <cellStyle name="20 % - Markeringsfarve6 11 3 3 2" xfId="31830" xr:uid="{00000000-0005-0000-0000-0000AD280000}"/>
    <cellStyle name="20 % - Markeringsfarve6 11 3 4" xfId="24828" xr:uid="{00000000-0005-0000-0000-0000AE280000}"/>
    <cellStyle name="20 % - Markeringsfarve6 11 4" xfId="7918" xr:uid="{00000000-0005-0000-0000-0000AF280000}"/>
    <cellStyle name="20 % - Markeringsfarve6 11 4 2" xfId="15836" xr:uid="{00000000-0005-0000-0000-0000B0280000}"/>
    <cellStyle name="20 % - Markeringsfarve6 11 4 2 2" xfId="33996" xr:uid="{00000000-0005-0000-0000-0000B1280000}"/>
    <cellStyle name="20 % - Markeringsfarve6 11 4 3" xfId="26995" xr:uid="{00000000-0005-0000-0000-0000B2280000}"/>
    <cellStyle name="20 % - Markeringsfarve6 11 5" xfId="13661" xr:uid="{00000000-0005-0000-0000-0000B3280000}"/>
    <cellStyle name="20 % - Markeringsfarve6 11 5 2" xfId="31828" xr:uid="{00000000-0005-0000-0000-0000B4280000}"/>
    <cellStyle name="20 % - Markeringsfarve6 11 6" xfId="24826" xr:uid="{00000000-0005-0000-0000-0000B5280000}"/>
    <cellStyle name="20 % - Markeringsfarve6 12" xfId="5110" xr:uid="{00000000-0005-0000-0000-0000B6280000}"/>
    <cellStyle name="20 % - Markeringsfarve6 12 2" xfId="5111" xr:uid="{00000000-0005-0000-0000-0000B7280000}"/>
    <cellStyle name="20 % - Markeringsfarve6 12 2 2" xfId="10659" xr:uid="{00000000-0005-0000-0000-0000B8280000}"/>
    <cellStyle name="20 % - Markeringsfarve6 12 2 2 2" xfId="18551" xr:uid="{00000000-0005-0000-0000-0000B9280000}"/>
    <cellStyle name="20 % - Markeringsfarve6 12 2 2 2 2" xfId="36711" xr:uid="{00000000-0005-0000-0000-0000BA280000}"/>
    <cellStyle name="20 % - Markeringsfarve6 12 2 2 3" xfId="29710" xr:uid="{00000000-0005-0000-0000-0000BB280000}"/>
    <cellStyle name="20 % - Markeringsfarve6 12 2 3" xfId="13665" xr:uid="{00000000-0005-0000-0000-0000BC280000}"/>
    <cellStyle name="20 % - Markeringsfarve6 12 2 3 2" xfId="31832" xr:uid="{00000000-0005-0000-0000-0000BD280000}"/>
    <cellStyle name="20 % - Markeringsfarve6 12 2 4" xfId="24830" xr:uid="{00000000-0005-0000-0000-0000BE280000}"/>
    <cellStyle name="20 % - Markeringsfarve6 12 3" xfId="7919" xr:uid="{00000000-0005-0000-0000-0000BF280000}"/>
    <cellStyle name="20 % - Markeringsfarve6 12 3 2" xfId="15837" xr:uid="{00000000-0005-0000-0000-0000C0280000}"/>
    <cellStyle name="20 % - Markeringsfarve6 12 3 2 2" xfId="33997" xr:uid="{00000000-0005-0000-0000-0000C1280000}"/>
    <cellStyle name="20 % - Markeringsfarve6 12 3 3" xfId="26996" xr:uid="{00000000-0005-0000-0000-0000C2280000}"/>
    <cellStyle name="20 % - Markeringsfarve6 12 4" xfId="13664" xr:uid="{00000000-0005-0000-0000-0000C3280000}"/>
    <cellStyle name="20 % - Markeringsfarve6 12 4 2" xfId="31831" xr:uid="{00000000-0005-0000-0000-0000C4280000}"/>
    <cellStyle name="20 % - Markeringsfarve6 12 5" xfId="24829" xr:uid="{00000000-0005-0000-0000-0000C5280000}"/>
    <cellStyle name="20 % - Markeringsfarve6 13" xfId="5112" xr:uid="{00000000-0005-0000-0000-0000C6280000}"/>
    <cellStyle name="20 % - Markeringsfarve6 13 2" xfId="5113" xr:uid="{00000000-0005-0000-0000-0000C7280000}"/>
    <cellStyle name="20 % - Markeringsfarve6 13 2 2" xfId="10895" xr:uid="{00000000-0005-0000-0000-0000C8280000}"/>
    <cellStyle name="20 % - Markeringsfarve6 13 2 2 2" xfId="18777" xr:uid="{00000000-0005-0000-0000-0000C9280000}"/>
    <cellStyle name="20 % - Markeringsfarve6 13 2 2 2 2" xfId="36937" xr:uid="{00000000-0005-0000-0000-0000CA280000}"/>
    <cellStyle name="20 % - Markeringsfarve6 13 2 2 3" xfId="29936" xr:uid="{00000000-0005-0000-0000-0000CB280000}"/>
    <cellStyle name="20 % - Markeringsfarve6 13 2 3" xfId="13667" xr:uid="{00000000-0005-0000-0000-0000CC280000}"/>
    <cellStyle name="20 % - Markeringsfarve6 13 2 3 2" xfId="31834" xr:uid="{00000000-0005-0000-0000-0000CD280000}"/>
    <cellStyle name="20 % - Markeringsfarve6 13 2 4" xfId="24832" xr:uid="{00000000-0005-0000-0000-0000CE280000}"/>
    <cellStyle name="20 % - Markeringsfarve6 13 3" xfId="7920" xr:uid="{00000000-0005-0000-0000-0000CF280000}"/>
    <cellStyle name="20 % - Markeringsfarve6 13 3 2" xfId="15838" xr:uid="{00000000-0005-0000-0000-0000D0280000}"/>
    <cellStyle name="20 % - Markeringsfarve6 13 3 2 2" xfId="33998" xr:uid="{00000000-0005-0000-0000-0000D1280000}"/>
    <cellStyle name="20 % - Markeringsfarve6 13 3 3" xfId="26997" xr:uid="{00000000-0005-0000-0000-0000D2280000}"/>
    <cellStyle name="20 % - Markeringsfarve6 13 4" xfId="13666" xr:uid="{00000000-0005-0000-0000-0000D3280000}"/>
    <cellStyle name="20 % - Markeringsfarve6 13 4 2" xfId="31833" xr:uid="{00000000-0005-0000-0000-0000D4280000}"/>
    <cellStyle name="20 % - Markeringsfarve6 13 5" xfId="24831" xr:uid="{00000000-0005-0000-0000-0000D5280000}"/>
    <cellStyle name="20 % - Markeringsfarve6 14" xfId="5114" xr:uid="{00000000-0005-0000-0000-0000D6280000}"/>
    <cellStyle name="20 % - Markeringsfarve6 14 2" xfId="5115" xr:uid="{00000000-0005-0000-0000-0000D7280000}"/>
    <cellStyle name="20 % - Markeringsfarve6 14 2 2" xfId="10466" xr:uid="{00000000-0005-0000-0000-0000D8280000}"/>
    <cellStyle name="20 % - Markeringsfarve6 14 2 2 2" xfId="18363" xr:uid="{00000000-0005-0000-0000-0000D9280000}"/>
    <cellStyle name="20 % - Markeringsfarve6 14 2 2 2 2" xfId="36523" xr:uid="{00000000-0005-0000-0000-0000DA280000}"/>
    <cellStyle name="20 % - Markeringsfarve6 14 2 2 3" xfId="29522" xr:uid="{00000000-0005-0000-0000-0000DB280000}"/>
    <cellStyle name="20 % - Markeringsfarve6 14 2 3" xfId="13669" xr:uid="{00000000-0005-0000-0000-0000DC280000}"/>
    <cellStyle name="20 % - Markeringsfarve6 14 2 3 2" xfId="31836" xr:uid="{00000000-0005-0000-0000-0000DD280000}"/>
    <cellStyle name="20 % - Markeringsfarve6 14 2 4" xfId="24834" xr:uid="{00000000-0005-0000-0000-0000DE280000}"/>
    <cellStyle name="20 % - Markeringsfarve6 14 3" xfId="7916" xr:uid="{00000000-0005-0000-0000-0000DF280000}"/>
    <cellStyle name="20 % - Markeringsfarve6 14 3 2" xfId="15834" xr:uid="{00000000-0005-0000-0000-0000E0280000}"/>
    <cellStyle name="20 % - Markeringsfarve6 14 3 2 2" xfId="33994" xr:uid="{00000000-0005-0000-0000-0000E1280000}"/>
    <cellStyle name="20 % - Markeringsfarve6 14 3 3" xfId="26993" xr:uid="{00000000-0005-0000-0000-0000E2280000}"/>
    <cellStyle name="20 % - Markeringsfarve6 14 4" xfId="13668" xr:uid="{00000000-0005-0000-0000-0000E3280000}"/>
    <cellStyle name="20 % - Markeringsfarve6 14 4 2" xfId="31835" xr:uid="{00000000-0005-0000-0000-0000E4280000}"/>
    <cellStyle name="20 % - Markeringsfarve6 14 5" xfId="24833" xr:uid="{00000000-0005-0000-0000-0000E5280000}"/>
    <cellStyle name="20 % - Markeringsfarve6 15" xfId="5116" xr:uid="{00000000-0005-0000-0000-0000E6280000}"/>
    <cellStyle name="20 % - Markeringsfarve6 15 2" xfId="8951" xr:uid="{00000000-0005-0000-0000-0000E7280000}"/>
    <cellStyle name="20 % - Markeringsfarve6 15 2 2" xfId="16864" xr:uid="{00000000-0005-0000-0000-0000E8280000}"/>
    <cellStyle name="20 % - Markeringsfarve6 15 2 2 2" xfId="35024" xr:uid="{00000000-0005-0000-0000-0000E9280000}"/>
    <cellStyle name="20 % - Markeringsfarve6 15 2 3" xfId="28023" xr:uid="{00000000-0005-0000-0000-0000EA280000}"/>
    <cellStyle name="20 % - Markeringsfarve6 15 3" xfId="13670" xr:uid="{00000000-0005-0000-0000-0000EB280000}"/>
    <cellStyle name="20 % - Markeringsfarve6 15 3 2" xfId="31837" xr:uid="{00000000-0005-0000-0000-0000EC280000}"/>
    <cellStyle name="20 % - Markeringsfarve6 15 4" xfId="24835" xr:uid="{00000000-0005-0000-0000-0000ED280000}"/>
    <cellStyle name="20 % - Markeringsfarve6 16" xfId="5117" xr:uid="{00000000-0005-0000-0000-0000EE280000}"/>
    <cellStyle name="20 % - Markeringsfarve6 16 2" xfId="10948" xr:uid="{00000000-0005-0000-0000-0000EF280000}"/>
    <cellStyle name="20 % - Markeringsfarve6 16 2 2" xfId="18828" xr:uid="{00000000-0005-0000-0000-0000F0280000}"/>
    <cellStyle name="20 % - Markeringsfarve6 16 2 2 2" xfId="36988" xr:uid="{00000000-0005-0000-0000-0000F1280000}"/>
    <cellStyle name="20 % - Markeringsfarve6 16 2 3" xfId="29987" xr:uid="{00000000-0005-0000-0000-0000F2280000}"/>
    <cellStyle name="20 % - Markeringsfarve6 16 3" xfId="13671" xr:uid="{00000000-0005-0000-0000-0000F3280000}"/>
    <cellStyle name="20 % - Markeringsfarve6 16 3 2" xfId="31838" xr:uid="{00000000-0005-0000-0000-0000F4280000}"/>
    <cellStyle name="20 % - Markeringsfarve6 16 4" xfId="24836" xr:uid="{00000000-0005-0000-0000-0000F5280000}"/>
    <cellStyle name="20 % - Markeringsfarve6 17" xfId="5118" xr:uid="{00000000-0005-0000-0000-0000F6280000}"/>
    <cellStyle name="20 % - Markeringsfarve6 17 2" xfId="9323" xr:uid="{00000000-0005-0000-0000-0000F7280000}"/>
    <cellStyle name="20 % - Markeringsfarve6 17 2 2" xfId="17233" xr:uid="{00000000-0005-0000-0000-0000F8280000}"/>
    <cellStyle name="20 % - Markeringsfarve6 17 2 2 2" xfId="35393" xr:uid="{00000000-0005-0000-0000-0000F9280000}"/>
    <cellStyle name="20 % - Markeringsfarve6 17 2 3" xfId="28392" xr:uid="{00000000-0005-0000-0000-0000FA280000}"/>
    <cellStyle name="20 % - Markeringsfarve6 17 3" xfId="13672" xr:uid="{00000000-0005-0000-0000-0000FB280000}"/>
    <cellStyle name="20 % - Markeringsfarve6 17 3 2" xfId="31839" xr:uid="{00000000-0005-0000-0000-0000FC280000}"/>
    <cellStyle name="20 % - Markeringsfarve6 17 4" xfId="24837" xr:uid="{00000000-0005-0000-0000-0000FD280000}"/>
    <cellStyle name="20 % - Markeringsfarve6 18" xfId="7631" xr:uid="{00000000-0005-0000-0000-0000FE280000}"/>
    <cellStyle name="20 % - Markeringsfarve6 18 2" xfId="15550" xr:uid="{00000000-0005-0000-0000-0000FF280000}"/>
    <cellStyle name="20 % - Markeringsfarve6 18 2 2" xfId="33710" xr:uid="{00000000-0005-0000-0000-000000290000}"/>
    <cellStyle name="20 % - Markeringsfarve6 18 3" xfId="26709" xr:uid="{00000000-0005-0000-0000-000001290000}"/>
    <cellStyle name="20 % - Markeringsfarve6 19" xfId="5101" xr:uid="{00000000-0005-0000-0000-000002290000}"/>
    <cellStyle name="20 % - Markeringsfarve6 19 2" xfId="13655" xr:uid="{00000000-0005-0000-0000-000003290000}"/>
    <cellStyle name="20 % - Markeringsfarve6 19 2 2" xfId="31822" xr:uid="{00000000-0005-0000-0000-000004290000}"/>
    <cellStyle name="20 % - Markeringsfarve6 19 3" xfId="24820" xr:uid="{00000000-0005-0000-0000-000005290000}"/>
    <cellStyle name="20 % - Markeringsfarve6 2" xfId="1846" xr:uid="{00000000-0005-0000-0000-000006290000}"/>
    <cellStyle name="20 % - Markeringsfarve6 2 10" xfId="5120" xr:uid="{00000000-0005-0000-0000-000007290000}"/>
    <cellStyle name="20 % - Markeringsfarve6 2 10 2" xfId="8980" xr:uid="{00000000-0005-0000-0000-000008290000}"/>
    <cellStyle name="20 % - Markeringsfarve6 2 10 2 2" xfId="16891" xr:uid="{00000000-0005-0000-0000-000009290000}"/>
    <cellStyle name="20 % - Markeringsfarve6 2 10 2 2 2" xfId="35051" xr:uid="{00000000-0005-0000-0000-00000A290000}"/>
    <cellStyle name="20 % - Markeringsfarve6 2 10 2 3" xfId="28050" xr:uid="{00000000-0005-0000-0000-00000B290000}"/>
    <cellStyle name="20 % - Markeringsfarve6 2 10 3" xfId="13674" xr:uid="{00000000-0005-0000-0000-00000C290000}"/>
    <cellStyle name="20 % - Markeringsfarve6 2 10 3 2" xfId="31841" xr:uid="{00000000-0005-0000-0000-00000D290000}"/>
    <cellStyle name="20 % - Markeringsfarve6 2 10 4" xfId="24839" xr:uid="{00000000-0005-0000-0000-00000E290000}"/>
    <cellStyle name="20 % - Markeringsfarve6 2 11" xfId="5121" xr:uid="{00000000-0005-0000-0000-00000F290000}"/>
    <cellStyle name="20 % - Markeringsfarve6 2 11 2" xfId="10617" xr:uid="{00000000-0005-0000-0000-000010290000}"/>
    <cellStyle name="20 % - Markeringsfarve6 2 11 2 2" xfId="18510" xr:uid="{00000000-0005-0000-0000-000011290000}"/>
    <cellStyle name="20 % - Markeringsfarve6 2 11 2 2 2" xfId="36670" xr:uid="{00000000-0005-0000-0000-000012290000}"/>
    <cellStyle name="20 % - Markeringsfarve6 2 11 2 3" xfId="29669" xr:uid="{00000000-0005-0000-0000-000013290000}"/>
    <cellStyle name="20 % - Markeringsfarve6 2 11 3" xfId="13675" xr:uid="{00000000-0005-0000-0000-000014290000}"/>
    <cellStyle name="20 % - Markeringsfarve6 2 11 3 2" xfId="31842" xr:uid="{00000000-0005-0000-0000-000015290000}"/>
    <cellStyle name="20 % - Markeringsfarve6 2 11 4" xfId="24840" xr:uid="{00000000-0005-0000-0000-000016290000}"/>
    <cellStyle name="20 % - Markeringsfarve6 2 12" xfId="7921" xr:uid="{00000000-0005-0000-0000-000017290000}"/>
    <cellStyle name="20 % - Markeringsfarve6 2 12 2" xfId="15839" xr:uid="{00000000-0005-0000-0000-000018290000}"/>
    <cellStyle name="20 % - Markeringsfarve6 2 12 2 2" xfId="33999" xr:uid="{00000000-0005-0000-0000-000019290000}"/>
    <cellStyle name="20 % - Markeringsfarve6 2 12 3" xfId="26998" xr:uid="{00000000-0005-0000-0000-00001A290000}"/>
    <cellStyle name="20 % - Markeringsfarve6 2 13" xfId="13673" xr:uid="{00000000-0005-0000-0000-00001B290000}"/>
    <cellStyle name="20 % - Markeringsfarve6 2 13 2" xfId="31840" xr:uid="{00000000-0005-0000-0000-00001C290000}"/>
    <cellStyle name="20 % - Markeringsfarve6 2 14" xfId="5119" xr:uid="{00000000-0005-0000-0000-00001D290000}"/>
    <cellStyle name="20 % - Markeringsfarve6 2 14 2" xfId="24838" xr:uid="{00000000-0005-0000-0000-00001E290000}"/>
    <cellStyle name="20 % - Markeringsfarve6 2 15" xfId="21970" xr:uid="{00000000-0005-0000-0000-00001F290000}"/>
    <cellStyle name="20 % - Markeringsfarve6 2 2" xfId="1847" xr:uid="{00000000-0005-0000-0000-000020290000}"/>
    <cellStyle name="20 % - Markeringsfarve6 2 2 10" xfId="7922" xr:uid="{00000000-0005-0000-0000-000021290000}"/>
    <cellStyle name="20 % - Markeringsfarve6 2 2 10 2" xfId="15840" xr:uid="{00000000-0005-0000-0000-000022290000}"/>
    <cellStyle name="20 % - Markeringsfarve6 2 2 10 2 2" xfId="34000" xr:uid="{00000000-0005-0000-0000-000023290000}"/>
    <cellStyle name="20 % - Markeringsfarve6 2 2 10 3" xfId="26999" xr:uid="{00000000-0005-0000-0000-000024290000}"/>
    <cellStyle name="20 % - Markeringsfarve6 2 2 11" xfId="13676" xr:uid="{00000000-0005-0000-0000-000025290000}"/>
    <cellStyle name="20 % - Markeringsfarve6 2 2 11 2" xfId="31843" xr:uid="{00000000-0005-0000-0000-000026290000}"/>
    <cellStyle name="20 % - Markeringsfarve6 2 2 12" xfId="5122" xr:uid="{00000000-0005-0000-0000-000027290000}"/>
    <cellStyle name="20 % - Markeringsfarve6 2 2 12 2" xfId="24841" xr:uid="{00000000-0005-0000-0000-000028290000}"/>
    <cellStyle name="20 % - Markeringsfarve6 2 2 13" xfId="21971" xr:uid="{00000000-0005-0000-0000-000029290000}"/>
    <cellStyle name="20 % - Markeringsfarve6 2 2 2" xfId="1848" xr:uid="{00000000-0005-0000-0000-00002A290000}"/>
    <cellStyle name="20 % - Markeringsfarve6 2 2 2 2" xfId="5124" xr:uid="{00000000-0005-0000-0000-00002B290000}"/>
    <cellStyle name="20 % - Markeringsfarve6 2 2 2 2 2" xfId="5125" xr:uid="{00000000-0005-0000-0000-00002C290000}"/>
    <cellStyle name="20 % - Markeringsfarve6 2 2 2 2 2 2" xfId="9911" xr:uid="{00000000-0005-0000-0000-00002D290000}"/>
    <cellStyle name="20 % - Markeringsfarve6 2 2 2 2 2 2 2" xfId="17812" xr:uid="{00000000-0005-0000-0000-00002E290000}"/>
    <cellStyle name="20 % - Markeringsfarve6 2 2 2 2 2 2 2 2" xfId="35972" xr:uid="{00000000-0005-0000-0000-00002F290000}"/>
    <cellStyle name="20 % - Markeringsfarve6 2 2 2 2 2 2 3" xfId="28971" xr:uid="{00000000-0005-0000-0000-000030290000}"/>
    <cellStyle name="20 % - Markeringsfarve6 2 2 2 2 2 3" xfId="13679" xr:uid="{00000000-0005-0000-0000-000031290000}"/>
    <cellStyle name="20 % - Markeringsfarve6 2 2 2 2 2 3 2" xfId="31846" xr:uid="{00000000-0005-0000-0000-000032290000}"/>
    <cellStyle name="20 % - Markeringsfarve6 2 2 2 2 2 4" xfId="24844" xr:uid="{00000000-0005-0000-0000-000033290000}"/>
    <cellStyle name="20 % - Markeringsfarve6 2 2 2 2 3" xfId="8482" xr:uid="{00000000-0005-0000-0000-000034290000}"/>
    <cellStyle name="20 % - Markeringsfarve6 2 2 2 2 3 2" xfId="16399" xr:uid="{00000000-0005-0000-0000-000035290000}"/>
    <cellStyle name="20 % - Markeringsfarve6 2 2 2 2 3 2 2" xfId="34559" xr:uid="{00000000-0005-0000-0000-000036290000}"/>
    <cellStyle name="20 % - Markeringsfarve6 2 2 2 2 3 3" xfId="27558" xr:uid="{00000000-0005-0000-0000-000037290000}"/>
    <cellStyle name="20 % - Markeringsfarve6 2 2 2 2 4" xfId="13678" xr:uid="{00000000-0005-0000-0000-000038290000}"/>
    <cellStyle name="20 % - Markeringsfarve6 2 2 2 2 4 2" xfId="31845" xr:uid="{00000000-0005-0000-0000-000039290000}"/>
    <cellStyle name="20 % - Markeringsfarve6 2 2 2 2 5" xfId="24843" xr:uid="{00000000-0005-0000-0000-00003A290000}"/>
    <cellStyle name="20 % - Markeringsfarve6 2 2 2 3" xfId="5126" xr:uid="{00000000-0005-0000-0000-00003B290000}"/>
    <cellStyle name="20 % - Markeringsfarve6 2 2 2 3 2" xfId="9141" xr:uid="{00000000-0005-0000-0000-00003C290000}"/>
    <cellStyle name="20 % - Markeringsfarve6 2 2 2 3 2 2" xfId="17052" xr:uid="{00000000-0005-0000-0000-00003D290000}"/>
    <cellStyle name="20 % - Markeringsfarve6 2 2 2 3 2 2 2" xfId="35212" xr:uid="{00000000-0005-0000-0000-00003E290000}"/>
    <cellStyle name="20 % - Markeringsfarve6 2 2 2 3 2 3" xfId="28211" xr:uid="{00000000-0005-0000-0000-00003F290000}"/>
    <cellStyle name="20 % - Markeringsfarve6 2 2 2 3 3" xfId="13680" xr:uid="{00000000-0005-0000-0000-000040290000}"/>
    <cellStyle name="20 % - Markeringsfarve6 2 2 2 3 3 2" xfId="31847" xr:uid="{00000000-0005-0000-0000-000041290000}"/>
    <cellStyle name="20 % - Markeringsfarve6 2 2 2 3 4" xfId="24845" xr:uid="{00000000-0005-0000-0000-000042290000}"/>
    <cellStyle name="20 % - Markeringsfarve6 2 2 2 4" xfId="5127" xr:uid="{00000000-0005-0000-0000-000043290000}"/>
    <cellStyle name="20 % - Markeringsfarve6 2 2 2 4 2" xfId="10519" xr:uid="{00000000-0005-0000-0000-000044290000}"/>
    <cellStyle name="20 % - Markeringsfarve6 2 2 2 4 2 2" xfId="18413" xr:uid="{00000000-0005-0000-0000-000045290000}"/>
    <cellStyle name="20 % - Markeringsfarve6 2 2 2 4 2 2 2" xfId="36573" xr:uid="{00000000-0005-0000-0000-000046290000}"/>
    <cellStyle name="20 % - Markeringsfarve6 2 2 2 4 2 3" xfId="29572" xr:uid="{00000000-0005-0000-0000-000047290000}"/>
    <cellStyle name="20 % - Markeringsfarve6 2 2 2 4 3" xfId="13681" xr:uid="{00000000-0005-0000-0000-000048290000}"/>
    <cellStyle name="20 % - Markeringsfarve6 2 2 2 4 3 2" xfId="31848" xr:uid="{00000000-0005-0000-0000-000049290000}"/>
    <cellStyle name="20 % - Markeringsfarve6 2 2 2 4 4" xfId="24846" xr:uid="{00000000-0005-0000-0000-00004A290000}"/>
    <cellStyle name="20 % - Markeringsfarve6 2 2 2 5" xfId="7923" xr:uid="{00000000-0005-0000-0000-00004B290000}"/>
    <cellStyle name="20 % - Markeringsfarve6 2 2 2 5 2" xfId="15841" xr:uid="{00000000-0005-0000-0000-00004C290000}"/>
    <cellStyle name="20 % - Markeringsfarve6 2 2 2 5 2 2" xfId="34001" xr:uid="{00000000-0005-0000-0000-00004D290000}"/>
    <cellStyle name="20 % - Markeringsfarve6 2 2 2 5 3" xfId="27000" xr:uid="{00000000-0005-0000-0000-00004E290000}"/>
    <cellStyle name="20 % - Markeringsfarve6 2 2 2 6" xfId="13677" xr:uid="{00000000-0005-0000-0000-00004F290000}"/>
    <cellStyle name="20 % - Markeringsfarve6 2 2 2 6 2" xfId="31844" xr:uid="{00000000-0005-0000-0000-000050290000}"/>
    <cellStyle name="20 % - Markeringsfarve6 2 2 2 7" xfId="5123" xr:uid="{00000000-0005-0000-0000-000051290000}"/>
    <cellStyle name="20 % - Markeringsfarve6 2 2 2 7 2" xfId="24842" xr:uid="{00000000-0005-0000-0000-000052290000}"/>
    <cellStyle name="20 % - Markeringsfarve6 2 2 2 8" xfId="21972" xr:uid="{00000000-0005-0000-0000-000053290000}"/>
    <cellStyle name="20 % - Markeringsfarve6 2 2 3" xfId="5128" xr:uid="{00000000-0005-0000-0000-000054290000}"/>
    <cellStyle name="20 % - Markeringsfarve6 2 2 3 2" xfId="5129" xr:uid="{00000000-0005-0000-0000-000055290000}"/>
    <cellStyle name="20 % - Markeringsfarve6 2 2 3 2 2" xfId="5130" xr:uid="{00000000-0005-0000-0000-000056290000}"/>
    <cellStyle name="20 % - Markeringsfarve6 2 2 3 2 2 2" xfId="10001" xr:uid="{00000000-0005-0000-0000-000057290000}"/>
    <cellStyle name="20 % - Markeringsfarve6 2 2 3 2 2 2 2" xfId="17902" xr:uid="{00000000-0005-0000-0000-000058290000}"/>
    <cellStyle name="20 % - Markeringsfarve6 2 2 3 2 2 2 2 2" xfId="36062" xr:uid="{00000000-0005-0000-0000-000059290000}"/>
    <cellStyle name="20 % - Markeringsfarve6 2 2 3 2 2 2 3" xfId="29061" xr:uid="{00000000-0005-0000-0000-00005A290000}"/>
    <cellStyle name="20 % - Markeringsfarve6 2 2 3 2 2 3" xfId="13684" xr:uid="{00000000-0005-0000-0000-00005B290000}"/>
    <cellStyle name="20 % - Markeringsfarve6 2 2 3 2 2 3 2" xfId="31851" xr:uid="{00000000-0005-0000-0000-00005C290000}"/>
    <cellStyle name="20 % - Markeringsfarve6 2 2 3 2 2 4" xfId="24849" xr:uid="{00000000-0005-0000-0000-00005D290000}"/>
    <cellStyle name="20 % - Markeringsfarve6 2 2 3 2 3" xfId="8556" xr:uid="{00000000-0005-0000-0000-00005E290000}"/>
    <cellStyle name="20 % - Markeringsfarve6 2 2 3 2 3 2" xfId="16473" xr:uid="{00000000-0005-0000-0000-00005F290000}"/>
    <cellStyle name="20 % - Markeringsfarve6 2 2 3 2 3 2 2" xfId="34633" xr:uid="{00000000-0005-0000-0000-000060290000}"/>
    <cellStyle name="20 % - Markeringsfarve6 2 2 3 2 3 3" xfId="27632" xr:uid="{00000000-0005-0000-0000-000061290000}"/>
    <cellStyle name="20 % - Markeringsfarve6 2 2 3 2 4" xfId="13683" xr:uid="{00000000-0005-0000-0000-000062290000}"/>
    <cellStyle name="20 % - Markeringsfarve6 2 2 3 2 4 2" xfId="31850" xr:uid="{00000000-0005-0000-0000-000063290000}"/>
    <cellStyle name="20 % - Markeringsfarve6 2 2 3 2 5" xfId="24848" xr:uid="{00000000-0005-0000-0000-000064290000}"/>
    <cellStyle name="20 % - Markeringsfarve6 2 2 3 3" xfId="5131" xr:uid="{00000000-0005-0000-0000-000065290000}"/>
    <cellStyle name="20 % - Markeringsfarve6 2 2 3 3 2" xfId="9231" xr:uid="{00000000-0005-0000-0000-000066290000}"/>
    <cellStyle name="20 % - Markeringsfarve6 2 2 3 3 2 2" xfId="17142" xr:uid="{00000000-0005-0000-0000-000067290000}"/>
    <cellStyle name="20 % - Markeringsfarve6 2 2 3 3 2 2 2" xfId="35302" xr:uid="{00000000-0005-0000-0000-000068290000}"/>
    <cellStyle name="20 % - Markeringsfarve6 2 2 3 3 2 3" xfId="28301" xr:uid="{00000000-0005-0000-0000-000069290000}"/>
    <cellStyle name="20 % - Markeringsfarve6 2 2 3 3 3" xfId="13685" xr:uid="{00000000-0005-0000-0000-00006A290000}"/>
    <cellStyle name="20 % - Markeringsfarve6 2 2 3 3 3 2" xfId="31852" xr:uid="{00000000-0005-0000-0000-00006B290000}"/>
    <cellStyle name="20 % - Markeringsfarve6 2 2 3 3 4" xfId="24850" xr:uid="{00000000-0005-0000-0000-00006C290000}"/>
    <cellStyle name="20 % - Markeringsfarve6 2 2 3 4" xfId="5132" xr:uid="{00000000-0005-0000-0000-00006D290000}"/>
    <cellStyle name="20 % - Markeringsfarve6 2 2 3 4 2" xfId="10803" xr:uid="{00000000-0005-0000-0000-00006E290000}"/>
    <cellStyle name="20 % - Markeringsfarve6 2 2 3 4 2 2" xfId="18690" xr:uid="{00000000-0005-0000-0000-00006F290000}"/>
    <cellStyle name="20 % - Markeringsfarve6 2 2 3 4 2 2 2" xfId="36850" xr:uid="{00000000-0005-0000-0000-000070290000}"/>
    <cellStyle name="20 % - Markeringsfarve6 2 2 3 4 2 3" xfId="29849" xr:uid="{00000000-0005-0000-0000-000071290000}"/>
    <cellStyle name="20 % - Markeringsfarve6 2 2 3 4 3" xfId="13686" xr:uid="{00000000-0005-0000-0000-000072290000}"/>
    <cellStyle name="20 % - Markeringsfarve6 2 2 3 4 3 2" xfId="31853" xr:uid="{00000000-0005-0000-0000-000073290000}"/>
    <cellStyle name="20 % - Markeringsfarve6 2 2 3 4 4" xfId="24851" xr:uid="{00000000-0005-0000-0000-000074290000}"/>
    <cellStyle name="20 % - Markeringsfarve6 2 2 3 5" xfId="7924" xr:uid="{00000000-0005-0000-0000-000075290000}"/>
    <cellStyle name="20 % - Markeringsfarve6 2 2 3 5 2" xfId="15842" xr:uid="{00000000-0005-0000-0000-000076290000}"/>
    <cellStyle name="20 % - Markeringsfarve6 2 2 3 5 2 2" xfId="34002" xr:uid="{00000000-0005-0000-0000-000077290000}"/>
    <cellStyle name="20 % - Markeringsfarve6 2 2 3 5 3" xfId="27001" xr:uid="{00000000-0005-0000-0000-000078290000}"/>
    <cellStyle name="20 % - Markeringsfarve6 2 2 3 6" xfId="13682" xr:uid="{00000000-0005-0000-0000-000079290000}"/>
    <cellStyle name="20 % - Markeringsfarve6 2 2 3 6 2" xfId="31849" xr:uid="{00000000-0005-0000-0000-00007A290000}"/>
    <cellStyle name="20 % - Markeringsfarve6 2 2 3 7" xfId="24847" xr:uid="{00000000-0005-0000-0000-00007B290000}"/>
    <cellStyle name="20 % - Markeringsfarve6 2 2 4" xfId="5133" xr:uid="{00000000-0005-0000-0000-00007C290000}"/>
    <cellStyle name="20 % - Markeringsfarve6 2 2 4 2" xfId="5134" xr:uid="{00000000-0005-0000-0000-00007D290000}"/>
    <cellStyle name="20 % - Markeringsfarve6 2 2 4 2 2" xfId="5135" xr:uid="{00000000-0005-0000-0000-00007E290000}"/>
    <cellStyle name="20 % - Markeringsfarve6 2 2 4 2 2 2" xfId="10149" xr:uid="{00000000-0005-0000-0000-00007F290000}"/>
    <cellStyle name="20 % - Markeringsfarve6 2 2 4 2 2 2 2" xfId="18050" xr:uid="{00000000-0005-0000-0000-000080290000}"/>
    <cellStyle name="20 % - Markeringsfarve6 2 2 4 2 2 2 2 2" xfId="36210" xr:uid="{00000000-0005-0000-0000-000081290000}"/>
    <cellStyle name="20 % - Markeringsfarve6 2 2 4 2 2 2 3" xfId="29209" xr:uid="{00000000-0005-0000-0000-000082290000}"/>
    <cellStyle name="20 % - Markeringsfarve6 2 2 4 2 2 3" xfId="13689" xr:uid="{00000000-0005-0000-0000-000083290000}"/>
    <cellStyle name="20 % - Markeringsfarve6 2 2 4 2 2 3 2" xfId="31856" xr:uid="{00000000-0005-0000-0000-000084290000}"/>
    <cellStyle name="20 % - Markeringsfarve6 2 2 4 2 2 4" xfId="24854" xr:uid="{00000000-0005-0000-0000-000085290000}"/>
    <cellStyle name="20 % - Markeringsfarve6 2 2 4 2 3" xfId="8684" xr:uid="{00000000-0005-0000-0000-000086290000}"/>
    <cellStyle name="20 % - Markeringsfarve6 2 2 4 2 3 2" xfId="16598" xr:uid="{00000000-0005-0000-0000-000087290000}"/>
    <cellStyle name="20 % - Markeringsfarve6 2 2 4 2 3 2 2" xfId="34758" xr:uid="{00000000-0005-0000-0000-000088290000}"/>
    <cellStyle name="20 % - Markeringsfarve6 2 2 4 2 3 3" xfId="27757" xr:uid="{00000000-0005-0000-0000-000089290000}"/>
    <cellStyle name="20 % - Markeringsfarve6 2 2 4 2 4" xfId="13688" xr:uid="{00000000-0005-0000-0000-00008A290000}"/>
    <cellStyle name="20 % - Markeringsfarve6 2 2 4 2 4 2" xfId="31855" xr:uid="{00000000-0005-0000-0000-00008B290000}"/>
    <cellStyle name="20 % - Markeringsfarve6 2 2 4 2 5" xfId="24853" xr:uid="{00000000-0005-0000-0000-00008C290000}"/>
    <cellStyle name="20 % - Markeringsfarve6 2 2 4 3" xfId="5136" xr:uid="{00000000-0005-0000-0000-00008D290000}"/>
    <cellStyle name="20 % - Markeringsfarve6 2 2 4 3 2" xfId="9425" xr:uid="{00000000-0005-0000-0000-00008E290000}"/>
    <cellStyle name="20 % - Markeringsfarve6 2 2 4 3 2 2" xfId="17335" xr:uid="{00000000-0005-0000-0000-00008F290000}"/>
    <cellStyle name="20 % - Markeringsfarve6 2 2 4 3 2 2 2" xfId="35495" xr:uid="{00000000-0005-0000-0000-000090290000}"/>
    <cellStyle name="20 % - Markeringsfarve6 2 2 4 3 2 3" xfId="28494" xr:uid="{00000000-0005-0000-0000-000091290000}"/>
    <cellStyle name="20 % - Markeringsfarve6 2 2 4 3 3" xfId="13690" xr:uid="{00000000-0005-0000-0000-000092290000}"/>
    <cellStyle name="20 % - Markeringsfarve6 2 2 4 3 3 2" xfId="31857" xr:uid="{00000000-0005-0000-0000-000093290000}"/>
    <cellStyle name="20 % - Markeringsfarve6 2 2 4 3 4" xfId="24855" xr:uid="{00000000-0005-0000-0000-000094290000}"/>
    <cellStyle name="20 % - Markeringsfarve6 2 2 4 4" xfId="5137" xr:uid="{00000000-0005-0000-0000-000095290000}"/>
    <cellStyle name="20 % - Markeringsfarve6 2 2 4 4 2" xfId="10452" xr:uid="{00000000-0005-0000-0000-000096290000}"/>
    <cellStyle name="20 % - Markeringsfarve6 2 2 4 4 2 2" xfId="18349" xr:uid="{00000000-0005-0000-0000-000097290000}"/>
    <cellStyle name="20 % - Markeringsfarve6 2 2 4 4 2 2 2" xfId="36509" xr:uid="{00000000-0005-0000-0000-000098290000}"/>
    <cellStyle name="20 % - Markeringsfarve6 2 2 4 4 2 3" xfId="29508" xr:uid="{00000000-0005-0000-0000-000099290000}"/>
    <cellStyle name="20 % - Markeringsfarve6 2 2 4 4 3" xfId="13691" xr:uid="{00000000-0005-0000-0000-00009A290000}"/>
    <cellStyle name="20 % - Markeringsfarve6 2 2 4 4 3 2" xfId="31858" xr:uid="{00000000-0005-0000-0000-00009B290000}"/>
    <cellStyle name="20 % - Markeringsfarve6 2 2 4 4 4" xfId="24856" xr:uid="{00000000-0005-0000-0000-00009C290000}"/>
    <cellStyle name="20 % - Markeringsfarve6 2 2 4 5" xfId="7925" xr:uid="{00000000-0005-0000-0000-00009D290000}"/>
    <cellStyle name="20 % - Markeringsfarve6 2 2 4 5 2" xfId="15843" xr:uid="{00000000-0005-0000-0000-00009E290000}"/>
    <cellStyle name="20 % - Markeringsfarve6 2 2 4 5 2 2" xfId="34003" xr:uid="{00000000-0005-0000-0000-00009F290000}"/>
    <cellStyle name="20 % - Markeringsfarve6 2 2 4 5 3" xfId="27002" xr:uid="{00000000-0005-0000-0000-0000A0290000}"/>
    <cellStyle name="20 % - Markeringsfarve6 2 2 4 6" xfId="13687" xr:uid="{00000000-0005-0000-0000-0000A1290000}"/>
    <cellStyle name="20 % - Markeringsfarve6 2 2 4 6 2" xfId="31854" xr:uid="{00000000-0005-0000-0000-0000A2290000}"/>
    <cellStyle name="20 % - Markeringsfarve6 2 2 4 7" xfId="24852" xr:uid="{00000000-0005-0000-0000-0000A3290000}"/>
    <cellStyle name="20 % - Markeringsfarve6 2 2 5" xfId="5138" xr:uid="{00000000-0005-0000-0000-0000A4290000}"/>
    <cellStyle name="20 % - Markeringsfarve6 2 2 5 2" xfId="5139" xr:uid="{00000000-0005-0000-0000-0000A5290000}"/>
    <cellStyle name="20 % - Markeringsfarve6 2 2 5 2 2" xfId="5140" xr:uid="{00000000-0005-0000-0000-0000A6290000}"/>
    <cellStyle name="20 % - Markeringsfarve6 2 2 5 2 2 2" xfId="10266" xr:uid="{00000000-0005-0000-0000-0000A7290000}"/>
    <cellStyle name="20 % - Markeringsfarve6 2 2 5 2 2 2 2" xfId="18167" xr:uid="{00000000-0005-0000-0000-0000A8290000}"/>
    <cellStyle name="20 % - Markeringsfarve6 2 2 5 2 2 2 2 2" xfId="36327" xr:uid="{00000000-0005-0000-0000-0000A9290000}"/>
    <cellStyle name="20 % - Markeringsfarve6 2 2 5 2 2 2 3" xfId="29326" xr:uid="{00000000-0005-0000-0000-0000AA290000}"/>
    <cellStyle name="20 % - Markeringsfarve6 2 2 5 2 2 3" xfId="13694" xr:uid="{00000000-0005-0000-0000-0000AB290000}"/>
    <cellStyle name="20 % - Markeringsfarve6 2 2 5 2 2 3 2" xfId="31861" xr:uid="{00000000-0005-0000-0000-0000AC290000}"/>
    <cellStyle name="20 % - Markeringsfarve6 2 2 5 2 2 4" xfId="24859" xr:uid="{00000000-0005-0000-0000-0000AD290000}"/>
    <cellStyle name="20 % - Markeringsfarve6 2 2 5 2 3" xfId="8783" xr:uid="{00000000-0005-0000-0000-0000AE290000}"/>
    <cellStyle name="20 % - Markeringsfarve6 2 2 5 2 3 2" xfId="16697" xr:uid="{00000000-0005-0000-0000-0000AF290000}"/>
    <cellStyle name="20 % - Markeringsfarve6 2 2 5 2 3 2 2" xfId="34857" xr:uid="{00000000-0005-0000-0000-0000B0290000}"/>
    <cellStyle name="20 % - Markeringsfarve6 2 2 5 2 3 3" xfId="27856" xr:uid="{00000000-0005-0000-0000-0000B1290000}"/>
    <cellStyle name="20 % - Markeringsfarve6 2 2 5 2 4" xfId="13693" xr:uid="{00000000-0005-0000-0000-0000B2290000}"/>
    <cellStyle name="20 % - Markeringsfarve6 2 2 5 2 4 2" xfId="31860" xr:uid="{00000000-0005-0000-0000-0000B3290000}"/>
    <cellStyle name="20 % - Markeringsfarve6 2 2 5 2 5" xfId="24858" xr:uid="{00000000-0005-0000-0000-0000B4290000}"/>
    <cellStyle name="20 % - Markeringsfarve6 2 2 5 3" xfId="5141" xr:uid="{00000000-0005-0000-0000-0000B5290000}"/>
    <cellStyle name="20 % - Markeringsfarve6 2 2 5 3 2" xfId="9542" xr:uid="{00000000-0005-0000-0000-0000B6290000}"/>
    <cellStyle name="20 % - Markeringsfarve6 2 2 5 3 2 2" xfId="17452" xr:uid="{00000000-0005-0000-0000-0000B7290000}"/>
    <cellStyle name="20 % - Markeringsfarve6 2 2 5 3 2 2 2" xfId="35612" xr:uid="{00000000-0005-0000-0000-0000B8290000}"/>
    <cellStyle name="20 % - Markeringsfarve6 2 2 5 3 2 3" xfId="28611" xr:uid="{00000000-0005-0000-0000-0000B9290000}"/>
    <cellStyle name="20 % - Markeringsfarve6 2 2 5 3 3" xfId="13695" xr:uid="{00000000-0005-0000-0000-0000BA290000}"/>
    <cellStyle name="20 % - Markeringsfarve6 2 2 5 3 3 2" xfId="31862" xr:uid="{00000000-0005-0000-0000-0000BB290000}"/>
    <cellStyle name="20 % - Markeringsfarve6 2 2 5 3 4" xfId="24860" xr:uid="{00000000-0005-0000-0000-0000BC290000}"/>
    <cellStyle name="20 % - Markeringsfarve6 2 2 5 4" xfId="5142" xr:uid="{00000000-0005-0000-0000-0000BD290000}"/>
    <cellStyle name="20 % - Markeringsfarve6 2 2 5 4 2" xfId="10789" xr:uid="{00000000-0005-0000-0000-0000BE290000}"/>
    <cellStyle name="20 % - Markeringsfarve6 2 2 5 4 2 2" xfId="18676" xr:uid="{00000000-0005-0000-0000-0000BF290000}"/>
    <cellStyle name="20 % - Markeringsfarve6 2 2 5 4 2 2 2" xfId="36836" xr:uid="{00000000-0005-0000-0000-0000C0290000}"/>
    <cellStyle name="20 % - Markeringsfarve6 2 2 5 4 2 3" xfId="29835" xr:uid="{00000000-0005-0000-0000-0000C1290000}"/>
    <cellStyle name="20 % - Markeringsfarve6 2 2 5 4 3" xfId="13696" xr:uid="{00000000-0005-0000-0000-0000C2290000}"/>
    <cellStyle name="20 % - Markeringsfarve6 2 2 5 4 3 2" xfId="31863" xr:uid="{00000000-0005-0000-0000-0000C3290000}"/>
    <cellStyle name="20 % - Markeringsfarve6 2 2 5 4 4" xfId="24861" xr:uid="{00000000-0005-0000-0000-0000C4290000}"/>
    <cellStyle name="20 % - Markeringsfarve6 2 2 5 5" xfId="7926" xr:uid="{00000000-0005-0000-0000-0000C5290000}"/>
    <cellStyle name="20 % - Markeringsfarve6 2 2 5 5 2" xfId="15844" xr:uid="{00000000-0005-0000-0000-0000C6290000}"/>
    <cellStyle name="20 % - Markeringsfarve6 2 2 5 5 2 2" xfId="34004" xr:uid="{00000000-0005-0000-0000-0000C7290000}"/>
    <cellStyle name="20 % - Markeringsfarve6 2 2 5 5 3" xfId="27003" xr:uid="{00000000-0005-0000-0000-0000C8290000}"/>
    <cellStyle name="20 % - Markeringsfarve6 2 2 5 6" xfId="13692" xr:uid="{00000000-0005-0000-0000-0000C9290000}"/>
    <cellStyle name="20 % - Markeringsfarve6 2 2 5 6 2" xfId="31859" xr:uid="{00000000-0005-0000-0000-0000CA290000}"/>
    <cellStyle name="20 % - Markeringsfarve6 2 2 5 7" xfId="24857" xr:uid="{00000000-0005-0000-0000-0000CB290000}"/>
    <cellStyle name="20 % - Markeringsfarve6 2 2 6" xfId="5143" xr:uid="{00000000-0005-0000-0000-0000CC290000}"/>
    <cellStyle name="20 % - Markeringsfarve6 2 2 6 2" xfId="5144" xr:uid="{00000000-0005-0000-0000-0000CD290000}"/>
    <cellStyle name="20 % - Markeringsfarve6 2 2 6 2 2" xfId="5145" xr:uid="{00000000-0005-0000-0000-0000CE290000}"/>
    <cellStyle name="20 % - Markeringsfarve6 2 2 6 2 2 2" xfId="10355" xr:uid="{00000000-0005-0000-0000-0000CF290000}"/>
    <cellStyle name="20 % - Markeringsfarve6 2 2 6 2 2 2 2" xfId="18256" xr:uid="{00000000-0005-0000-0000-0000D0290000}"/>
    <cellStyle name="20 % - Markeringsfarve6 2 2 6 2 2 2 2 2" xfId="36416" xr:uid="{00000000-0005-0000-0000-0000D1290000}"/>
    <cellStyle name="20 % - Markeringsfarve6 2 2 6 2 2 2 3" xfId="29415" xr:uid="{00000000-0005-0000-0000-0000D2290000}"/>
    <cellStyle name="20 % - Markeringsfarve6 2 2 6 2 2 3" xfId="13699" xr:uid="{00000000-0005-0000-0000-0000D3290000}"/>
    <cellStyle name="20 % - Markeringsfarve6 2 2 6 2 2 3 2" xfId="31866" xr:uid="{00000000-0005-0000-0000-0000D4290000}"/>
    <cellStyle name="20 % - Markeringsfarve6 2 2 6 2 2 4" xfId="24864" xr:uid="{00000000-0005-0000-0000-0000D5290000}"/>
    <cellStyle name="20 % - Markeringsfarve6 2 2 6 2 3" xfId="8857" xr:uid="{00000000-0005-0000-0000-0000D6290000}"/>
    <cellStyle name="20 % - Markeringsfarve6 2 2 6 2 3 2" xfId="16771" xr:uid="{00000000-0005-0000-0000-0000D7290000}"/>
    <cellStyle name="20 % - Markeringsfarve6 2 2 6 2 3 2 2" xfId="34931" xr:uid="{00000000-0005-0000-0000-0000D8290000}"/>
    <cellStyle name="20 % - Markeringsfarve6 2 2 6 2 3 3" xfId="27930" xr:uid="{00000000-0005-0000-0000-0000D9290000}"/>
    <cellStyle name="20 % - Markeringsfarve6 2 2 6 2 4" xfId="13698" xr:uid="{00000000-0005-0000-0000-0000DA290000}"/>
    <cellStyle name="20 % - Markeringsfarve6 2 2 6 2 4 2" xfId="31865" xr:uid="{00000000-0005-0000-0000-0000DB290000}"/>
    <cellStyle name="20 % - Markeringsfarve6 2 2 6 2 5" xfId="24863" xr:uid="{00000000-0005-0000-0000-0000DC290000}"/>
    <cellStyle name="20 % - Markeringsfarve6 2 2 6 3" xfId="5146" xr:uid="{00000000-0005-0000-0000-0000DD290000}"/>
    <cellStyle name="20 % - Markeringsfarve6 2 2 6 3 2" xfId="9632" xr:uid="{00000000-0005-0000-0000-0000DE290000}"/>
    <cellStyle name="20 % - Markeringsfarve6 2 2 6 3 2 2" xfId="17542" xr:uid="{00000000-0005-0000-0000-0000DF290000}"/>
    <cellStyle name="20 % - Markeringsfarve6 2 2 6 3 2 2 2" xfId="35702" xr:uid="{00000000-0005-0000-0000-0000E0290000}"/>
    <cellStyle name="20 % - Markeringsfarve6 2 2 6 3 2 3" xfId="28701" xr:uid="{00000000-0005-0000-0000-0000E1290000}"/>
    <cellStyle name="20 % - Markeringsfarve6 2 2 6 3 3" xfId="13700" xr:uid="{00000000-0005-0000-0000-0000E2290000}"/>
    <cellStyle name="20 % - Markeringsfarve6 2 2 6 3 3 2" xfId="31867" xr:uid="{00000000-0005-0000-0000-0000E3290000}"/>
    <cellStyle name="20 % - Markeringsfarve6 2 2 6 3 4" xfId="24865" xr:uid="{00000000-0005-0000-0000-0000E4290000}"/>
    <cellStyle name="20 % - Markeringsfarve6 2 2 6 4" xfId="5147" xr:uid="{00000000-0005-0000-0000-0000E5290000}"/>
    <cellStyle name="20 % - Markeringsfarve6 2 2 6 4 2" xfId="11011" xr:uid="{00000000-0005-0000-0000-0000E6290000}"/>
    <cellStyle name="20 % - Markeringsfarve6 2 2 6 4 2 2" xfId="18887" xr:uid="{00000000-0005-0000-0000-0000E7290000}"/>
    <cellStyle name="20 % - Markeringsfarve6 2 2 6 4 2 2 2" xfId="37047" xr:uid="{00000000-0005-0000-0000-0000E8290000}"/>
    <cellStyle name="20 % - Markeringsfarve6 2 2 6 4 2 3" xfId="30046" xr:uid="{00000000-0005-0000-0000-0000E9290000}"/>
    <cellStyle name="20 % - Markeringsfarve6 2 2 6 4 3" xfId="13701" xr:uid="{00000000-0005-0000-0000-0000EA290000}"/>
    <cellStyle name="20 % - Markeringsfarve6 2 2 6 4 3 2" xfId="31868" xr:uid="{00000000-0005-0000-0000-0000EB290000}"/>
    <cellStyle name="20 % - Markeringsfarve6 2 2 6 4 4" xfId="24866" xr:uid="{00000000-0005-0000-0000-0000EC290000}"/>
    <cellStyle name="20 % - Markeringsfarve6 2 2 6 5" xfId="7927" xr:uid="{00000000-0005-0000-0000-0000ED290000}"/>
    <cellStyle name="20 % - Markeringsfarve6 2 2 6 5 2" xfId="15845" xr:uid="{00000000-0005-0000-0000-0000EE290000}"/>
    <cellStyle name="20 % - Markeringsfarve6 2 2 6 5 2 2" xfId="34005" xr:uid="{00000000-0005-0000-0000-0000EF290000}"/>
    <cellStyle name="20 % - Markeringsfarve6 2 2 6 5 3" xfId="27004" xr:uid="{00000000-0005-0000-0000-0000F0290000}"/>
    <cellStyle name="20 % - Markeringsfarve6 2 2 6 6" xfId="13697" xr:uid="{00000000-0005-0000-0000-0000F1290000}"/>
    <cellStyle name="20 % - Markeringsfarve6 2 2 6 6 2" xfId="31864" xr:uid="{00000000-0005-0000-0000-0000F2290000}"/>
    <cellStyle name="20 % - Markeringsfarve6 2 2 6 7" xfId="24862" xr:uid="{00000000-0005-0000-0000-0000F3290000}"/>
    <cellStyle name="20 % - Markeringsfarve6 2 2 7" xfId="5148" xr:uid="{00000000-0005-0000-0000-0000F4290000}"/>
    <cellStyle name="20 % - Markeringsfarve6 2 2 7 2" xfId="5149" xr:uid="{00000000-0005-0000-0000-0000F5290000}"/>
    <cellStyle name="20 % - Markeringsfarve6 2 2 7 2 2" xfId="9792" xr:uid="{00000000-0005-0000-0000-0000F6290000}"/>
    <cellStyle name="20 % - Markeringsfarve6 2 2 7 2 2 2" xfId="17693" xr:uid="{00000000-0005-0000-0000-0000F7290000}"/>
    <cellStyle name="20 % - Markeringsfarve6 2 2 7 2 2 2 2" xfId="35853" xr:uid="{00000000-0005-0000-0000-0000F8290000}"/>
    <cellStyle name="20 % - Markeringsfarve6 2 2 7 2 2 3" xfId="28852" xr:uid="{00000000-0005-0000-0000-0000F9290000}"/>
    <cellStyle name="20 % - Markeringsfarve6 2 2 7 2 3" xfId="13703" xr:uid="{00000000-0005-0000-0000-0000FA290000}"/>
    <cellStyle name="20 % - Markeringsfarve6 2 2 7 2 3 2" xfId="31870" xr:uid="{00000000-0005-0000-0000-0000FB290000}"/>
    <cellStyle name="20 % - Markeringsfarve6 2 2 7 2 4" xfId="24868" xr:uid="{00000000-0005-0000-0000-0000FC290000}"/>
    <cellStyle name="20 % - Markeringsfarve6 2 2 7 3" xfId="8383" xr:uid="{00000000-0005-0000-0000-0000FD290000}"/>
    <cellStyle name="20 % - Markeringsfarve6 2 2 7 3 2" xfId="16300" xr:uid="{00000000-0005-0000-0000-0000FE290000}"/>
    <cellStyle name="20 % - Markeringsfarve6 2 2 7 3 2 2" xfId="34460" xr:uid="{00000000-0005-0000-0000-0000FF290000}"/>
    <cellStyle name="20 % - Markeringsfarve6 2 2 7 3 3" xfId="27459" xr:uid="{00000000-0005-0000-0000-0000002A0000}"/>
    <cellStyle name="20 % - Markeringsfarve6 2 2 7 4" xfId="13702" xr:uid="{00000000-0005-0000-0000-0000012A0000}"/>
    <cellStyle name="20 % - Markeringsfarve6 2 2 7 4 2" xfId="31869" xr:uid="{00000000-0005-0000-0000-0000022A0000}"/>
    <cellStyle name="20 % - Markeringsfarve6 2 2 7 5" xfId="24867" xr:uid="{00000000-0005-0000-0000-0000032A0000}"/>
    <cellStyle name="20 % - Markeringsfarve6 2 2 8" xfId="5150" xr:uid="{00000000-0005-0000-0000-0000042A0000}"/>
    <cellStyle name="20 % - Markeringsfarve6 2 2 8 2" xfId="9020" xr:uid="{00000000-0005-0000-0000-0000052A0000}"/>
    <cellStyle name="20 % - Markeringsfarve6 2 2 8 2 2" xfId="16931" xr:uid="{00000000-0005-0000-0000-0000062A0000}"/>
    <cellStyle name="20 % - Markeringsfarve6 2 2 8 2 2 2" xfId="35091" xr:uid="{00000000-0005-0000-0000-0000072A0000}"/>
    <cellStyle name="20 % - Markeringsfarve6 2 2 8 2 3" xfId="28090" xr:uid="{00000000-0005-0000-0000-0000082A0000}"/>
    <cellStyle name="20 % - Markeringsfarve6 2 2 8 3" xfId="13704" xr:uid="{00000000-0005-0000-0000-0000092A0000}"/>
    <cellStyle name="20 % - Markeringsfarve6 2 2 8 3 2" xfId="31871" xr:uid="{00000000-0005-0000-0000-00000A2A0000}"/>
    <cellStyle name="20 % - Markeringsfarve6 2 2 8 4" xfId="24869" xr:uid="{00000000-0005-0000-0000-00000B2A0000}"/>
    <cellStyle name="20 % - Markeringsfarve6 2 2 9" xfId="5151" xr:uid="{00000000-0005-0000-0000-00000C2A0000}"/>
    <cellStyle name="20 % - Markeringsfarve6 2 2 9 2" xfId="10870" xr:uid="{00000000-0005-0000-0000-00000D2A0000}"/>
    <cellStyle name="20 % - Markeringsfarve6 2 2 9 2 2" xfId="18753" xr:uid="{00000000-0005-0000-0000-00000E2A0000}"/>
    <cellStyle name="20 % - Markeringsfarve6 2 2 9 2 2 2" xfId="36913" xr:uid="{00000000-0005-0000-0000-00000F2A0000}"/>
    <cellStyle name="20 % - Markeringsfarve6 2 2 9 2 3" xfId="29912" xr:uid="{00000000-0005-0000-0000-0000102A0000}"/>
    <cellStyle name="20 % - Markeringsfarve6 2 2 9 3" xfId="13705" xr:uid="{00000000-0005-0000-0000-0000112A0000}"/>
    <cellStyle name="20 % - Markeringsfarve6 2 2 9 3 2" xfId="31872" xr:uid="{00000000-0005-0000-0000-0000122A0000}"/>
    <cellStyle name="20 % - Markeringsfarve6 2 2 9 4" xfId="24870" xr:uid="{00000000-0005-0000-0000-0000132A0000}"/>
    <cellStyle name="20 % - Markeringsfarve6 2 3" xfId="1849" xr:uid="{00000000-0005-0000-0000-0000142A0000}"/>
    <cellStyle name="20 % - Markeringsfarve6 2 3 10" xfId="7928" xr:uid="{00000000-0005-0000-0000-0000152A0000}"/>
    <cellStyle name="20 % - Markeringsfarve6 2 3 10 2" xfId="15846" xr:uid="{00000000-0005-0000-0000-0000162A0000}"/>
    <cellStyle name="20 % - Markeringsfarve6 2 3 10 2 2" xfId="34006" xr:uid="{00000000-0005-0000-0000-0000172A0000}"/>
    <cellStyle name="20 % - Markeringsfarve6 2 3 10 3" xfId="27005" xr:uid="{00000000-0005-0000-0000-0000182A0000}"/>
    <cellStyle name="20 % - Markeringsfarve6 2 3 11" xfId="13706" xr:uid="{00000000-0005-0000-0000-0000192A0000}"/>
    <cellStyle name="20 % - Markeringsfarve6 2 3 11 2" xfId="31873" xr:uid="{00000000-0005-0000-0000-00001A2A0000}"/>
    <cellStyle name="20 % - Markeringsfarve6 2 3 12" xfId="5152" xr:uid="{00000000-0005-0000-0000-00001B2A0000}"/>
    <cellStyle name="20 % - Markeringsfarve6 2 3 12 2" xfId="24871" xr:uid="{00000000-0005-0000-0000-00001C2A0000}"/>
    <cellStyle name="20 % - Markeringsfarve6 2 3 13" xfId="21973" xr:uid="{00000000-0005-0000-0000-00001D2A0000}"/>
    <cellStyle name="20 % - Markeringsfarve6 2 3 2" xfId="1850" xr:uid="{00000000-0005-0000-0000-00001E2A0000}"/>
    <cellStyle name="20 % - Markeringsfarve6 2 3 2 2" xfId="5154" xr:uid="{00000000-0005-0000-0000-00001F2A0000}"/>
    <cellStyle name="20 % - Markeringsfarve6 2 3 2 2 2" xfId="5155" xr:uid="{00000000-0005-0000-0000-0000202A0000}"/>
    <cellStyle name="20 % - Markeringsfarve6 2 3 2 2 2 2" xfId="9950" xr:uid="{00000000-0005-0000-0000-0000212A0000}"/>
    <cellStyle name="20 % - Markeringsfarve6 2 3 2 2 2 2 2" xfId="17851" xr:uid="{00000000-0005-0000-0000-0000222A0000}"/>
    <cellStyle name="20 % - Markeringsfarve6 2 3 2 2 2 2 2 2" xfId="36011" xr:uid="{00000000-0005-0000-0000-0000232A0000}"/>
    <cellStyle name="20 % - Markeringsfarve6 2 3 2 2 2 2 3" xfId="29010" xr:uid="{00000000-0005-0000-0000-0000242A0000}"/>
    <cellStyle name="20 % - Markeringsfarve6 2 3 2 2 2 3" xfId="13709" xr:uid="{00000000-0005-0000-0000-0000252A0000}"/>
    <cellStyle name="20 % - Markeringsfarve6 2 3 2 2 2 3 2" xfId="31876" xr:uid="{00000000-0005-0000-0000-0000262A0000}"/>
    <cellStyle name="20 % - Markeringsfarve6 2 3 2 2 2 4" xfId="24874" xr:uid="{00000000-0005-0000-0000-0000272A0000}"/>
    <cellStyle name="20 % - Markeringsfarve6 2 3 2 2 3" xfId="8515" xr:uid="{00000000-0005-0000-0000-0000282A0000}"/>
    <cellStyle name="20 % - Markeringsfarve6 2 3 2 2 3 2" xfId="16432" xr:uid="{00000000-0005-0000-0000-0000292A0000}"/>
    <cellStyle name="20 % - Markeringsfarve6 2 3 2 2 3 2 2" xfId="34592" xr:uid="{00000000-0005-0000-0000-00002A2A0000}"/>
    <cellStyle name="20 % - Markeringsfarve6 2 3 2 2 3 3" xfId="27591" xr:uid="{00000000-0005-0000-0000-00002B2A0000}"/>
    <cellStyle name="20 % - Markeringsfarve6 2 3 2 2 4" xfId="13708" xr:uid="{00000000-0005-0000-0000-00002C2A0000}"/>
    <cellStyle name="20 % - Markeringsfarve6 2 3 2 2 4 2" xfId="31875" xr:uid="{00000000-0005-0000-0000-00002D2A0000}"/>
    <cellStyle name="20 % - Markeringsfarve6 2 3 2 2 5" xfId="24873" xr:uid="{00000000-0005-0000-0000-00002E2A0000}"/>
    <cellStyle name="20 % - Markeringsfarve6 2 3 2 3" xfId="5156" xr:uid="{00000000-0005-0000-0000-00002F2A0000}"/>
    <cellStyle name="20 % - Markeringsfarve6 2 3 2 3 2" xfId="9180" xr:uid="{00000000-0005-0000-0000-0000302A0000}"/>
    <cellStyle name="20 % - Markeringsfarve6 2 3 2 3 2 2" xfId="17091" xr:uid="{00000000-0005-0000-0000-0000312A0000}"/>
    <cellStyle name="20 % - Markeringsfarve6 2 3 2 3 2 2 2" xfId="35251" xr:uid="{00000000-0005-0000-0000-0000322A0000}"/>
    <cellStyle name="20 % - Markeringsfarve6 2 3 2 3 2 3" xfId="28250" xr:uid="{00000000-0005-0000-0000-0000332A0000}"/>
    <cellStyle name="20 % - Markeringsfarve6 2 3 2 3 3" xfId="13710" xr:uid="{00000000-0005-0000-0000-0000342A0000}"/>
    <cellStyle name="20 % - Markeringsfarve6 2 3 2 3 3 2" xfId="31877" xr:uid="{00000000-0005-0000-0000-0000352A0000}"/>
    <cellStyle name="20 % - Markeringsfarve6 2 3 2 3 4" xfId="24875" xr:uid="{00000000-0005-0000-0000-0000362A0000}"/>
    <cellStyle name="20 % - Markeringsfarve6 2 3 2 4" xfId="5157" xr:uid="{00000000-0005-0000-0000-0000372A0000}"/>
    <cellStyle name="20 % - Markeringsfarve6 2 3 2 4 2" xfId="10962" xr:uid="{00000000-0005-0000-0000-0000382A0000}"/>
    <cellStyle name="20 % - Markeringsfarve6 2 3 2 4 2 2" xfId="18841" xr:uid="{00000000-0005-0000-0000-0000392A0000}"/>
    <cellStyle name="20 % - Markeringsfarve6 2 3 2 4 2 2 2" xfId="37001" xr:uid="{00000000-0005-0000-0000-00003A2A0000}"/>
    <cellStyle name="20 % - Markeringsfarve6 2 3 2 4 2 3" xfId="30000" xr:uid="{00000000-0005-0000-0000-00003B2A0000}"/>
    <cellStyle name="20 % - Markeringsfarve6 2 3 2 4 3" xfId="13711" xr:uid="{00000000-0005-0000-0000-00003C2A0000}"/>
    <cellStyle name="20 % - Markeringsfarve6 2 3 2 4 3 2" xfId="31878" xr:uid="{00000000-0005-0000-0000-00003D2A0000}"/>
    <cellStyle name="20 % - Markeringsfarve6 2 3 2 4 4" xfId="24876" xr:uid="{00000000-0005-0000-0000-00003E2A0000}"/>
    <cellStyle name="20 % - Markeringsfarve6 2 3 2 5" xfId="7929" xr:uid="{00000000-0005-0000-0000-00003F2A0000}"/>
    <cellStyle name="20 % - Markeringsfarve6 2 3 2 5 2" xfId="15847" xr:uid="{00000000-0005-0000-0000-0000402A0000}"/>
    <cellStyle name="20 % - Markeringsfarve6 2 3 2 5 2 2" xfId="34007" xr:uid="{00000000-0005-0000-0000-0000412A0000}"/>
    <cellStyle name="20 % - Markeringsfarve6 2 3 2 5 3" xfId="27006" xr:uid="{00000000-0005-0000-0000-0000422A0000}"/>
    <cellStyle name="20 % - Markeringsfarve6 2 3 2 6" xfId="13707" xr:uid="{00000000-0005-0000-0000-0000432A0000}"/>
    <cellStyle name="20 % - Markeringsfarve6 2 3 2 6 2" xfId="31874" xr:uid="{00000000-0005-0000-0000-0000442A0000}"/>
    <cellStyle name="20 % - Markeringsfarve6 2 3 2 7" xfId="5153" xr:uid="{00000000-0005-0000-0000-0000452A0000}"/>
    <cellStyle name="20 % - Markeringsfarve6 2 3 2 7 2" xfId="24872" xr:uid="{00000000-0005-0000-0000-0000462A0000}"/>
    <cellStyle name="20 % - Markeringsfarve6 2 3 2 8" xfId="21974" xr:uid="{00000000-0005-0000-0000-0000472A0000}"/>
    <cellStyle name="20 % - Markeringsfarve6 2 3 3" xfId="5158" xr:uid="{00000000-0005-0000-0000-0000482A0000}"/>
    <cellStyle name="20 % - Markeringsfarve6 2 3 3 2" xfId="5159" xr:uid="{00000000-0005-0000-0000-0000492A0000}"/>
    <cellStyle name="20 % - Markeringsfarve6 2 3 3 2 2" xfId="5160" xr:uid="{00000000-0005-0000-0000-00004A2A0000}"/>
    <cellStyle name="20 % - Markeringsfarve6 2 3 3 2 2 2" xfId="10002" xr:uid="{00000000-0005-0000-0000-00004B2A0000}"/>
    <cellStyle name="20 % - Markeringsfarve6 2 3 3 2 2 2 2" xfId="17903" xr:uid="{00000000-0005-0000-0000-00004C2A0000}"/>
    <cellStyle name="20 % - Markeringsfarve6 2 3 3 2 2 2 2 2" xfId="36063" xr:uid="{00000000-0005-0000-0000-00004D2A0000}"/>
    <cellStyle name="20 % - Markeringsfarve6 2 3 3 2 2 2 3" xfId="29062" xr:uid="{00000000-0005-0000-0000-00004E2A0000}"/>
    <cellStyle name="20 % - Markeringsfarve6 2 3 3 2 2 3" xfId="13714" xr:uid="{00000000-0005-0000-0000-00004F2A0000}"/>
    <cellStyle name="20 % - Markeringsfarve6 2 3 3 2 2 3 2" xfId="31881" xr:uid="{00000000-0005-0000-0000-0000502A0000}"/>
    <cellStyle name="20 % - Markeringsfarve6 2 3 3 2 2 4" xfId="24879" xr:uid="{00000000-0005-0000-0000-0000512A0000}"/>
    <cellStyle name="20 % - Markeringsfarve6 2 3 3 2 3" xfId="8557" xr:uid="{00000000-0005-0000-0000-0000522A0000}"/>
    <cellStyle name="20 % - Markeringsfarve6 2 3 3 2 3 2" xfId="16474" xr:uid="{00000000-0005-0000-0000-0000532A0000}"/>
    <cellStyle name="20 % - Markeringsfarve6 2 3 3 2 3 2 2" xfId="34634" xr:uid="{00000000-0005-0000-0000-0000542A0000}"/>
    <cellStyle name="20 % - Markeringsfarve6 2 3 3 2 3 3" xfId="27633" xr:uid="{00000000-0005-0000-0000-0000552A0000}"/>
    <cellStyle name="20 % - Markeringsfarve6 2 3 3 2 4" xfId="13713" xr:uid="{00000000-0005-0000-0000-0000562A0000}"/>
    <cellStyle name="20 % - Markeringsfarve6 2 3 3 2 4 2" xfId="31880" xr:uid="{00000000-0005-0000-0000-0000572A0000}"/>
    <cellStyle name="20 % - Markeringsfarve6 2 3 3 2 5" xfId="24878" xr:uid="{00000000-0005-0000-0000-0000582A0000}"/>
    <cellStyle name="20 % - Markeringsfarve6 2 3 3 3" xfId="5161" xr:uid="{00000000-0005-0000-0000-0000592A0000}"/>
    <cellStyle name="20 % - Markeringsfarve6 2 3 3 3 2" xfId="9232" xr:uid="{00000000-0005-0000-0000-00005A2A0000}"/>
    <cellStyle name="20 % - Markeringsfarve6 2 3 3 3 2 2" xfId="17143" xr:uid="{00000000-0005-0000-0000-00005B2A0000}"/>
    <cellStyle name="20 % - Markeringsfarve6 2 3 3 3 2 2 2" xfId="35303" xr:uid="{00000000-0005-0000-0000-00005C2A0000}"/>
    <cellStyle name="20 % - Markeringsfarve6 2 3 3 3 2 3" xfId="28302" xr:uid="{00000000-0005-0000-0000-00005D2A0000}"/>
    <cellStyle name="20 % - Markeringsfarve6 2 3 3 3 3" xfId="13715" xr:uid="{00000000-0005-0000-0000-00005E2A0000}"/>
    <cellStyle name="20 % - Markeringsfarve6 2 3 3 3 3 2" xfId="31882" xr:uid="{00000000-0005-0000-0000-00005F2A0000}"/>
    <cellStyle name="20 % - Markeringsfarve6 2 3 3 3 4" xfId="24880" xr:uid="{00000000-0005-0000-0000-0000602A0000}"/>
    <cellStyle name="20 % - Markeringsfarve6 2 3 3 4" xfId="5162" xr:uid="{00000000-0005-0000-0000-0000612A0000}"/>
    <cellStyle name="20 % - Markeringsfarve6 2 3 3 4 2" xfId="10686" xr:uid="{00000000-0005-0000-0000-0000622A0000}"/>
    <cellStyle name="20 % - Markeringsfarve6 2 3 3 4 2 2" xfId="18577" xr:uid="{00000000-0005-0000-0000-0000632A0000}"/>
    <cellStyle name="20 % - Markeringsfarve6 2 3 3 4 2 2 2" xfId="36737" xr:uid="{00000000-0005-0000-0000-0000642A0000}"/>
    <cellStyle name="20 % - Markeringsfarve6 2 3 3 4 2 3" xfId="29736" xr:uid="{00000000-0005-0000-0000-0000652A0000}"/>
    <cellStyle name="20 % - Markeringsfarve6 2 3 3 4 3" xfId="13716" xr:uid="{00000000-0005-0000-0000-0000662A0000}"/>
    <cellStyle name="20 % - Markeringsfarve6 2 3 3 4 3 2" xfId="31883" xr:uid="{00000000-0005-0000-0000-0000672A0000}"/>
    <cellStyle name="20 % - Markeringsfarve6 2 3 3 4 4" xfId="24881" xr:uid="{00000000-0005-0000-0000-0000682A0000}"/>
    <cellStyle name="20 % - Markeringsfarve6 2 3 3 5" xfId="7930" xr:uid="{00000000-0005-0000-0000-0000692A0000}"/>
    <cellStyle name="20 % - Markeringsfarve6 2 3 3 5 2" xfId="15848" xr:uid="{00000000-0005-0000-0000-00006A2A0000}"/>
    <cellStyle name="20 % - Markeringsfarve6 2 3 3 5 2 2" xfId="34008" xr:uid="{00000000-0005-0000-0000-00006B2A0000}"/>
    <cellStyle name="20 % - Markeringsfarve6 2 3 3 5 3" xfId="27007" xr:uid="{00000000-0005-0000-0000-00006C2A0000}"/>
    <cellStyle name="20 % - Markeringsfarve6 2 3 3 6" xfId="13712" xr:uid="{00000000-0005-0000-0000-00006D2A0000}"/>
    <cellStyle name="20 % - Markeringsfarve6 2 3 3 6 2" xfId="31879" xr:uid="{00000000-0005-0000-0000-00006E2A0000}"/>
    <cellStyle name="20 % - Markeringsfarve6 2 3 3 7" xfId="24877" xr:uid="{00000000-0005-0000-0000-00006F2A0000}"/>
    <cellStyle name="20 % - Markeringsfarve6 2 3 4" xfId="5163" xr:uid="{00000000-0005-0000-0000-0000702A0000}"/>
    <cellStyle name="20 % - Markeringsfarve6 2 3 4 2" xfId="5164" xr:uid="{00000000-0005-0000-0000-0000712A0000}"/>
    <cellStyle name="20 % - Markeringsfarve6 2 3 4 2 2" xfId="5165" xr:uid="{00000000-0005-0000-0000-0000722A0000}"/>
    <cellStyle name="20 % - Markeringsfarve6 2 3 4 2 2 2" xfId="10188" xr:uid="{00000000-0005-0000-0000-0000732A0000}"/>
    <cellStyle name="20 % - Markeringsfarve6 2 3 4 2 2 2 2" xfId="18089" xr:uid="{00000000-0005-0000-0000-0000742A0000}"/>
    <cellStyle name="20 % - Markeringsfarve6 2 3 4 2 2 2 2 2" xfId="36249" xr:uid="{00000000-0005-0000-0000-0000752A0000}"/>
    <cellStyle name="20 % - Markeringsfarve6 2 3 4 2 2 2 3" xfId="29248" xr:uid="{00000000-0005-0000-0000-0000762A0000}"/>
    <cellStyle name="20 % - Markeringsfarve6 2 3 4 2 2 3" xfId="13719" xr:uid="{00000000-0005-0000-0000-0000772A0000}"/>
    <cellStyle name="20 % - Markeringsfarve6 2 3 4 2 2 3 2" xfId="31886" xr:uid="{00000000-0005-0000-0000-0000782A0000}"/>
    <cellStyle name="20 % - Markeringsfarve6 2 3 4 2 2 4" xfId="24884" xr:uid="{00000000-0005-0000-0000-0000792A0000}"/>
    <cellStyle name="20 % - Markeringsfarve6 2 3 4 2 3" xfId="8717" xr:uid="{00000000-0005-0000-0000-00007A2A0000}"/>
    <cellStyle name="20 % - Markeringsfarve6 2 3 4 2 3 2" xfId="16631" xr:uid="{00000000-0005-0000-0000-00007B2A0000}"/>
    <cellStyle name="20 % - Markeringsfarve6 2 3 4 2 3 2 2" xfId="34791" xr:uid="{00000000-0005-0000-0000-00007C2A0000}"/>
    <cellStyle name="20 % - Markeringsfarve6 2 3 4 2 3 3" xfId="27790" xr:uid="{00000000-0005-0000-0000-00007D2A0000}"/>
    <cellStyle name="20 % - Markeringsfarve6 2 3 4 2 4" xfId="13718" xr:uid="{00000000-0005-0000-0000-00007E2A0000}"/>
    <cellStyle name="20 % - Markeringsfarve6 2 3 4 2 4 2" xfId="31885" xr:uid="{00000000-0005-0000-0000-00007F2A0000}"/>
    <cellStyle name="20 % - Markeringsfarve6 2 3 4 2 5" xfId="24883" xr:uid="{00000000-0005-0000-0000-0000802A0000}"/>
    <cellStyle name="20 % - Markeringsfarve6 2 3 4 3" xfId="5166" xr:uid="{00000000-0005-0000-0000-0000812A0000}"/>
    <cellStyle name="20 % - Markeringsfarve6 2 3 4 3 2" xfId="9464" xr:uid="{00000000-0005-0000-0000-0000822A0000}"/>
    <cellStyle name="20 % - Markeringsfarve6 2 3 4 3 2 2" xfId="17374" xr:uid="{00000000-0005-0000-0000-0000832A0000}"/>
    <cellStyle name="20 % - Markeringsfarve6 2 3 4 3 2 2 2" xfId="35534" xr:uid="{00000000-0005-0000-0000-0000842A0000}"/>
    <cellStyle name="20 % - Markeringsfarve6 2 3 4 3 2 3" xfId="28533" xr:uid="{00000000-0005-0000-0000-0000852A0000}"/>
    <cellStyle name="20 % - Markeringsfarve6 2 3 4 3 3" xfId="13720" xr:uid="{00000000-0005-0000-0000-0000862A0000}"/>
    <cellStyle name="20 % - Markeringsfarve6 2 3 4 3 3 2" xfId="31887" xr:uid="{00000000-0005-0000-0000-0000872A0000}"/>
    <cellStyle name="20 % - Markeringsfarve6 2 3 4 3 4" xfId="24885" xr:uid="{00000000-0005-0000-0000-0000882A0000}"/>
    <cellStyle name="20 % - Markeringsfarve6 2 3 4 4" xfId="5167" xr:uid="{00000000-0005-0000-0000-0000892A0000}"/>
    <cellStyle name="20 % - Markeringsfarve6 2 3 4 4 2" xfId="10921" xr:uid="{00000000-0005-0000-0000-00008A2A0000}"/>
    <cellStyle name="20 % - Markeringsfarve6 2 3 4 4 2 2" xfId="18802" xr:uid="{00000000-0005-0000-0000-00008B2A0000}"/>
    <cellStyle name="20 % - Markeringsfarve6 2 3 4 4 2 2 2" xfId="36962" xr:uid="{00000000-0005-0000-0000-00008C2A0000}"/>
    <cellStyle name="20 % - Markeringsfarve6 2 3 4 4 2 3" xfId="29961" xr:uid="{00000000-0005-0000-0000-00008D2A0000}"/>
    <cellStyle name="20 % - Markeringsfarve6 2 3 4 4 3" xfId="13721" xr:uid="{00000000-0005-0000-0000-00008E2A0000}"/>
    <cellStyle name="20 % - Markeringsfarve6 2 3 4 4 3 2" xfId="31888" xr:uid="{00000000-0005-0000-0000-00008F2A0000}"/>
    <cellStyle name="20 % - Markeringsfarve6 2 3 4 4 4" xfId="24886" xr:uid="{00000000-0005-0000-0000-0000902A0000}"/>
    <cellStyle name="20 % - Markeringsfarve6 2 3 4 5" xfId="7931" xr:uid="{00000000-0005-0000-0000-0000912A0000}"/>
    <cellStyle name="20 % - Markeringsfarve6 2 3 4 5 2" xfId="15849" xr:uid="{00000000-0005-0000-0000-0000922A0000}"/>
    <cellStyle name="20 % - Markeringsfarve6 2 3 4 5 2 2" xfId="34009" xr:uid="{00000000-0005-0000-0000-0000932A0000}"/>
    <cellStyle name="20 % - Markeringsfarve6 2 3 4 5 3" xfId="27008" xr:uid="{00000000-0005-0000-0000-0000942A0000}"/>
    <cellStyle name="20 % - Markeringsfarve6 2 3 4 6" xfId="13717" xr:uid="{00000000-0005-0000-0000-0000952A0000}"/>
    <cellStyle name="20 % - Markeringsfarve6 2 3 4 6 2" xfId="31884" xr:uid="{00000000-0005-0000-0000-0000962A0000}"/>
    <cellStyle name="20 % - Markeringsfarve6 2 3 4 7" xfId="24882" xr:uid="{00000000-0005-0000-0000-0000972A0000}"/>
    <cellStyle name="20 % - Markeringsfarve6 2 3 5" xfId="5168" xr:uid="{00000000-0005-0000-0000-0000982A0000}"/>
    <cellStyle name="20 % - Markeringsfarve6 2 3 5 2" xfId="5169" xr:uid="{00000000-0005-0000-0000-0000992A0000}"/>
    <cellStyle name="20 % - Markeringsfarve6 2 3 5 2 2" xfId="5170" xr:uid="{00000000-0005-0000-0000-00009A2A0000}"/>
    <cellStyle name="20 % - Markeringsfarve6 2 3 5 2 2 2" xfId="10305" xr:uid="{00000000-0005-0000-0000-00009B2A0000}"/>
    <cellStyle name="20 % - Markeringsfarve6 2 3 5 2 2 2 2" xfId="18206" xr:uid="{00000000-0005-0000-0000-00009C2A0000}"/>
    <cellStyle name="20 % - Markeringsfarve6 2 3 5 2 2 2 2 2" xfId="36366" xr:uid="{00000000-0005-0000-0000-00009D2A0000}"/>
    <cellStyle name="20 % - Markeringsfarve6 2 3 5 2 2 2 3" xfId="29365" xr:uid="{00000000-0005-0000-0000-00009E2A0000}"/>
    <cellStyle name="20 % - Markeringsfarve6 2 3 5 2 2 3" xfId="13724" xr:uid="{00000000-0005-0000-0000-00009F2A0000}"/>
    <cellStyle name="20 % - Markeringsfarve6 2 3 5 2 2 3 2" xfId="31891" xr:uid="{00000000-0005-0000-0000-0000A02A0000}"/>
    <cellStyle name="20 % - Markeringsfarve6 2 3 5 2 2 4" xfId="24889" xr:uid="{00000000-0005-0000-0000-0000A12A0000}"/>
    <cellStyle name="20 % - Markeringsfarve6 2 3 5 2 3" xfId="8816" xr:uid="{00000000-0005-0000-0000-0000A22A0000}"/>
    <cellStyle name="20 % - Markeringsfarve6 2 3 5 2 3 2" xfId="16730" xr:uid="{00000000-0005-0000-0000-0000A32A0000}"/>
    <cellStyle name="20 % - Markeringsfarve6 2 3 5 2 3 2 2" xfId="34890" xr:uid="{00000000-0005-0000-0000-0000A42A0000}"/>
    <cellStyle name="20 % - Markeringsfarve6 2 3 5 2 3 3" xfId="27889" xr:uid="{00000000-0005-0000-0000-0000A52A0000}"/>
    <cellStyle name="20 % - Markeringsfarve6 2 3 5 2 4" xfId="13723" xr:uid="{00000000-0005-0000-0000-0000A62A0000}"/>
    <cellStyle name="20 % - Markeringsfarve6 2 3 5 2 4 2" xfId="31890" xr:uid="{00000000-0005-0000-0000-0000A72A0000}"/>
    <cellStyle name="20 % - Markeringsfarve6 2 3 5 2 5" xfId="24888" xr:uid="{00000000-0005-0000-0000-0000A82A0000}"/>
    <cellStyle name="20 % - Markeringsfarve6 2 3 5 3" xfId="5171" xr:uid="{00000000-0005-0000-0000-0000A92A0000}"/>
    <cellStyle name="20 % - Markeringsfarve6 2 3 5 3 2" xfId="9581" xr:uid="{00000000-0005-0000-0000-0000AA2A0000}"/>
    <cellStyle name="20 % - Markeringsfarve6 2 3 5 3 2 2" xfId="17491" xr:uid="{00000000-0005-0000-0000-0000AB2A0000}"/>
    <cellStyle name="20 % - Markeringsfarve6 2 3 5 3 2 2 2" xfId="35651" xr:uid="{00000000-0005-0000-0000-0000AC2A0000}"/>
    <cellStyle name="20 % - Markeringsfarve6 2 3 5 3 2 3" xfId="28650" xr:uid="{00000000-0005-0000-0000-0000AD2A0000}"/>
    <cellStyle name="20 % - Markeringsfarve6 2 3 5 3 3" xfId="13725" xr:uid="{00000000-0005-0000-0000-0000AE2A0000}"/>
    <cellStyle name="20 % - Markeringsfarve6 2 3 5 3 3 2" xfId="31892" xr:uid="{00000000-0005-0000-0000-0000AF2A0000}"/>
    <cellStyle name="20 % - Markeringsfarve6 2 3 5 3 4" xfId="24890" xr:uid="{00000000-0005-0000-0000-0000B02A0000}"/>
    <cellStyle name="20 % - Markeringsfarve6 2 3 5 4" xfId="5172" xr:uid="{00000000-0005-0000-0000-0000B12A0000}"/>
    <cellStyle name="20 % - Markeringsfarve6 2 3 5 4 2" xfId="10646" xr:uid="{00000000-0005-0000-0000-0000B22A0000}"/>
    <cellStyle name="20 % - Markeringsfarve6 2 3 5 4 2 2" xfId="18539" xr:uid="{00000000-0005-0000-0000-0000B32A0000}"/>
    <cellStyle name="20 % - Markeringsfarve6 2 3 5 4 2 2 2" xfId="36699" xr:uid="{00000000-0005-0000-0000-0000B42A0000}"/>
    <cellStyle name="20 % - Markeringsfarve6 2 3 5 4 2 3" xfId="29698" xr:uid="{00000000-0005-0000-0000-0000B52A0000}"/>
    <cellStyle name="20 % - Markeringsfarve6 2 3 5 4 3" xfId="13726" xr:uid="{00000000-0005-0000-0000-0000B62A0000}"/>
    <cellStyle name="20 % - Markeringsfarve6 2 3 5 4 3 2" xfId="31893" xr:uid="{00000000-0005-0000-0000-0000B72A0000}"/>
    <cellStyle name="20 % - Markeringsfarve6 2 3 5 4 4" xfId="24891" xr:uid="{00000000-0005-0000-0000-0000B82A0000}"/>
    <cellStyle name="20 % - Markeringsfarve6 2 3 5 5" xfId="7932" xr:uid="{00000000-0005-0000-0000-0000B92A0000}"/>
    <cellStyle name="20 % - Markeringsfarve6 2 3 5 5 2" xfId="15850" xr:uid="{00000000-0005-0000-0000-0000BA2A0000}"/>
    <cellStyle name="20 % - Markeringsfarve6 2 3 5 5 2 2" xfId="34010" xr:uid="{00000000-0005-0000-0000-0000BB2A0000}"/>
    <cellStyle name="20 % - Markeringsfarve6 2 3 5 5 3" xfId="27009" xr:uid="{00000000-0005-0000-0000-0000BC2A0000}"/>
    <cellStyle name="20 % - Markeringsfarve6 2 3 5 6" xfId="13722" xr:uid="{00000000-0005-0000-0000-0000BD2A0000}"/>
    <cellStyle name="20 % - Markeringsfarve6 2 3 5 6 2" xfId="31889" xr:uid="{00000000-0005-0000-0000-0000BE2A0000}"/>
    <cellStyle name="20 % - Markeringsfarve6 2 3 5 7" xfId="24887" xr:uid="{00000000-0005-0000-0000-0000BF2A0000}"/>
    <cellStyle name="20 % - Markeringsfarve6 2 3 6" xfId="5173" xr:uid="{00000000-0005-0000-0000-0000C02A0000}"/>
    <cellStyle name="20 % - Markeringsfarve6 2 3 6 2" xfId="5174" xr:uid="{00000000-0005-0000-0000-0000C12A0000}"/>
    <cellStyle name="20 % - Markeringsfarve6 2 3 6 2 2" xfId="5175" xr:uid="{00000000-0005-0000-0000-0000C22A0000}"/>
    <cellStyle name="20 % - Markeringsfarve6 2 3 6 2 2 2" xfId="10356" xr:uid="{00000000-0005-0000-0000-0000C32A0000}"/>
    <cellStyle name="20 % - Markeringsfarve6 2 3 6 2 2 2 2" xfId="18257" xr:uid="{00000000-0005-0000-0000-0000C42A0000}"/>
    <cellStyle name="20 % - Markeringsfarve6 2 3 6 2 2 2 2 2" xfId="36417" xr:uid="{00000000-0005-0000-0000-0000C52A0000}"/>
    <cellStyle name="20 % - Markeringsfarve6 2 3 6 2 2 2 3" xfId="29416" xr:uid="{00000000-0005-0000-0000-0000C62A0000}"/>
    <cellStyle name="20 % - Markeringsfarve6 2 3 6 2 2 3" xfId="13729" xr:uid="{00000000-0005-0000-0000-0000C72A0000}"/>
    <cellStyle name="20 % - Markeringsfarve6 2 3 6 2 2 3 2" xfId="31896" xr:uid="{00000000-0005-0000-0000-0000C82A0000}"/>
    <cellStyle name="20 % - Markeringsfarve6 2 3 6 2 2 4" xfId="24894" xr:uid="{00000000-0005-0000-0000-0000C92A0000}"/>
    <cellStyle name="20 % - Markeringsfarve6 2 3 6 2 3" xfId="8858" xr:uid="{00000000-0005-0000-0000-0000CA2A0000}"/>
    <cellStyle name="20 % - Markeringsfarve6 2 3 6 2 3 2" xfId="16772" xr:uid="{00000000-0005-0000-0000-0000CB2A0000}"/>
    <cellStyle name="20 % - Markeringsfarve6 2 3 6 2 3 2 2" xfId="34932" xr:uid="{00000000-0005-0000-0000-0000CC2A0000}"/>
    <cellStyle name="20 % - Markeringsfarve6 2 3 6 2 3 3" xfId="27931" xr:uid="{00000000-0005-0000-0000-0000CD2A0000}"/>
    <cellStyle name="20 % - Markeringsfarve6 2 3 6 2 4" xfId="13728" xr:uid="{00000000-0005-0000-0000-0000CE2A0000}"/>
    <cellStyle name="20 % - Markeringsfarve6 2 3 6 2 4 2" xfId="31895" xr:uid="{00000000-0005-0000-0000-0000CF2A0000}"/>
    <cellStyle name="20 % - Markeringsfarve6 2 3 6 2 5" xfId="24893" xr:uid="{00000000-0005-0000-0000-0000D02A0000}"/>
    <cellStyle name="20 % - Markeringsfarve6 2 3 6 3" xfId="5176" xr:uid="{00000000-0005-0000-0000-0000D12A0000}"/>
    <cellStyle name="20 % - Markeringsfarve6 2 3 6 3 2" xfId="9633" xr:uid="{00000000-0005-0000-0000-0000D22A0000}"/>
    <cellStyle name="20 % - Markeringsfarve6 2 3 6 3 2 2" xfId="17543" xr:uid="{00000000-0005-0000-0000-0000D32A0000}"/>
    <cellStyle name="20 % - Markeringsfarve6 2 3 6 3 2 2 2" xfId="35703" xr:uid="{00000000-0005-0000-0000-0000D42A0000}"/>
    <cellStyle name="20 % - Markeringsfarve6 2 3 6 3 2 3" xfId="28702" xr:uid="{00000000-0005-0000-0000-0000D52A0000}"/>
    <cellStyle name="20 % - Markeringsfarve6 2 3 6 3 3" xfId="13730" xr:uid="{00000000-0005-0000-0000-0000D62A0000}"/>
    <cellStyle name="20 % - Markeringsfarve6 2 3 6 3 3 2" xfId="31897" xr:uid="{00000000-0005-0000-0000-0000D72A0000}"/>
    <cellStyle name="20 % - Markeringsfarve6 2 3 6 3 4" xfId="24895" xr:uid="{00000000-0005-0000-0000-0000D82A0000}"/>
    <cellStyle name="20 % - Markeringsfarve6 2 3 6 4" xfId="5177" xr:uid="{00000000-0005-0000-0000-0000D92A0000}"/>
    <cellStyle name="20 % - Markeringsfarve6 2 3 6 4 2" xfId="10878" xr:uid="{00000000-0005-0000-0000-0000DA2A0000}"/>
    <cellStyle name="20 % - Markeringsfarve6 2 3 6 4 2 2" xfId="18761" xr:uid="{00000000-0005-0000-0000-0000DB2A0000}"/>
    <cellStyle name="20 % - Markeringsfarve6 2 3 6 4 2 2 2" xfId="36921" xr:uid="{00000000-0005-0000-0000-0000DC2A0000}"/>
    <cellStyle name="20 % - Markeringsfarve6 2 3 6 4 2 3" xfId="29920" xr:uid="{00000000-0005-0000-0000-0000DD2A0000}"/>
    <cellStyle name="20 % - Markeringsfarve6 2 3 6 4 3" xfId="13731" xr:uid="{00000000-0005-0000-0000-0000DE2A0000}"/>
    <cellStyle name="20 % - Markeringsfarve6 2 3 6 4 3 2" xfId="31898" xr:uid="{00000000-0005-0000-0000-0000DF2A0000}"/>
    <cellStyle name="20 % - Markeringsfarve6 2 3 6 4 4" xfId="24896" xr:uid="{00000000-0005-0000-0000-0000E02A0000}"/>
    <cellStyle name="20 % - Markeringsfarve6 2 3 6 5" xfId="7933" xr:uid="{00000000-0005-0000-0000-0000E12A0000}"/>
    <cellStyle name="20 % - Markeringsfarve6 2 3 6 5 2" xfId="15851" xr:uid="{00000000-0005-0000-0000-0000E22A0000}"/>
    <cellStyle name="20 % - Markeringsfarve6 2 3 6 5 2 2" xfId="34011" xr:uid="{00000000-0005-0000-0000-0000E32A0000}"/>
    <cellStyle name="20 % - Markeringsfarve6 2 3 6 5 3" xfId="27010" xr:uid="{00000000-0005-0000-0000-0000E42A0000}"/>
    <cellStyle name="20 % - Markeringsfarve6 2 3 6 6" xfId="13727" xr:uid="{00000000-0005-0000-0000-0000E52A0000}"/>
    <cellStyle name="20 % - Markeringsfarve6 2 3 6 6 2" xfId="31894" xr:uid="{00000000-0005-0000-0000-0000E62A0000}"/>
    <cellStyle name="20 % - Markeringsfarve6 2 3 6 7" xfId="24892" xr:uid="{00000000-0005-0000-0000-0000E72A0000}"/>
    <cellStyle name="20 % - Markeringsfarve6 2 3 7" xfId="5178" xr:uid="{00000000-0005-0000-0000-0000E82A0000}"/>
    <cellStyle name="20 % - Markeringsfarve6 2 3 7 2" xfId="5179" xr:uid="{00000000-0005-0000-0000-0000E92A0000}"/>
    <cellStyle name="20 % - Markeringsfarve6 2 3 7 2 2" xfId="9831" xr:uid="{00000000-0005-0000-0000-0000EA2A0000}"/>
    <cellStyle name="20 % - Markeringsfarve6 2 3 7 2 2 2" xfId="17732" xr:uid="{00000000-0005-0000-0000-0000EB2A0000}"/>
    <cellStyle name="20 % - Markeringsfarve6 2 3 7 2 2 2 2" xfId="35892" xr:uid="{00000000-0005-0000-0000-0000EC2A0000}"/>
    <cellStyle name="20 % - Markeringsfarve6 2 3 7 2 2 3" xfId="28891" xr:uid="{00000000-0005-0000-0000-0000ED2A0000}"/>
    <cellStyle name="20 % - Markeringsfarve6 2 3 7 2 3" xfId="13733" xr:uid="{00000000-0005-0000-0000-0000EE2A0000}"/>
    <cellStyle name="20 % - Markeringsfarve6 2 3 7 2 3 2" xfId="31900" xr:uid="{00000000-0005-0000-0000-0000EF2A0000}"/>
    <cellStyle name="20 % - Markeringsfarve6 2 3 7 2 4" xfId="24898" xr:uid="{00000000-0005-0000-0000-0000F02A0000}"/>
    <cellStyle name="20 % - Markeringsfarve6 2 3 7 3" xfId="8416" xr:uid="{00000000-0005-0000-0000-0000F12A0000}"/>
    <cellStyle name="20 % - Markeringsfarve6 2 3 7 3 2" xfId="16333" xr:uid="{00000000-0005-0000-0000-0000F22A0000}"/>
    <cellStyle name="20 % - Markeringsfarve6 2 3 7 3 2 2" xfId="34493" xr:uid="{00000000-0005-0000-0000-0000F32A0000}"/>
    <cellStyle name="20 % - Markeringsfarve6 2 3 7 3 3" xfId="27492" xr:uid="{00000000-0005-0000-0000-0000F42A0000}"/>
    <cellStyle name="20 % - Markeringsfarve6 2 3 7 4" xfId="13732" xr:uid="{00000000-0005-0000-0000-0000F52A0000}"/>
    <cellStyle name="20 % - Markeringsfarve6 2 3 7 4 2" xfId="31899" xr:uid="{00000000-0005-0000-0000-0000F62A0000}"/>
    <cellStyle name="20 % - Markeringsfarve6 2 3 7 5" xfId="24897" xr:uid="{00000000-0005-0000-0000-0000F72A0000}"/>
    <cellStyle name="20 % - Markeringsfarve6 2 3 8" xfId="5180" xr:uid="{00000000-0005-0000-0000-0000F82A0000}"/>
    <cellStyle name="20 % - Markeringsfarve6 2 3 8 2" xfId="9059" xr:uid="{00000000-0005-0000-0000-0000F92A0000}"/>
    <cellStyle name="20 % - Markeringsfarve6 2 3 8 2 2" xfId="16970" xr:uid="{00000000-0005-0000-0000-0000FA2A0000}"/>
    <cellStyle name="20 % - Markeringsfarve6 2 3 8 2 2 2" xfId="35130" xr:uid="{00000000-0005-0000-0000-0000FB2A0000}"/>
    <cellStyle name="20 % - Markeringsfarve6 2 3 8 2 3" xfId="28129" xr:uid="{00000000-0005-0000-0000-0000FC2A0000}"/>
    <cellStyle name="20 % - Markeringsfarve6 2 3 8 3" xfId="13734" xr:uid="{00000000-0005-0000-0000-0000FD2A0000}"/>
    <cellStyle name="20 % - Markeringsfarve6 2 3 8 3 2" xfId="31901" xr:uid="{00000000-0005-0000-0000-0000FE2A0000}"/>
    <cellStyle name="20 % - Markeringsfarve6 2 3 8 4" xfId="24899" xr:uid="{00000000-0005-0000-0000-0000FF2A0000}"/>
    <cellStyle name="20 % - Markeringsfarve6 2 3 9" xfId="5181" xr:uid="{00000000-0005-0000-0000-0000002B0000}"/>
    <cellStyle name="20 % - Markeringsfarve6 2 3 9 2" xfId="10731" xr:uid="{00000000-0005-0000-0000-0000012B0000}"/>
    <cellStyle name="20 % - Markeringsfarve6 2 3 9 2 2" xfId="18620" xr:uid="{00000000-0005-0000-0000-0000022B0000}"/>
    <cellStyle name="20 % - Markeringsfarve6 2 3 9 2 2 2" xfId="36780" xr:uid="{00000000-0005-0000-0000-0000032B0000}"/>
    <cellStyle name="20 % - Markeringsfarve6 2 3 9 2 3" xfId="29779" xr:uid="{00000000-0005-0000-0000-0000042B0000}"/>
    <cellStyle name="20 % - Markeringsfarve6 2 3 9 3" xfId="13735" xr:uid="{00000000-0005-0000-0000-0000052B0000}"/>
    <cellStyle name="20 % - Markeringsfarve6 2 3 9 3 2" xfId="31902" xr:uid="{00000000-0005-0000-0000-0000062B0000}"/>
    <cellStyle name="20 % - Markeringsfarve6 2 3 9 4" xfId="24900" xr:uid="{00000000-0005-0000-0000-0000072B0000}"/>
    <cellStyle name="20 % - Markeringsfarve6 2 4" xfId="1851" xr:uid="{00000000-0005-0000-0000-0000082B0000}"/>
    <cellStyle name="20 % - Markeringsfarve6 2 4 2" xfId="5183" xr:uid="{00000000-0005-0000-0000-0000092B0000}"/>
    <cellStyle name="20 % - Markeringsfarve6 2 4 2 2" xfId="5184" xr:uid="{00000000-0005-0000-0000-00000A2B0000}"/>
    <cellStyle name="20 % - Markeringsfarve6 2 4 2 2 2" xfId="9872" xr:uid="{00000000-0005-0000-0000-00000B2B0000}"/>
    <cellStyle name="20 % - Markeringsfarve6 2 4 2 2 2 2" xfId="17773" xr:uid="{00000000-0005-0000-0000-00000C2B0000}"/>
    <cellStyle name="20 % - Markeringsfarve6 2 4 2 2 2 2 2" xfId="35933" xr:uid="{00000000-0005-0000-0000-00000D2B0000}"/>
    <cellStyle name="20 % - Markeringsfarve6 2 4 2 2 2 3" xfId="28932" xr:uid="{00000000-0005-0000-0000-00000E2B0000}"/>
    <cellStyle name="20 % - Markeringsfarve6 2 4 2 2 3" xfId="13738" xr:uid="{00000000-0005-0000-0000-00000F2B0000}"/>
    <cellStyle name="20 % - Markeringsfarve6 2 4 2 2 3 2" xfId="31905" xr:uid="{00000000-0005-0000-0000-0000102B0000}"/>
    <cellStyle name="20 % - Markeringsfarve6 2 4 2 2 4" xfId="24903" xr:uid="{00000000-0005-0000-0000-0000112B0000}"/>
    <cellStyle name="20 % - Markeringsfarve6 2 4 2 3" xfId="8449" xr:uid="{00000000-0005-0000-0000-0000122B0000}"/>
    <cellStyle name="20 % - Markeringsfarve6 2 4 2 3 2" xfId="16366" xr:uid="{00000000-0005-0000-0000-0000132B0000}"/>
    <cellStyle name="20 % - Markeringsfarve6 2 4 2 3 2 2" xfId="34526" xr:uid="{00000000-0005-0000-0000-0000142B0000}"/>
    <cellStyle name="20 % - Markeringsfarve6 2 4 2 3 3" xfId="27525" xr:uid="{00000000-0005-0000-0000-0000152B0000}"/>
    <cellStyle name="20 % - Markeringsfarve6 2 4 2 4" xfId="13737" xr:uid="{00000000-0005-0000-0000-0000162B0000}"/>
    <cellStyle name="20 % - Markeringsfarve6 2 4 2 4 2" xfId="31904" xr:uid="{00000000-0005-0000-0000-0000172B0000}"/>
    <cellStyle name="20 % - Markeringsfarve6 2 4 2 5" xfId="24902" xr:uid="{00000000-0005-0000-0000-0000182B0000}"/>
    <cellStyle name="20 % - Markeringsfarve6 2 4 3" xfId="5185" xr:uid="{00000000-0005-0000-0000-0000192B0000}"/>
    <cellStyle name="20 % - Markeringsfarve6 2 4 3 2" xfId="9102" xr:uid="{00000000-0005-0000-0000-00001A2B0000}"/>
    <cellStyle name="20 % - Markeringsfarve6 2 4 3 2 2" xfId="17013" xr:uid="{00000000-0005-0000-0000-00001B2B0000}"/>
    <cellStyle name="20 % - Markeringsfarve6 2 4 3 2 2 2" xfId="35173" xr:uid="{00000000-0005-0000-0000-00001C2B0000}"/>
    <cellStyle name="20 % - Markeringsfarve6 2 4 3 2 3" xfId="28172" xr:uid="{00000000-0005-0000-0000-00001D2B0000}"/>
    <cellStyle name="20 % - Markeringsfarve6 2 4 3 3" xfId="13739" xr:uid="{00000000-0005-0000-0000-00001E2B0000}"/>
    <cellStyle name="20 % - Markeringsfarve6 2 4 3 3 2" xfId="31906" xr:uid="{00000000-0005-0000-0000-00001F2B0000}"/>
    <cellStyle name="20 % - Markeringsfarve6 2 4 3 4" xfId="24904" xr:uid="{00000000-0005-0000-0000-0000202B0000}"/>
    <cellStyle name="20 % - Markeringsfarve6 2 4 4" xfId="5186" xr:uid="{00000000-0005-0000-0000-0000212B0000}"/>
    <cellStyle name="20 % - Markeringsfarve6 2 4 4 2" xfId="10527" xr:uid="{00000000-0005-0000-0000-0000222B0000}"/>
    <cellStyle name="20 % - Markeringsfarve6 2 4 4 2 2" xfId="18421" xr:uid="{00000000-0005-0000-0000-0000232B0000}"/>
    <cellStyle name="20 % - Markeringsfarve6 2 4 4 2 2 2" xfId="36581" xr:uid="{00000000-0005-0000-0000-0000242B0000}"/>
    <cellStyle name="20 % - Markeringsfarve6 2 4 4 2 3" xfId="29580" xr:uid="{00000000-0005-0000-0000-0000252B0000}"/>
    <cellStyle name="20 % - Markeringsfarve6 2 4 4 3" xfId="13740" xr:uid="{00000000-0005-0000-0000-0000262B0000}"/>
    <cellStyle name="20 % - Markeringsfarve6 2 4 4 3 2" xfId="31907" xr:uid="{00000000-0005-0000-0000-0000272B0000}"/>
    <cellStyle name="20 % - Markeringsfarve6 2 4 4 4" xfId="24905" xr:uid="{00000000-0005-0000-0000-0000282B0000}"/>
    <cellStyle name="20 % - Markeringsfarve6 2 4 5" xfId="7934" xr:uid="{00000000-0005-0000-0000-0000292B0000}"/>
    <cellStyle name="20 % - Markeringsfarve6 2 4 5 2" xfId="15852" xr:uid="{00000000-0005-0000-0000-00002A2B0000}"/>
    <cellStyle name="20 % - Markeringsfarve6 2 4 5 2 2" xfId="34012" xr:uid="{00000000-0005-0000-0000-00002B2B0000}"/>
    <cellStyle name="20 % - Markeringsfarve6 2 4 5 3" xfId="27011" xr:uid="{00000000-0005-0000-0000-00002C2B0000}"/>
    <cellStyle name="20 % - Markeringsfarve6 2 4 6" xfId="13736" xr:uid="{00000000-0005-0000-0000-00002D2B0000}"/>
    <cellStyle name="20 % - Markeringsfarve6 2 4 6 2" xfId="31903" xr:uid="{00000000-0005-0000-0000-00002E2B0000}"/>
    <cellStyle name="20 % - Markeringsfarve6 2 4 7" xfId="5182" xr:uid="{00000000-0005-0000-0000-00002F2B0000}"/>
    <cellStyle name="20 % - Markeringsfarve6 2 4 7 2" xfId="24901" xr:uid="{00000000-0005-0000-0000-0000302B0000}"/>
    <cellStyle name="20 % - Markeringsfarve6 2 4 8" xfId="21975" xr:uid="{00000000-0005-0000-0000-0000312B0000}"/>
    <cellStyle name="20 % - Markeringsfarve6 2 5" xfId="5187" xr:uid="{00000000-0005-0000-0000-0000322B0000}"/>
    <cellStyle name="20 % - Markeringsfarve6 2 5 2" xfId="5188" xr:uid="{00000000-0005-0000-0000-0000332B0000}"/>
    <cellStyle name="20 % - Markeringsfarve6 2 5 2 2" xfId="5189" xr:uid="{00000000-0005-0000-0000-0000342B0000}"/>
    <cellStyle name="20 % - Markeringsfarve6 2 5 2 2 2" xfId="10000" xr:uid="{00000000-0005-0000-0000-0000352B0000}"/>
    <cellStyle name="20 % - Markeringsfarve6 2 5 2 2 2 2" xfId="17901" xr:uid="{00000000-0005-0000-0000-0000362B0000}"/>
    <cellStyle name="20 % - Markeringsfarve6 2 5 2 2 2 2 2" xfId="36061" xr:uid="{00000000-0005-0000-0000-0000372B0000}"/>
    <cellStyle name="20 % - Markeringsfarve6 2 5 2 2 2 3" xfId="29060" xr:uid="{00000000-0005-0000-0000-0000382B0000}"/>
    <cellStyle name="20 % - Markeringsfarve6 2 5 2 2 3" xfId="13743" xr:uid="{00000000-0005-0000-0000-0000392B0000}"/>
    <cellStyle name="20 % - Markeringsfarve6 2 5 2 2 3 2" xfId="31910" xr:uid="{00000000-0005-0000-0000-00003A2B0000}"/>
    <cellStyle name="20 % - Markeringsfarve6 2 5 2 2 4" xfId="24908" xr:uid="{00000000-0005-0000-0000-00003B2B0000}"/>
    <cellStyle name="20 % - Markeringsfarve6 2 5 2 3" xfId="8555" xr:uid="{00000000-0005-0000-0000-00003C2B0000}"/>
    <cellStyle name="20 % - Markeringsfarve6 2 5 2 3 2" xfId="16472" xr:uid="{00000000-0005-0000-0000-00003D2B0000}"/>
    <cellStyle name="20 % - Markeringsfarve6 2 5 2 3 2 2" xfId="34632" xr:uid="{00000000-0005-0000-0000-00003E2B0000}"/>
    <cellStyle name="20 % - Markeringsfarve6 2 5 2 3 3" xfId="27631" xr:uid="{00000000-0005-0000-0000-00003F2B0000}"/>
    <cellStyle name="20 % - Markeringsfarve6 2 5 2 4" xfId="13742" xr:uid="{00000000-0005-0000-0000-0000402B0000}"/>
    <cellStyle name="20 % - Markeringsfarve6 2 5 2 4 2" xfId="31909" xr:uid="{00000000-0005-0000-0000-0000412B0000}"/>
    <cellStyle name="20 % - Markeringsfarve6 2 5 2 5" xfId="24907" xr:uid="{00000000-0005-0000-0000-0000422B0000}"/>
    <cellStyle name="20 % - Markeringsfarve6 2 5 3" xfId="5190" xr:uid="{00000000-0005-0000-0000-0000432B0000}"/>
    <cellStyle name="20 % - Markeringsfarve6 2 5 3 2" xfId="9230" xr:uid="{00000000-0005-0000-0000-0000442B0000}"/>
    <cellStyle name="20 % - Markeringsfarve6 2 5 3 2 2" xfId="17141" xr:uid="{00000000-0005-0000-0000-0000452B0000}"/>
    <cellStyle name="20 % - Markeringsfarve6 2 5 3 2 2 2" xfId="35301" xr:uid="{00000000-0005-0000-0000-0000462B0000}"/>
    <cellStyle name="20 % - Markeringsfarve6 2 5 3 2 3" xfId="28300" xr:uid="{00000000-0005-0000-0000-0000472B0000}"/>
    <cellStyle name="20 % - Markeringsfarve6 2 5 3 3" xfId="13744" xr:uid="{00000000-0005-0000-0000-0000482B0000}"/>
    <cellStyle name="20 % - Markeringsfarve6 2 5 3 3 2" xfId="31911" xr:uid="{00000000-0005-0000-0000-0000492B0000}"/>
    <cellStyle name="20 % - Markeringsfarve6 2 5 3 4" xfId="24909" xr:uid="{00000000-0005-0000-0000-00004A2B0000}"/>
    <cellStyle name="20 % - Markeringsfarve6 2 5 4" xfId="5191" xr:uid="{00000000-0005-0000-0000-00004B2B0000}"/>
    <cellStyle name="20 % - Markeringsfarve6 2 5 4 2" xfId="10831" xr:uid="{00000000-0005-0000-0000-00004C2B0000}"/>
    <cellStyle name="20 % - Markeringsfarve6 2 5 4 2 2" xfId="18717" xr:uid="{00000000-0005-0000-0000-00004D2B0000}"/>
    <cellStyle name="20 % - Markeringsfarve6 2 5 4 2 2 2" xfId="36877" xr:uid="{00000000-0005-0000-0000-00004E2B0000}"/>
    <cellStyle name="20 % - Markeringsfarve6 2 5 4 2 3" xfId="29876" xr:uid="{00000000-0005-0000-0000-00004F2B0000}"/>
    <cellStyle name="20 % - Markeringsfarve6 2 5 4 3" xfId="13745" xr:uid="{00000000-0005-0000-0000-0000502B0000}"/>
    <cellStyle name="20 % - Markeringsfarve6 2 5 4 3 2" xfId="31912" xr:uid="{00000000-0005-0000-0000-0000512B0000}"/>
    <cellStyle name="20 % - Markeringsfarve6 2 5 4 4" xfId="24910" xr:uid="{00000000-0005-0000-0000-0000522B0000}"/>
    <cellStyle name="20 % - Markeringsfarve6 2 5 5" xfId="7935" xr:uid="{00000000-0005-0000-0000-0000532B0000}"/>
    <cellStyle name="20 % - Markeringsfarve6 2 5 5 2" xfId="15853" xr:uid="{00000000-0005-0000-0000-0000542B0000}"/>
    <cellStyle name="20 % - Markeringsfarve6 2 5 5 2 2" xfId="34013" xr:uid="{00000000-0005-0000-0000-0000552B0000}"/>
    <cellStyle name="20 % - Markeringsfarve6 2 5 5 3" xfId="27012" xr:uid="{00000000-0005-0000-0000-0000562B0000}"/>
    <cellStyle name="20 % - Markeringsfarve6 2 5 6" xfId="13741" xr:uid="{00000000-0005-0000-0000-0000572B0000}"/>
    <cellStyle name="20 % - Markeringsfarve6 2 5 6 2" xfId="31908" xr:uid="{00000000-0005-0000-0000-0000582B0000}"/>
    <cellStyle name="20 % - Markeringsfarve6 2 5 7" xfId="24906" xr:uid="{00000000-0005-0000-0000-0000592B0000}"/>
    <cellStyle name="20 % - Markeringsfarve6 2 6" xfId="5192" xr:uid="{00000000-0005-0000-0000-00005A2B0000}"/>
    <cellStyle name="20 % - Markeringsfarve6 2 6 2" xfId="5193" xr:uid="{00000000-0005-0000-0000-00005B2B0000}"/>
    <cellStyle name="20 % - Markeringsfarve6 2 6 2 2" xfId="5194" xr:uid="{00000000-0005-0000-0000-00005C2B0000}"/>
    <cellStyle name="20 % - Markeringsfarve6 2 6 2 2 2" xfId="10110" xr:uid="{00000000-0005-0000-0000-00005D2B0000}"/>
    <cellStyle name="20 % - Markeringsfarve6 2 6 2 2 2 2" xfId="18011" xr:uid="{00000000-0005-0000-0000-00005E2B0000}"/>
    <cellStyle name="20 % - Markeringsfarve6 2 6 2 2 2 2 2" xfId="36171" xr:uid="{00000000-0005-0000-0000-00005F2B0000}"/>
    <cellStyle name="20 % - Markeringsfarve6 2 6 2 2 2 3" xfId="29170" xr:uid="{00000000-0005-0000-0000-0000602B0000}"/>
    <cellStyle name="20 % - Markeringsfarve6 2 6 2 2 3" xfId="13748" xr:uid="{00000000-0005-0000-0000-0000612B0000}"/>
    <cellStyle name="20 % - Markeringsfarve6 2 6 2 2 3 2" xfId="31915" xr:uid="{00000000-0005-0000-0000-0000622B0000}"/>
    <cellStyle name="20 % - Markeringsfarve6 2 6 2 2 4" xfId="24913" xr:uid="{00000000-0005-0000-0000-0000632B0000}"/>
    <cellStyle name="20 % - Markeringsfarve6 2 6 2 3" xfId="8651" xr:uid="{00000000-0005-0000-0000-0000642B0000}"/>
    <cellStyle name="20 % - Markeringsfarve6 2 6 2 3 2" xfId="16565" xr:uid="{00000000-0005-0000-0000-0000652B0000}"/>
    <cellStyle name="20 % - Markeringsfarve6 2 6 2 3 2 2" xfId="34725" xr:uid="{00000000-0005-0000-0000-0000662B0000}"/>
    <cellStyle name="20 % - Markeringsfarve6 2 6 2 3 3" xfId="27724" xr:uid="{00000000-0005-0000-0000-0000672B0000}"/>
    <cellStyle name="20 % - Markeringsfarve6 2 6 2 4" xfId="13747" xr:uid="{00000000-0005-0000-0000-0000682B0000}"/>
    <cellStyle name="20 % - Markeringsfarve6 2 6 2 4 2" xfId="31914" xr:uid="{00000000-0005-0000-0000-0000692B0000}"/>
    <cellStyle name="20 % - Markeringsfarve6 2 6 2 5" xfId="24912" xr:uid="{00000000-0005-0000-0000-00006A2B0000}"/>
    <cellStyle name="20 % - Markeringsfarve6 2 6 3" xfId="5195" xr:uid="{00000000-0005-0000-0000-00006B2B0000}"/>
    <cellStyle name="20 % - Markeringsfarve6 2 6 3 2" xfId="9386" xr:uid="{00000000-0005-0000-0000-00006C2B0000}"/>
    <cellStyle name="20 % - Markeringsfarve6 2 6 3 2 2" xfId="17296" xr:uid="{00000000-0005-0000-0000-00006D2B0000}"/>
    <cellStyle name="20 % - Markeringsfarve6 2 6 3 2 2 2" xfId="35456" xr:uid="{00000000-0005-0000-0000-00006E2B0000}"/>
    <cellStyle name="20 % - Markeringsfarve6 2 6 3 2 3" xfId="28455" xr:uid="{00000000-0005-0000-0000-00006F2B0000}"/>
    <cellStyle name="20 % - Markeringsfarve6 2 6 3 3" xfId="13749" xr:uid="{00000000-0005-0000-0000-0000702B0000}"/>
    <cellStyle name="20 % - Markeringsfarve6 2 6 3 3 2" xfId="31916" xr:uid="{00000000-0005-0000-0000-0000712B0000}"/>
    <cellStyle name="20 % - Markeringsfarve6 2 6 3 4" xfId="24914" xr:uid="{00000000-0005-0000-0000-0000722B0000}"/>
    <cellStyle name="20 % - Markeringsfarve6 2 6 4" xfId="5196" xr:uid="{00000000-0005-0000-0000-0000732B0000}"/>
    <cellStyle name="20 % - Markeringsfarve6 2 6 4 2" xfId="10482" xr:uid="{00000000-0005-0000-0000-0000742B0000}"/>
    <cellStyle name="20 % - Markeringsfarve6 2 6 4 2 2" xfId="18378" xr:uid="{00000000-0005-0000-0000-0000752B0000}"/>
    <cellStyle name="20 % - Markeringsfarve6 2 6 4 2 2 2" xfId="36538" xr:uid="{00000000-0005-0000-0000-0000762B0000}"/>
    <cellStyle name="20 % - Markeringsfarve6 2 6 4 2 3" xfId="29537" xr:uid="{00000000-0005-0000-0000-0000772B0000}"/>
    <cellStyle name="20 % - Markeringsfarve6 2 6 4 3" xfId="13750" xr:uid="{00000000-0005-0000-0000-0000782B0000}"/>
    <cellStyle name="20 % - Markeringsfarve6 2 6 4 3 2" xfId="31917" xr:uid="{00000000-0005-0000-0000-0000792B0000}"/>
    <cellStyle name="20 % - Markeringsfarve6 2 6 4 4" xfId="24915" xr:uid="{00000000-0005-0000-0000-00007A2B0000}"/>
    <cellStyle name="20 % - Markeringsfarve6 2 6 5" xfId="7936" xr:uid="{00000000-0005-0000-0000-00007B2B0000}"/>
    <cellStyle name="20 % - Markeringsfarve6 2 6 5 2" xfId="15854" xr:uid="{00000000-0005-0000-0000-00007C2B0000}"/>
    <cellStyle name="20 % - Markeringsfarve6 2 6 5 2 2" xfId="34014" xr:uid="{00000000-0005-0000-0000-00007D2B0000}"/>
    <cellStyle name="20 % - Markeringsfarve6 2 6 5 3" xfId="27013" xr:uid="{00000000-0005-0000-0000-00007E2B0000}"/>
    <cellStyle name="20 % - Markeringsfarve6 2 6 6" xfId="13746" xr:uid="{00000000-0005-0000-0000-00007F2B0000}"/>
    <cellStyle name="20 % - Markeringsfarve6 2 6 6 2" xfId="31913" xr:uid="{00000000-0005-0000-0000-0000802B0000}"/>
    <cellStyle name="20 % - Markeringsfarve6 2 6 7" xfId="24911" xr:uid="{00000000-0005-0000-0000-0000812B0000}"/>
    <cellStyle name="20 % - Markeringsfarve6 2 7" xfId="5197" xr:uid="{00000000-0005-0000-0000-0000822B0000}"/>
    <cellStyle name="20 % - Markeringsfarve6 2 7 2" xfId="5198" xr:uid="{00000000-0005-0000-0000-0000832B0000}"/>
    <cellStyle name="20 % - Markeringsfarve6 2 7 2 2" xfId="5199" xr:uid="{00000000-0005-0000-0000-0000842B0000}"/>
    <cellStyle name="20 % - Markeringsfarve6 2 7 2 2 2" xfId="10227" xr:uid="{00000000-0005-0000-0000-0000852B0000}"/>
    <cellStyle name="20 % - Markeringsfarve6 2 7 2 2 2 2" xfId="18128" xr:uid="{00000000-0005-0000-0000-0000862B0000}"/>
    <cellStyle name="20 % - Markeringsfarve6 2 7 2 2 2 2 2" xfId="36288" xr:uid="{00000000-0005-0000-0000-0000872B0000}"/>
    <cellStyle name="20 % - Markeringsfarve6 2 7 2 2 2 3" xfId="29287" xr:uid="{00000000-0005-0000-0000-0000882B0000}"/>
    <cellStyle name="20 % - Markeringsfarve6 2 7 2 2 3" xfId="13753" xr:uid="{00000000-0005-0000-0000-0000892B0000}"/>
    <cellStyle name="20 % - Markeringsfarve6 2 7 2 2 3 2" xfId="31920" xr:uid="{00000000-0005-0000-0000-00008A2B0000}"/>
    <cellStyle name="20 % - Markeringsfarve6 2 7 2 2 4" xfId="24918" xr:uid="{00000000-0005-0000-0000-00008B2B0000}"/>
    <cellStyle name="20 % - Markeringsfarve6 2 7 2 3" xfId="8750" xr:uid="{00000000-0005-0000-0000-00008C2B0000}"/>
    <cellStyle name="20 % - Markeringsfarve6 2 7 2 3 2" xfId="16664" xr:uid="{00000000-0005-0000-0000-00008D2B0000}"/>
    <cellStyle name="20 % - Markeringsfarve6 2 7 2 3 2 2" xfId="34824" xr:uid="{00000000-0005-0000-0000-00008E2B0000}"/>
    <cellStyle name="20 % - Markeringsfarve6 2 7 2 3 3" xfId="27823" xr:uid="{00000000-0005-0000-0000-00008F2B0000}"/>
    <cellStyle name="20 % - Markeringsfarve6 2 7 2 4" xfId="13752" xr:uid="{00000000-0005-0000-0000-0000902B0000}"/>
    <cellStyle name="20 % - Markeringsfarve6 2 7 2 4 2" xfId="31919" xr:uid="{00000000-0005-0000-0000-0000912B0000}"/>
    <cellStyle name="20 % - Markeringsfarve6 2 7 2 5" xfId="24917" xr:uid="{00000000-0005-0000-0000-0000922B0000}"/>
    <cellStyle name="20 % - Markeringsfarve6 2 7 3" xfId="5200" xr:uid="{00000000-0005-0000-0000-0000932B0000}"/>
    <cellStyle name="20 % - Markeringsfarve6 2 7 3 2" xfId="9503" xr:uid="{00000000-0005-0000-0000-0000942B0000}"/>
    <cellStyle name="20 % - Markeringsfarve6 2 7 3 2 2" xfId="17413" xr:uid="{00000000-0005-0000-0000-0000952B0000}"/>
    <cellStyle name="20 % - Markeringsfarve6 2 7 3 2 2 2" xfId="35573" xr:uid="{00000000-0005-0000-0000-0000962B0000}"/>
    <cellStyle name="20 % - Markeringsfarve6 2 7 3 2 3" xfId="28572" xr:uid="{00000000-0005-0000-0000-0000972B0000}"/>
    <cellStyle name="20 % - Markeringsfarve6 2 7 3 3" xfId="13754" xr:uid="{00000000-0005-0000-0000-0000982B0000}"/>
    <cellStyle name="20 % - Markeringsfarve6 2 7 3 3 2" xfId="31921" xr:uid="{00000000-0005-0000-0000-0000992B0000}"/>
    <cellStyle name="20 % - Markeringsfarve6 2 7 3 4" xfId="24919" xr:uid="{00000000-0005-0000-0000-00009A2B0000}"/>
    <cellStyle name="20 % - Markeringsfarve6 2 7 4" xfId="5201" xr:uid="{00000000-0005-0000-0000-00009B2B0000}"/>
    <cellStyle name="20 % - Markeringsfarve6 2 7 4 2" xfId="10435" xr:uid="{00000000-0005-0000-0000-00009C2B0000}"/>
    <cellStyle name="20 % - Markeringsfarve6 2 7 4 2 2" xfId="18332" xr:uid="{00000000-0005-0000-0000-00009D2B0000}"/>
    <cellStyle name="20 % - Markeringsfarve6 2 7 4 2 2 2" xfId="36492" xr:uid="{00000000-0005-0000-0000-00009E2B0000}"/>
    <cellStyle name="20 % - Markeringsfarve6 2 7 4 2 3" xfId="29491" xr:uid="{00000000-0005-0000-0000-00009F2B0000}"/>
    <cellStyle name="20 % - Markeringsfarve6 2 7 4 3" xfId="13755" xr:uid="{00000000-0005-0000-0000-0000A02B0000}"/>
    <cellStyle name="20 % - Markeringsfarve6 2 7 4 3 2" xfId="31922" xr:uid="{00000000-0005-0000-0000-0000A12B0000}"/>
    <cellStyle name="20 % - Markeringsfarve6 2 7 4 4" xfId="24920" xr:uid="{00000000-0005-0000-0000-0000A22B0000}"/>
    <cellStyle name="20 % - Markeringsfarve6 2 7 5" xfId="7937" xr:uid="{00000000-0005-0000-0000-0000A32B0000}"/>
    <cellStyle name="20 % - Markeringsfarve6 2 7 5 2" xfId="15855" xr:uid="{00000000-0005-0000-0000-0000A42B0000}"/>
    <cellStyle name="20 % - Markeringsfarve6 2 7 5 2 2" xfId="34015" xr:uid="{00000000-0005-0000-0000-0000A52B0000}"/>
    <cellStyle name="20 % - Markeringsfarve6 2 7 5 3" xfId="27014" xr:uid="{00000000-0005-0000-0000-0000A62B0000}"/>
    <cellStyle name="20 % - Markeringsfarve6 2 7 6" xfId="13751" xr:uid="{00000000-0005-0000-0000-0000A72B0000}"/>
    <cellStyle name="20 % - Markeringsfarve6 2 7 6 2" xfId="31918" xr:uid="{00000000-0005-0000-0000-0000A82B0000}"/>
    <cellStyle name="20 % - Markeringsfarve6 2 7 7" xfId="24916" xr:uid="{00000000-0005-0000-0000-0000A92B0000}"/>
    <cellStyle name="20 % - Markeringsfarve6 2 8" xfId="5202" xr:uid="{00000000-0005-0000-0000-0000AA2B0000}"/>
    <cellStyle name="20 % - Markeringsfarve6 2 8 2" xfId="5203" xr:uid="{00000000-0005-0000-0000-0000AB2B0000}"/>
    <cellStyle name="20 % - Markeringsfarve6 2 8 2 2" xfId="5204" xr:uid="{00000000-0005-0000-0000-0000AC2B0000}"/>
    <cellStyle name="20 % - Markeringsfarve6 2 8 2 2 2" xfId="10354" xr:uid="{00000000-0005-0000-0000-0000AD2B0000}"/>
    <cellStyle name="20 % - Markeringsfarve6 2 8 2 2 2 2" xfId="18255" xr:uid="{00000000-0005-0000-0000-0000AE2B0000}"/>
    <cellStyle name="20 % - Markeringsfarve6 2 8 2 2 2 2 2" xfId="36415" xr:uid="{00000000-0005-0000-0000-0000AF2B0000}"/>
    <cellStyle name="20 % - Markeringsfarve6 2 8 2 2 2 3" xfId="29414" xr:uid="{00000000-0005-0000-0000-0000B02B0000}"/>
    <cellStyle name="20 % - Markeringsfarve6 2 8 2 2 3" xfId="13758" xr:uid="{00000000-0005-0000-0000-0000B12B0000}"/>
    <cellStyle name="20 % - Markeringsfarve6 2 8 2 2 3 2" xfId="31925" xr:uid="{00000000-0005-0000-0000-0000B22B0000}"/>
    <cellStyle name="20 % - Markeringsfarve6 2 8 2 2 4" xfId="24923" xr:uid="{00000000-0005-0000-0000-0000B32B0000}"/>
    <cellStyle name="20 % - Markeringsfarve6 2 8 2 3" xfId="8856" xr:uid="{00000000-0005-0000-0000-0000B42B0000}"/>
    <cellStyle name="20 % - Markeringsfarve6 2 8 2 3 2" xfId="16770" xr:uid="{00000000-0005-0000-0000-0000B52B0000}"/>
    <cellStyle name="20 % - Markeringsfarve6 2 8 2 3 2 2" xfId="34930" xr:uid="{00000000-0005-0000-0000-0000B62B0000}"/>
    <cellStyle name="20 % - Markeringsfarve6 2 8 2 3 3" xfId="27929" xr:uid="{00000000-0005-0000-0000-0000B72B0000}"/>
    <cellStyle name="20 % - Markeringsfarve6 2 8 2 4" xfId="13757" xr:uid="{00000000-0005-0000-0000-0000B82B0000}"/>
    <cellStyle name="20 % - Markeringsfarve6 2 8 2 4 2" xfId="31924" xr:uid="{00000000-0005-0000-0000-0000B92B0000}"/>
    <cellStyle name="20 % - Markeringsfarve6 2 8 2 5" xfId="24922" xr:uid="{00000000-0005-0000-0000-0000BA2B0000}"/>
    <cellStyle name="20 % - Markeringsfarve6 2 8 3" xfId="5205" xr:uid="{00000000-0005-0000-0000-0000BB2B0000}"/>
    <cellStyle name="20 % - Markeringsfarve6 2 8 3 2" xfId="9631" xr:uid="{00000000-0005-0000-0000-0000BC2B0000}"/>
    <cellStyle name="20 % - Markeringsfarve6 2 8 3 2 2" xfId="17541" xr:uid="{00000000-0005-0000-0000-0000BD2B0000}"/>
    <cellStyle name="20 % - Markeringsfarve6 2 8 3 2 2 2" xfId="35701" xr:uid="{00000000-0005-0000-0000-0000BE2B0000}"/>
    <cellStyle name="20 % - Markeringsfarve6 2 8 3 2 3" xfId="28700" xr:uid="{00000000-0005-0000-0000-0000BF2B0000}"/>
    <cellStyle name="20 % - Markeringsfarve6 2 8 3 3" xfId="13759" xr:uid="{00000000-0005-0000-0000-0000C02B0000}"/>
    <cellStyle name="20 % - Markeringsfarve6 2 8 3 3 2" xfId="31926" xr:uid="{00000000-0005-0000-0000-0000C12B0000}"/>
    <cellStyle name="20 % - Markeringsfarve6 2 8 3 4" xfId="24924" xr:uid="{00000000-0005-0000-0000-0000C22B0000}"/>
    <cellStyle name="20 % - Markeringsfarve6 2 8 4" xfId="5206" xr:uid="{00000000-0005-0000-0000-0000C32B0000}"/>
    <cellStyle name="20 % - Markeringsfarve6 2 8 4 2" xfId="10776" xr:uid="{00000000-0005-0000-0000-0000C42B0000}"/>
    <cellStyle name="20 % - Markeringsfarve6 2 8 4 2 2" xfId="18664" xr:uid="{00000000-0005-0000-0000-0000C52B0000}"/>
    <cellStyle name="20 % - Markeringsfarve6 2 8 4 2 2 2" xfId="36824" xr:uid="{00000000-0005-0000-0000-0000C62B0000}"/>
    <cellStyle name="20 % - Markeringsfarve6 2 8 4 2 3" xfId="29823" xr:uid="{00000000-0005-0000-0000-0000C72B0000}"/>
    <cellStyle name="20 % - Markeringsfarve6 2 8 4 3" xfId="13760" xr:uid="{00000000-0005-0000-0000-0000C82B0000}"/>
    <cellStyle name="20 % - Markeringsfarve6 2 8 4 3 2" xfId="31927" xr:uid="{00000000-0005-0000-0000-0000C92B0000}"/>
    <cellStyle name="20 % - Markeringsfarve6 2 8 4 4" xfId="24925" xr:uid="{00000000-0005-0000-0000-0000CA2B0000}"/>
    <cellStyle name="20 % - Markeringsfarve6 2 8 5" xfId="7938" xr:uid="{00000000-0005-0000-0000-0000CB2B0000}"/>
    <cellStyle name="20 % - Markeringsfarve6 2 8 5 2" xfId="15856" xr:uid="{00000000-0005-0000-0000-0000CC2B0000}"/>
    <cellStyle name="20 % - Markeringsfarve6 2 8 5 2 2" xfId="34016" xr:uid="{00000000-0005-0000-0000-0000CD2B0000}"/>
    <cellStyle name="20 % - Markeringsfarve6 2 8 5 3" xfId="27015" xr:uid="{00000000-0005-0000-0000-0000CE2B0000}"/>
    <cellStyle name="20 % - Markeringsfarve6 2 8 6" xfId="13756" xr:uid="{00000000-0005-0000-0000-0000CF2B0000}"/>
    <cellStyle name="20 % - Markeringsfarve6 2 8 6 2" xfId="31923" xr:uid="{00000000-0005-0000-0000-0000D02B0000}"/>
    <cellStyle name="20 % - Markeringsfarve6 2 8 7" xfId="24921" xr:uid="{00000000-0005-0000-0000-0000D12B0000}"/>
    <cellStyle name="20 % - Markeringsfarve6 2 9" xfId="5207" xr:uid="{00000000-0005-0000-0000-0000D22B0000}"/>
    <cellStyle name="20 % - Markeringsfarve6 2 9 2" xfId="5208" xr:uid="{00000000-0005-0000-0000-0000D32B0000}"/>
    <cellStyle name="20 % - Markeringsfarve6 2 9 2 2" xfId="9753" xr:uid="{00000000-0005-0000-0000-0000D42B0000}"/>
    <cellStyle name="20 % - Markeringsfarve6 2 9 2 2 2" xfId="17654" xr:uid="{00000000-0005-0000-0000-0000D52B0000}"/>
    <cellStyle name="20 % - Markeringsfarve6 2 9 2 2 2 2" xfId="35814" xr:uid="{00000000-0005-0000-0000-0000D62B0000}"/>
    <cellStyle name="20 % - Markeringsfarve6 2 9 2 2 3" xfId="28813" xr:uid="{00000000-0005-0000-0000-0000D72B0000}"/>
    <cellStyle name="20 % - Markeringsfarve6 2 9 2 3" xfId="13762" xr:uid="{00000000-0005-0000-0000-0000D82B0000}"/>
    <cellStyle name="20 % - Markeringsfarve6 2 9 2 3 2" xfId="31929" xr:uid="{00000000-0005-0000-0000-0000D92B0000}"/>
    <cellStyle name="20 % - Markeringsfarve6 2 9 2 4" xfId="24927" xr:uid="{00000000-0005-0000-0000-0000DA2B0000}"/>
    <cellStyle name="20 % - Markeringsfarve6 2 9 3" xfId="8350" xr:uid="{00000000-0005-0000-0000-0000DB2B0000}"/>
    <cellStyle name="20 % - Markeringsfarve6 2 9 3 2" xfId="16267" xr:uid="{00000000-0005-0000-0000-0000DC2B0000}"/>
    <cellStyle name="20 % - Markeringsfarve6 2 9 3 2 2" xfId="34427" xr:uid="{00000000-0005-0000-0000-0000DD2B0000}"/>
    <cellStyle name="20 % - Markeringsfarve6 2 9 3 3" xfId="27426" xr:uid="{00000000-0005-0000-0000-0000DE2B0000}"/>
    <cellStyle name="20 % - Markeringsfarve6 2 9 4" xfId="13761" xr:uid="{00000000-0005-0000-0000-0000DF2B0000}"/>
    <cellStyle name="20 % - Markeringsfarve6 2 9 4 2" xfId="31928" xr:uid="{00000000-0005-0000-0000-0000E02B0000}"/>
    <cellStyle name="20 % - Markeringsfarve6 2 9 5" xfId="24926" xr:uid="{00000000-0005-0000-0000-0000E12B0000}"/>
    <cellStyle name="20 % - Markeringsfarve6 3" xfId="1852" xr:uid="{00000000-0005-0000-0000-0000E22B0000}"/>
    <cellStyle name="20 % - Markeringsfarve6 3 10" xfId="5210" xr:uid="{00000000-0005-0000-0000-0000E32B0000}"/>
    <cellStyle name="20 % - Markeringsfarve6 3 10 2" xfId="8966" xr:uid="{00000000-0005-0000-0000-0000E42B0000}"/>
    <cellStyle name="20 % - Markeringsfarve6 3 10 2 2" xfId="16878" xr:uid="{00000000-0005-0000-0000-0000E52B0000}"/>
    <cellStyle name="20 % - Markeringsfarve6 3 10 2 2 2" xfId="35038" xr:uid="{00000000-0005-0000-0000-0000E62B0000}"/>
    <cellStyle name="20 % - Markeringsfarve6 3 10 2 3" xfId="28037" xr:uid="{00000000-0005-0000-0000-0000E72B0000}"/>
    <cellStyle name="20 % - Markeringsfarve6 3 10 3" xfId="13764" xr:uid="{00000000-0005-0000-0000-0000E82B0000}"/>
    <cellStyle name="20 % - Markeringsfarve6 3 10 3 2" xfId="31931" xr:uid="{00000000-0005-0000-0000-0000E92B0000}"/>
    <cellStyle name="20 % - Markeringsfarve6 3 10 4" xfId="24929" xr:uid="{00000000-0005-0000-0000-0000EA2B0000}"/>
    <cellStyle name="20 % - Markeringsfarve6 3 11" xfId="5211" xr:uid="{00000000-0005-0000-0000-0000EB2B0000}"/>
    <cellStyle name="20 % - Markeringsfarve6 3 11 2" xfId="11010" xr:uid="{00000000-0005-0000-0000-0000EC2B0000}"/>
    <cellStyle name="20 % - Markeringsfarve6 3 11 2 2" xfId="18886" xr:uid="{00000000-0005-0000-0000-0000ED2B0000}"/>
    <cellStyle name="20 % - Markeringsfarve6 3 11 2 2 2" xfId="37046" xr:uid="{00000000-0005-0000-0000-0000EE2B0000}"/>
    <cellStyle name="20 % - Markeringsfarve6 3 11 2 3" xfId="30045" xr:uid="{00000000-0005-0000-0000-0000EF2B0000}"/>
    <cellStyle name="20 % - Markeringsfarve6 3 11 3" xfId="13765" xr:uid="{00000000-0005-0000-0000-0000F02B0000}"/>
    <cellStyle name="20 % - Markeringsfarve6 3 11 3 2" xfId="31932" xr:uid="{00000000-0005-0000-0000-0000F12B0000}"/>
    <cellStyle name="20 % - Markeringsfarve6 3 11 4" xfId="24930" xr:uid="{00000000-0005-0000-0000-0000F22B0000}"/>
    <cellStyle name="20 % - Markeringsfarve6 3 12" xfId="7939" xr:uid="{00000000-0005-0000-0000-0000F32B0000}"/>
    <cellStyle name="20 % - Markeringsfarve6 3 12 2" xfId="15857" xr:uid="{00000000-0005-0000-0000-0000F42B0000}"/>
    <cellStyle name="20 % - Markeringsfarve6 3 12 2 2" xfId="34017" xr:uid="{00000000-0005-0000-0000-0000F52B0000}"/>
    <cellStyle name="20 % - Markeringsfarve6 3 12 3" xfId="27016" xr:uid="{00000000-0005-0000-0000-0000F62B0000}"/>
    <cellStyle name="20 % - Markeringsfarve6 3 13" xfId="13763" xr:uid="{00000000-0005-0000-0000-0000F72B0000}"/>
    <cellStyle name="20 % - Markeringsfarve6 3 13 2" xfId="31930" xr:uid="{00000000-0005-0000-0000-0000F82B0000}"/>
    <cellStyle name="20 % - Markeringsfarve6 3 14" xfId="5209" xr:uid="{00000000-0005-0000-0000-0000F92B0000}"/>
    <cellStyle name="20 % - Markeringsfarve6 3 14 2" xfId="24928" xr:uid="{00000000-0005-0000-0000-0000FA2B0000}"/>
    <cellStyle name="20 % - Markeringsfarve6 3 15" xfId="21976" xr:uid="{00000000-0005-0000-0000-0000FB2B0000}"/>
    <cellStyle name="20 % - Markeringsfarve6 3 2" xfId="1853" xr:uid="{00000000-0005-0000-0000-0000FC2B0000}"/>
    <cellStyle name="20 % - Markeringsfarve6 3 2 10" xfId="7940" xr:uid="{00000000-0005-0000-0000-0000FD2B0000}"/>
    <cellStyle name="20 % - Markeringsfarve6 3 2 10 2" xfId="15858" xr:uid="{00000000-0005-0000-0000-0000FE2B0000}"/>
    <cellStyle name="20 % - Markeringsfarve6 3 2 10 2 2" xfId="34018" xr:uid="{00000000-0005-0000-0000-0000FF2B0000}"/>
    <cellStyle name="20 % - Markeringsfarve6 3 2 10 3" xfId="27017" xr:uid="{00000000-0005-0000-0000-0000002C0000}"/>
    <cellStyle name="20 % - Markeringsfarve6 3 2 11" xfId="13766" xr:uid="{00000000-0005-0000-0000-0000012C0000}"/>
    <cellStyle name="20 % - Markeringsfarve6 3 2 11 2" xfId="31933" xr:uid="{00000000-0005-0000-0000-0000022C0000}"/>
    <cellStyle name="20 % - Markeringsfarve6 3 2 12" xfId="5212" xr:uid="{00000000-0005-0000-0000-0000032C0000}"/>
    <cellStyle name="20 % - Markeringsfarve6 3 2 12 2" xfId="24931" xr:uid="{00000000-0005-0000-0000-0000042C0000}"/>
    <cellStyle name="20 % - Markeringsfarve6 3 2 13" xfId="21977" xr:uid="{00000000-0005-0000-0000-0000052C0000}"/>
    <cellStyle name="20 % - Markeringsfarve6 3 2 2" xfId="5213" xr:uid="{00000000-0005-0000-0000-0000062C0000}"/>
    <cellStyle name="20 % - Markeringsfarve6 3 2 2 2" xfId="5214" xr:uid="{00000000-0005-0000-0000-0000072C0000}"/>
    <cellStyle name="20 % - Markeringsfarve6 3 2 2 2 2" xfId="5215" xr:uid="{00000000-0005-0000-0000-0000082C0000}"/>
    <cellStyle name="20 % - Markeringsfarve6 3 2 2 2 2 2" xfId="9899" xr:uid="{00000000-0005-0000-0000-0000092C0000}"/>
    <cellStyle name="20 % - Markeringsfarve6 3 2 2 2 2 2 2" xfId="17800" xr:uid="{00000000-0005-0000-0000-00000A2C0000}"/>
    <cellStyle name="20 % - Markeringsfarve6 3 2 2 2 2 2 2 2" xfId="35960" xr:uid="{00000000-0005-0000-0000-00000B2C0000}"/>
    <cellStyle name="20 % - Markeringsfarve6 3 2 2 2 2 2 3" xfId="28959" xr:uid="{00000000-0005-0000-0000-00000C2C0000}"/>
    <cellStyle name="20 % - Markeringsfarve6 3 2 2 2 2 3" xfId="13769" xr:uid="{00000000-0005-0000-0000-00000D2C0000}"/>
    <cellStyle name="20 % - Markeringsfarve6 3 2 2 2 2 3 2" xfId="31936" xr:uid="{00000000-0005-0000-0000-00000E2C0000}"/>
    <cellStyle name="20 % - Markeringsfarve6 3 2 2 2 2 4" xfId="24934" xr:uid="{00000000-0005-0000-0000-00000F2C0000}"/>
    <cellStyle name="20 % - Markeringsfarve6 3 2 2 2 3" xfId="8472" xr:uid="{00000000-0005-0000-0000-0000102C0000}"/>
    <cellStyle name="20 % - Markeringsfarve6 3 2 2 2 3 2" xfId="16389" xr:uid="{00000000-0005-0000-0000-0000112C0000}"/>
    <cellStyle name="20 % - Markeringsfarve6 3 2 2 2 3 2 2" xfId="34549" xr:uid="{00000000-0005-0000-0000-0000122C0000}"/>
    <cellStyle name="20 % - Markeringsfarve6 3 2 2 2 3 3" xfId="27548" xr:uid="{00000000-0005-0000-0000-0000132C0000}"/>
    <cellStyle name="20 % - Markeringsfarve6 3 2 2 2 4" xfId="13768" xr:uid="{00000000-0005-0000-0000-0000142C0000}"/>
    <cellStyle name="20 % - Markeringsfarve6 3 2 2 2 4 2" xfId="31935" xr:uid="{00000000-0005-0000-0000-0000152C0000}"/>
    <cellStyle name="20 % - Markeringsfarve6 3 2 2 2 5" xfId="24933" xr:uid="{00000000-0005-0000-0000-0000162C0000}"/>
    <cellStyle name="20 % - Markeringsfarve6 3 2 2 3" xfId="5216" xr:uid="{00000000-0005-0000-0000-0000172C0000}"/>
    <cellStyle name="20 % - Markeringsfarve6 3 2 2 3 2" xfId="9129" xr:uid="{00000000-0005-0000-0000-0000182C0000}"/>
    <cellStyle name="20 % - Markeringsfarve6 3 2 2 3 2 2" xfId="17040" xr:uid="{00000000-0005-0000-0000-0000192C0000}"/>
    <cellStyle name="20 % - Markeringsfarve6 3 2 2 3 2 2 2" xfId="35200" xr:uid="{00000000-0005-0000-0000-00001A2C0000}"/>
    <cellStyle name="20 % - Markeringsfarve6 3 2 2 3 2 3" xfId="28199" xr:uid="{00000000-0005-0000-0000-00001B2C0000}"/>
    <cellStyle name="20 % - Markeringsfarve6 3 2 2 3 3" xfId="13770" xr:uid="{00000000-0005-0000-0000-00001C2C0000}"/>
    <cellStyle name="20 % - Markeringsfarve6 3 2 2 3 3 2" xfId="31937" xr:uid="{00000000-0005-0000-0000-00001D2C0000}"/>
    <cellStyle name="20 % - Markeringsfarve6 3 2 2 3 4" xfId="24935" xr:uid="{00000000-0005-0000-0000-00001E2C0000}"/>
    <cellStyle name="20 % - Markeringsfarve6 3 2 2 4" xfId="5217" xr:uid="{00000000-0005-0000-0000-00001F2C0000}"/>
    <cellStyle name="20 % - Markeringsfarve6 3 2 2 4 2" xfId="10949" xr:uid="{00000000-0005-0000-0000-0000202C0000}"/>
    <cellStyle name="20 % - Markeringsfarve6 3 2 2 4 2 2" xfId="18829" xr:uid="{00000000-0005-0000-0000-0000212C0000}"/>
    <cellStyle name="20 % - Markeringsfarve6 3 2 2 4 2 2 2" xfId="36989" xr:uid="{00000000-0005-0000-0000-0000222C0000}"/>
    <cellStyle name="20 % - Markeringsfarve6 3 2 2 4 2 3" xfId="29988" xr:uid="{00000000-0005-0000-0000-0000232C0000}"/>
    <cellStyle name="20 % - Markeringsfarve6 3 2 2 4 3" xfId="13771" xr:uid="{00000000-0005-0000-0000-0000242C0000}"/>
    <cellStyle name="20 % - Markeringsfarve6 3 2 2 4 3 2" xfId="31938" xr:uid="{00000000-0005-0000-0000-0000252C0000}"/>
    <cellStyle name="20 % - Markeringsfarve6 3 2 2 4 4" xfId="24936" xr:uid="{00000000-0005-0000-0000-0000262C0000}"/>
    <cellStyle name="20 % - Markeringsfarve6 3 2 2 5" xfId="7941" xr:uid="{00000000-0005-0000-0000-0000272C0000}"/>
    <cellStyle name="20 % - Markeringsfarve6 3 2 2 5 2" xfId="15859" xr:uid="{00000000-0005-0000-0000-0000282C0000}"/>
    <cellStyle name="20 % - Markeringsfarve6 3 2 2 5 2 2" xfId="34019" xr:uid="{00000000-0005-0000-0000-0000292C0000}"/>
    <cellStyle name="20 % - Markeringsfarve6 3 2 2 5 3" xfId="27018" xr:uid="{00000000-0005-0000-0000-00002A2C0000}"/>
    <cellStyle name="20 % - Markeringsfarve6 3 2 2 6" xfId="13767" xr:uid="{00000000-0005-0000-0000-00002B2C0000}"/>
    <cellStyle name="20 % - Markeringsfarve6 3 2 2 6 2" xfId="31934" xr:uid="{00000000-0005-0000-0000-00002C2C0000}"/>
    <cellStyle name="20 % - Markeringsfarve6 3 2 2 7" xfId="24932" xr:uid="{00000000-0005-0000-0000-00002D2C0000}"/>
    <cellStyle name="20 % - Markeringsfarve6 3 2 3" xfId="5218" xr:uid="{00000000-0005-0000-0000-00002E2C0000}"/>
    <cellStyle name="20 % - Markeringsfarve6 3 2 3 2" xfId="5219" xr:uid="{00000000-0005-0000-0000-00002F2C0000}"/>
    <cellStyle name="20 % - Markeringsfarve6 3 2 3 2 2" xfId="5220" xr:uid="{00000000-0005-0000-0000-0000302C0000}"/>
    <cellStyle name="20 % - Markeringsfarve6 3 2 3 2 2 2" xfId="10004" xr:uid="{00000000-0005-0000-0000-0000312C0000}"/>
    <cellStyle name="20 % - Markeringsfarve6 3 2 3 2 2 2 2" xfId="17905" xr:uid="{00000000-0005-0000-0000-0000322C0000}"/>
    <cellStyle name="20 % - Markeringsfarve6 3 2 3 2 2 2 2 2" xfId="36065" xr:uid="{00000000-0005-0000-0000-0000332C0000}"/>
    <cellStyle name="20 % - Markeringsfarve6 3 2 3 2 2 2 3" xfId="29064" xr:uid="{00000000-0005-0000-0000-0000342C0000}"/>
    <cellStyle name="20 % - Markeringsfarve6 3 2 3 2 2 3" xfId="13774" xr:uid="{00000000-0005-0000-0000-0000352C0000}"/>
    <cellStyle name="20 % - Markeringsfarve6 3 2 3 2 2 3 2" xfId="31941" xr:uid="{00000000-0005-0000-0000-0000362C0000}"/>
    <cellStyle name="20 % - Markeringsfarve6 3 2 3 2 2 4" xfId="24939" xr:uid="{00000000-0005-0000-0000-0000372C0000}"/>
    <cellStyle name="20 % - Markeringsfarve6 3 2 3 2 3" xfId="8559" xr:uid="{00000000-0005-0000-0000-0000382C0000}"/>
    <cellStyle name="20 % - Markeringsfarve6 3 2 3 2 3 2" xfId="16476" xr:uid="{00000000-0005-0000-0000-0000392C0000}"/>
    <cellStyle name="20 % - Markeringsfarve6 3 2 3 2 3 2 2" xfId="34636" xr:uid="{00000000-0005-0000-0000-00003A2C0000}"/>
    <cellStyle name="20 % - Markeringsfarve6 3 2 3 2 3 3" xfId="27635" xr:uid="{00000000-0005-0000-0000-00003B2C0000}"/>
    <cellStyle name="20 % - Markeringsfarve6 3 2 3 2 4" xfId="13773" xr:uid="{00000000-0005-0000-0000-00003C2C0000}"/>
    <cellStyle name="20 % - Markeringsfarve6 3 2 3 2 4 2" xfId="31940" xr:uid="{00000000-0005-0000-0000-00003D2C0000}"/>
    <cellStyle name="20 % - Markeringsfarve6 3 2 3 2 5" xfId="24938" xr:uid="{00000000-0005-0000-0000-00003E2C0000}"/>
    <cellStyle name="20 % - Markeringsfarve6 3 2 3 3" xfId="5221" xr:uid="{00000000-0005-0000-0000-00003F2C0000}"/>
    <cellStyle name="20 % - Markeringsfarve6 3 2 3 3 2" xfId="9234" xr:uid="{00000000-0005-0000-0000-0000402C0000}"/>
    <cellStyle name="20 % - Markeringsfarve6 3 2 3 3 2 2" xfId="17145" xr:uid="{00000000-0005-0000-0000-0000412C0000}"/>
    <cellStyle name="20 % - Markeringsfarve6 3 2 3 3 2 2 2" xfId="35305" xr:uid="{00000000-0005-0000-0000-0000422C0000}"/>
    <cellStyle name="20 % - Markeringsfarve6 3 2 3 3 2 3" xfId="28304" xr:uid="{00000000-0005-0000-0000-0000432C0000}"/>
    <cellStyle name="20 % - Markeringsfarve6 3 2 3 3 3" xfId="13775" xr:uid="{00000000-0005-0000-0000-0000442C0000}"/>
    <cellStyle name="20 % - Markeringsfarve6 3 2 3 3 3 2" xfId="31942" xr:uid="{00000000-0005-0000-0000-0000452C0000}"/>
    <cellStyle name="20 % - Markeringsfarve6 3 2 3 3 4" xfId="24940" xr:uid="{00000000-0005-0000-0000-0000462C0000}"/>
    <cellStyle name="20 % - Markeringsfarve6 3 2 3 4" xfId="5222" xr:uid="{00000000-0005-0000-0000-0000472C0000}"/>
    <cellStyle name="20 % - Markeringsfarve6 3 2 3 4 2" xfId="10674" xr:uid="{00000000-0005-0000-0000-0000482C0000}"/>
    <cellStyle name="20 % - Markeringsfarve6 3 2 3 4 2 2" xfId="18566" xr:uid="{00000000-0005-0000-0000-0000492C0000}"/>
    <cellStyle name="20 % - Markeringsfarve6 3 2 3 4 2 2 2" xfId="36726" xr:uid="{00000000-0005-0000-0000-00004A2C0000}"/>
    <cellStyle name="20 % - Markeringsfarve6 3 2 3 4 2 3" xfId="29725" xr:uid="{00000000-0005-0000-0000-00004B2C0000}"/>
    <cellStyle name="20 % - Markeringsfarve6 3 2 3 4 3" xfId="13776" xr:uid="{00000000-0005-0000-0000-00004C2C0000}"/>
    <cellStyle name="20 % - Markeringsfarve6 3 2 3 4 3 2" xfId="31943" xr:uid="{00000000-0005-0000-0000-00004D2C0000}"/>
    <cellStyle name="20 % - Markeringsfarve6 3 2 3 4 4" xfId="24941" xr:uid="{00000000-0005-0000-0000-00004E2C0000}"/>
    <cellStyle name="20 % - Markeringsfarve6 3 2 3 5" xfId="7942" xr:uid="{00000000-0005-0000-0000-00004F2C0000}"/>
    <cellStyle name="20 % - Markeringsfarve6 3 2 3 5 2" xfId="15860" xr:uid="{00000000-0005-0000-0000-0000502C0000}"/>
    <cellStyle name="20 % - Markeringsfarve6 3 2 3 5 2 2" xfId="34020" xr:uid="{00000000-0005-0000-0000-0000512C0000}"/>
    <cellStyle name="20 % - Markeringsfarve6 3 2 3 5 3" xfId="27019" xr:uid="{00000000-0005-0000-0000-0000522C0000}"/>
    <cellStyle name="20 % - Markeringsfarve6 3 2 3 6" xfId="13772" xr:uid="{00000000-0005-0000-0000-0000532C0000}"/>
    <cellStyle name="20 % - Markeringsfarve6 3 2 3 6 2" xfId="31939" xr:uid="{00000000-0005-0000-0000-0000542C0000}"/>
    <cellStyle name="20 % - Markeringsfarve6 3 2 3 7" xfId="24937" xr:uid="{00000000-0005-0000-0000-0000552C0000}"/>
    <cellStyle name="20 % - Markeringsfarve6 3 2 4" xfId="5223" xr:uid="{00000000-0005-0000-0000-0000562C0000}"/>
    <cellStyle name="20 % - Markeringsfarve6 3 2 4 2" xfId="5224" xr:uid="{00000000-0005-0000-0000-0000572C0000}"/>
    <cellStyle name="20 % - Markeringsfarve6 3 2 4 2 2" xfId="5225" xr:uid="{00000000-0005-0000-0000-0000582C0000}"/>
    <cellStyle name="20 % - Markeringsfarve6 3 2 4 2 2 2" xfId="10137" xr:uid="{00000000-0005-0000-0000-0000592C0000}"/>
    <cellStyle name="20 % - Markeringsfarve6 3 2 4 2 2 2 2" xfId="18038" xr:uid="{00000000-0005-0000-0000-00005A2C0000}"/>
    <cellStyle name="20 % - Markeringsfarve6 3 2 4 2 2 2 2 2" xfId="36198" xr:uid="{00000000-0005-0000-0000-00005B2C0000}"/>
    <cellStyle name="20 % - Markeringsfarve6 3 2 4 2 2 2 3" xfId="29197" xr:uid="{00000000-0005-0000-0000-00005C2C0000}"/>
    <cellStyle name="20 % - Markeringsfarve6 3 2 4 2 2 3" xfId="13779" xr:uid="{00000000-0005-0000-0000-00005D2C0000}"/>
    <cellStyle name="20 % - Markeringsfarve6 3 2 4 2 2 3 2" xfId="31946" xr:uid="{00000000-0005-0000-0000-00005E2C0000}"/>
    <cellStyle name="20 % - Markeringsfarve6 3 2 4 2 2 4" xfId="24944" xr:uid="{00000000-0005-0000-0000-00005F2C0000}"/>
    <cellStyle name="20 % - Markeringsfarve6 3 2 4 2 3" xfId="8674" xr:uid="{00000000-0005-0000-0000-0000602C0000}"/>
    <cellStyle name="20 % - Markeringsfarve6 3 2 4 2 3 2" xfId="16588" xr:uid="{00000000-0005-0000-0000-0000612C0000}"/>
    <cellStyle name="20 % - Markeringsfarve6 3 2 4 2 3 2 2" xfId="34748" xr:uid="{00000000-0005-0000-0000-0000622C0000}"/>
    <cellStyle name="20 % - Markeringsfarve6 3 2 4 2 3 3" xfId="27747" xr:uid="{00000000-0005-0000-0000-0000632C0000}"/>
    <cellStyle name="20 % - Markeringsfarve6 3 2 4 2 4" xfId="13778" xr:uid="{00000000-0005-0000-0000-0000642C0000}"/>
    <cellStyle name="20 % - Markeringsfarve6 3 2 4 2 4 2" xfId="31945" xr:uid="{00000000-0005-0000-0000-0000652C0000}"/>
    <cellStyle name="20 % - Markeringsfarve6 3 2 4 2 5" xfId="24943" xr:uid="{00000000-0005-0000-0000-0000662C0000}"/>
    <cellStyle name="20 % - Markeringsfarve6 3 2 4 3" xfId="5226" xr:uid="{00000000-0005-0000-0000-0000672C0000}"/>
    <cellStyle name="20 % - Markeringsfarve6 3 2 4 3 2" xfId="9413" xr:uid="{00000000-0005-0000-0000-0000682C0000}"/>
    <cellStyle name="20 % - Markeringsfarve6 3 2 4 3 2 2" xfId="17323" xr:uid="{00000000-0005-0000-0000-0000692C0000}"/>
    <cellStyle name="20 % - Markeringsfarve6 3 2 4 3 2 2 2" xfId="35483" xr:uid="{00000000-0005-0000-0000-00006A2C0000}"/>
    <cellStyle name="20 % - Markeringsfarve6 3 2 4 3 2 3" xfId="28482" xr:uid="{00000000-0005-0000-0000-00006B2C0000}"/>
    <cellStyle name="20 % - Markeringsfarve6 3 2 4 3 3" xfId="13780" xr:uid="{00000000-0005-0000-0000-00006C2C0000}"/>
    <cellStyle name="20 % - Markeringsfarve6 3 2 4 3 3 2" xfId="31947" xr:uid="{00000000-0005-0000-0000-00006D2C0000}"/>
    <cellStyle name="20 % - Markeringsfarve6 3 2 4 3 4" xfId="24945" xr:uid="{00000000-0005-0000-0000-00006E2C0000}"/>
    <cellStyle name="20 % - Markeringsfarve6 3 2 4 4" xfId="5227" xr:uid="{00000000-0005-0000-0000-00006F2C0000}"/>
    <cellStyle name="20 % - Markeringsfarve6 3 2 4 4 2" xfId="10909" xr:uid="{00000000-0005-0000-0000-0000702C0000}"/>
    <cellStyle name="20 % - Markeringsfarve6 3 2 4 4 2 2" xfId="18790" xr:uid="{00000000-0005-0000-0000-0000712C0000}"/>
    <cellStyle name="20 % - Markeringsfarve6 3 2 4 4 2 2 2" xfId="36950" xr:uid="{00000000-0005-0000-0000-0000722C0000}"/>
    <cellStyle name="20 % - Markeringsfarve6 3 2 4 4 2 3" xfId="29949" xr:uid="{00000000-0005-0000-0000-0000732C0000}"/>
    <cellStyle name="20 % - Markeringsfarve6 3 2 4 4 3" xfId="13781" xr:uid="{00000000-0005-0000-0000-0000742C0000}"/>
    <cellStyle name="20 % - Markeringsfarve6 3 2 4 4 3 2" xfId="31948" xr:uid="{00000000-0005-0000-0000-0000752C0000}"/>
    <cellStyle name="20 % - Markeringsfarve6 3 2 4 4 4" xfId="24946" xr:uid="{00000000-0005-0000-0000-0000762C0000}"/>
    <cellStyle name="20 % - Markeringsfarve6 3 2 4 5" xfId="7943" xr:uid="{00000000-0005-0000-0000-0000772C0000}"/>
    <cellStyle name="20 % - Markeringsfarve6 3 2 4 5 2" xfId="15861" xr:uid="{00000000-0005-0000-0000-0000782C0000}"/>
    <cellStyle name="20 % - Markeringsfarve6 3 2 4 5 2 2" xfId="34021" xr:uid="{00000000-0005-0000-0000-0000792C0000}"/>
    <cellStyle name="20 % - Markeringsfarve6 3 2 4 5 3" xfId="27020" xr:uid="{00000000-0005-0000-0000-00007A2C0000}"/>
    <cellStyle name="20 % - Markeringsfarve6 3 2 4 6" xfId="13777" xr:uid="{00000000-0005-0000-0000-00007B2C0000}"/>
    <cellStyle name="20 % - Markeringsfarve6 3 2 4 6 2" xfId="31944" xr:uid="{00000000-0005-0000-0000-00007C2C0000}"/>
    <cellStyle name="20 % - Markeringsfarve6 3 2 4 7" xfId="24942" xr:uid="{00000000-0005-0000-0000-00007D2C0000}"/>
    <cellStyle name="20 % - Markeringsfarve6 3 2 5" xfId="5228" xr:uid="{00000000-0005-0000-0000-00007E2C0000}"/>
    <cellStyle name="20 % - Markeringsfarve6 3 2 5 2" xfId="5229" xr:uid="{00000000-0005-0000-0000-00007F2C0000}"/>
    <cellStyle name="20 % - Markeringsfarve6 3 2 5 2 2" xfId="5230" xr:uid="{00000000-0005-0000-0000-0000802C0000}"/>
    <cellStyle name="20 % - Markeringsfarve6 3 2 5 2 2 2" xfId="10254" xr:uid="{00000000-0005-0000-0000-0000812C0000}"/>
    <cellStyle name="20 % - Markeringsfarve6 3 2 5 2 2 2 2" xfId="18155" xr:uid="{00000000-0005-0000-0000-0000822C0000}"/>
    <cellStyle name="20 % - Markeringsfarve6 3 2 5 2 2 2 2 2" xfId="36315" xr:uid="{00000000-0005-0000-0000-0000832C0000}"/>
    <cellStyle name="20 % - Markeringsfarve6 3 2 5 2 2 2 3" xfId="29314" xr:uid="{00000000-0005-0000-0000-0000842C0000}"/>
    <cellStyle name="20 % - Markeringsfarve6 3 2 5 2 2 3" xfId="13784" xr:uid="{00000000-0005-0000-0000-0000852C0000}"/>
    <cellStyle name="20 % - Markeringsfarve6 3 2 5 2 2 3 2" xfId="31951" xr:uid="{00000000-0005-0000-0000-0000862C0000}"/>
    <cellStyle name="20 % - Markeringsfarve6 3 2 5 2 2 4" xfId="24949" xr:uid="{00000000-0005-0000-0000-0000872C0000}"/>
    <cellStyle name="20 % - Markeringsfarve6 3 2 5 2 3" xfId="8773" xr:uid="{00000000-0005-0000-0000-0000882C0000}"/>
    <cellStyle name="20 % - Markeringsfarve6 3 2 5 2 3 2" xfId="16687" xr:uid="{00000000-0005-0000-0000-0000892C0000}"/>
    <cellStyle name="20 % - Markeringsfarve6 3 2 5 2 3 2 2" xfId="34847" xr:uid="{00000000-0005-0000-0000-00008A2C0000}"/>
    <cellStyle name="20 % - Markeringsfarve6 3 2 5 2 3 3" xfId="27846" xr:uid="{00000000-0005-0000-0000-00008B2C0000}"/>
    <cellStyle name="20 % - Markeringsfarve6 3 2 5 2 4" xfId="13783" xr:uid="{00000000-0005-0000-0000-00008C2C0000}"/>
    <cellStyle name="20 % - Markeringsfarve6 3 2 5 2 4 2" xfId="31950" xr:uid="{00000000-0005-0000-0000-00008D2C0000}"/>
    <cellStyle name="20 % - Markeringsfarve6 3 2 5 2 5" xfId="24948" xr:uid="{00000000-0005-0000-0000-00008E2C0000}"/>
    <cellStyle name="20 % - Markeringsfarve6 3 2 5 3" xfId="5231" xr:uid="{00000000-0005-0000-0000-00008F2C0000}"/>
    <cellStyle name="20 % - Markeringsfarve6 3 2 5 3 2" xfId="9530" xr:uid="{00000000-0005-0000-0000-0000902C0000}"/>
    <cellStyle name="20 % - Markeringsfarve6 3 2 5 3 2 2" xfId="17440" xr:uid="{00000000-0005-0000-0000-0000912C0000}"/>
    <cellStyle name="20 % - Markeringsfarve6 3 2 5 3 2 2 2" xfId="35600" xr:uid="{00000000-0005-0000-0000-0000922C0000}"/>
    <cellStyle name="20 % - Markeringsfarve6 3 2 5 3 2 3" xfId="28599" xr:uid="{00000000-0005-0000-0000-0000932C0000}"/>
    <cellStyle name="20 % - Markeringsfarve6 3 2 5 3 3" xfId="13785" xr:uid="{00000000-0005-0000-0000-0000942C0000}"/>
    <cellStyle name="20 % - Markeringsfarve6 3 2 5 3 3 2" xfId="31952" xr:uid="{00000000-0005-0000-0000-0000952C0000}"/>
    <cellStyle name="20 % - Markeringsfarve6 3 2 5 3 4" xfId="24950" xr:uid="{00000000-0005-0000-0000-0000962C0000}"/>
    <cellStyle name="20 % - Markeringsfarve6 3 2 5 4" xfId="5232" xr:uid="{00000000-0005-0000-0000-0000972C0000}"/>
    <cellStyle name="20 % - Markeringsfarve6 3 2 5 4 2" xfId="10633" xr:uid="{00000000-0005-0000-0000-0000982C0000}"/>
    <cellStyle name="20 % - Markeringsfarve6 3 2 5 4 2 2" xfId="18526" xr:uid="{00000000-0005-0000-0000-0000992C0000}"/>
    <cellStyle name="20 % - Markeringsfarve6 3 2 5 4 2 2 2" xfId="36686" xr:uid="{00000000-0005-0000-0000-00009A2C0000}"/>
    <cellStyle name="20 % - Markeringsfarve6 3 2 5 4 2 3" xfId="29685" xr:uid="{00000000-0005-0000-0000-00009B2C0000}"/>
    <cellStyle name="20 % - Markeringsfarve6 3 2 5 4 3" xfId="13786" xr:uid="{00000000-0005-0000-0000-00009C2C0000}"/>
    <cellStyle name="20 % - Markeringsfarve6 3 2 5 4 3 2" xfId="31953" xr:uid="{00000000-0005-0000-0000-00009D2C0000}"/>
    <cellStyle name="20 % - Markeringsfarve6 3 2 5 4 4" xfId="24951" xr:uid="{00000000-0005-0000-0000-00009E2C0000}"/>
    <cellStyle name="20 % - Markeringsfarve6 3 2 5 5" xfId="7944" xr:uid="{00000000-0005-0000-0000-00009F2C0000}"/>
    <cellStyle name="20 % - Markeringsfarve6 3 2 5 5 2" xfId="15862" xr:uid="{00000000-0005-0000-0000-0000A02C0000}"/>
    <cellStyle name="20 % - Markeringsfarve6 3 2 5 5 2 2" xfId="34022" xr:uid="{00000000-0005-0000-0000-0000A12C0000}"/>
    <cellStyle name="20 % - Markeringsfarve6 3 2 5 5 3" xfId="27021" xr:uid="{00000000-0005-0000-0000-0000A22C0000}"/>
    <cellStyle name="20 % - Markeringsfarve6 3 2 5 6" xfId="13782" xr:uid="{00000000-0005-0000-0000-0000A32C0000}"/>
    <cellStyle name="20 % - Markeringsfarve6 3 2 5 6 2" xfId="31949" xr:uid="{00000000-0005-0000-0000-0000A42C0000}"/>
    <cellStyle name="20 % - Markeringsfarve6 3 2 5 7" xfId="24947" xr:uid="{00000000-0005-0000-0000-0000A52C0000}"/>
    <cellStyle name="20 % - Markeringsfarve6 3 2 6" xfId="5233" xr:uid="{00000000-0005-0000-0000-0000A62C0000}"/>
    <cellStyle name="20 % - Markeringsfarve6 3 2 6 2" xfId="5234" xr:uid="{00000000-0005-0000-0000-0000A72C0000}"/>
    <cellStyle name="20 % - Markeringsfarve6 3 2 6 2 2" xfId="5235" xr:uid="{00000000-0005-0000-0000-0000A82C0000}"/>
    <cellStyle name="20 % - Markeringsfarve6 3 2 6 2 2 2" xfId="10358" xr:uid="{00000000-0005-0000-0000-0000A92C0000}"/>
    <cellStyle name="20 % - Markeringsfarve6 3 2 6 2 2 2 2" xfId="18259" xr:uid="{00000000-0005-0000-0000-0000AA2C0000}"/>
    <cellStyle name="20 % - Markeringsfarve6 3 2 6 2 2 2 2 2" xfId="36419" xr:uid="{00000000-0005-0000-0000-0000AB2C0000}"/>
    <cellStyle name="20 % - Markeringsfarve6 3 2 6 2 2 2 3" xfId="29418" xr:uid="{00000000-0005-0000-0000-0000AC2C0000}"/>
    <cellStyle name="20 % - Markeringsfarve6 3 2 6 2 2 3" xfId="13789" xr:uid="{00000000-0005-0000-0000-0000AD2C0000}"/>
    <cellStyle name="20 % - Markeringsfarve6 3 2 6 2 2 3 2" xfId="31956" xr:uid="{00000000-0005-0000-0000-0000AE2C0000}"/>
    <cellStyle name="20 % - Markeringsfarve6 3 2 6 2 2 4" xfId="24954" xr:uid="{00000000-0005-0000-0000-0000AF2C0000}"/>
    <cellStyle name="20 % - Markeringsfarve6 3 2 6 2 3" xfId="8860" xr:uid="{00000000-0005-0000-0000-0000B02C0000}"/>
    <cellStyle name="20 % - Markeringsfarve6 3 2 6 2 3 2" xfId="16774" xr:uid="{00000000-0005-0000-0000-0000B12C0000}"/>
    <cellStyle name="20 % - Markeringsfarve6 3 2 6 2 3 2 2" xfId="34934" xr:uid="{00000000-0005-0000-0000-0000B22C0000}"/>
    <cellStyle name="20 % - Markeringsfarve6 3 2 6 2 3 3" xfId="27933" xr:uid="{00000000-0005-0000-0000-0000B32C0000}"/>
    <cellStyle name="20 % - Markeringsfarve6 3 2 6 2 4" xfId="13788" xr:uid="{00000000-0005-0000-0000-0000B42C0000}"/>
    <cellStyle name="20 % - Markeringsfarve6 3 2 6 2 4 2" xfId="31955" xr:uid="{00000000-0005-0000-0000-0000B52C0000}"/>
    <cellStyle name="20 % - Markeringsfarve6 3 2 6 2 5" xfId="24953" xr:uid="{00000000-0005-0000-0000-0000B62C0000}"/>
    <cellStyle name="20 % - Markeringsfarve6 3 2 6 3" xfId="5236" xr:uid="{00000000-0005-0000-0000-0000B72C0000}"/>
    <cellStyle name="20 % - Markeringsfarve6 3 2 6 3 2" xfId="9635" xr:uid="{00000000-0005-0000-0000-0000B82C0000}"/>
    <cellStyle name="20 % - Markeringsfarve6 3 2 6 3 2 2" xfId="17545" xr:uid="{00000000-0005-0000-0000-0000B92C0000}"/>
    <cellStyle name="20 % - Markeringsfarve6 3 2 6 3 2 2 2" xfId="35705" xr:uid="{00000000-0005-0000-0000-0000BA2C0000}"/>
    <cellStyle name="20 % - Markeringsfarve6 3 2 6 3 2 3" xfId="28704" xr:uid="{00000000-0005-0000-0000-0000BB2C0000}"/>
    <cellStyle name="20 % - Markeringsfarve6 3 2 6 3 3" xfId="13790" xr:uid="{00000000-0005-0000-0000-0000BC2C0000}"/>
    <cellStyle name="20 % - Markeringsfarve6 3 2 6 3 3 2" xfId="31957" xr:uid="{00000000-0005-0000-0000-0000BD2C0000}"/>
    <cellStyle name="20 % - Markeringsfarve6 3 2 6 3 4" xfId="24955" xr:uid="{00000000-0005-0000-0000-0000BE2C0000}"/>
    <cellStyle name="20 % - Markeringsfarve6 3 2 6 4" xfId="5237" xr:uid="{00000000-0005-0000-0000-0000BF2C0000}"/>
    <cellStyle name="20 % - Markeringsfarve6 3 2 6 4 2" xfId="10877" xr:uid="{00000000-0005-0000-0000-0000C02C0000}"/>
    <cellStyle name="20 % - Markeringsfarve6 3 2 6 4 2 2" xfId="18760" xr:uid="{00000000-0005-0000-0000-0000C12C0000}"/>
    <cellStyle name="20 % - Markeringsfarve6 3 2 6 4 2 2 2" xfId="36920" xr:uid="{00000000-0005-0000-0000-0000C22C0000}"/>
    <cellStyle name="20 % - Markeringsfarve6 3 2 6 4 2 3" xfId="29919" xr:uid="{00000000-0005-0000-0000-0000C32C0000}"/>
    <cellStyle name="20 % - Markeringsfarve6 3 2 6 4 3" xfId="13791" xr:uid="{00000000-0005-0000-0000-0000C42C0000}"/>
    <cellStyle name="20 % - Markeringsfarve6 3 2 6 4 3 2" xfId="31958" xr:uid="{00000000-0005-0000-0000-0000C52C0000}"/>
    <cellStyle name="20 % - Markeringsfarve6 3 2 6 4 4" xfId="24956" xr:uid="{00000000-0005-0000-0000-0000C62C0000}"/>
    <cellStyle name="20 % - Markeringsfarve6 3 2 6 5" xfId="7945" xr:uid="{00000000-0005-0000-0000-0000C72C0000}"/>
    <cellStyle name="20 % - Markeringsfarve6 3 2 6 5 2" xfId="15863" xr:uid="{00000000-0005-0000-0000-0000C82C0000}"/>
    <cellStyle name="20 % - Markeringsfarve6 3 2 6 5 2 2" xfId="34023" xr:uid="{00000000-0005-0000-0000-0000C92C0000}"/>
    <cellStyle name="20 % - Markeringsfarve6 3 2 6 5 3" xfId="27022" xr:uid="{00000000-0005-0000-0000-0000CA2C0000}"/>
    <cellStyle name="20 % - Markeringsfarve6 3 2 6 6" xfId="13787" xr:uid="{00000000-0005-0000-0000-0000CB2C0000}"/>
    <cellStyle name="20 % - Markeringsfarve6 3 2 6 6 2" xfId="31954" xr:uid="{00000000-0005-0000-0000-0000CC2C0000}"/>
    <cellStyle name="20 % - Markeringsfarve6 3 2 6 7" xfId="24952" xr:uid="{00000000-0005-0000-0000-0000CD2C0000}"/>
    <cellStyle name="20 % - Markeringsfarve6 3 2 7" xfId="5238" xr:uid="{00000000-0005-0000-0000-0000CE2C0000}"/>
    <cellStyle name="20 % - Markeringsfarve6 3 2 7 2" xfId="5239" xr:uid="{00000000-0005-0000-0000-0000CF2C0000}"/>
    <cellStyle name="20 % - Markeringsfarve6 3 2 7 2 2" xfId="9780" xr:uid="{00000000-0005-0000-0000-0000D02C0000}"/>
    <cellStyle name="20 % - Markeringsfarve6 3 2 7 2 2 2" xfId="17681" xr:uid="{00000000-0005-0000-0000-0000D12C0000}"/>
    <cellStyle name="20 % - Markeringsfarve6 3 2 7 2 2 2 2" xfId="35841" xr:uid="{00000000-0005-0000-0000-0000D22C0000}"/>
    <cellStyle name="20 % - Markeringsfarve6 3 2 7 2 2 3" xfId="28840" xr:uid="{00000000-0005-0000-0000-0000D32C0000}"/>
    <cellStyle name="20 % - Markeringsfarve6 3 2 7 2 3" xfId="13793" xr:uid="{00000000-0005-0000-0000-0000D42C0000}"/>
    <cellStyle name="20 % - Markeringsfarve6 3 2 7 2 3 2" xfId="31960" xr:uid="{00000000-0005-0000-0000-0000D52C0000}"/>
    <cellStyle name="20 % - Markeringsfarve6 3 2 7 2 4" xfId="24958" xr:uid="{00000000-0005-0000-0000-0000D62C0000}"/>
    <cellStyle name="20 % - Markeringsfarve6 3 2 7 3" xfId="8373" xr:uid="{00000000-0005-0000-0000-0000D72C0000}"/>
    <cellStyle name="20 % - Markeringsfarve6 3 2 7 3 2" xfId="16290" xr:uid="{00000000-0005-0000-0000-0000D82C0000}"/>
    <cellStyle name="20 % - Markeringsfarve6 3 2 7 3 2 2" xfId="34450" xr:uid="{00000000-0005-0000-0000-0000D92C0000}"/>
    <cellStyle name="20 % - Markeringsfarve6 3 2 7 3 3" xfId="27449" xr:uid="{00000000-0005-0000-0000-0000DA2C0000}"/>
    <cellStyle name="20 % - Markeringsfarve6 3 2 7 4" xfId="13792" xr:uid="{00000000-0005-0000-0000-0000DB2C0000}"/>
    <cellStyle name="20 % - Markeringsfarve6 3 2 7 4 2" xfId="31959" xr:uid="{00000000-0005-0000-0000-0000DC2C0000}"/>
    <cellStyle name="20 % - Markeringsfarve6 3 2 7 5" xfId="24957" xr:uid="{00000000-0005-0000-0000-0000DD2C0000}"/>
    <cellStyle name="20 % - Markeringsfarve6 3 2 8" xfId="5240" xr:uid="{00000000-0005-0000-0000-0000DE2C0000}"/>
    <cellStyle name="20 % - Markeringsfarve6 3 2 8 2" xfId="9008" xr:uid="{00000000-0005-0000-0000-0000DF2C0000}"/>
    <cellStyle name="20 % - Markeringsfarve6 3 2 8 2 2" xfId="16919" xr:uid="{00000000-0005-0000-0000-0000E02C0000}"/>
    <cellStyle name="20 % - Markeringsfarve6 3 2 8 2 2 2" xfId="35079" xr:uid="{00000000-0005-0000-0000-0000E12C0000}"/>
    <cellStyle name="20 % - Markeringsfarve6 3 2 8 2 3" xfId="28078" xr:uid="{00000000-0005-0000-0000-0000E22C0000}"/>
    <cellStyle name="20 % - Markeringsfarve6 3 2 8 3" xfId="13794" xr:uid="{00000000-0005-0000-0000-0000E32C0000}"/>
    <cellStyle name="20 % - Markeringsfarve6 3 2 8 3 2" xfId="31961" xr:uid="{00000000-0005-0000-0000-0000E42C0000}"/>
    <cellStyle name="20 % - Markeringsfarve6 3 2 8 4" xfId="24959" xr:uid="{00000000-0005-0000-0000-0000E52C0000}"/>
    <cellStyle name="20 % - Markeringsfarve6 3 2 9" xfId="5241" xr:uid="{00000000-0005-0000-0000-0000E62C0000}"/>
    <cellStyle name="20 % - Markeringsfarve6 3 2 9 2" xfId="10730" xr:uid="{00000000-0005-0000-0000-0000E72C0000}"/>
    <cellStyle name="20 % - Markeringsfarve6 3 2 9 2 2" xfId="18619" xr:uid="{00000000-0005-0000-0000-0000E82C0000}"/>
    <cellStyle name="20 % - Markeringsfarve6 3 2 9 2 2 2" xfId="36779" xr:uid="{00000000-0005-0000-0000-0000E92C0000}"/>
    <cellStyle name="20 % - Markeringsfarve6 3 2 9 2 3" xfId="29778" xr:uid="{00000000-0005-0000-0000-0000EA2C0000}"/>
    <cellStyle name="20 % - Markeringsfarve6 3 2 9 3" xfId="13795" xr:uid="{00000000-0005-0000-0000-0000EB2C0000}"/>
    <cellStyle name="20 % - Markeringsfarve6 3 2 9 3 2" xfId="31962" xr:uid="{00000000-0005-0000-0000-0000EC2C0000}"/>
    <cellStyle name="20 % - Markeringsfarve6 3 2 9 4" xfId="24960" xr:uid="{00000000-0005-0000-0000-0000ED2C0000}"/>
    <cellStyle name="20 % - Markeringsfarve6 3 3" xfId="5242" xr:uid="{00000000-0005-0000-0000-0000EE2C0000}"/>
    <cellStyle name="20 % - Markeringsfarve6 3 3 10" xfId="7946" xr:uid="{00000000-0005-0000-0000-0000EF2C0000}"/>
    <cellStyle name="20 % - Markeringsfarve6 3 3 10 2" xfId="15864" xr:uid="{00000000-0005-0000-0000-0000F02C0000}"/>
    <cellStyle name="20 % - Markeringsfarve6 3 3 10 2 2" xfId="34024" xr:uid="{00000000-0005-0000-0000-0000F12C0000}"/>
    <cellStyle name="20 % - Markeringsfarve6 3 3 10 3" xfId="27023" xr:uid="{00000000-0005-0000-0000-0000F22C0000}"/>
    <cellStyle name="20 % - Markeringsfarve6 3 3 11" xfId="13796" xr:uid="{00000000-0005-0000-0000-0000F32C0000}"/>
    <cellStyle name="20 % - Markeringsfarve6 3 3 11 2" xfId="31963" xr:uid="{00000000-0005-0000-0000-0000F42C0000}"/>
    <cellStyle name="20 % - Markeringsfarve6 3 3 12" xfId="24961" xr:uid="{00000000-0005-0000-0000-0000F52C0000}"/>
    <cellStyle name="20 % - Markeringsfarve6 3 3 2" xfId="5243" xr:uid="{00000000-0005-0000-0000-0000F62C0000}"/>
    <cellStyle name="20 % - Markeringsfarve6 3 3 2 2" xfId="5244" xr:uid="{00000000-0005-0000-0000-0000F72C0000}"/>
    <cellStyle name="20 % - Markeringsfarve6 3 3 2 2 2" xfId="5245" xr:uid="{00000000-0005-0000-0000-0000F82C0000}"/>
    <cellStyle name="20 % - Markeringsfarve6 3 3 2 2 2 2" xfId="9938" xr:uid="{00000000-0005-0000-0000-0000F92C0000}"/>
    <cellStyle name="20 % - Markeringsfarve6 3 3 2 2 2 2 2" xfId="17839" xr:uid="{00000000-0005-0000-0000-0000FA2C0000}"/>
    <cellStyle name="20 % - Markeringsfarve6 3 3 2 2 2 2 2 2" xfId="35999" xr:uid="{00000000-0005-0000-0000-0000FB2C0000}"/>
    <cellStyle name="20 % - Markeringsfarve6 3 3 2 2 2 2 3" xfId="28998" xr:uid="{00000000-0005-0000-0000-0000FC2C0000}"/>
    <cellStyle name="20 % - Markeringsfarve6 3 3 2 2 2 3" xfId="13799" xr:uid="{00000000-0005-0000-0000-0000FD2C0000}"/>
    <cellStyle name="20 % - Markeringsfarve6 3 3 2 2 2 3 2" xfId="31966" xr:uid="{00000000-0005-0000-0000-0000FE2C0000}"/>
    <cellStyle name="20 % - Markeringsfarve6 3 3 2 2 2 4" xfId="24964" xr:uid="{00000000-0005-0000-0000-0000FF2C0000}"/>
    <cellStyle name="20 % - Markeringsfarve6 3 3 2 2 3" xfId="8505" xr:uid="{00000000-0005-0000-0000-0000002D0000}"/>
    <cellStyle name="20 % - Markeringsfarve6 3 3 2 2 3 2" xfId="16422" xr:uid="{00000000-0005-0000-0000-0000012D0000}"/>
    <cellStyle name="20 % - Markeringsfarve6 3 3 2 2 3 2 2" xfId="34582" xr:uid="{00000000-0005-0000-0000-0000022D0000}"/>
    <cellStyle name="20 % - Markeringsfarve6 3 3 2 2 3 3" xfId="27581" xr:uid="{00000000-0005-0000-0000-0000032D0000}"/>
    <cellStyle name="20 % - Markeringsfarve6 3 3 2 2 4" xfId="13798" xr:uid="{00000000-0005-0000-0000-0000042D0000}"/>
    <cellStyle name="20 % - Markeringsfarve6 3 3 2 2 4 2" xfId="31965" xr:uid="{00000000-0005-0000-0000-0000052D0000}"/>
    <cellStyle name="20 % - Markeringsfarve6 3 3 2 2 5" xfId="24963" xr:uid="{00000000-0005-0000-0000-0000062D0000}"/>
    <cellStyle name="20 % - Markeringsfarve6 3 3 2 3" xfId="5246" xr:uid="{00000000-0005-0000-0000-0000072D0000}"/>
    <cellStyle name="20 % - Markeringsfarve6 3 3 2 3 2" xfId="9168" xr:uid="{00000000-0005-0000-0000-0000082D0000}"/>
    <cellStyle name="20 % - Markeringsfarve6 3 3 2 3 2 2" xfId="17079" xr:uid="{00000000-0005-0000-0000-0000092D0000}"/>
    <cellStyle name="20 % - Markeringsfarve6 3 3 2 3 2 2 2" xfId="35239" xr:uid="{00000000-0005-0000-0000-00000A2D0000}"/>
    <cellStyle name="20 % - Markeringsfarve6 3 3 2 3 2 3" xfId="28238" xr:uid="{00000000-0005-0000-0000-00000B2D0000}"/>
    <cellStyle name="20 % - Markeringsfarve6 3 3 2 3 3" xfId="13800" xr:uid="{00000000-0005-0000-0000-00000C2D0000}"/>
    <cellStyle name="20 % - Markeringsfarve6 3 3 2 3 3 2" xfId="31967" xr:uid="{00000000-0005-0000-0000-00000D2D0000}"/>
    <cellStyle name="20 % - Markeringsfarve6 3 3 2 3 4" xfId="24965" xr:uid="{00000000-0005-0000-0000-00000E2D0000}"/>
    <cellStyle name="20 % - Markeringsfarve6 3 3 2 4" xfId="5247" xr:uid="{00000000-0005-0000-0000-00000F2D0000}"/>
    <cellStyle name="20 % - Markeringsfarve6 3 3 2 4 2" xfId="10817" xr:uid="{00000000-0005-0000-0000-0000102D0000}"/>
    <cellStyle name="20 % - Markeringsfarve6 3 3 2 4 2 2" xfId="18704" xr:uid="{00000000-0005-0000-0000-0000112D0000}"/>
    <cellStyle name="20 % - Markeringsfarve6 3 3 2 4 2 2 2" xfId="36864" xr:uid="{00000000-0005-0000-0000-0000122D0000}"/>
    <cellStyle name="20 % - Markeringsfarve6 3 3 2 4 2 3" xfId="29863" xr:uid="{00000000-0005-0000-0000-0000132D0000}"/>
    <cellStyle name="20 % - Markeringsfarve6 3 3 2 4 3" xfId="13801" xr:uid="{00000000-0005-0000-0000-0000142D0000}"/>
    <cellStyle name="20 % - Markeringsfarve6 3 3 2 4 3 2" xfId="31968" xr:uid="{00000000-0005-0000-0000-0000152D0000}"/>
    <cellStyle name="20 % - Markeringsfarve6 3 3 2 4 4" xfId="24966" xr:uid="{00000000-0005-0000-0000-0000162D0000}"/>
    <cellStyle name="20 % - Markeringsfarve6 3 3 2 5" xfId="7947" xr:uid="{00000000-0005-0000-0000-0000172D0000}"/>
    <cellStyle name="20 % - Markeringsfarve6 3 3 2 5 2" xfId="15865" xr:uid="{00000000-0005-0000-0000-0000182D0000}"/>
    <cellStyle name="20 % - Markeringsfarve6 3 3 2 5 2 2" xfId="34025" xr:uid="{00000000-0005-0000-0000-0000192D0000}"/>
    <cellStyle name="20 % - Markeringsfarve6 3 3 2 5 3" xfId="27024" xr:uid="{00000000-0005-0000-0000-00001A2D0000}"/>
    <cellStyle name="20 % - Markeringsfarve6 3 3 2 6" xfId="13797" xr:uid="{00000000-0005-0000-0000-00001B2D0000}"/>
    <cellStyle name="20 % - Markeringsfarve6 3 3 2 6 2" xfId="31964" xr:uid="{00000000-0005-0000-0000-00001C2D0000}"/>
    <cellStyle name="20 % - Markeringsfarve6 3 3 2 7" xfId="24962" xr:uid="{00000000-0005-0000-0000-00001D2D0000}"/>
    <cellStyle name="20 % - Markeringsfarve6 3 3 3" xfId="5248" xr:uid="{00000000-0005-0000-0000-00001E2D0000}"/>
    <cellStyle name="20 % - Markeringsfarve6 3 3 3 2" xfId="5249" xr:uid="{00000000-0005-0000-0000-00001F2D0000}"/>
    <cellStyle name="20 % - Markeringsfarve6 3 3 3 2 2" xfId="5250" xr:uid="{00000000-0005-0000-0000-0000202D0000}"/>
    <cellStyle name="20 % - Markeringsfarve6 3 3 3 2 2 2" xfId="10005" xr:uid="{00000000-0005-0000-0000-0000212D0000}"/>
    <cellStyle name="20 % - Markeringsfarve6 3 3 3 2 2 2 2" xfId="17906" xr:uid="{00000000-0005-0000-0000-0000222D0000}"/>
    <cellStyle name="20 % - Markeringsfarve6 3 3 3 2 2 2 2 2" xfId="36066" xr:uid="{00000000-0005-0000-0000-0000232D0000}"/>
    <cellStyle name="20 % - Markeringsfarve6 3 3 3 2 2 2 3" xfId="29065" xr:uid="{00000000-0005-0000-0000-0000242D0000}"/>
    <cellStyle name="20 % - Markeringsfarve6 3 3 3 2 2 3" xfId="13804" xr:uid="{00000000-0005-0000-0000-0000252D0000}"/>
    <cellStyle name="20 % - Markeringsfarve6 3 3 3 2 2 3 2" xfId="31971" xr:uid="{00000000-0005-0000-0000-0000262D0000}"/>
    <cellStyle name="20 % - Markeringsfarve6 3 3 3 2 2 4" xfId="24969" xr:uid="{00000000-0005-0000-0000-0000272D0000}"/>
    <cellStyle name="20 % - Markeringsfarve6 3 3 3 2 3" xfId="8560" xr:uid="{00000000-0005-0000-0000-0000282D0000}"/>
    <cellStyle name="20 % - Markeringsfarve6 3 3 3 2 3 2" xfId="16477" xr:uid="{00000000-0005-0000-0000-0000292D0000}"/>
    <cellStyle name="20 % - Markeringsfarve6 3 3 3 2 3 2 2" xfId="34637" xr:uid="{00000000-0005-0000-0000-00002A2D0000}"/>
    <cellStyle name="20 % - Markeringsfarve6 3 3 3 2 3 3" xfId="27636" xr:uid="{00000000-0005-0000-0000-00002B2D0000}"/>
    <cellStyle name="20 % - Markeringsfarve6 3 3 3 2 4" xfId="13803" xr:uid="{00000000-0005-0000-0000-00002C2D0000}"/>
    <cellStyle name="20 % - Markeringsfarve6 3 3 3 2 4 2" xfId="31970" xr:uid="{00000000-0005-0000-0000-00002D2D0000}"/>
    <cellStyle name="20 % - Markeringsfarve6 3 3 3 2 5" xfId="24968" xr:uid="{00000000-0005-0000-0000-00002E2D0000}"/>
    <cellStyle name="20 % - Markeringsfarve6 3 3 3 3" xfId="5251" xr:uid="{00000000-0005-0000-0000-00002F2D0000}"/>
    <cellStyle name="20 % - Markeringsfarve6 3 3 3 3 2" xfId="9235" xr:uid="{00000000-0005-0000-0000-0000302D0000}"/>
    <cellStyle name="20 % - Markeringsfarve6 3 3 3 3 2 2" xfId="17146" xr:uid="{00000000-0005-0000-0000-0000312D0000}"/>
    <cellStyle name="20 % - Markeringsfarve6 3 3 3 3 2 2 2" xfId="35306" xr:uid="{00000000-0005-0000-0000-0000322D0000}"/>
    <cellStyle name="20 % - Markeringsfarve6 3 3 3 3 2 3" xfId="28305" xr:uid="{00000000-0005-0000-0000-0000332D0000}"/>
    <cellStyle name="20 % - Markeringsfarve6 3 3 3 3 3" xfId="13805" xr:uid="{00000000-0005-0000-0000-0000342D0000}"/>
    <cellStyle name="20 % - Markeringsfarve6 3 3 3 3 3 2" xfId="31972" xr:uid="{00000000-0005-0000-0000-0000352D0000}"/>
    <cellStyle name="20 % - Markeringsfarve6 3 3 3 3 4" xfId="24970" xr:uid="{00000000-0005-0000-0000-0000362D0000}"/>
    <cellStyle name="20 % - Markeringsfarve6 3 3 3 4" xfId="5252" xr:uid="{00000000-0005-0000-0000-0000372D0000}"/>
    <cellStyle name="20 % - Markeringsfarve6 3 3 3 4 2" xfId="10467" xr:uid="{00000000-0005-0000-0000-0000382D0000}"/>
    <cellStyle name="20 % - Markeringsfarve6 3 3 3 4 2 2" xfId="18364" xr:uid="{00000000-0005-0000-0000-0000392D0000}"/>
    <cellStyle name="20 % - Markeringsfarve6 3 3 3 4 2 2 2" xfId="36524" xr:uid="{00000000-0005-0000-0000-00003A2D0000}"/>
    <cellStyle name="20 % - Markeringsfarve6 3 3 3 4 2 3" xfId="29523" xr:uid="{00000000-0005-0000-0000-00003B2D0000}"/>
    <cellStyle name="20 % - Markeringsfarve6 3 3 3 4 3" xfId="13806" xr:uid="{00000000-0005-0000-0000-00003C2D0000}"/>
    <cellStyle name="20 % - Markeringsfarve6 3 3 3 4 3 2" xfId="31973" xr:uid="{00000000-0005-0000-0000-00003D2D0000}"/>
    <cellStyle name="20 % - Markeringsfarve6 3 3 3 4 4" xfId="24971" xr:uid="{00000000-0005-0000-0000-00003E2D0000}"/>
    <cellStyle name="20 % - Markeringsfarve6 3 3 3 5" xfId="7948" xr:uid="{00000000-0005-0000-0000-00003F2D0000}"/>
    <cellStyle name="20 % - Markeringsfarve6 3 3 3 5 2" xfId="15866" xr:uid="{00000000-0005-0000-0000-0000402D0000}"/>
    <cellStyle name="20 % - Markeringsfarve6 3 3 3 5 2 2" xfId="34026" xr:uid="{00000000-0005-0000-0000-0000412D0000}"/>
    <cellStyle name="20 % - Markeringsfarve6 3 3 3 5 3" xfId="27025" xr:uid="{00000000-0005-0000-0000-0000422D0000}"/>
    <cellStyle name="20 % - Markeringsfarve6 3 3 3 6" xfId="13802" xr:uid="{00000000-0005-0000-0000-0000432D0000}"/>
    <cellStyle name="20 % - Markeringsfarve6 3 3 3 6 2" xfId="31969" xr:uid="{00000000-0005-0000-0000-0000442D0000}"/>
    <cellStyle name="20 % - Markeringsfarve6 3 3 3 7" xfId="24967" xr:uid="{00000000-0005-0000-0000-0000452D0000}"/>
    <cellStyle name="20 % - Markeringsfarve6 3 3 4" xfId="5253" xr:uid="{00000000-0005-0000-0000-0000462D0000}"/>
    <cellStyle name="20 % - Markeringsfarve6 3 3 4 2" xfId="5254" xr:uid="{00000000-0005-0000-0000-0000472D0000}"/>
    <cellStyle name="20 % - Markeringsfarve6 3 3 4 2 2" xfId="5255" xr:uid="{00000000-0005-0000-0000-0000482D0000}"/>
    <cellStyle name="20 % - Markeringsfarve6 3 3 4 2 2 2" xfId="10176" xr:uid="{00000000-0005-0000-0000-0000492D0000}"/>
    <cellStyle name="20 % - Markeringsfarve6 3 3 4 2 2 2 2" xfId="18077" xr:uid="{00000000-0005-0000-0000-00004A2D0000}"/>
    <cellStyle name="20 % - Markeringsfarve6 3 3 4 2 2 2 2 2" xfId="36237" xr:uid="{00000000-0005-0000-0000-00004B2D0000}"/>
    <cellStyle name="20 % - Markeringsfarve6 3 3 4 2 2 2 3" xfId="29236" xr:uid="{00000000-0005-0000-0000-00004C2D0000}"/>
    <cellStyle name="20 % - Markeringsfarve6 3 3 4 2 2 3" xfId="13809" xr:uid="{00000000-0005-0000-0000-00004D2D0000}"/>
    <cellStyle name="20 % - Markeringsfarve6 3 3 4 2 2 3 2" xfId="31976" xr:uid="{00000000-0005-0000-0000-00004E2D0000}"/>
    <cellStyle name="20 % - Markeringsfarve6 3 3 4 2 2 4" xfId="24974" xr:uid="{00000000-0005-0000-0000-00004F2D0000}"/>
    <cellStyle name="20 % - Markeringsfarve6 3 3 4 2 3" xfId="8707" xr:uid="{00000000-0005-0000-0000-0000502D0000}"/>
    <cellStyle name="20 % - Markeringsfarve6 3 3 4 2 3 2" xfId="16621" xr:uid="{00000000-0005-0000-0000-0000512D0000}"/>
    <cellStyle name="20 % - Markeringsfarve6 3 3 4 2 3 2 2" xfId="34781" xr:uid="{00000000-0005-0000-0000-0000522D0000}"/>
    <cellStyle name="20 % - Markeringsfarve6 3 3 4 2 3 3" xfId="27780" xr:uid="{00000000-0005-0000-0000-0000532D0000}"/>
    <cellStyle name="20 % - Markeringsfarve6 3 3 4 2 4" xfId="13808" xr:uid="{00000000-0005-0000-0000-0000542D0000}"/>
    <cellStyle name="20 % - Markeringsfarve6 3 3 4 2 4 2" xfId="31975" xr:uid="{00000000-0005-0000-0000-0000552D0000}"/>
    <cellStyle name="20 % - Markeringsfarve6 3 3 4 2 5" xfId="24973" xr:uid="{00000000-0005-0000-0000-0000562D0000}"/>
    <cellStyle name="20 % - Markeringsfarve6 3 3 4 3" xfId="5256" xr:uid="{00000000-0005-0000-0000-0000572D0000}"/>
    <cellStyle name="20 % - Markeringsfarve6 3 3 4 3 2" xfId="9452" xr:uid="{00000000-0005-0000-0000-0000582D0000}"/>
    <cellStyle name="20 % - Markeringsfarve6 3 3 4 3 2 2" xfId="17362" xr:uid="{00000000-0005-0000-0000-0000592D0000}"/>
    <cellStyle name="20 % - Markeringsfarve6 3 3 4 3 2 2 2" xfId="35522" xr:uid="{00000000-0005-0000-0000-00005A2D0000}"/>
    <cellStyle name="20 % - Markeringsfarve6 3 3 4 3 2 3" xfId="28521" xr:uid="{00000000-0005-0000-0000-00005B2D0000}"/>
    <cellStyle name="20 % - Markeringsfarve6 3 3 4 3 3" xfId="13810" xr:uid="{00000000-0005-0000-0000-00005C2D0000}"/>
    <cellStyle name="20 % - Markeringsfarve6 3 3 4 3 3 2" xfId="31977" xr:uid="{00000000-0005-0000-0000-00005D2D0000}"/>
    <cellStyle name="20 % - Markeringsfarve6 3 3 4 3 4" xfId="24975" xr:uid="{00000000-0005-0000-0000-00005E2D0000}"/>
    <cellStyle name="20 % - Markeringsfarve6 3 3 4 4" xfId="5257" xr:uid="{00000000-0005-0000-0000-00005F2D0000}"/>
    <cellStyle name="20 % - Markeringsfarve6 3 3 4 4 2" xfId="8983" xr:uid="{00000000-0005-0000-0000-0000602D0000}"/>
    <cellStyle name="20 % - Markeringsfarve6 3 3 4 4 2 2" xfId="16894" xr:uid="{00000000-0005-0000-0000-0000612D0000}"/>
    <cellStyle name="20 % - Markeringsfarve6 3 3 4 4 2 2 2" xfId="35054" xr:uid="{00000000-0005-0000-0000-0000622D0000}"/>
    <cellStyle name="20 % - Markeringsfarve6 3 3 4 4 2 3" xfId="28053" xr:uid="{00000000-0005-0000-0000-0000632D0000}"/>
    <cellStyle name="20 % - Markeringsfarve6 3 3 4 4 3" xfId="13811" xr:uid="{00000000-0005-0000-0000-0000642D0000}"/>
    <cellStyle name="20 % - Markeringsfarve6 3 3 4 4 3 2" xfId="31978" xr:uid="{00000000-0005-0000-0000-0000652D0000}"/>
    <cellStyle name="20 % - Markeringsfarve6 3 3 4 4 4" xfId="24976" xr:uid="{00000000-0005-0000-0000-0000662D0000}"/>
    <cellStyle name="20 % - Markeringsfarve6 3 3 4 5" xfId="7949" xr:uid="{00000000-0005-0000-0000-0000672D0000}"/>
    <cellStyle name="20 % - Markeringsfarve6 3 3 4 5 2" xfId="15867" xr:uid="{00000000-0005-0000-0000-0000682D0000}"/>
    <cellStyle name="20 % - Markeringsfarve6 3 3 4 5 2 2" xfId="34027" xr:uid="{00000000-0005-0000-0000-0000692D0000}"/>
    <cellStyle name="20 % - Markeringsfarve6 3 3 4 5 3" xfId="27026" xr:uid="{00000000-0005-0000-0000-00006A2D0000}"/>
    <cellStyle name="20 % - Markeringsfarve6 3 3 4 6" xfId="13807" xr:uid="{00000000-0005-0000-0000-00006B2D0000}"/>
    <cellStyle name="20 % - Markeringsfarve6 3 3 4 6 2" xfId="31974" xr:uid="{00000000-0005-0000-0000-00006C2D0000}"/>
    <cellStyle name="20 % - Markeringsfarve6 3 3 4 7" xfId="24972" xr:uid="{00000000-0005-0000-0000-00006D2D0000}"/>
    <cellStyle name="20 % - Markeringsfarve6 3 3 5" xfId="5258" xr:uid="{00000000-0005-0000-0000-00006E2D0000}"/>
    <cellStyle name="20 % - Markeringsfarve6 3 3 5 2" xfId="5259" xr:uid="{00000000-0005-0000-0000-00006F2D0000}"/>
    <cellStyle name="20 % - Markeringsfarve6 3 3 5 2 2" xfId="5260" xr:uid="{00000000-0005-0000-0000-0000702D0000}"/>
    <cellStyle name="20 % - Markeringsfarve6 3 3 5 2 2 2" xfId="10293" xr:uid="{00000000-0005-0000-0000-0000712D0000}"/>
    <cellStyle name="20 % - Markeringsfarve6 3 3 5 2 2 2 2" xfId="18194" xr:uid="{00000000-0005-0000-0000-0000722D0000}"/>
    <cellStyle name="20 % - Markeringsfarve6 3 3 5 2 2 2 2 2" xfId="36354" xr:uid="{00000000-0005-0000-0000-0000732D0000}"/>
    <cellStyle name="20 % - Markeringsfarve6 3 3 5 2 2 2 3" xfId="29353" xr:uid="{00000000-0005-0000-0000-0000742D0000}"/>
    <cellStyle name="20 % - Markeringsfarve6 3 3 5 2 2 3" xfId="13814" xr:uid="{00000000-0005-0000-0000-0000752D0000}"/>
    <cellStyle name="20 % - Markeringsfarve6 3 3 5 2 2 3 2" xfId="31981" xr:uid="{00000000-0005-0000-0000-0000762D0000}"/>
    <cellStyle name="20 % - Markeringsfarve6 3 3 5 2 2 4" xfId="24979" xr:uid="{00000000-0005-0000-0000-0000772D0000}"/>
    <cellStyle name="20 % - Markeringsfarve6 3 3 5 2 3" xfId="8806" xr:uid="{00000000-0005-0000-0000-0000782D0000}"/>
    <cellStyle name="20 % - Markeringsfarve6 3 3 5 2 3 2" xfId="16720" xr:uid="{00000000-0005-0000-0000-0000792D0000}"/>
    <cellStyle name="20 % - Markeringsfarve6 3 3 5 2 3 2 2" xfId="34880" xr:uid="{00000000-0005-0000-0000-00007A2D0000}"/>
    <cellStyle name="20 % - Markeringsfarve6 3 3 5 2 3 3" xfId="27879" xr:uid="{00000000-0005-0000-0000-00007B2D0000}"/>
    <cellStyle name="20 % - Markeringsfarve6 3 3 5 2 4" xfId="13813" xr:uid="{00000000-0005-0000-0000-00007C2D0000}"/>
    <cellStyle name="20 % - Markeringsfarve6 3 3 5 2 4 2" xfId="31980" xr:uid="{00000000-0005-0000-0000-00007D2D0000}"/>
    <cellStyle name="20 % - Markeringsfarve6 3 3 5 2 5" xfId="24978" xr:uid="{00000000-0005-0000-0000-00007E2D0000}"/>
    <cellStyle name="20 % - Markeringsfarve6 3 3 5 3" xfId="5261" xr:uid="{00000000-0005-0000-0000-00007F2D0000}"/>
    <cellStyle name="20 % - Markeringsfarve6 3 3 5 3 2" xfId="9569" xr:uid="{00000000-0005-0000-0000-0000802D0000}"/>
    <cellStyle name="20 % - Markeringsfarve6 3 3 5 3 2 2" xfId="17479" xr:uid="{00000000-0005-0000-0000-0000812D0000}"/>
    <cellStyle name="20 % - Markeringsfarve6 3 3 5 3 2 2 2" xfId="35639" xr:uid="{00000000-0005-0000-0000-0000822D0000}"/>
    <cellStyle name="20 % - Markeringsfarve6 3 3 5 3 2 3" xfId="28638" xr:uid="{00000000-0005-0000-0000-0000832D0000}"/>
    <cellStyle name="20 % - Markeringsfarve6 3 3 5 3 3" xfId="13815" xr:uid="{00000000-0005-0000-0000-0000842D0000}"/>
    <cellStyle name="20 % - Markeringsfarve6 3 3 5 3 3 2" xfId="31982" xr:uid="{00000000-0005-0000-0000-0000852D0000}"/>
    <cellStyle name="20 % - Markeringsfarve6 3 3 5 3 4" xfId="24980" xr:uid="{00000000-0005-0000-0000-0000862D0000}"/>
    <cellStyle name="20 % - Markeringsfarve6 3 3 5 4" xfId="5262" xr:uid="{00000000-0005-0000-0000-0000872D0000}"/>
    <cellStyle name="20 % - Markeringsfarve6 3 3 5 4 2" xfId="10767" xr:uid="{00000000-0005-0000-0000-0000882D0000}"/>
    <cellStyle name="20 % - Markeringsfarve6 3 3 5 4 2 2" xfId="18655" xr:uid="{00000000-0005-0000-0000-0000892D0000}"/>
    <cellStyle name="20 % - Markeringsfarve6 3 3 5 4 2 2 2" xfId="36815" xr:uid="{00000000-0005-0000-0000-00008A2D0000}"/>
    <cellStyle name="20 % - Markeringsfarve6 3 3 5 4 2 3" xfId="29814" xr:uid="{00000000-0005-0000-0000-00008B2D0000}"/>
    <cellStyle name="20 % - Markeringsfarve6 3 3 5 4 3" xfId="13816" xr:uid="{00000000-0005-0000-0000-00008C2D0000}"/>
    <cellStyle name="20 % - Markeringsfarve6 3 3 5 4 3 2" xfId="31983" xr:uid="{00000000-0005-0000-0000-00008D2D0000}"/>
    <cellStyle name="20 % - Markeringsfarve6 3 3 5 4 4" xfId="24981" xr:uid="{00000000-0005-0000-0000-00008E2D0000}"/>
    <cellStyle name="20 % - Markeringsfarve6 3 3 5 5" xfId="7950" xr:uid="{00000000-0005-0000-0000-00008F2D0000}"/>
    <cellStyle name="20 % - Markeringsfarve6 3 3 5 5 2" xfId="15868" xr:uid="{00000000-0005-0000-0000-0000902D0000}"/>
    <cellStyle name="20 % - Markeringsfarve6 3 3 5 5 2 2" xfId="34028" xr:uid="{00000000-0005-0000-0000-0000912D0000}"/>
    <cellStyle name="20 % - Markeringsfarve6 3 3 5 5 3" xfId="27027" xr:uid="{00000000-0005-0000-0000-0000922D0000}"/>
    <cellStyle name="20 % - Markeringsfarve6 3 3 5 6" xfId="13812" xr:uid="{00000000-0005-0000-0000-0000932D0000}"/>
    <cellStyle name="20 % - Markeringsfarve6 3 3 5 6 2" xfId="31979" xr:uid="{00000000-0005-0000-0000-0000942D0000}"/>
    <cellStyle name="20 % - Markeringsfarve6 3 3 5 7" xfId="24977" xr:uid="{00000000-0005-0000-0000-0000952D0000}"/>
    <cellStyle name="20 % - Markeringsfarve6 3 3 6" xfId="5263" xr:uid="{00000000-0005-0000-0000-0000962D0000}"/>
    <cellStyle name="20 % - Markeringsfarve6 3 3 6 2" xfId="5264" xr:uid="{00000000-0005-0000-0000-0000972D0000}"/>
    <cellStyle name="20 % - Markeringsfarve6 3 3 6 2 2" xfId="5265" xr:uid="{00000000-0005-0000-0000-0000982D0000}"/>
    <cellStyle name="20 % - Markeringsfarve6 3 3 6 2 2 2" xfId="10359" xr:uid="{00000000-0005-0000-0000-0000992D0000}"/>
    <cellStyle name="20 % - Markeringsfarve6 3 3 6 2 2 2 2" xfId="18260" xr:uid="{00000000-0005-0000-0000-00009A2D0000}"/>
    <cellStyle name="20 % - Markeringsfarve6 3 3 6 2 2 2 2 2" xfId="36420" xr:uid="{00000000-0005-0000-0000-00009B2D0000}"/>
    <cellStyle name="20 % - Markeringsfarve6 3 3 6 2 2 2 3" xfId="29419" xr:uid="{00000000-0005-0000-0000-00009C2D0000}"/>
    <cellStyle name="20 % - Markeringsfarve6 3 3 6 2 2 3" xfId="13819" xr:uid="{00000000-0005-0000-0000-00009D2D0000}"/>
    <cellStyle name="20 % - Markeringsfarve6 3 3 6 2 2 3 2" xfId="31986" xr:uid="{00000000-0005-0000-0000-00009E2D0000}"/>
    <cellStyle name="20 % - Markeringsfarve6 3 3 6 2 2 4" xfId="24984" xr:uid="{00000000-0005-0000-0000-00009F2D0000}"/>
    <cellStyle name="20 % - Markeringsfarve6 3 3 6 2 3" xfId="8861" xr:uid="{00000000-0005-0000-0000-0000A02D0000}"/>
    <cellStyle name="20 % - Markeringsfarve6 3 3 6 2 3 2" xfId="16775" xr:uid="{00000000-0005-0000-0000-0000A12D0000}"/>
    <cellStyle name="20 % - Markeringsfarve6 3 3 6 2 3 2 2" xfId="34935" xr:uid="{00000000-0005-0000-0000-0000A22D0000}"/>
    <cellStyle name="20 % - Markeringsfarve6 3 3 6 2 3 3" xfId="27934" xr:uid="{00000000-0005-0000-0000-0000A32D0000}"/>
    <cellStyle name="20 % - Markeringsfarve6 3 3 6 2 4" xfId="13818" xr:uid="{00000000-0005-0000-0000-0000A42D0000}"/>
    <cellStyle name="20 % - Markeringsfarve6 3 3 6 2 4 2" xfId="31985" xr:uid="{00000000-0005-0000-0000-0000A52D0000}"/>
    <cellStyle name="20 % - Markeringsfarve6 3 3 6 2 5" xfId="24983" xr:uid="{00000000-0005-0000-0000-0000A62D0000}"/>
    <cellStyle name="20 % - Markeringsfarve6 3 3 6 3" xfId="5266" xr:uid="{00000000-0005-0000-0000-0000A72D0000}"/>
    <cellStyle name="20 % - Markeringsfarve6 3 3 6 3 2" xfId="9636" xr:uid="{00000000-0005-0000-0000-0000A82D0000}"/>
    <cellStyle name="20 % - Markeringsfarve6 3 3 6 3 2 2" xfId="17546" xr:uid="{00000000-0005-0000-0000-0000A92D0000}"/>
    <cellStyle name="20 % - Markeringsfarve6 3 3 6 3 2 2 2" xfId="35706" xr:uid="{00000000-0005-0000-0000-0000AA2D0000}"/>
    <cellStyle name="20 % - Markeringsfarve6 3 3 6 3 2 3" xfId="28705" xr:uid="{00000000-0005-0000-0000-0000AB2D0000}"/>
    <cellStyle name="20 % - Markeringsfarve6 3 3 6 3 3" xfId="13820" xr:uid="{00000000-0005-0000-0000-0000AC2D0000}"/>
    <cellStyle name="20 % - Markeringsfarve6 3 3 6 3 3 2" xfId="31987" xr:uid="{00000000-0005-0000-0000-0000AD2D0000}"/>
    <cellStyle name="20 % - Markeringsfarve6 3 3 6 3 4" xfId="24985" xr:uid="{00000000-0005-0000-0000-0000AE2D0000}"/>
    <cellStyle name="20 % - Markeringsfarve6 3 3 6 4" xfId="5267" xr:uid="{00000000-0005-0000-0000-0000AF2D0000}"/>
    <cellStyle name="20 % - Markeringsfarve6 3 3 6 4 2" xfId="11007" xr:uid="{00000000-0005-0000-0000-0000B02D0000}"/>
    <cellStyle name="20 % - Markeringsfarve6 3 3 6 4 2 2" xfId="18883" xr:uid="{00000000-0005-0000-0000-0000B12D0000}"/>
    <cellStyle name="20 % - Markeringsfarve6 3 3 6 4 2 2 2" xfId="37043" xr:uid="{00000000-0005-0000-0000-0000B22D0000}"/>
    <cellStyle name="20 % - Markeringsfarve6 3 3 6 4 2 3" xfId="30042" xr:uid="{00000000-0005-0000-0000-0000B32D0000}"/>
    <cellStyle name="20 % - Markeringsfarve6 3 3 6 4 3" xfId="13821" xr:uid="{00000000-0005-0000-0000-0000B42D0000}"/>
    <cellStyle name="20 % - Markeringsfarve6 3 3 6 4 3 2" xfId="31988" xr:uid="{00000000-0005-0000-0000-0000B52D0000}"/>
    <cellStyle name="20 % - Markeringsfarve6 3 3 6 4 4" xfId="24986" xr:uid="{00000000-0005-0000-0000-0000B62D0000}"/>
    <cellStyle name="20 % - Markeringsfarve6 3 3 6 5" xfId="7951" xr:uid="{00000000-0005-0000-0000-0000B72D0000}"/>
    <cellStyle name="20 % - Markeringsfarve6 3 3 6 5 2" xfId="15869" xr:uid="{00000000-0005-0000-0000-0000B82D0000}"/>
    <cellStyle name="20 % - Markeringsfarve6 3 3 6 5 2 2" xfId="34029" xr:uid="{00000000-0005-0000-0000-0000B92D0000}"/>
    <cellStyle name="20 % - Markeringsfarve6 3 3 6 5 3" xfId="27028" xr:uid="{00000000-0005-0000-0000-0000BA2D0000}"/>
    <cellStyle name="20 % - Markeringsfarve6 3 3 6 6" xfId="13817" xr:uid="{00000000-0005-0000-0000-0000BB2D0000}"/>
    <cellStyle name="20 % - Markeringsfarve6 3 3 6 6 2" xfId="31984" xr:uid="{00000000-0005-0000-0000-0000BC2D0000}"/>
    <cellStyle name="20 % - Markeringsfarve6 3 3 6 7" xfId="24982" xr:uid="{00000000-0005-0000-0000-0000BD2D0000}"/>
    <cellStyle name="20 % - Markeringsfarve6 3 3 7" xfId="5268" xr:uid="{00000000-0005-0000-0000-0000BE2D0000}"/>
    <cellStyle name="20 % - Markeringsfarve6 3 3 7 2" xfId="5269" xr:uid="{00000000-0005-0000-0000-0000BF2D0000}"/>
    <cellStyle name="20 % - Markeringsfarve6 3 3 7 2 2" xfId="9819" xr:uid="{00000000-0005-0000-0000-0000C02D0000}"/>
    <cellStyle name="20 % - Markeringsfarve6 3 3 7 2 2 2" xfId="17720" xr:uid="{00000000-0005-0000-0000-0000C12D0000}"/>
    <cellStyle name="20 % - Markeringsfarve6 3 3 7 2 2 2 2" xfId="35880" xr:uid="{00000000-0005-0000-0000-0000C22D0000}"/>
    <cellStyle name="20 % - Markeringsfarve6 3 3 7 2 2 3" xfId="28879" xr:uid="{00000000-0005-0000-0000-0000C32D0000}"/>
    <cellStyle name="20 % - Markeringsfarve6 3 3 7 2 3" xfId="13823" xr:uid="{00000000-0005-0000-0000-0000C42D0000}"/>
    <cellStyle name="20 % - Markeringsfarve6 3 3 7 2 3 2" xfId="31990" xr:uid="{00000000-0005-0000-0000-0000C52D0000}"/>
    <cellStyle name="20 % - Markeringsfarve6 3 3 7 2 4" xfId="24988" xr:uid="{00000000-0005-0000-0000-0000C62D0000}"/>
    <cellStyle name="20 % - Markeringsfarve6 3 3 7 3" xfId="8406" xr:uid="{00000000-0005-0000-0000-0000C72D0000}"/>
    <cellStyle name="20 % - Markeringsfarve6 3 3 7 3 2" xfId="16323" xr:uid="{00000000-0005-0000-0000-0000C82D0000}"/>
    <cellStyle name="20 % - Markeringsfarve6 3 3 7 3 2 2" xfId="34483" xr:uid="{00000000-0005-0000-0000-0000C92D0000}"/>
    <cellStyle name="20 % - Markeringsfarve6 3 3 7 3 3" xfId="27482" xr:uid="{00000000-0005-0000-0000-0000CA2D0000}"/>
    <cellStyle name="20 % - Markeringsfarve6 3 3 7 4" xfId="13822" xr:uid="{00000000-0005-0000-0000-0000CB2D0000}"/>
    <cellStyle name="20 % - Markeringsfarve6 3 3 7 4 2" xfId="31989" xr:uid="{00000000-0005-0000-0000-0000CC2D0000}"/>
    <cellStyle name="20 % - Markeringsfarve6 3 3 7 5" xfId="24987" xr:uid="{00000000-0005-0000-0000-0000CD2D0000}"/>
    <cellStyle name="20 % - Markeringsfarve6 3 3 8" xfId="5270" xr:uid="{00000000-0005-0000-0000-0000CE2D0000}"/>
    <cellStyle name="20 % - Markeringsfarve6 3 3 8 2" xfId="9047" xr:uid="{00000000-0005-0000-0000-0000CF2D0000}"/>
    <cellStyle name="20 % - Markeringsfarve6 3 3 8 2 2" xfId="16958" xr:uid="{00000000-0005-0000-0000-0000D02D0000}"/>
    <cellStyle name="20 % - Markeringsfarve6 3 3 8 2 2 2" xfId="35118" xr:uid="{00000000-0005-0000-0000-0000D12D0000}"/>
    <cellStyle name="20 % - Markeringsfarve6 3 3 8 2 3" xfId="28117" xr:uid="{00000000-0005-0000-0000-0000D22D0000}"/>
    <cellStyle name="20 % - Markeringsfarve6 3 3 8 3" xfId="13824" xr:uid="{00000000-0005-0000-0000-0000D32D0000}"/>
    <cellStyle name="20 % - Markeringsfarve6 3 3 8 3 2" xfId="31991" xr:uid="{00000000-0005-0000-0000-0000D42D0000}"/>
    <cellStyle name="20 % - Markeringsfarve6 3 3 8 4" xfId="24989" xr:uid="{00000000-0005-0000-0000-0000D52D0000}"/>
    <cellStyle name="20 % - Markeringsfarve6 3 3 9" xfId="5271" xr:uid="{00000000-0005-0000-0000-0000D62D0000}"/>
    <cellStyle name="20 % - Markeringsfarve6 3 3 9 2" xfId="10526" xr:uid="{00000000-0005-0000-0000-0000D72D0000}"/>
    <cellStyle name="20 % - Markeringsfarve6 3 3 9 2 2" xfId="18420" xr:uid="{00000000-0005-0000-0000-0000D82D0000}"/>
    <cellStyle name="20 % - Markeringsfarve6 3 3 9 2 2 2" xfId="36580" xr:uid="{00000000-0005-0000-0000-0000D92D0000}"/>
    <cellStyle name="20 % - Markeringsfarve6 3 3 9 2 3" xfId="29579" xr:uid="{00000000-0005-0000-0000-0000DA2D0000}"/>
    <cellStyle name="20 % - Markeringsfarve6 3 3 9 3" xfId="13825" xr:uid="{00000000-0005-0000-0000-0000DB2D0000}"/>
    <cellStyle name="20 % - Markeringsfarve6 3 3 9 3 2" xfId="31992" xr:uid="{00000000-0005-0000-0000-0000DC2D0000}"/>
    <cellStyle name="20 % - Markeringsfarve6 3 3 9 4" xfId="24990" xr:uid="{00000000-0005-0000-0000-0000DD2D0000}"/>
    <cellStyle name="20 % - Markeringsfarve6 3 4" xfId="5272" xr:uid="{00000000-0005-0000-0000-0000DE2D0000}"/>
    <cellStyle name="20 % - Markeringsfarve6 3 4 2" xfId="5273" xr:uid="{00000000-0005-0000-0000-0000DF2D0000}"/>
    <cellStyle name="20 % - Markeringsfarve6 3 4 2 2" xfId="5274" xr:uid="{00000000-0005-0000-0000-0000E02D0000}"/>
    <cellStyle name="20 % - Markeringsfarve6 3 4 2 2 2" xfId="9860" xr:uid="{00000000-0005-0000-0000-0000E12D0000}"/>
    <cellStyle name="20 % - Markeringsfarve6 3 4 2 2 2 2" xfId="17761" xr:uid="{00000000-0005-0000-0000-0000E22D0000}"/>
    <cellStyle name="20 % - Markeringsfarve6 3 4 2 2 2 2 2" xfId="35921" xr:uid="{00000000-0005-0000-0000-0000E32D0000}"/>
    <cellStyle name="20 % - Markeringsfarve6 3 4 2 2 2 3" xfId="28920" xr:uid="{00000000-0005-0000-0000-0000E42D0000}"/>
    <cellStyle name="20 % - Markeringsfarve6 3 4 2 2 3" xfId="13828" xr:uid="{00000000-0005-0000-0000-0000E52D0000}"/>
    <cellStyle name="20 % - Markeringsfarve6 3 4 2 2 3 2" xfId="31995" xr:uid="{00000000-0005-0000-0000-0000E62D0000}"/>
    <cellStyle name="20 % - Markeringsfarve6 3 4 2 2 4" xfId="24993" xr:uid="{00000000-0005-0000-0000-0000E72D0000}"/>
    <cellStyle name="20 % - Markeringsfarve6 3 4 2 3" xfId="8439" xr:uid="{00000000-0005-0000-0000-0000E82D0000}"/>
    <cellStyle name="20 % - Markeringsfarve6 3 4 2 3 2" xfId="16356" xr:uid="{00000000-0005-0000-0000-0000E92D0000}"/>
    <cellStyle name="20 % - Markeringsfarve6 3 4 2 3 2 2" xfId="34516" xr:uid="{00000000-0005-0000-0000-0000EA2D0000}"/>
    <cellStyle name="20 % - Markeringsfarve6 3 4 2 3 3" xfId="27515" xr:uid="{00000000-0005-0000-0000-0000EB2D0000}"/>
    <cellStyle name="20 % - Markeringsfarve6 3 4 2 4" xfId="13827" xr:uid="{00000000-0005-0000-0000-0000EC2D0000}"/>
    <cellStyle name="20 % - Markeringsfarve6 3 4 2 4 2" xfId="31994" xr:uid="{00000000-0005-0000-0000-0000ED2D0000}"/>
    <cellStyle name="20 % - Markeringsfarve6 3 4 2 5" xfId="24992" xr:uid="{00000000-0005-0000-0000-0000EE2D0000}"/>
    <cellStyle name="20 % - Markeringsfarve6 3 4 3" xfId="5275" xr:uid="{00000000-0005-0000-0000-0000EF2D0000}"/>
    <cellStyle name="20 % - Markeringsfarve6 3 4 3 2" xfId="9090" xr:uid="{00000000-0005-0000-0000-0000F02D0000}"/>
    <cellStyle name="20 % - Markeringsfarve6 3 4 3 2 2" xfId="17001" xr:uid="{00000000-0005-0000-0000-0000F12D0000}"/>
    <cellStyle name="20 % - Markeringsfarve6 3 4 3 2 2 2" xfId="35161" xr:uid="{00000000-0005-0000-0000-0000F22D0000}"/>
    <cellStyle name="20 % - Markeringsfarve6 3 4 3 2 3" xfId="28160" xr:uid="{00000000-0005-0000-0000-0000F32D0000}"/>
    <cellStyle name="20 % - Markeringsfarve6 3 4 3 3" xfId="13829" xr:uid="{00000000-0005-0000-0000-0000F42D0000}"/>
    <cellStyle name="20 % - Markeringsfarve6 3 4 3 3 2" xfId="31996" xr:uid="{00000000-0005-0000-0000-0000F52D0000}"/>
    <cellStyle name="20 % - Markeringsfarve6 3 4 3 4" xfId="24994" xr:uid="{00000000-0005-0000-0000-0000F62D0000}"/>
    <cellStyle name="20 % - Markeringsfarve6 3 4 4" xfId="5276" xr:uid="{00000000-0005-0000-0000-0000F72D0000}"/>
    <cellStyle name="20 % - Markeringsfarve6 3 4 4 2" xfId="10727" xr:uid="{00000000-0005-0000-0000-0000F82D0000}"/>
    <cellStyle name="20 % - Markeringsfarve6 3 4 4 2 2" xfId="18616" xr:uid="{00000000-0005-0000-0000-0000F92D0000}"/>
    <cellStyle name="20 % - Markeringsfarve6 3 4 4 2 2 2" xfId="36776" xr:uid="{00000000-0005-0000-0000-0000FA2D0000}"/>
    <cellStyle name="20 % - Markeringsfarve6 3 4 4 2 3" xfId="29775" xr:uid="{00000000-0005-0000-0000-0000FB2D0000}"/>
    <cellStyle name="20 % - Markeringsfarve6 3 4 4 3" xfId="13830" xr:uid="{00000000-0005-0000-0000-0000FC2D0000}"/>
    <cellStyle name="20 % - Markeringsfarve6 3 4 4 3 2" xfId="31997" xr:uid="{00000000-0005-0000-0000-0000FD2D0000}"/>
    <cellStyle name="20 % - Markeringsfarve6 3 4 4 4" xfId="24995" xr:uid="{00000000-0005-0000-0000-0000FE2D0000}"/>
    <cellStyle name="20 % - Markeringsfarve6 3 4 5" xfId="7952" xr:uid="{00000000-0005-0000-0000-0000FF2D0000}"/>
    <cellStyle name="20 % - Markeringsfarve6 3 4 5 2" xfId="15870" xr:uid="{00000000-0005-0000-0000-0000002E0000}"/>
    <cellStyle name="20 % - Markeringsfarve6 3 4 5 2 2" xfId="34030" xr:uid="{00000000-0005-0000-0000-0000012E0000}"/>
    <cellStyle name="20 % - Markeringsfarve6 3 4 5 3" xfId="27029" xr:uid="{00000000-0005-0000-0000-0000022E0000}"/>
    <cellStyle name="20 % - Markeringsfarve6 3 4 6" xfId="13826" xr:uid="{00000000-0005-0000-0000-0000032E0000}"/>
    <cellStyle name="20 % - Markeringsfarve6 3 4 6 2" xfId="31993" xr:uid="{00000000-0005-0000-0000-0000042E0000}"/>
    <cellStyle name="20 % - Markeringsfarve6 3 4 7" xfId="24991" xr:uid="{00000000-0005-0000-0000-0000052E0000}"/>
    <cellStyle name="20 % - Markeringsfarve6 3 5" xfId="5277" xr:uid="{00000000-0005-0000-0000-0000062E0000}"/>
    <cellStyle name="20 % - Markeringsfarve6 3 5 2" xfId="5278" xr:uid="{00000000-0005-0000-0000-0000072E0000}"/>
    <cellStyle name="20 % - Markeringsfarve6 3 5 2 2" xfId="5279" xr:uid="{00000000-0005-0000-0000-0000082E0000}"/>
    <cellStyle name="20 % - Markeringsfarve6 3 5 2 2 2" xfId="10003" xr:uid="{00000000-0005-0000-0000-0000092E0000}"/>
    <cellStyle name="20 % - Markeringsfarve6 3 5 2 2 2 2" xfId="17904" xr:uid="{00000000-0005-0000-0000-00000A2E0000}"/>
    <cellStyle name="20 % - Markeringsfarve6 3 5 2 2 2 2 2" xfId="36064" xr:uid="{00000000-0005-0000-0000-00000B2E0000}"/>
    <cellStyle name="20 % - Markeringsfarve6 3 5 2 2 2 3" xfId="29063" xr:uid="{00000000-0005-0000-0000-00000C2E0000}"/>
    <cellStyle name="20 % - Markeringsfarve6 3 5 2 2 3" xfId="13833" xr:uid="{00000000-0005-0000-0000-00000D2E0000}"/>
    <cellStyle name="20 % - Markeringsfarve6 3 5 2 2 3 2" xfId="32000" xr:uid="{00000000-0005-0000-0000-00000E2E0000}"/>
    <cellStyle name="20 % - Markeringsfarve6 3 5 2 2 4" xfId="24998" xr:uid="{00000000-0005-0000-0000-00000F2E0000}"/>
    <cellStyle name="20 % - Markeringsfarve6 3 5 2 3" xfId="8558" xr:uid="{00000000-0005-0000-0000-0000102E0000}"/>
    <cellStyle name="20 % - Markeringsfarve6 3 5 2 3 2" xfId="16475" xr:uid="{00000000-0005-0000-0000-0000112E0000}"/>
    <cellStyle name="20 % - Markeringsfarve6 3 5 2 3 2 2" xfId="34635" xr:uid="{00000000-0005-0000-0000-0000122E0000}"/>
    <cellStyle name="20 % - Markeringsfarve6 3 5 2 3 3" xfId="27634" xr:uid="{00000000-0005-0000-0000-0000132E0000}"/>
    <cellStyle name="20 % - Markeringsfarve6 3 5 2 4" xfId="13832" xr:uid="{00000000-0005-0000-0000-0000142E0000}"/>
    <cellStyle name="20 % - Markeringsfarve6 3 5 2 4 2" xfId="31999" xr:uid="{00000000-0005-0000-0000-0000152E0000}"/>
    <cellStyle name="20 % - Markeringsfarve6 3 5 2 5" xfId="24997" xr:uid="{00000000-0005-0000-0000-0000162E0000}"/>
    <cellStyle name="20 % - Markeringsfarve6 3 5 3" xfId="5280" xr:uid="{00000000-0005-0000-0000-0000172E0000}"/>
    <cellStyle name="20 % - Markeringsfarve6 3 5 3 2" xfId="9233" xr:uid="{00000000-0005-0000-0000-0000182E0000}"/>
    <cellStyle name="20 % - Markeringsfarve6 3 5 3 2 2" xfId="17144" xr:uid="{00000000-0005-0000-0000-0000192E0000}"/>
    <cellStyle name="20 % - Markeringsfarve6 3 5 3 2 2 2" xfId="35304" xr:uid="{00000000-0005-0000-0000-00001A2E0000}"/>
    <cellStyle name="20 % - Markeringsfarve6 3 5 3 2 3" xfId="28303" xr:uid="{00000000-0005-0000-0000-00001B2E0000}"/>
    <cellStyle name="20 % - Markeringsfarve6 3 5 3 3" xfId="13834" xr:uid="{00000000-0005-0000-0000-00001C2E0000}"/>
    <cellStyle name="20 % - Markeringsfarve6 3 5 3 3 2" xfId="32001" xr:uid="{00000000-0005-0000-0000-00001D2E0000}"/>
    <cellStyle name="20 % - Markeringsfarve6 3 5 3 4" xfId="24999" xr:uid="{00000000-0005-0000-0000-00001E2E0000}"/>
    <cellStyle name="20 % - Markeringsfarve6 3 5 4" xfId="5281" xr:uid="{00000000-0005-0000-0000-00001F2E0000}"/>
    <cellStyle name="20 % - Markeringsfarve6 3 5 4 2" xfId="10941" xr:uid="{00000000-0005-0000-0000-0000202E0000}"/>
    <cellStyle name="20 % - Markeringsfarve6 3 5 4 2 2" xfId="18821" xr:uid="{00000000-0005-0000-0000-0000212E0000}"/>
    <cellStyle name="20 % - Markeringsfarve6 3 5 4 2 2 2" xfId="36981" xr:uid="{00000000-0005-0000-0000-0000222E0000}"/>
    <cellStyle name="20 % - Markeringsfarve6 3 5 4 2 3" xfId="29980" xr:uid="{00000000-0005-0000-0000-0000232E0000}"/>
    <cellStyle name="20 % - Markeringsfarve6 3 5 4 3" xfId="13835" xr:uid="{00000000-0005-0000-0000-0000242E0000}"/>
    <cellStyle name="20 % - Markeringsfarve6 3 5 4 3 2" xfId="32002" xr:uid="{00000000-0005-0000-0000-0000252E0000}"/>
    <cellStyle name="20 % - Markeringsfarve6 3 5 4 4" xfId="25000" xr:uid="{00000000-0005-0000-0000-0000262E0000}"/>
    <cellStyle name="20 % - Markeringsfarve6 3 5 5" xfId="7953" xr:uid="{00000000-0005-0000-0000-0000272E0000}"/>
    <cellStyle name="20 % - Markeringsfarve6 3 5 5 2" xfId="15871" xr:uid="{00000000-0005-0000-0000-0000282E0000}"/>
    <cellStyle name="20 % - Markeringsfarve6 3 5 5 2 2" xfId="34031" xr:uid="{00000000-0005-0000-0000-0000292E0000}"/>
    <cellStyle name="20 % - Markeringsfarve6 3 5 5 3" xfId="27030" xr:uid="{00000000-0005-0000-0000-00002A2E0000}"/>
    <cellStyle name="20 % - Markeringsfarve6 3 5 6" xfId="13831" xr:uid="{00000000-0005-0000-0000-00002B2E0000}"/>
    <cellStyle name="20 % - Markeringsfarve6 3 5 6 2" xfId="31998" xr:uid="{00000000-0005-0000-0000-00002C2E0000}"/>
    <cellStyle name="20 % - Markeringsfarve6 3 5 7" xfId="24996" xr:uid="{00000000-0005-0000-0000-00002D2E0000}"/>
    <cellStyle name="20 % - Markeringsfarve6 3 6" xfId="5282" xr:uid="{00000000-0005-0000-0000-00002E2E0000}"/>
    <cellStyle name="20 % - Markeringsfarve6 3 6 2" xfId="5283" xr:uid="{00000000-0005-0000-0000-00002F2E0000}"/>
    <cellStyle name="20 % - Markeringsfarve6 3 6 2 2" xfId="5284" xr:uid="{00000000-0005-0000-0000-0000302E0000}"/>
    <cellStyle name="20 % - Markeringsfarve6 3 6 2 2 2" xfId="10098" xr:uid="{00000000-0005-0000-0000-0000312E0000}"/>
    <cellStyle name="20 % - Markeringsfarve6 3 6 2 2 2 2" xfId="17999" xr:uid="{00000000-0005-0000-0000-0000322E0000}"/>
    <cellStyle name="20 % - Markeringsfarve6 3 6 2 2 2 2 2" xfId="36159" xr:uid="{00000000-0005-0000-0000-0000332E0000}"/>
    <cellStyle name="20 % - Markeringsfarve6 3 6 2 2 2 3" xfId="29158" xr:uid="{00000000-0005-0000-0000-0000342E0000}"/>
    <cellStyle name="20 % - Markeringsfarve6 3 6 2 2 3" xfId="13838" xr:uid="{00000000-0005-0000-0000-0000352E0000}"/>
    <cellStyle name="20 % - Markeringsfarve6 3 6 2 2 3 2" xfId="32005" xr:uid="{00000000-0005-0000-0000-0000362E0000}"/>
    <cellStyle name="20 % - Markeringsfarve6 3 6 2 2 4" xfId="25003" xr:uid="{00000000-0005-0000-0000-0000372E0000}"/>
    <cellStyle name="20 % - Markeringsfarve6 3 6 2 3" xfId="8641" xr:uid="{00000000-0005-0000-0000-0000382E0000}"/>
    <cellStyle name="20 % - Markeringsfarve6 3 6 2 3 2" xfId="16555" xr:uid="{00000000-0005-0000-0000-0000392E0000}"/>
    <cellStyle name="20 % - Markeringsfarve6 3 6 2 3 2 2" xfId="34715" xr:uid="{00000000-0005-0000-0000-00003A2E0000}"/>
    <cellStyle name="20 % - Markeringsfarve6 3 6 2 3 3" xfId="27714" xr:uid="{00000000-0005-0000-0000-00003B2E0000}"/>
    <cellStyle name="20 % - Markeringsfarve6 3 6 2 4" xfId="13837" xr:uid="{00000000-0005-0000-0000-00003C2E0000}"/>
    <cellStyle name="20 % - Markeringsfarve6 3 6 2 4 2" xfId="32004" xr:uid="{00000000-0005-0000-0000-00003D2E0000}"/>
    <cellStyle name="20 % - Markeringsfarve6 3 6 2 5" xfId="25002" xr:uid="{00000000-0005-0000-0000-00003E2E0000}"/>
    <cellStyle name="20 % - Markeringsfarve6 3 6 3" xfId="5285" xr:uid="{00000000-0005-0000-0000-00003F2E0000}"/>
    <cellStyle name="20 % - Markeringsfarve6 3 6 3 2" xfId="9374" xr:uid="{00000000-0005-0000-0000-0000402E0000}"/>
    <cellStyle name="20 % - Markeringsfarve6 3 6 3 2 2" xfId="17284" xr:uid="{00000000-0005-0000-0000-0000412E0000}"/>
    <cellStyle name="20 % - Markeringsfarve6 3 6 3 2 2 2" xfId="35444" xr:uid="{00000000-0005-0000-0000-0000422E0000}"/>
    <cellStyle name="20 % - Markeringsfarve6 3 6 3 2 3" xfId="28443" xr:uid="{00000000-0005-0000-0000-0000432E0000}"/>
    <cellStyle name="20 % - Markeringsfarve6 3 6 3 3" xfId="13839" xr:uid="{00000000-0005-0000-0000-0000442E0000}"/>
    <cellStyle name="20 % - Markeringsfarve6 3 6 3 3 2" xfId="32006" xr:uid="{00000000-0005-0000-0000-0000452E0000}"/>
    <cellStyle name="20 % - Markeringsfarve6 3 6 3 4" xfId="25004" xr:uid="{00000000-0005-0000-0000-0000462E0000}"/>
    <cellStyle name="20 % - Markeringsfarve6 3 6 4" xfId="5286" xr:uid="{00000000-0005-0000-0000-0000472E0000}"/>
    <cellStyle name="20 % - Markeringsfarve6 3 6 4 2" xfId="10665" xr:uid="{00000000-0005-0000-0000-0000482E0000}"/>
    <cellStyle name="20 % - Markeringsfarve6 3 6 4 2 2" xfId="18557" xr:uid="{00000000-0005-0000-0000-0000492E0000}"/>
    <cellStyle name="20 % - Markeringsfarve6 3 6 4 2 2 2" xfId="36717" xr:uid="{00000000-0005-0000-0000-00004A2E0000}"/>
    <cellStyle name="20 % - Markeringsfarve6 3 6 4 2 3" xfId="29716" xr:uid="{00000000-0005-0000-0000-00004B2E0000}"/>
    <cellStyle name="20 % - Markeringsfarve6 3 6 4 3" xfId="13840" xr:uid="{00000000-0005-0000-0000-00004C2E0000}"/>
    <cellStyle name="20 % - Markeringsfarve6 3 6 4 3 2" xfId="32007" xr:uid="{00000000-0005-0000-0000-00004D2E0000}"/>
    <cellStyle name="20 % - Markeringsfarve6 3 6 4 4" xfId="25005" xr:uid="{00000000-0005-0000-0000-00004E2E0000}"/>
    <cellStyle name="20 % - Markeringsfarve6 3 6 5" xfId="7954" xr:uid="{00000000-0005-0000-0000-00004F2E0000}"/>
    <cellStyle name="20 % - Markeringsfarve6 3 6 5 2" xfId="15872" xr:uid="{00000000-0005-0000-0000-0000502E0000}"/>
    <cellStyle name="20 % - Markeringsfarve6 3 6 5 2 2" xfId="34032" xr:uid="{00000000-0005-0000-0000-0000512E0000}"/>
    <cellStyle name="20 % - Markeringsfarve6 3 6 5 3" xfId="27031" xr:uid="{00000000-0005-0000-0000-0000522E0000}"/>
    <cellStyle name="20 % - Markeringsfarve6 3 6 6" xfId="13836" xr:uid="{00000000-0005-0000-0000-0000532E0000}"/>
    <cellStyle name="20 % - Markeringsfarve6 3 6 6 2" xfId="32003" xr:uid="{00000000-0005-0000-0000-0000542E0000}"/>
    <cellStyle name="20 % - Markeringsfarve6 3 6 7" xfId="25001" xr:uid="{00000000-0005-0000-0000-0000552E0000}"/>
    <cellStyle name="20 % - Markeringsfarve6 3 7" xfId="5287" xr:uid="{00000000-0005-0000-0000-0000562E0000}"/>
    <cellStyle name="20 % - Markeringsfarve6 3 7 2" xfId="5288" xr:uid="{00000000-0005-0000-0000-0000572E0000}"/>
    <cellStyle name="20 % - Markeringsfarve6 3 7 2 2" xfId="5289" xr:uid="{00000000-0005-0000-0000-0000582E0000}"/>
    <cellStyle name="20 % - Markeringsfarve6 3 7 2 2 2" xfId="10215" xr:uid="{00000000-0005-0000-0000-0000592E0000}"/>
    <cellStyle name="20 % - Markeringsfarve6 3 7 2 2 2 2" xfId="18116" xr:uid="{00000000-0005-0000-0000-00005A2E0000}"/>
    <cellStyle name="20 % - Markeringsfarve6 3 7 2 2 2 2 2" xfId="36276" xr:uid="{00000000-0005-0000-0000-00005B2E0000}"/>
    <cellStyle name="20 % - Markeringsfarve6 3 7 2 2 2 3" xfId="29275" xr:uid="{00000000-0005-0000-0000-00005C2E0000}"/>
    <cellStyle name="20 % - Markeringsfarve6 3 7 2 2 3" xfId="13843" xr:uid="{00000000-0005-0000-0000-00005D2E0000}"/>
    <cellStyle name="20 % - Markeringsfarve6 3 7 2 2 3 2" xfId="32010" xr:uid="{00000000-0005-0000-0000-00005E2E0000}"/>
    <cellStyle name="20 % - Markeringsfarve6 3 7 2 2 4" xfId="25008" xr:uid="{00000000-0005-0000-0000-00005F2E0000}"/>
    <cellStyle name="20 % - Markeringsfarve6 3 7 2 3" xfId="8740" xr:uid="{00000000-0005-0000-0000-0000602E0000}"/>
    <cellStyle name="20 % - Markeringsfarve6 3 7 2 3 2" xfId="16654" xr:uid="{00000000-0005-0000-0000-0000612E0000}"/>
    <cellStyle name="20 % - Markeringsfarve6 3 7 2 3 2 2" xfId="34814" xr:uid="{00000000-0005-0000-0000-0000622E0000}"/>
    <cellStyle name="20 % - Markeringsfarve6 3 7 2 3 3" xfId="27813" xr:uid="{00000000-0005-0000-0000-0000632E0000}"/>
    <cellStyle name="20 % - Markeringsfarve6 3 7 2 4" xfId="13842" xr:uid="{00000000-0005-0000-0000-0000642E0000}"/>
    <cellStyle name="20 % - Markeringsfarve6 3 7 2 4 2" xfId="32009" xr:uid="{00000000-0005-0000-0000-0000652E0000}"/>
    <cellStyle name="20 % - Markeringsfarve6 3 7 2 5" xfId="25007" xr:uid="{00000000-0005-0000-0000-0000662E0000}"/>
    <cellStyle name="20 % - Markeringsfarve6 3 7 3" xfId="5290" xr:uid="{00000000-0005-0000-0000-0000672E0000}"/>
    <cellStyle name="20 % - Markeringsfarve6 3 7 3 2" xfId="9491" xr:uid="{00000000-0005-0000-0000-0000682E0000}"/>
    <cellStyle name="20 % - Markeringsfarve6 3 7 3 2 2" xfId="17401" xr:uid="{00000000-0005-0000-0000-0000692E0000}"/>
    <cellStyle name="20 % - Markeringsfarve6 3 7 3 2 2 2" xfId="35561" xr:uid="{00000000-0005-0000-0000-00006A2E0000}"/>
    <cellStyle name="20 % - Markeringsfarve6 3 7 3 2 3" xfId="28560" xr:uid="{00000000-0005-0000-0000-00006B2E0000}"/>
    <cellStyle name="20 % - Markeringsfarve6 3 7 3 3" xfId="13844" xr:uid="{00000000-0005-0000-0000-00006C2E0000}"/>
    <cellStyle name="20 % - Markeringsfarve6 3 7 3 3 2" xfId="32011" xr:uid="{00000000-0005-0000-0000-00006D2E0000}"/>
    <cellStyle name="20 % - Markeringsfarve6 3 7 3 4" xfId="25009" xr:uid="{00000000-0005-0000-0000-00006E2E0000}"/>
    <cellStyle name="20 % - Markeringsfarve6 3 7 4" xfId="5291" xr:uid="{00000000-0005-0000-0000-00006F2E0000}"/>
    <cellStyle name="20 % - Markeringsfarve6 3 7 4 2" xfId="10900" xr:uid="{00000000-0005-0000-0000-0000702E0000}"/>
    <cellStyle name="20 % - Markeringsfarve6 3 7 4 2 2" xfId="18782" xr:uid="{00000000-0005-0000-0000-0000712E0000}"/>
    <cellStyle name="20 % - Markeringsfarve6 3 7 4 2 2 2" xfId="36942" xr:uid="{00000000-0005-0000-0000-0000722E0000}"/>
    <cellStyle name="20 % - Markeringsfarve6 3 7 4 2 3" xfId="29941" xr:uid="{00000000-0005-0000-0000-0000732E0000}"/>
    <cellStyle name="20 % - Markeringsfarve6 3 7 4 3" xfId="13845" xr:uid="{00000000-0005-0000-0000-0000742E0000}"/>
    <cellStyle name="20 % - Markeringsfarve6 3 7 4 3 2" xfId="32012" xr:uid="{00000000-0005-0000-0000-0000752E0000}"/>
    <cellStyle name="20 % - Markeringsfarve6 3 7 4 4" xfId="25010" xr:uid="{00000000-0005-0000-0000-0000762E0000}"/>
    <cellStyle name="20 % - Markeringsfarve6 3 7 5" xfId="7955" xr:uid="{00000000-0005-0000-0000-0000772E0000}"/>
    <cellStyle name="20 % - Markeringsfarve6 3 7 5 2" xfId="15873" xr:uid="{00000000-0005-0000-0000-0000782E0000}"/>
    <cellStyle name="20 % - Markeringsfarve6 3 7 5 2 2" xfId="34033" xr:uid="{00000000-0005-0000-0000-0000792E0000}"/>
    <cellStyle name="20 % - Markeringsfarve6 3 7 5 3" xfId="27032" xr:uid="{00000000-0005-0000-0000-00007A2E0000}"/>
    <cellStyle name="20 % - Markeringsfarve6 3 7 6" xfId="13841" xr:uid="{00000000-0005-0000-0000-00007B2E0000}"/>
    <cellStyle name="20 % - Markeringsfarve6 3 7 6 2" xfId="32008" xr:uid="{00000000-0005-0000-0000-00007C2E0000}"/>
    <cellStyle name="20 % - Markeringsfarve6 3 7 7" xfId="25006" xr:uid="{00000000-0005-0000-0000-00007D2E0000}"/>
    <cellStyle name="20 % - Markeringsfarve6 3 8" xfId="5292" xr:uid="{00000000-0005-0000-0000-00007E2E0000}"/>
    <cellStyle name="20 % - Markeringsfarve6 3 8 2" xfId="5293" xr:uid="{00000000-0005-0000-0000-00007F2E0000}"/>
    <cellStyle name="20 % - Markeringsfarve6 3 8 2 2" xfId="5294" xr:uid="{00000000-0005-0000-0000-0000802E0000}"/>
    <cellStyle name="20 % - Markeringsfarve6 3 8 2 2 2" xfId="10357" xr:uid="{00000000-0005-0000-0000-0000812E0000}"/>
    <cellStyle name="20 % - Markeringsfarve6 3 8 2 2 2 2" xfId="18258" xr:uid="{00000000-0005-0000-0000-0000822E0000}"/>
    <cellStyle name="20 % - Markeringsfarve6 3 8 2 2 2 2 2" xfId="36418" xr:uid="{00000000-0005-0000-0000-0000832E0000}"/>
    <cellStyle name="20 % - Markeringsfarve6 3 8 2 2 2 3" xfId="29417" xr:uid="{00000000-0005-0000-0000-0000842E0000}"/>
    <cellStyle name="20 % - Markeringsfarve6 3 8 2 2 3" xfId="13848" xr:uid="{00000000-0005-0000-0000-0000852E0000}"/>
    <cellStyle name="20 % - Markeringsfarve6 3 8 2 2 3 2" xfId="32015" xr:uid="{00000000-0005-0000-0000-0000862E0000}"/>
    <cellStyle name="20 % - Markeringsfarve6 3 8 2 2 4" xfId="25013" xr:uid="{00000000-0005-0000-0000-0000872E0000}"/>
    <cellStyle name="20 % - Markeringsfarve6 3 8 2 3" xfId="8859" xr:uid="{00000000-0005-0000-0000-0000882E0000}"/>
    <cellStyle name="20 % - Markeringsfarve6 3 8 2 3 2" xfId="16773" xr:uid="{00000000-0005-0000-0000-0000892E0000}"/>
    <cellStyle name="20 % - Markeringsfarve6 3 8 2 3 2 2" xfId="34933" xr:uid="{00000000-0005-0000-0000-00008A2E0000}"/>
    <cellStyle name="20 % - Markeringsfarve6 3 8 2 3 3" xfId="27932" xr:uid="{00000000-0005-0000-0000-00008B2E0000}"/>
    <cellStyle name="20 % - Markeringsfarve6 3 8 2 4" xfId="13847" xr:uid="{00000000-0005-0000-0000-00008C2E0000}"/>
    <cellStyle name="20 % - Markeringsfarve6 3 8 2 4 2" xfId="32014" xr:uid="{00000000-0005-0000-0000-00008D2E0000}"/>
    <cellStyle name="20 % - Markeringsfarve6 3 8 2 5" xfId="25012" xr:uid="{00000000-0005-0000-0000-00008E2E0000}"/>
    <cellStyle name="20 % - Markeringsfarve6 3 8 3" xfId="5295" xr:uid="{00000000-0005-0000-0000-00008F2E0000}"/>
    <cellStyle name="20 % - Markeringsfarve6 3 8 3 2" xfId="9634" xr:uid="{00000000-0005-0000-0000-0000902E0000}"/>
    <cellStyle name="20 % - Markeringsfarve6 3 8 3 2 2" xfId="17544" xr:uid="{00000000-0005-0000-0000-0000912E0000}"/>
    <cellStyle name="20 % - Markeringsfarve6 3 8 3 2 2 2" xfId="35704" xr:uid="{00000000-0005-0000-0000-0000922E0000}"/>
    <cellStyle name="20 % - Markeringsfarve6 3 8 3 2 3" xfId="28703" xr:uid="{00000000-0005-0000-0000-0000932E0000}"/>
    <cellStyle name="20 % - Markeringsfarve6 3 8 3 3" xfId="13849" xr:uid="{00000000-0005-0000-0000-0000942E0000}"/>
    <cellStyle name="20 % - Markeringsfarve6 3 8 3 3 2" xfId="32016" xr:uid="{00000000-0005-0000-0000-0000952E0000}"/>
    <cellStyle name="20 % - Markeringsfarve6 3 8 3 4" xfId="25014" xr:uid="{00000000-0005-0000-0000-0000962E0000}"/>
    <cellStyle name="20 % - Markeringsfarve6 3 8 4" xfId="5296" xr:uid="{00000000-0005-0000-0000-0000972E0000}"/>
    <cellStyle name="20 % - Markeringsfarve6 3 8 4 2" xfId="10623" xr:uid="{00000000-0005-0000-0000-0000982E0000}"/>
    <cellStyle name="20 % - Markeringsfarve6 3 8 4 2 2" xfId="18516" xr:uid="{00000000-0005-0000-0000-0000992E0000}"/>
    <cellStyle name="20 % - Markeringsfarve6 3 8 4 2 2 2" xfId="36676" xr:uid="{00000000-0005-0000-0000-00009A2E0000}"/>
    <cellStyle name="20 % - Markeringsfarve6 3 8 4 2 3" xfId="29675" xr:uid="{00000000-0005-0000-0000-00009B2E0000}"/>
    <cellStyle name="20 % - Markeringsfarve6 3 8 4 3" xfId="13850" xr:uid="{00000000-0005-0000-0000-00009C2E0000}"/>
    <cellStyle name="20 % - Markeringsfarve6 3 8 4 3 2" xfId="32017" xr:uid="{00000000-0005-0000-0000-00009D2E0000}"/>
    <cellStyle name="20 % - Markeringsfarve6 3 8 4 4" xfId="25015" xr:uid="{00000000-0005-0000-0000-00009E2E0000}"/>
    <cellStyle name="20 % - Markeringsfarve6 3 8 5" xfId="7956" xr:uid="{00000000-0005-0000-0000-00009F2E0000}"/>
    <cellStyle name="20 % - Markeringsfarve6 3 8 5 2" xfId="15874" xr:uid="{00000000-0005-0000-0000-0000A02E0000}"/>
    <cellStyle name="20 % - Markeringsfarve6 3 8 5 2 2" xfId="34034" xr:uid="{00000000-0005-0000-0000-0000A12E0000}"/>
    <cellStyle name="20 % - Markeringsfarve6 3 8 5 3" xfId="27033" xr:uid="{00000000-0005-0000-0000-0000A22E0000}"/>
    <cellStyle name="20 % - Markeringsfarve6 3 8 6" xfId="13846" xr:uid="{00000000-0005-0000-0000-0000A32E0000}"/>
    <cellStyle name="20 % - Markeringsfarve6 3 8 6 2" xfId="32013" xr:uid="{00000000-0005-0000-0000-0000A42E0000}"/>
    <cellStyle name="20 % - Markeringsfarve6 3 8 7" xfId="25011" xr:uid="{00000000-0005-0000-0000-0000A52E0000}"/>
    <cellStyle name="20 % - Markeringsfarve6 3 9" xfId="5297" xr:uid="{00000000-0005-0000-0000-0000A62E0000}"/>
    <cellStyle name="20 % - Markeringsfarve6 3 9 2" xfId="5298" xr:uid="{00000000-0005-0000-0000-0000A72E0000}"/>
    <cellStyle name="20 % - Markeringsfarve6 3 9 2 2" xfId="9741" xr:uid="{00000000-0005-0000-0000-0000A82E0000}"/>
    <cellStyle name="20 % - Markeringsfarve6 3 9 2 2 2" xfId="17642" xr:uid="{00000000-0005-0000-0000-0000A92E0000}"/>
    <cellStyle name="20 % - Markeringsfarve6 3 9 2 2 2 2" xfId="35802" xr:uid="{00000000-0005-0000-0000-0000AA2E0000}"/>
    <cellStyle name="20 % - Markeringsfarve6 3 9 2 2 3" xfId="28801" xr:uid="{00000000-0005-0000-0000-0000AB2E0000}"/>
    <cellStyle name="20 % - Markeringsfarve6 3 9 2 3" xfId="13852" xr:uid="{00000000-0005-0000-0000-0000AC2E0000}"/>
    <cellStyle name="20 % - Markeringsfarve6 3 9 2 3 2" xfId="32019" xr:uid="{00000000-0005-0000-0000-0000AD2E0000}"/>
    <cellStyle name="20 % - Markeringsfarve6 3 9 2 4" xfId="25017" xr:uid="{00000000-0005-0000-0000-0000AE2E0000}"/>
    <cellStyle name="20 % - Markeringsfarve6 3 9 3" xfId="8340" xr:uid="{00000000-0005-0000-0000-0000AF2E0000}"/>
    <cellStyle name="20 % - Markeringsfarve6 3 9 3 2" xfId="16257" xr:uid="{00000000-0005-0000-0000-0000B02E0000}"/>
    <cellStyle name="20 % - Markeringsfarve6 3 9 3 2 2" xfId="34417" xr:uid="{00000000-0005-0000-0000-0000B12E0000}"/>
    <cellStyle name="20 % - Markeringsfarve6 3 9 3 3" xfId="27416" xr:uid="{00000000-0005-0000-0000-0000B22E0000}"/>
    <cellStyle name="20 % - Markeringsfarve6 3 9 4" xfId="13851" xr:uid="{00000000-0005-0000-0000-0000B32E0000}"/>
    <cellStyle name="20 % - Markeringsfarve6 3 9 4 2" xfId="32018" xr:uid="{00000000-0005-0000-0000-0000B42E0000}"/>
    <cellStyle name="20 % - Markeringsfarve6 3 9 5" xfId="25016" xr:uid="{00000000-0005-0000-0000-0000B52E0000}"/>
    <cellStyle name="20 % - Markeringsfarve6 4" xfId="1854" xr:uid="{00000000-0005-0000-0000-0000B62E0000}"/>
    <cellStyle name="20 % - Markeringsfarve6 4 10" xfId="7957" xr:uid="{00000000-0005-0000-0000-0000B72E0000}"/>
    <cellStyle name="20 % - Markeringsfarve6 4 10 2" xfId="15875" xr:uid="{00000000-0005-0000-0000-0000B82E0000}"/>
    <cellStyle name="20 % - Markeringsfarve6 4 10 2 2" xfId="34035" xr:uid="{00000000-0005-0000-0000-0000B92E0000}"/>
    <cellStyle name="20 % - Markeringsfarve6 4 10 3" xfId="27034" xr:uid="{00000000-0005-0000-0000-0000BA2E0000}"/>
    <cellStyle name="20 % - Markeringsfarve6 4 11" xfId="13853" xr:uid="{00000000-0005-0000-0000-0000BB2E0000}"/>
    <cellStyle name="20 % - Markeringsfarve6 4 11 2" xfId="32020" xr:uid="{00000000-0005-0000-0000-0000BC2E0000}"/>
    <cellStyle name="20 % - Markeringsfarve6 4 12" xfId="5299" xr:uid="{00000000-0005-0000-0000-0000BD2E0000}"/>
    <cellStyle name="20 % - Markeringsfarve6 4 12 2" xfId="25018" xr:uid="{00000000-0005-0000-0000-0000BE2E0000}"/>
    <cellStyle name="20 % - Markeringsfarve6 4 13" xfId="21978" xr:uid="{00000000-0005-0000-0000-0000BF2E0000}"/>
    <cellStyle name="20 % - Markeringsfarve6 4 2" xfId="1855" xr:uid="{00000000-0005-0000-0000-0000C02E0000}"/>
    <cellStyle name="20 % - Markeringsfarve6 4 2 2" xfId="5301" xr:uid="{00000000-0005-0000-0000-0000C12E0000}"/>
    <cellStyle name="20 % - Markeringsfarve6 4 2 2 2" xfId="5302" xr:uid="{00000000-0005-0000-0000-0000C22E0000}"/>
    <cellStyle name="20 % - Markeringsfarve6 4 2 2 2 2" xfId="9885" xr:uid="{00000000-0005-0000-0000-0000C32E0000}"/>
    <cellStyle name="20 % - Markeringsfarve6 4 2 2 2 2 2" xfId="17786" xr:uid="{00000000-0005-0000-0000-0000C42E0000}"/>
    <cellStyle name="20 % - Markeringsfarve6 4 2 2 2 2 2 2" xfId="35946" xr:uid="{00000000-0005-0000-0000-0000C52E0000}"/>
    <cellStyle name="20 % - Markeringsfarve6 4 2 2 2 2 3" xfId="28945" xr:uid="{00000000-0005-0000-0000-0000C62E0000}"/>
    <cellStyle name="20 % - Markeringsfarve6 4 2 2 2 3" xfId="13856" xr:uid="{00000000-0005-0000-0000-0000C72E0000}"/>
    <cellStyle name="20 % - Markeringsfarve6 4 2 2 2 3 2" xfId="32023" xr:uid="{00000000-0005-0000-0000-0000C82E0000}"/>
    <cellStyle name="20 % - Markeringsfarve6 4 2 2 2 4" xfId="25021" xr:uid="{00000000-0005-0000-0000-0000C92E0000}"/>
    <cellStyle name="20 % - Markeringsfarve6 4 2 2 3" xfId="8460" xr:uid="{00000000-0005-0000-0000-0000CA2E0000}"/>
    <cellStyle name="20 % - Markeringsfarve6 4 2 2 3 2" xfId="16377" xr:uid="{00000000-0005-0000-0000-0000CB2E0000}"/>
    <cellStyle name="20 % - Markeringsfarve6 4 2 2 3 2 2" xfId="34537" xr:uid="{00000000-0005-0000-0000-0000CC2E0000}"/>
    <cellStyle name="20 % - Markeringsfarve6 4 2 2 3 3" xfId="27536" xr:uid="{00000000-0005-0000-0000-0000CD2E0000}"/>
    <cellStyle name="20 % - Markeringsfarve6 4 2 2 4" xfId="13855" xr:uid="{00000000-0005-0000-0000-0000CE2E0000}"/>
    <cellStyle name="20 % - Markeringsfarve6 4 2 2 4 2" xfId="32022" xr:uid="{00000000-0005-0000-0000-0000CF2E0000}"/>
    <cellStyle name="20 % - Markeringsfarve6 4 2 2 5" xfId="25020" xr:uid="{00000000-0005-0000-0000-0000D02E0000}"/>
    <cellStyle name="20 % - Markeringsfarve6 4 2 3" xfId="5303" xr:uid="{00000000-0005-0000-0000-0000D12E0000}"/>
    <cellStyle name="20 % - Markeringsfarve6 4 2 3 2" xfId="9115" xr:uid="{00000000-0005-0000-0000-0000D22E0000}"/>
    <cellStyle name="20 % - Markeringsfarve6 4 2 3 2 2" xfId="17026" xr:uid="{00000000-0005-0000-0000-0000D32E0000}"/>
    <cellStyle name="20 % - Markeringsfarve6 4 2 3 2 2 2" xfId="35186" xr:uid="{00000000-0005-0000-0000-0000D42E0000}"/>
    <cellStyle name="20 % - Markeringsfarve6 4 2 3 2 3" xfId="28185" xr:uid="{00000000-0005-0000-0000-0000D52E0000}"/>
    <cellStyle name="20 % - Markeringsfarve6 4 2 3 3" xfId="13857" xr:uid="{00000000-0005-0000-0000-0000D62E0000}"/>
    <cellStyle name="20 % - Markeringsfarve6 4 2 3 3 2" xfId="32024" xr:uid="{00000000-0005-0000-0000-0000D72E0000}"/>
    <cellStyle name="20 % - Markeringsfarve6 4 2 3 4" xfId="25022" xr:uid="{00000000-0005-0000-0000-0000D82E0000}"/>
    <cellStyle name="20 % - Markeringsfarve6 4 2 4" xfId="5304" xr:uid="{00000000-0005-0000-0000-0000D92E0000}"/>
    <cellStyle name="20 % - Markeringsfarve6 4 2 4 2" xfId="10523" xr:uid="{00000000-0005-0000-0000-0000DA2E0000}"/>
    <cellStyle name="20 % - Markeringsfarve6 4 2 4 2 2" xfId="18417" xr:uid="{00000000-0005-0000-0000-0000DB2E0000}"/>
    <cellStyle name="20 % - Markeringsfarve6 4 2 4 2 2 2" xfId="36577" xr:uid="{00000000-0005-0000-0000-0000DC2E0000}"/>
    <cellStyle name="20 % - Markeringsfarve6 4 2 4 2 3" xfId="29576" xr:uid="{00000000-0005-0000-0000-0000DD2E0000}"/>
    <cellStyle name="20 % - Markeringsfarve6 4 2 4 3" xfId="13858" xr:uid="{00000000-0005-0000-0000-0000DE2E0000}"/>
    <cellStyle name="20 % - Markeringsfarve6 4 2 4 3 2" xfId="32025" xr:uid="{00000000-0005-0000-0000-0000DF2E0000}"/>
    <cellStyle name="20 % - Markeringsfarve6 4 2 4 4" xfId="25023" xr:uid="{00000000-0005-0000-0000-0000E02E0000}"/>
    <cellStyle name="20 % - Markeringsfarve6 4 2 5" xfId="7958" xr:uid="{00000000-0005-0000-0000-0000E12E0000}"/>
    <cellStyle name="20 % - Markeringsfarve6 4 2 5 2" xfId="15876" xr:uid="{00000000-0005-0000-0000-0000E22E0000}"/>
    <cellStyle name="20 % - Markeringsfarve6 4 2 5 2 2" xfId="34036" xr:uid="{00000000-0005-0000-0000-0000E32E0000}"/>
    <cellStyle name="20 % - Markeringsfarve6 4 2 5 3" xfId="27035" xr:uid="{00000000-0005-0000-0000-0000E42E0000}"/>
    <cellStyle name="20 % - Markeringsfarve6 4 2 6" xfId="13854" xr:uid="{00000000-0005-0000-0000-0000E52E0000}"/>
    <cellStyle name="20 % - Markeringsfarve6 4 2 6 2" xfId="32021" xr:uid="{00000000-0005-0000-0000-0000E62E0000}"/>
    <cellStyle name="20 % - Markeringsfarve6 4 2 7" xfId="5300" xr:uid="{00000000-0005-0000-0000-0000E72E0000}"/>
    <cellStyle name="20 % - Markeringsfarve6 4 2 7 2" xfId="25019" xr:uid="{00000000-0005-0000-0000-0000E82E0000}"/>
    <cellStyle name="20 % - Markeringsfarve6 4 2 8" xfId="21979" xr:uid="{00000000-0005-0000-0000-0000E92E0000}"/>
    <cellStyle name="20 % - Markeringsfarve6 4 3" xfId="5305" xr:uid="{00000000-0005-0000-0000-0000EA2E0000}"/>
    <cellStyle name="20 % - Markeringsfarve6 4 3 2" xfId="5306" xr:uid="{00000000-0005-0000-0000-0000EB2E0000}"/>
    <cellStyle name="20 % - Markeringsfarve6 4 3 2 2" xfId="5307" xr:uid="{00000000-0005-0000-0000-0000EC2E0000}"/>
    <cellStyle name="20 % - Markeringsfarve6 4 3 2 2 2" xfId="10006" xr:uid="{00000000-0005-0000-0000-0000ED2E0000}"/>
    <cellStyle name="20 % - Markeringsfarve6 4 3 2 2 2 2" xfId="17907" xr:uid="{00000000-0005-0000-0000-0000EE2E0000}"/>
    <cellStyle name="20 % - Markeringsfarve6 4 3 2 2 2 2 2" xfId="36067" xr:uid="{00000000-0005-0000-0000-0000EF2E0000}"/>
    <cellStyle name="20 % - Markeringsfarve6 4 3 2 2 2 3" xfId="29066" xr:uid="{00000000-0005-0000-0000-0000F02E0000}"/>
    <cellStyle name="20 % - Markeringsfarve6 4 3 2 2 3" xfId="13861" xr:uid="{00000000-0005-0000-0000-0000F12E0000}"/>
    <cellStyle name="20 % - Markeringsfarve6 4 3 2 2 3 2" xfId="32028" xr:uid="{00000000-0005-0000-0000-0000F22E0000}"/>
    <cellStyle name="20 % - Markeringsfarve6 4 3 2 2 4" xfId="25026" xr:uid="{00000000-0005-0000-0000-0000F32E0000}"/>
    <cellStyle name="20 % - Markeringsfarve6 4 3 2 3" xfId="8561" xr:uid="{00000000-0005-0000-0000-0000F42E0000}"/>
    <cellStyle name="20 % - Markeringsfarve6 4 3 2 3 2" xfId="16478" xr:uid="{00000000-0005-0000-0000-0000F52E0000}"/>
    <cellStyle name="20 % - Markeringsfarve6 4 3 2 3 2 2" xfId="34638" xr:uid="{00000000-0005-0000-0000-0000F62E0000}"/>
    <cellStyle name="20 % - Markeringsfarve6 4 3 2 3 3" xfId="27637" xr:uid="{00000000-0005-0000-0000-0000F72E0000}"/>
    <cellStyle name="20 % - Markeringsfarve6 4 3 2 4" xfId="13860" xr:uid="{00000000-0005-0000-0000-0000F82E0000}"/>
    <cellStyle name="20 % - Markeringsfarve6 4 3 2 4 2" xfId="32027" xr:uid="{00000000-0005-0000-0000-0000F92E0000}"/>
    <cellStyle name="20 % - Markeringsfarve6 4 3 2 5" xfId="25025" xr:uid="{00000000-0005-0000-0000-0000FA2E0000}"/>
    <cellStyle name="20 % - Markeringsfarve6 4 3 3" xfId="5308" xr:uid="{00000000-0005-0000-0000-0000FB2E0000}"/>
    <cellStyle name="20 % - Markeringsfarve6 4 3 3 2" xfId="9236" xr:uid="{00000000-0005-0000-0000-0000FC2E0000}"/>
    <cellStyle name="20 % - Markeringsfarve6 4 3 3 2 2" xfId="17147" xr:uid="{00000000-0005-0000-0000-0000FD2E0000}"/>
    <cellStyle name="20 % - Markeringsfarve6 4 3 3 2 2 2" xfId="35307" xr:uid="{00000000-0005-0000-0000-0000FE2E0000}"/>
    <cellStyle name="20 % - Markeringsfarve6 4 3 3 2 3" xfId="28306" xr:uid="{00000000-0005-0000-0000-0000FF2E0000}"/>
    <cellStyle name="20 % - Markeringsfarve6 4 3 3 3" xfId="13862" xr:uid="{00000000-0005-0000-0000-0000002F0000}"/>
    <cellStyle name="20 % - Markeringsfarve6 4 3 3 3 2" xfId="32029" xr:uid="{00000000-0005-0000-0000-0000012F0000}"/>
    <cellStyle name="20 % - Markeringsfarve6 4 3 3 4" xfId="25027" xr:uid="{00000000-0005-0000-0000-0000022F0000}"/>
    <cellStyle name="20 % - Markeringsfarve6 4 3 4" xfId="5309" xr:uid="{00000000-0005-0000-0000-0000032F0000}"/>
    <cellStyle name="20 % - Markeringsfarve6 4 3 4 2" xfId="10808" xr:uid="{00000000-0005-0000-0000-0000042F0000}"/>
    <cellStyle name="20 % - Markeringsfarve6 4 3 4 2 2" xfId="18695" xr:uid="{00000000-0005-0000-0000-0000052F0000}"/>
    <cellStyle name="20 % - Markeringsfarve6 4 3 4 2 2 2" xfId="36855" xr:uid="{00000000-0005-0000-0000-0000062F0000}"/>
    <cellStyle name="20 % - Markeringsfarve6 4 3 4 2 3" xfId="29854" xr:uid="{00000000-0005-0000-0000-0000072F0000}"/>
    <cellStyle name="20 % - Markeringsfarve6 4 3 4 3" xfId="13863" xr:uid="{00000000-0005-0000-0000-0000082F0000}"/>
    <cellStyle name="20 % - Markeringsfarve6 4 3 4 3 2" xfId="32030" xr:uid="{00000000-0005-0000-0000-0000092F0000}"/>
    <cellStyle name="20 % - Markeringsfarve6 4 3 4 4" xfId="25028" xr:uid="{00000000-0005-0000-0000-00000A2F0000}"/>
    <cellStyle name="20 % - Markeringsfarve6 4 3 5" xfId="7959" xr:uid="{00000000-0005-0000-0000-00000B2F0000}"/>
    <cellStyle name="20 % - Markeringsfarve6 4 3 5 2" xfId="15877" xr:uid="{00000000-0005-0000-0000-00000C2F0000}"/>
    <cellStyle name="20 % - Markeringsfarve6 4 3 5 2 2" xfId="34037" xr:uid="{00000000-0005-0000-0000-00000D2F0000}"/>
    <cellStyle name="20 % - Markeringsfarve6 4 3 5 3" xfId="27036" xr:uid="{00000000-0005-0000-0000-00000E2F0000}"/>
    <cellStyle name="20 % - Markeringsfarve6 4 3 6" xfId="13859" xr:uid="{00000000-0005-0000-0000-00000F2F0000}"/>
    <cellStyle name="20 % - Markeringsfarve6 4 3 6 2" xfId="32026" xr:uid="{00000000-0005-0000-0000-0000102F0000}"/>
    <cellStyle name="20 % - Markeringsfarve6 4 3 7" xfId="25024" xr:uid="{00000000-0005-0000-0000-0000112F0000}"/>
    <cellStyle name="20 % - Markeringsfarve6 4 4" xfId="5310" xr:uid="{00000000-0005-0000-0000-0000122F0000}"/>
    <cellStyle name="20 % - Markeringsfarve6 4 4 2" xfId="5311" xr:uid="{00000000-0005-0000-0000-0000132F0000}"/>
    <cellStyle name="20 % - Markeringsfarve6 4 4 2 2" xfId="5312" xr:uid="{00000000-0005-0000-0000-0000142F0000}"/>
    <cellStyle name="20 % - Markeringsfarve6 4 4 2 2 2" xfId="10123" xr:uid="{00000000-0005-0000-0000-0000152F0000}"/>
    <cellStyle name="20 % - Markeringsfarve6 4 4 2 2 2 2" xfId="18024" xr:uid="{00000000-0005-0000-0000-0000162F0000}"/>
    <cellStyle name="20 % - Markeringsfarve6 4 4 2 2 2 2 2" xfId="36184" xr:uid="{00000000-0005-0000-0000-0000172F0000}"/>
    <cellStyle name="20 % - Markeringsfarve6 4 4 2 2 2 3" xfId="29183" xr:uid="{00000000-0005-0000-0000-0000182F0000}"/>
    <cellStyle name="20 % - Markeringsfarve6 4 4 2 2 3" xfId="13866" xr:uid="{00000000-0005-0000-0000-0000192F0000}"/>
    <cellStyle name="20 % - Markeringsfarve6 4 4 2 2 3 2" xfId="32033" xr:uid="{00000000-0005-0000-0000-00001A2F0000}"/>
    <cellStyle name="20 % - Markeringsfarve6 4 4 2 2 4" xfId="25031" xr:uid="{00000000-0005-0000-0000-00001B2F0000}"/>
    <cellStyle name="20 % - Markeringsfarve6 4 4 2 3" xfId="8662" xr:uid="{00000000-0005-0000-0000-00001C2F0000}"/>
    <cellStyle name="20 % - Markeringsfarve6 4 4 2 3 2" xfId="16576" xr:uid="{00000000-0005-0000-0000-00001D2F0000}"/>
    <cellStyle name="20 % - Markeringsfarve6 4 4 2 3 2 2" xfId="34736" xr:uid="{00000000-0005-0000-0000-00001E2F0000}"/>
    <cellStyle name="20 % - Markeringsfarve6 4 4 2 3 3" xfId="27735" xr:uid="{00000000-0005-0000-0000-00001F2F0000}"/>
    <cellStyle name="20 % - Markeringsfarve6 4 4 2 4" xfId="13865" xr:uid="{00000000-0005-0000-0000-0000202F0000}"/>
    <cellStyle name="20 % - Markeringsfarve6 4 4 2 4 2" xfId="32032" xr:uid="{00000000-0005-0000-0000-0000212F0000}"/>
    <cellStyle name="20 % - Markeringsfarve6 4 4 2 5" xfId="25030" xr:uid="{00000000-0005-0000-0000-0000222F0000}"/>
    <cellStyle name="20 % - Markeringsfarve6 4 4 3" xfId="5313" xr:uid="{00000000-0005-0000-0000-0000232F0000}"/>
    <cellStyle name="20 % - Markeringsfarve6 4 4 3 2" xfId="9399" xr:uid="{00000000-0005-0000-0000-0000242F0000}"/>
    <cellStyle name="20 % - Markeringsfarve6 4 4 3 2 2" xfId="17309" xr:uid="{00000000-0005-0000-0000-0000252F0000}"/>
    <cellStyle name="20 % - Markeringsfarve6 4 4 3 2 2 2" xfId="35469" xr:uid="{00000000-0005-0000-0000-0000262F0000}"/>
    <cellStyle name="20 % - Markeringsfarve6 4 4 3 2 3" xfId="28468" xr:uid="{00000000-0005-0000-0000-0000272F0000}"/>
    <cellStyle name="20 % - Markeringsfarve6 4 4 3 3" xfId="13867" xr:uid="{00000000-0005-0000-0000-0000282F0000}"/>
    <cellStyle name="20 % - Markeringsfarve6 4 4 3 3 2" xfId="32034" xr:uid="{00000000-0005-0000-0000-0000292F0000}"/>
    <cellStyle name="20 % - Markeringsfarve6 4 4 3 4" xfId="25032" xr:uid="{00000000-0005-0000-0000-00002A2F0000}"/>
    <cellStyle name="20 % - Markeringsfarve6 4 4 4" xfId="5314" xr:uid="{00000000-0005-0000-0000-00002B2F0000}"/>
    <cellStyle name="20 % - Markeringsfarve6 4 4 4 2" xfId="10457" xr:uid="{00000000-0005-0000-0000-00002C2F0000}"/>
    <cellStyle name="20 % - Markeringsfarve6 4 4 4 2 2" xfId="18354" xr:uid="{00000000-0005-0000-0000-00002D2F0000}"/>
    <cellStyle name="20 % - Markeringsfarve6 4 4 4 2 2 2" xfId="36514" xr:uid="{00000000-0005-0000-0000-00002E2F0000}"/>
    <cellStyle name="20 % - Markeringsfarve6 4 4 4 2 3" xfId="29513" xr:uid="{00000000-0005-0000-0000-00002F2F0000}"/>
    <cellStyle name="20 % - Markeringsfarve6 4 4 4 3" xfId="13868" xr:uid="{00000000-0005-0000-0000-0000302F0000}"/>
    <cellStyle name="20 % - Markeringsfarve6 4 4 4 3 2" xfId="32035" xr:uid="{00000000-0005-0000-0000-0000312F0000}"/>
    <cellStyle name="20 % - Markeringsfarve6 4 4 4 4" xfId="25033" xr:uid="{00000000-0005-0000-0000-0000322F0000}"/>
    <cellStyle name="20 % - Markeringsfarve6 4 4 5" xfId="7960" xr:uid="{00000000-0005-0000-0000-0000332F0000}"/>
    <cellStyle name="20 % - Markeringsfarve6 4 4 5 2" xfId="15878" xr:uid="{00000000-0005-0000-0000-0000342F0000}"/>
    <cellStyle name="20 % - Markeringsfarve6 4 4 5 2 2" xfId="34038" xr:uid="{00000000-0005-0000-0000-0000352F0000}"/>
    <cellStyle name="20 % - Markeringsfarve6 4 4 5 3" xfId="27037" xr:uid="{00000000-0005-0000-0000-0000362F0000}"/>
    <cellStyle name="20 % - Markeringsfarve6 4 4 6" xfId="13864" xr:uid="{00000000-0005-0000-0000-0000372F0000}"/>
    <cellStyle name="20 % - Markeringsfarve6 4 4 6 2" xfId="32031" xr:uid="{00000000-0005-0000-0000-0000382F0000}"/>
    <cellStyle name="20 % - Markeringsfarve6 4 4 7" xfId="25029" xr:uid="{00000000-0005-0000-0000-0000392F0000}"/>
    <cellStyle name="20 % - Markeringsfarve6 4 5" xfId="5315" xr:uid="{00000000-0005-0000-0000-00003A2F0000}"/>
    <cellStyle name="20 % - Markeringsfarve6 4 5 2" xfId="5316" xr:uid="{00000000-0005-0000-0000-00003B2F0000}"/>
    <cellStyle name="20 % - Markeringsfarve6 4 5 2 2" xfId="5317" xr:uid="{00000000-0005-0000-0000-00003C2F0000}"/>
    <cellStyle name="20 % - Markeringsfarve6 4 5 2 2 2" xfId="10240" xr:uid="{00000000-0005-0000-0000-00003D2F0000}"/>
    <cellStyle name="20 % - Markeringsfarve6 4 5 2 2 2 2" xfId="18141" xr:uid="{00000000-0005-0000-0000-00003E2F0000}"/>
    <cellStyle name="20 % - Markeringsfarve6 4 5 2 2 2 2 2" xfId="36301" xr:uid="{00000000-0005-0000-0000-00003F2F0000}"/>
    <cellStyle name="20 % - Markeringsfarve6 4 5 2 2 2 3" xfId="29300" xr:uid="{00000000-0005-0000-0000-0000402F0000}"/>
    <cellStyle name="20 % - Markeringsfarve6 4 5 2 2 3" xfId="13871" xr:uid="{00000000-0005-0000-0000-0000412F0000}"/>
    <cellStyle name="20 % - Markeringsfarve6 4 5 2 2 3 2" xfId="32038" xr:uid="{00000000-0005-0000-0000-0000422F0000}"/>
    <cellStyle name="20 % - Markeringsfarve6 4 5 2 2 4" xfId="25036" xr:uid="{00000000-0005-0000-0000-0000432F0000}"/>
    <cellStyle name="20 % - Markeringsfarve6 4 5 2 3" xfId="8761" xr:uid="{00000000-0005-0000-0000-0000442F0000}"/>
    <cellStyle name="20 % - Markeringsfarve6 4 5 2 3 2" xfId="16675" xr:uid="{00000000-0005-0000-0000-0000452F0000}"/>
    <cellStyle name="20 % - Markeringsfarve6 4 5 2 3 2 2" xfId="34835" xr:uid="{00000000-0005-0000-0000-0000462F0000}"/>
    <cellStyle name="20 % - Markeringsfarve6 4 5 2 3 3" xfId="27834" xr:uid="{00000000-0005-0000-0000-0000472F0000}"/>
    <cellStyle name="20 % - Markeringsfarve6 4 5 2 4" xfId="13870" xr:uid="{00000000-0005-0000-0000-0000482F0000}"/>
    <cellStyle name="20 % - Markeringsfarve6 4 5 2 4 2" xfId="32037" xr:uid="{00000000-0005-0000-0000-0000492F0000}"/>
    <cellStyle name="20 % - Markeringsfarve6 4 5 2 5" xfId="25035" xr:uid="{00000000-0005-0000-0000-00004A2F0000}"/>
    <cellStyle name="20 % - Markeringsfarve6 4 5 3" xfId="5318" xr:uid="{00000000-0005-0000-0000-00004B2F0000}"/>
    <cellStyle name="20 % - Markeringsfarve6 4 5 3 2" xfId="9516" xr:uid="{00000000-0005-0000-0000-00004C2F0000}"/>
    <cellStyle name="20 % - Markeringsfarve6 4 5 3 2 2" xfId="17426" xr:uid="{00000000-0005-0000-0000-00004D2F0000}"/>
    <cellStyle name="20 % - Markeringsfarve6 4 5 3 2 2 2" xfId="35586" xr:uid="{00000000-0005-0000-0000-00004E2F0000}"/>
    <cellStyle name="20 % - Markeringsfarve6 4 5 3 2 3" xfId="28585" xr:uid="{00000000-0005-0000-0000-00004F2F0000}"/>
    <cellStyle name="20 % - Markeringsfarve6 4 5 3 3" xfId="13872" xr:uid="{00000000-0005-0000-0000-0000502F0000}"/>
    <cellStyle name="20 % - Markeringsfarve6 4 5 3 3 2" xfId="32039" xr:uid="{00000000-0005-0000-0000-0000512F0000}"/>
    <cellStyle name="20 % - Markeringsfarve6 4 5 3 4" xfId="25037" xr:uid="{00000000-0005-0000-0000-0000522F0000}"/>
    <cellStyle name="20 % - Markeringsfarve6 4 5 4" xfId="5319" xr:uid="{00000000-0005-0000-0000-0000532F0000}"/>
    <cellStyle name="20 % - Markeringsfarve6 4 5 4 2" xfId="10794" xr:uid="{00000000-0005-0000-0000-0000542F0000}"/>
    <cellStyle name="20 % - Markeringsfarve6 4 5 4 2 2" xfId="18681" xr:uid="{00000000-0005-0000-0000-0000552F0000}"/>
    <cellStyle name="20 % - Markeringsfarve6 4 5 4 2 2 2" xfId="36841" xr:uid="{00000000-0005-0000-0000-0000562F0000}"/>
    <cellStyle name="20 % - Markeringsfarve6 4 5 4 2 3" xfId="29840" xr:uid="{00000000-0005-0000-0000-0000572F0000}"/>
    <cellStyle name="20 % - Markeringsfarve6 4 5 4 3" xfId="13873" xr:uid="{00000000-0005-0000-0000-0000582F0000}"/>
    <cellStyle name="20 % - Markeringsfarve6 4 5 4 3 2" xfId="32040" xr:uid="{00000000-0005-0000-0000-0000592F0000}"/>
    <cellStyle name="20 % - Markeringsfarve6 4 5 4 4" xfId="25038" xr:uid="{00000000-0005-0000-0000-00005A2F0000}"/>
    <cellStyle name="20 % - Markeringsfarve6 4 5 5" xfId="7961" xr:uid="{00000000-0005-0000-0000-00005B2F0000}"/>
    <cellStyle name="20 % - Markeringsfarve6 4 5 5 2" xfId="15879" xr:uid="{00000000-0005-0000-0000-00005C2F0000}"/>
    <cellStyle name="20 % - Markeringsfarve6 4 5 5 2 2" xfId="34039" xr:uid="{00000000-0005-0000-0000-00005D2F0000}"/>
    <cellStyle name="20 % - Markeringsfarve6 4 5 5 3" xfId="27038" xr:uid="{00000000-0005-0000-0000-00005E2F0000}"/>
    <cellStyle name="20 % - Markeringsfarve6 4 5 6" xfId="13869" xr:uid="{00000000-0005-0000-0000-00005F2F0000}"/>
    <cellStyle name="20 % - Markeringsfarve6 4 5 6 2" xfId="32036" xr:uid="{00000000-0005-0000-0000-0000602F0000}"/>
    <cellStyle name="20 % - Markeringsfarve6 4 5 7" xfId="25034" xr:uid="{00000000-0005-0000-0000-0000612F0000}"/>
    <cellStyle name="20 % - Markeringsfarve6 4 6" xfId="5320" xr:uid="{00000000-0005-0000-0000-0000622F0000}"/>
    <cellStyle name="20 % - Markeringsfarve6 4 6 2" xfId="5321" xr:uid="{00000000-0005-0000-0000-0000632F0000}"/>
    <cellStyle name="20 % - Markeringsfarve6 4 6 2 2" xfId="5322" xr:uid="{00000000-0005-0000-0000-0000642F0000}"/>
    <cellStyle name="20 % - Markeringsfarve6 4 6 2 2 2" xfId="10360" xr:uid="{00000000-0005-0000-0000-0000652F0000}"/>
    <cellStyle name="20 % - Markeringsfarve6 4 6 2 2 2 2" xfId="18261" xr:uid="{00000000-0005-0000-0000-0000662F0000}"/>
    <cellStyle name="20 % - Markeringsfarve6 4 6 2 2 2 2 2" xfId="36421" xr:uid="{00000000-0005-0000-0000-0000672F0000}"/>
    <cellStyle name="20 % - Markeringsfarve6 4 6 2 2 2 3" xfId="29420" xr:uid="{00000000-0005-0000-0000-0000682F0000}"/>
    <cellStyle name="20 % - Markeringsfarve6 4 6 2 2 3" xfId="13876" xr:uid="{00000000-0005-0000-0000-0000692F0000}"/>
    <cellStyle name="20 % - Markeringsfarve6 4 6 2 2 3 2" xfId="32043" xr:uid="{00000000-0005-0000-0000-00006A2F0000}"/>
    <cellStyle name="20 % - Markeringsfarve6 4 6 2 2 4" xfId="25041" xr:uid="{00000000-0005-0000-0000-00006B2F0000}"/>
    <cellStyle name="20 % - Markeringsfarve6 4 6 2 3" xfId="8862" xr:uid="{00000000-0005-0000-0000-00006C2F0000}"/>
    <cellStyle name="20 % - Markeringsfarve6 4 6 2 3 2" xfId="16776" xr:uid="{00000000-0005-0000-0000-00006D2F0000}"/>
    <cellStyle name="20 % - Markeringsfarve6 4 6 2 3 2 2" xfId="34936" xr:uid="{00000000-0005-0000-0000-00006E2F0000}"/>
    <cellStyle name="20 % - Markeringsfarve6 4 6 2 3 3" xfId="27935" xr:uid="{00000000-0005-0000-0000-00006F2F0000}"/>
    <cellStyle name="20 % - Markeringsfarve6 4 6 2 4" xfId="13875" xr:uid="{00000000-0005-0000-0000-0000702F0000}"/>
    <cellStyle name="20 % - Markeringsfarve6 4 6 2 4 2" xfId="32042" xr:uid="{00000000-0005-0000-0000-0000712F0000}"/>
    <cellStyle name="20 % - Markeringsfarve6 4 6 2 5" xfId="25040" xr:uid="{00000000-0005-0000-0000-0000722F0000}"/>
    <cellStyle name="20 % - Markeringsfarve6 4 6 3" xfId="5323" xr:uid="{00000000-0005-0000-0000-0000732F0000}"/>
    <cellStyle name="20 % - Markeringsfarve6 4 6 3 2" xfId="9637" xr:uid="{00000000-0005-0000-0000-0000742F0000}"/>
    <cellStyle name="20 % - Markeringsfarve6 4 6 3 2 2" xfId="17547" xr:uid="{00000000-0005-0000-0000-0000752F0000}"/>
    <cellStyle name="20 % - Markeringsfarve6 4 6 3 2 2 2" xfId="35707" xr:uid="{00000000-0005-0000-0000-0000762F0000}"/>
    <cellStyle name="20 % - Markeringsfarve6 4 6 3 2 3" xfId="28706" xr:uid="{00000000-0005-0000-0000-0000772F0000}"/>
    <cellStyle name="20 % - Markeringsfarve6 4 6 3 3" xfId="13877" xr:uid="{00000000-0005-0000-0000-0000782F0000}"/>
    <cellStyle name="20 % - Markeringsfarve6 4 6 3 3 2" xfId="32044" xr:uid="{00000000-0005-0000-0000-0000792F0000}"/>
    <cellStyle name="20 % - Markeringsfarve6 4 6 3 4" xfId="25042" xr:uid="{00000000-0005-0000-0000-00007A2F0000}"/>
    <cellStyle name="20 % - Markeringsfarve6 4 6 4" xfId="5324" xr:uid="{00000000-0005-0000-0000-00007B2F0000}"/>
    <cellStyle name="20 % - Markeringsfarve6 4 6 4 2" xfId="11009" xr:uid="{00000000-0005-0000-0000-00007C2F0000}"/>
    <cellStyle name="20 % - Markeringsfarve6 4 6 4 2 2" xfId="18885" xr:uid="{00000000-0005-0000-0000-00007D2F0000}"/>
    <cellStyle name="20 % - Markeringsfarve6 4 6 4 2 2 2" xfId="37045" xr:uid="{00000000-0005-0000-0000-00007E2F0000}"/>
    <cellStyle name="20 % - Markeringsfarve6 4 6 4 2 3" xfId="30044" xr:uid="{00000000-0005-0000-0000-00007F2F0000}"/>
    <cellStyle name="20 % - Markeringsfarve6 4 6 4 3" xfId="13878" xr:uid="{00000000-0005-0000-0000-0000802F0000}"/>
    <cellStyle name="20 % - Markeringsfarve6 4 6 4 3 2" xfId="32045" xr:uid="{00000000-0005-0000-0000-0000812F0000}"/>
    <cellStyle name="20 % - Markeringsfarve6 4 6 4 4" xfId="25043" xr:uid="{00000000-0005-0000-0000-0000822F0000}"/>
    <cellStyle name="20 % - Markeringsfarve6 4 6 5" xfId="7962" xr:uid="{00000000-0005-0000-0000-0000832F0000}"/>
    <cellStyle name="20 % - Markeringsfarve6 4 6 5 2" xfId="15880" xr:uid="{00000000-0005-0000-0000-0000842F0000}"/>
    <cellStyle name="20 % - Markeringsfarve6 4 6 5 2 2" xfId="34040" xr:uid="{00000000-0005-0000-0000-0000852F0000}"/>
    <cellStyle name="20 % - Markeringsfarve6 4 6 5 3" xfId="27039" xr:uid="{00000000-0005-0000-0000-0000862F0000}"/>
    <cellStyle name="20 % - Markeringsfarve6 4 6 6" xfId="13874" xr:uid="{00000000-0005-0000-0000-0000872F0000}"/>
    <cellStyle name="20 % - Markeringsfarve6 4 6 6 2" xfId="32041" xr:uid="{00000000-0005-0000-0000-0000882F0000}"/>
    <cellStyle name="20 % - Markeringsfarve6 4 6 7" xfId="25039" xr:uid="{00000000-0005-0000-0000-0000892F0000}"/>
    <cellStyle name="20 % - Markeringsfarve6 4 7" xfId="5325" xr:uid="{00000000-0005-0000-0000-00008A2F0000}"/>
    <cellStyle name="20 % - Markeringsfarve6 4 7 2" xfId="5326" xr:uid="{00000000-0005-0000-0000-00008B2F0000}"/>
    <cellStyle name="20 % - Markeringsfarve6 4 7 2 2" xfId="9766" xr:uid="{00000000-0005-0000-0000-00008C2F0000}"/>
    <cellStyle name="20 % - Markeringsfarve6 4 7 2 2 2" xfId="17667" xr:uid="{00000000-0005-0000-0000-00008D2F0000}"/>
    <cellStyle name="20 % - Markeringsfarve6 4 7 2 2 2 2" xfId="35827" xr:uid="{00000000-0005-0000-0000-00008E2F0000}"/>
    <cellStyle name="20 % - Markeringsfarve6 4 7 2 2 3" xfId="28826" xr:uid="{00000000-0005-0000-0000-00008F2F0000}"/>
    <cellStyle name="20 % - Markeringsfarve6 4 7 2 3" xfId="13880" xr:uid="{00000000-0005-0000-0000-0000902F0000}"/>
    <cellStyle name="20 % - Markeringsfarve6 4 7 2 3 2" xfId="32047" xr:uid="{00000000-0005-0000-0000-0000912F0000}"/>
    <cellStyle name="20 % - Markeringsfarve6 4 7 2 4" xfId="25045" xr:uid="{00000000-0005-0000-0000-0000922F0000}"/>
    <cellStyle name="20 % - Markeringsfarve6 4 7 3" xfId="8361" xr:uid="{00000000-0005-0000-0000-0000932F0000}"/>
    <cellStyle name="20 % - Markeringsfarve6 4 7 3 2" xfId="16278" xr:uid="{00000000-0005-0000-0000-0000942F0000}"/>
    <cellStyle name="20 % - Markeringsfarve6 4 7 3 2 2" xfId="34438" xr:uid="{00000000-0005-0000-0000-0000952F0000}"/>
    <cellStyle name="20 % - Markeringsfarve6 4 7 3 3" xfId="27437" xr:uid="{00000000-0005-0000-0000-0000962F0000}"/>
    <cellStyle name="20 % - Markeringsfarve6 4 7 4" xfId="13879" xr:uid="{00000000-0005-0000-0000-0000972F0000}"/>
    <cellStyle name="20 % - Markeringsfarve6 4 7 4 2" xfId="32046" xr:uid="{00000000-0005-0000-0000-0000982F0000}"/>
    <cellStyle name="20 % - Markeringsfarve6 4 7 5" xfId="25044" xr:uid="{00000000-0005-0000-0000-0000992F0000}"/>
    <cellStyle name="20 % - Markeringsfarve6 4 8" xfId="5327" xr:uid="{00000000-0005-0000-0000-00009A2F0000}"/>
    <cellStyle name="20 % - Markeringsfarve6 4 8 2" xfId="8994" xr:uid="{00000000-0005-0000-0000-00009B2F0000}"/>
    <cellStyle name="20 % - Markeringsfarve6 4 8 2 2" xfId="16905" xr:uid="{00000000-0005-0000-0000-00009C2F0000}"/>
    <cellStyle name="20 % - Markeringsfarve6 4 8 2 2 2" xfId="35065" xr:uid="{00000000-0005-0000-0000-00009D2F0000}"/>
    <cellStyle name="20 % - Markeringsfarve6 4 8 2 3" xfId="28064" xr:uid="{00000000-0005-0000-0000-00009E2F0000}"/>
    <cellStyle name="20 % - Markeringsfarve6 4 8 3" xfId="13881" xr:uid="{00000000-0005-0000-0000-00009F2F0000}"/>
    <cellStyle name="20 % - Markeringsfarve6 4 8 3 2" xfId="32048" xr:uid="{00000000-0005-0000-0000-0000A02F0000}"/>
    <cellStyle name="20 % - Markeringsfarve6 4 8 4" xfId="25046" xr:uid="{00000000-0005-0000-0000-0000A12F0000}"/>
    <cellStyle name="20 % - Markeringsfarve6 4 9" xfId="5328" xr:uid="{00000000-0005-0000-0000-0000A22F0000}"/>
    <cellStyle name="20 % - Markeringsfarve6 4 9 2" xfId="10874" xr:uid="{00000000-0005-0000-0000-0000A32F0000}"/>
    <cellStyle name="20 % - Markeringsfarve6 4 9 2 2" xfId="18757" xr:uid="{00000000-0005-0000-0000-0000A42F0000}"/>
    <cellStyle name="20 % - Markeringsfarve6 4 9 2 2 2" xfId="36917" xr:uid="{00000000-0005-0000-0000-0000A52F0000}"/>
    <cellStyle name="20 % - Markeringsfarve6 4 9 2 3" xfId="29916" xr:uid="{00000000-0005-0000-0000-0000A62F0000}"/>
    <cellStyle name="20 % - Markeringsfarve6 4 9 3" xfId="13882" xr:uid="{00000000-0005-0000-0000-0000A72F0000}"/>
    <cellStyle name="20 % - Markeringsfarve6 4 9 3 2" xfId="32049" xr:uid="{00000000-0005-0000-0000-0000A82F0000}"/>
    <cellStyle name="20 % - Markeringsfarve6 4 9 4" xfId="25047" xr:uid="{00000000-0005-0000-0000-0000A92F0000}"/>
    <cellStyle name="20 % - Markeringsfarve6 5" xfId="1856" xr:uid="{00000000-0005-0000-0000-0000AA2F0000}"/>
    <cellStyle name="20 % - Markeringsfarve6 5 10" xfId="7963" xr:uid="{00000000-0005-0000-0000-0000AB2F0000}"/>
    <cellStyle name="20 % - Markeringsfarve6 5 10 2" xfId="15881" xr:uid="{00000000-0005-0000-0000-0000AC2F0000}"/>
    <cellStyle name="20 % - Markeringsfarve6 5 10 2 2" xfId="34041" xr:uid="{00000000-0005-0000-0000-0000AD2F0000}"/>
    <cellStyle name="20 % - Markeringsfarve6 5 10 3" xfId="27040" xr:uid="{00000000-0005-0000-0000-0000AE2F0000}"/>
    <cellStyle name="20 % - Markeringsfarve6 5 11" xfId="13883" xr:uid="{00000000-0005-0000-0000-0000AF2F0000}"/>
    <cellStyle name="20 % - Markeringsfarve6 5 11 2" xfId="32050" xr:uid="{00000000-0005-0000-0000-0000B02F0000}"/>
    <cellStyle name="20 % - Markeringsfarve6 5 12" xfId="5329" xr:uid="{00000000-0005-0000-0000-0000B12F0000}"/>
    <cellStyle name="20 % - Markeringsfarve6 5 12 2" xfId="25048" xr:uid="{00000000-0005-0000-0000-0000B22F0000}"/>
    <cellStyle name="20 % - Markeringsfarve6 5 13" xfId="21980" xr:uid="{00000000-0005-0000-0000-0000B32F0000}"/>
    <cellStyle name="20 % - Markeringsfarve6 5 2" xfId="1857" xr:uid="{00000000-0005-0000-0000-0000B42F0000}"/>
    <cellStyle name="20 % - Markeringsfarve6 5 2 2" xfId="5331" xr:uid="{00000000-0005-0000-0000-0000B52F0000}"/>
    <cellStyle name="20 % - Markeringsfarve6 5 2 2 2" xfId="5332" xr:uid="{00000000-0005-0000-0000-0000B62F0000}"/>
    <cellStyle name="20 % - Markeringsfarve6 5 2 2 2 2" xfId="9924" xr:uid="{00000000-0005-0000-0000-0000B72F0000}"/>
    <cellStyle name="20 % - Markeringsfarve6 5 2 2 2 2 2" xfId="17825" xr:uid="{00000000-0005-0000-0000-0000B82F0000}"/>
    <cellStyle name="20 % - Markeringsfarve6 5 2 2 2 2 2 2" xfId="35985" xr:uid="{00000000-0005-0000-0000-0000B92F0000}"/>
    <cellStyle name="20 % - Markeringsfarve6 5 2 2 2 2 3" xfId="28984" xr:uid="{00000000-0005-0000-0000-0000BA2F0000}"/>
    <cellStyle name="20 % - Markeringsfarve6 5 2 2 2 3" xfId="13886" xr:uid="{00000000-0005-0000-0000-0000BB2F0000}"/>
    <cellStyle name="20 % - Markeringsfarve6 5 2 2 2 3 2" xfId="32053" xr:uid="{00000000-0005-0000-0000-0000BC2F0000}"/>
    <cellStyle name="20 % - Markeringsfarve6 5 2 2 2 4" xfId="25051" xr:uid="{00000000-0005-0000-0000-0000BD2F0000}"/>
    <cellStyle name="20 % - Markeringsfarve6 5 2 2 3" xfId="8493" xr:uid="{00000000-0005-0000-0000-0000BE2F0000}"/>
    <cellStyle name="20 % - Markeringsfarve6 5 2 2 3 2" xfId="16410" xr:uid="{00000000-0005-0000-0000-0000BF2F0000}"/>
    <cellStyle name="20 % - Markeringsfarve6 5 2 2 3 2 2" xfId="34570" xr:uid="{00000000-0005-0000-0000-0000C02F0000}"/>
    <cellStyle name="20 % - Markeringsfarve6 5 2 2 3 3" xfId="27569" xr:uid="{00000000-0005-0000-0000-0000C12F0000}"/>
    <cellStyle name="20 % - Markeringsfarve6 5 2 2 4" xfId="13885" xr:uid="{00000000-0005-0000-0000-0000C22F0000}"/>
    <cellStyle name="20 % - Markeringsfarve6 5 2 2 4 2" xfId="32052" xr:uid="{00000000-0005-0000-0000-0000C32F0000}"/>
    <cellStyle name="20 % - Markeringsfarve6 5 2 2 5" xfId="25050" xr:uid="{00000000-0005-0000-0000-0000C42F0000}"/>
    <cellStyle name="20 % - Markeringsfarve6 5 2 3" xfId="5333" xr:uid="{00000000-0005-0000-0000-0000C52F0000}"/>
    <cellStyle name="20 % - Markeringsfarve6 5 2 3 2" xfId="9154" xr:uid="{00000000-0005-0000-0000-0000C62F0000}"/>
    <cellStyle name="20 % - Markeringsfarve6 5 2 3 2 2" xfId="17065" xr:uid="{00000000-0005-0000-0000-0000C72F0000}"/>
    <cellStyle name="20 % - Markeringsfarve6 5 2 3 2 2 2" xfId="35225" xr:uid="{00000000-0005-0000-0000-0000C82F0000}"/>
    <cellStyle name="20 % - Markeringsfarve6 5 2 3 2 3" xfId="28224" xr:uid="{00000000-0005-0000-0000-0000C92F0000}"/>
    <cellStyle name="20 % - Markeringsfarve6 5 2 3 3" xfId="13887" xr:uid="{00000000-0005-0000-0000-0000CA2F0000}"/>
    <cellStyle name="20 % - Markeringsfarve6 5 2 3 3 2" xfId="32054" xr:uid="{00000000-0005-0000-0000-0000CB2F0000}"/>
    <cellStyle name="20 % - Markeringsfarve6 5 2 3 4" xfId="25052" xr:uid="{00000000-0005-0000-0000-0000CC2F0000}"/>
    <cellStyle name="20 % - Markeringsfarve6 5 2 4" xfId="5334" xr:uid="{00000000-0005-0000-0000-0000CD2F0000}"/>
    <cellStyle name="20 % - Markeringsfarve6 5 2 4 2" xfId="10968" xr:uid="{00000000-0005-0000-0000-0000CE2F0000}"/>
    <cellStyle name="20 % - Markeringsfarve6 5 2 4 2 2" xfId="18847" xr:uid="{00000000-0005-0000-0000-0000CF2F0000}"/>
    <cellStyle name="20 % - Markeringsfarve6 5 2 4 2 2 2" xfId="37007" xr:uid="{00000000-0005-0000-0000-0000D02F0000}"/>
    <cellStyle name="20 % - Markeringsfarve6 5 2 4 2 3" xfId="30006" xr:uid="{00000000-0005-0000-0000-0000D12F0000}"/>
    <cellStyle name="20 % - Markeringsfarve6 5 2 4 3" xfId="13888" xr:uid="{00000000-0005-0000-0000-0000D22F0000}"/>
    <cellStyle name="20 % - Markeringsfarve6 5 2 4 3 2" xfId="32055" xr:uid="{00000000-0005-0000-0000-0000D32F0000}"/>
    <cellStyle name="20 % - Markeringsfarve6 5 2 4 4" xfId="25053" xr:uid="{00000000-0005-0000-0000-0000D42F0000}"/>
    <cellStyle name="20 % - Markeringsfarve6 5 2 5" xfId="7964" xr:uid="{00000000-0005-0000-0000-0000D52F0000}"/>
    <cellStyle name="20 % - Markeringsfarve6 5 2 5 2" xfId="15882" xr:uid="{00000000-0005-0000-0000-0000D62F0000}"/>
    <cellStyle name="20 % - Markeringsfarve6 5 2 5 2 2" xfId="34042" xr:uid="{00000000-0005-0000-0000-0000D72F0000}"/>
    <cellStyle name="20 % - Markeringsfarve6 5 2 5 3" xfId="27041" xr:uid="{00000000-0005-0000-0000-0000D82F0000}"/>
    <cellStyle name="20 % - Markeringsfarve6 5 2 6" xfId="13884" xr:uid="{00000000-0005-0000-0000-0000D92F0000}"/>
    <cellStyle name="20 % - Markeringsfarve6 5 2 6 2" xfId="32051" xr:uid="{00000000-0005-0000-0000-0000DA2F0000}"/>
    <cellStyle name="20 % - Markeringsfarve6 5 2 7" xfId="5330" xr:uid="{00000000-0005-0000-0000-0000DB2F0000}"/>
    <cellStyle name="20 % - Markeringsfarve6 5 2 7 2" xfId="25049" xr:uid="{00000000-0005-0000-0000-0000DC2F0000}"/>
    <cellStyle name="20 % - Markeringsfarve6 5 2 8" xfId="21981" xr:uid="{00000000-0005-0000-0000-0000DD2F0000}"/>
    <cellStyle name="20 % - Markeringsfarve6 5 3" xfId="5335" xr:uid="{00000000-0005-0000-0000-0000DE2F0000}"/>
    <cellStyle name="20 % - Markeringsfarve6 5 3 2" xfId="5336" xr:uid="{00000000-0005-0000-0000-0000DF2F0000}"/>
    <cellStyle name="20 % - Markeringsfarve6 5 3 2 2" xfId="5337" xr:uid="{00000000-0005-0000-0000-0000E02F0000}"/>
    <cellStyle name="20 % - Markeringsfarve6 5 3 2 2 2" xfId="10007" xr:uid="{00000000-0005-0000-0000-0000E12F0000}"/>
    <cellStyle name="20 % - Markeringsfarve6 5 3 2 2 2 2" xfId="17908" xr:uid="{00000000-0005-0000-0000-0000E22F0000}"/>
    <cellStyle name="20 % - Markeringsfarve6 5 3 2 2 2 2 2" xfId="36068" xr:uid="{00000000-0005-0000-0000-0000E32F0000}"/>
    <cellStyle name="20 % - Markeringsfarve6 5 3 2 2 2 3" xfId="29067" xr:uid="{00000000-0005-0000-0000-0000E42F0000}"/>
    <cellStyle name="20 % - Markeringsfarve6 5 3 2 2 3" xfId="13891" xr:uid="{00000000-0005-0000-0000-0000E52F0000}"/>
    <cellStyle name="20 % - Markeringsfarve6 5 3 2 2 3 2" xfId="32058" xr:uid="{00000000-0005-0000-0000-0000E62F0000}"/>
    <cellStyle name="20 % - Markeringsfarve6 5 3 2 2 4" xfId="25056" xr:uid="{00000000-0005-0000-0000-0000E72F0000}"/>
    <cellStyle name="20 % - Markeringsfarve6 5 3 2 3" xfId="8562" xr:uid="{00000000-0005-0000-0000-0000E82F0000}"/>
    <cellStyle name="20 % - Markeringsfarve6 5 3 2 3 2" xfId="16479" xr:uid="{00000000-0005-0000-0000-0000E92F0000}"/>
    <cellStyle name="20 % - Markeringsfarve6 5 3 2 3 2 2" xfId="34639" xr:uid="{00000000-0005-0000-0000-0000EA2F0000}"/>
    <cellStyle name="20 % - Markeringsfarve6 5 3 2 3 3" xfId="27638" xr:uid="{00000000-0005-0000-0000-0000EB2F0000}"/>
    <cellStyle name="20 % - Markeringsfarve6 5 3 2 4" xfId="13890" xr:uid="{00000000-0005-0000-0000-0000EC2F0000}"/>
    <cellStyle name="20 % - Markeringsfarve6 5 3 2 4 2" xfId="32057" xr:uid="{00000000-0005-0000-0000-0000ED2F0000}"/>
    <cellStyle name="20 % - Markeringsfarve6 5 3 2 5" xfId="25055" xr:uid="{00000000-0005-0000-0000-0000EE2F0000}"/>
    <cellStyle name="20 % - Markeringsfarve6 5 3 3" xfId="5338" xr:uid="{00000000-0005-0000-0000-0000EF2F0000}"/>
    <cellStyle name="20 % - Markeringsfarve6 5 3 3 2" xfId="9237" xr:uid="{00000000-0005-0000-0000-0000F02F0000}"/>
    <cellStyle name="20 % - Markeringsfarve6 5 3 3 2 2" xfId="17148" xr:uid="{00000000-0005-0000-0000-0000F12F0000}"/>
    <cellStyle name="20 % - Markeringsfarve6 5 3 3 2 2 2" xfId="35308" xr:uid="{00000000-0005-0000-0000-0000F22F0000}"/>
    <cellStyle name="20 % - Markeringsfarve6 5 3 3 2 3" xfId="28307" xr:uid="{00000000-0005-0000-0000-0000F32F0000}"/>
    <cellStyle name="20 % - Markeringsfarve6 5 3 3 3" xfId="13892" xr:uid="{00000000-0005-0000-0000-0000F42F0000}"/>
    <cellStyle name="20 % - Markeringsfarve6 5 3 3 3 2" xfId="32059" xr:uid="{00000000-0005-0000-0000-0000F52F0000}"/>
    <cellStyle name="20 % - Markeringsfarve6 5 3 3 4" xfId="25057" xr:uid="{00000000-0005-0000-0000-0000F62F0000}"/>
    <cellStyle name="20 % - Markeringsfarve6 5 3 4" xfId="5339" xr:uid="{00000000-0005-0000-0000-0000F72F0000}"/>
    <cellStyle name="20 % - Markeringsfarve6 5 3 4 2" xfId="10692" xr:uid="{00000000-0005-0000-0000-0000F82F0000}"/>
    <cellStyle name="20 % - Markeringsfarve6 5 3 4 2 2" xfId="18583" xr:uid="{00000000-0005-0000-0000-0000F92F0000}"/>
    <cellStyle name="20 % - Markeringsfarve6 5 3 4 2 2 2" xfId="36743" xr:uid="{00000000-0005-0000-0000-0000FA2F0000}"/>
    <cellStyle name="20 % - Markeringsfarve6 5 3 4 2 3" xfId="29742" xr:uid="{00000000-0005-0000-0000-0000FB2F0000}"/>
    <cellStyle name="20 % - Markeringsfarve6 5 3 4 3" xfId="13893" xr:uid="{00000000-0005-0000-0000-0000FC2F0000}"/>
    <cellStyle name="20 % - Markeringsfarve6 5 3 4 3 2" xfId="32060" xr:uid="{00000000-0005-0000-0000-0000FD2F0000}"/>
    <cellStyle name="20 % - Markeringsfarve6 5 3 4 4" xfId="25058" xr:uid="{00000000-0005-0000-0000-0000FE2F0000}"/>
    <cellStyle name="20 % - Markeringsfarve6 5 3 5" xfId="7965" xr:uid="{00000000-0005-0000-0000-0000FF2F0000}"/>
    <cellStyle name="20 % - Markeringsfarve6 5 3 5 2" xfId="15883" xr:uid="{00000000-0005-0000-0000-000000300000}"/>
    <cellStyle name="20 % - Markeringsfarve6 5 3 5 2 2" xfId="34043" xr:uid="{00000000-0005-0000-0000-000001300000}"/>
    <cellStyle name="20 % - Markeringsfarve6 5 3 5 3" xfId="27042" xr:uid="{00000000-0005-0000-0000-000002300000}"/>
    <cellStyle name="20 % - Markeringsfarve6 5 3 6" xfId="13889" xr:uid="{00000000-0005-0000-0000-000003300000}"/>
    <cellStyle name="20 % - Markeringsfarve6 5 3 6 2" xfId="32056" xr:uid="{00000000-0005-0000-0000-000004300000}"/>
    <cellStyle name="20 % - Markeringsfarve6 5 3 7" xfId="25054" xr:uid="{00000000-0005-0000-0000-000005300000}"/>
    <cellStyle name="20 % - Markeringsfarve6 5 4" xfId="5340" xr:uid="{00000000-0005-0000-0000-000006300000}"/>
    <cellStyle name="20 % - Markeringsfarve6 5 4 2" xfId="5341" xr:uid="{00000000-0005-0000-0000-000007300000}"/>
    <cellStyle name="20 % - Markeringsfarve6 5 4 2 2" xfId="5342" xr:uid="{00000000-0005-0000-0000-000008300000}"/>
    <cellStyle name="20 % - Markeringsfarve6 5 4 2 2 2" xfId="10162" xr:uid="{00000000-0005-0000-0000-000009300000}"/>
    <cellStyle name="20 % - Markeringsfarve6 5 4 2 2 2 2" xfId="18063" xr:uid="{00000000-0005-0000-0000-00000A300000}"/>
    <cellStyle name="20 % - Markeringsfarve6 5 4 2 2 2 2 2" xfId="36223" xr:uid="{00000000-0005-0000-0000-00000B300000}"/>
    <cellStyle name="20 % - Markeringsfarve6 5 4 2 2 2 3" xfId="29222" xr:uid="{00000000-0005-0000-0000-00000C300000}"/>
    <cellStyle name="20 % - Markeringsfarve6 5 4 2 2 3" xfId="13896" xr:uid="{00000000-0005-0000-0000-00000D300000}"/>
    <cellStyle name="20 % - Markeringsfarve6 5 4 2 2 3 2" xfId="32063" xr:uid="{00000000-0005-0000-0000-00000E300000}"/>
    <cellStyle name="20 % - Markeringsfarve6 5 4 2 2 4" xfId="25061" xr:uid="{00000000-0005-0000-0000-00000F300000}"/>
    <cellStyle name="20 % - Markeringsfarve6 5 4 2 3" xfId="8695" xr:uid="{00000000-0005-0000-0000-000010300000}"/>
    <cellStyle name="20 % - Markeringsfarve6 5 4 2 3 2" xfId="16609" xr:uid="{00000000-0005-0000-0000-000011300000}"/>
    <cellStyle name="20 % - Markeringsfarve6 5 4 2 3 2 2" xfId="34769" xr:uid="{00000000-0005-0000-0000-000012300000}"/>
    <cellStyle name="20 % - Markeringsfarve6 5 4 2 3 3" xfId="27768" xr:uid="{00000000-0005-0000-0000-000013300000}"/>
    <cellStyle name="20 % - Markeringsfarve6 5 4 2 4" xfId="13895" xr:uid="{00000000-0005-0000-0000-000014300000}"/>
    <cellStyle name="20 % - Markeringsfarve6 5 4 2 4 2" xfId="32062" xr:uid="{00000000-0005-0000-0000-000015300000}"/>
    <cellStyle name="20 % - Markeringsfarve6 5 4 2 5" xfId="25060" xr:uid="{00000000-0005-0000-0000-000016300000}"/>
    <cellStyle name="20 % - Markeringsfarve6 5 4 3" xfId="5343" xr:uid="{00000000-0005-0000-0000-000017300000}"/>
    <cellStyle name="20 % - Markeringsfarve6 5 4 3 2" xfId="9438" xr:uid="{00000000-0005-0000-0000-000018300000}"/>
    <cellStyle name="20 % - Markeringsfarve6 5 4 3 2 2" xfId="17348" xr:uid="{00000000-0005-0000-0000-000019300000}"/>
    <cellStyle name="20 % - Markeringsfarve6 5 4 3 2 2 2" xfId="35508" xr:uid="{00000000-0005-0000-0000-00001A300000}"/>
    <cellStyle name="20 % - Markeringsfarve6 5 4 3 2 3" xfId="28507" xr:uid="{00000000-0005-0000-0000-00001B300000}"/>
    <cellStyle name="20 % - Markeringsfarve6 5 4 3 3" xfId="13897" xr:uid="{00000000-0005-0000-0000-00001C300000}"/>
    <cellStyle name="20 % - Markeringsfarve6 5 4 3 3 2" xfId="32064" xr:uid="{00000000-0005-0000-0000-00001D300000}"/>
    <cellStyle name="20 % - Markeringsfarve6 5 4 3 4" xfId="25062" xr:uid="{00000000-0005-0000-0000-00001E300000}"/>
    <cellStyle name="20 % - Markeringsfarve6 5 4 4" xfId="5344" xr:uid="{00000000-0005-0000-0000-00001F300000}"/>
    <cellStyle name="20 % - Markeringsfarve6 5 4 4 2" xfId="10926" xr:uid="{00000000-0005-0000-0000-000020300000}"/>
    <cellStyle name="20 % - Markeringsfarve6 5 4 4 2 2" xfId="18807" xr:uid="{00000000-0005-0000-0000-000021300000}"/>
    <cellStyle name="20 % - Markeringsfarve6 5 4 4 2 2 2" xfId="36967" xr:uid="{00000000-0005-0000-0000-000022300000}"/>
    <cellStyle name="20 % - Markeringsfarve6 5 4 4 2 3" xfId="29966" xr:uid="{00000000-0005-0000-0000-000023300000}"/>
    <cellStyle name="20 % - Markeringsfarve6 5 4 4 3" xfId="13898" xr:uid="{00000000-0005-0000-0000-000024300000}"/>
    <cellStyle name="20 % - Markeringsfarve6 5 4 4 3 2" xfId="32065" xr:uid="{00000000-0005-0000-0000-000025300000}"/>
    <cellStyle name="20 % - Markeringsfarve6 5 4 4 4" xfId="25063" xr:uid="{00000000-0005-0000-0000-000026300000}"/>
    <cellStyle name="20 % - Markeringsfarve6 5 4 5" xfId="7966" xr:uid="{00000000-0005-0000-0000-000027300000}"/>
    <cellStyle name="20 % - Markeringsfarve6 5 4 5 2" xfId="15884" xr:uid="{00000000-0005-0000-0000-000028300000}"/>
    <cellStyle name="20 % - Markeringsfarve6 5 4 5 2 2" xfId="34044" xr:uid="{00000000-0005-0000-0000-000029300000}"/>
    <cellStyle name="20 % - Markeringsfarve6 5 4 5 3" xfId="27043" xr:uid="{00000000-0005-0000-0000-00002A300000}"/>
    <cellStyle name="20 % - Markeringsfarve6 5 4 6" xfId="13894" xr:uid="{00000000-0005-0000-0000-00002B300000}"/>
    <cellStyle name="20 % - Markeringsfarve6 5 4 6 2" xfId="32061" xr:uid="{00000000-0005-0000-0000-00002C300000}"/>
    <cellStyle name="20 % - Markeringsfarve6 5 4 7" xfId="25059" xr:uid="{00000000-0005-0000-0000-00002D300000}"/>
    <cellStyle name="20 % - Markeringsfarve6 5 5" xfId="5345" xr:uid="{00000000-0005-0000-0000-00002E300000}"/>
    <cellStyle name="20 % - Markeringsfarve6 5 5 2" xfId="5346" xr:uid="{00000000-0005-0000-0000-00002F300000}"/>
    <cellStyle name="20 % - Markeringsfarve6 5 5 2 2" xfId="5347" xr:uid="{00000000-0005-0000-0000-000030300000}"/>
    <cellStyle name="20 % - Markeringsfarve6 5 5 2 2 2" xfId="10279" xr:uid="{00000000-0005-0000-0000-000031300000}"/>
    <cellStyle name="20 % - Markeringsfarve6 5 5 2 2 2 2" xfId="18180" xr:uid="{00000000-0005-0000-0000-000032300000}"/>
    <cellStyle name="20 % - Markeringsfarve6 5 5 2 2 2 2 2" xfId="36340" xr:uid="{00000000-0005-0000-0000-000033300000}"/>
    <cellStyle name="20 % - Markeringsfarve6 5 5 2 2 2 3" xfId="29339" xr:uid="{00000000-0005-0000-0000-000034300000}"/>
    <cellStyle name="20 % - Markeringsfarve6 5 5 2 2 3" xfId="13901" xr:uid="{00000000-0005-0000-0000-000035300000}"/>
    <cellStyle name="20 % - Markeringsfarve6 5 5 2 2 3 2" xfId="32068" xr:uid="{00000000-0005-0000-0000-000036300000}"/>
    <cellStyle name="20 % - Markeringsfarve6 5 5 2 2 4" xfId="25066" xr:uid="{00000000-0005-0000-0000-000037300000}"/>
    <cellStyle name="20 % - Markeringsfarve6 5 5 2 3" xfId="8794" xr:uid="{00000000-0005-0000-0000-000038300000}"/>
    <cellStyle name="20 % - Markeringsfarve6 5 5 2 3 2" xfId="16708" xr:uid="{00000000-0005-0000-0000-000039300000}"/>
    <cellStyle name="20 % - Markeringsfarve6 5 5 2 3 2 2" xfId="34868" xr:uid="{00000000-0005-0000-0000-00003A300000}"/>
    <cellStyle name="20 % - Markeringsfarve6 5 5 2 3 3" xfId="27867" xr:uid="{00000000-0005-0000-0000-00003B300000}"/>
    <cellStyle name="20 % - Markeringsfarve6 5 5 2 4" xfId="13900" xr:uid="{00000000-0005-0000-0000-00003C300000}"/>
    <cellStyle name="20 % - Markeringsfarve6 5 5 2 4 2" xfId="32067" xr:uid="{00000000-0005-0000-0000-00003D300000}"/>
    <cellStyle name="20 % - Markeringsfarve6 5 5 2 5" xfId="25065" xr:uid="{00000000-0005-0000-0000-00003E300000}"/>
    <cellStyle name="20 % - Markeringsfarve6 5 5 3" xfId="5348" xr:uid="{00000000-0005-0000-0000-00003F300000}"/>
    <cellStyle name="20 % - Markeringsfarve6 5 5 3 2" xfId="9555" xr:uid="{00000000-0005-0000-0000-000040300000}"/>
    <cellStyle name="20 % - Markeringsfarve6 5 5 3 2 2" xfId="17465" xr:uid="{00000000-0005-0000-0000-000041300000}"/>
    <cellStyle name="20 % - Markeringsfarve6 5 5 3 2 2 2" xfId="35625" xr:uid="{00000000-0005-0000-0000-000042300000}"/>
    <cellStyle name="20 % - Markeringsfarve6 5 5 3 2 3" xfId="28624" xr:uid="{00000000-0005-0000-0000-000043300000}"/>
    <cellStyle name="20 % - Markeringsfarve6 5 5 3 3" xfId="13902" xr:uid="{00000000-0005-0000-0000-000044300000}"/>
    <cellStyle name="20 % - Markeringsfarve6 5 5 3 3 2" xfId="32069" xr:uid="{00000000-0005-0000-0000-000045300000}"/>
    <cellStyle name="20 % - Markeringsfarve6 5 5 3 4" xfId="25067" xr:uid="{00000000-0005-0000-0000-000046300000}"/>
    <cellStyle name="20 % - Markeringsfarve6 5 5 4" xfId="5349" xr:uid="{00000000-0005-0000-0000-000047300000}"/>
    <cellStyle name="20 % - Markeringsfarve6 5 5 4 2" xfId="10651" xr:uid="{00000000-0005-0000-0000-000048300000}"/>
    <cellStyle name="20 % - Markeringsfarve6 5 5 4 2 2" xfId="18544" xr:uid="{00000000-0005-0000-0000-000049300000}"/>
    <cellStyle name="20 % - Markeringsfarve6 5 5 4 2 2 2" xfId="36704" xr:uid="{00000000-0005-0000-0000-00004A300000}"/>
    <cellStyle name="20 % - Markeringsfarve6 5 5 4 2 3" xfId="29703" xr:uid="{00000000-0005-0000-0000-00004B300000}"/>
    <cellStyle name="20 % - Markeringsfarve6 5 5 4 3" xfId="13903" xr:uid="{00000000-0005-0000-0000-00004C300000}"/>
    <cellStyle name="20 % - Markeringsfarve6 5 5 4 3 2" xfId="32070" xr:uid="{00000000-0005-0000-0000-00004D300000}"/>
    <cellStyle name="20 % - Markeringsfarve6 5 5 4 4" xfId="25068" xr:uid="{00000000-0005-0000-0000-00004E300000}"/>
    <cellStyle name="20 % - Markeringsfarve6 5 5 5" xfId="7967" xr:uid="{00000000-0005-0000-0000-00004F300000}"/>
    <cellStyle name="20 % - Markeringsfarve6 5 5 5 2" xfId="15885" xr:uid="{00000000-0005-0000-0000-000050300000}"/>
    <cellStyle name="20 % - Markeringsfarve6 5 5 5 2 2" xfId="34045" xr:uid="{00000000-0005-0000-0000-000051300000}"/>
    <cellStyle name="20 % - Markeringsfarve6 5 5 5 3" xfId="27044" xr:uid="{00000000-0005-0000-0000-000052300000}"/>
    <cellStyle name="20 % - Markeringsfarve6 5 5 6" xfId="13899" xr:uid="{00000000-0005-0000-0000-000053300000}"/>
    <cellStyle name="20 % - Markeringsfarve6 5 5 6 2" xfId="32066" xr:uid="{00000000-0005-0000-0000-000054300000}"/>
    <cellStyle name="20 % - Markeringsfarve6 5 5 7" xfId="25064" xr:uid="{00000000-0005-0000-0000-000055300000}"/>
    <cellStyle name="20 % - Markeringsfarve6 5 6" xfId="5350" xr:uid="{00000000-0005-0000-0000-000056300000}"/>
    <cellStyle name="20 % - Markeringsfarve6 5 6 2" xfId="5351" xr:uid="{00000000-0005-0000-0000-000057300000}"/>
    <cellStyle name="20 % - Markeringsfarve6 5 6 2 2" xfId="5352" xr:uid="{00000000-0005-0000-0000-000058300000}"/>
    <cellStyle name="20 % - Markeringsfarve6 5 6 2 2 2" xfId="10361" xr:uid="{00000000-0005-0000-0000-000059300000}"/>
    <cellStyle name="20 % - Markeringsfarve6 5 6 2 2 2 2" xfId="18262" xr:uid="{00000000-0005-0000-0000-00005A300000}"/>
    <cellStyle name="20 % - Markeringsfarve6 5 6 2 2 2 2 2" xfId="36422" xr:uid="{00000000-0005-0000-0000-00005B300000}"/>
    <cellStyle name="20 % - Markeringsfarve6 5 6 2 2 2 3" xfId="29421" xr:uid="{00000000-0005-0000-0000-00005C300000}"/>
    <cellStyle name="20 % - Markeringsfarve6 5 6 2 2 3" xfId="13906" xr:uid="{00000000-0005-0000-0000-00005D300000}"/>
    <cellStyle name="20 % - Markeringsfarve6 5 6 2 2 3 2" xfId="32073" xr:uid="{00000000-0005-0000-0000-00005E300000}"/>
    <cellStyle name="20 % - Markeringsfarve6 5 6 2 2 4" xfId="25071" xr:uid="{00000000-0005-0000-0000-00005F300000}"/>
    <cellStyle name="20 % - Markeringsfarve6 5 6 2 3" xfId="8863" xr:uid="{00000000-0005-0000-0000-000060300000}"/>
    <cellStyle name="20 % - Markeringsfarve6 5 6 2 3 2" xfId="16777" xr:uid="{00000000-0005-0000-0000-000061300000}"/>
    <cellStyle name="20 % - Markeringsfarve6 5 6 2 3 2 2" xfId="34937" xr:uid="{00000000-0005-0000-0000-000062300000}"/>
    <cellStyle name="20 % - Markeringsfarve6 5 6 2 3 3" xfId="27936" xr:uid="{00000000-0005-0000-0000-000063300000}"/>
    <cellStyle name="20 % - Markeringsfarve6 5 6 2 4" xfId="13905" xr:uid="{00000000-0005-0000-0000-000064300000}"/>
    <cellStyle name="20 % - Markeringsfarve6 5 6 2 4 2" xfId="32072" xr:uid="{00000000-0005-0000-0000-000065300000}"/>
    <cellStyle name="20 % - Markeringsfarve6 5 6 2 5" xfId="25070" xr:uid="{00000000-0005-0000-0000-000066300000}"/>
    <cellStyle name="20 % - Markeringsfarve6 5 6 3" xfId="5353" xr:uid="{00000000-0005-0000-0000-000067300000}"/>
    <cellStyle name="20 % - Markeringsfarve6 5 6 3 2" xfId="9638" xr:uid="{00000000-0005-0000-0000-000068300000}"/>
    <cellStyle name="20 % - Markeringsfarve6 5 6 3 2 2" xfId="17548" xr:uid="{00000000-0005-0000-0000-000069300000}"/>
    <cellStyle name="20 % - Markeringsfarve6 5 6 3 2 2 2" xfId="35708" xr:uid="{00000000-0005-0000-0000-00006A300000}"/>
    <cellStyle name="20 % - Markeringsfarve6 5 6 3 2 3" xfId="28707" xr:uid="{00000000-0005-0000-0000-00006B300000}"/>
    <cellStyle name="20 % - Markeringsfarve6 5 6 3 3" xfId="13907" xr:uid="{00000000-0005-0000-0000-00006C300000}"/>
    <cellStyle name="20 % - Markeringsfarve6 5 6 3 3 2" xfId="32074" xr:uid="{00000000-0005-0000-0000-00006D300000}"/>
    <cellStyle name="20 % - Markeringsfarve6 5 6 3 4" xfId="25072" xr:uid="{00000000-0005-0000-0000-00006E300000}"/>
    <cellStyle name="20 % - Markeringsfarve6 5 6 4" xfId="5354" xr:uid="{00000000-0005-0000-0000-00006F300000}"/>
    <cellStyle name="20 % - Markeringsfarve6 5 6 4 2" xfId="10876" xr:uid="{00000000-0005-0000-0000-000070300000}"/>
    <cellStyle name="20 % - Markeringsfarve6 5 6 4 2 2" xfId="18759" xr:uid="{00000000-0005-0000-0000-000071300000}"/>
    <cellStyle name="20 % - Markeringsfarve6 5 6 4 2 2 2" xfId="36919" xr:uid="{00000000-0005-0000-0000-000072300000}"/>
    <cellStyle name="20 % - Markeringsfarve6 5 6 4 2 3" xfId="29918" xr:uid="{00000000-0005-0000-0000-000073300000}"/>
    <cellStyle name="20 % - Markeringsfarve6 5 6 4 3" xfId="13908" xr:uid="{00000000-0005-0000-0000-000074300000}"/>
    <cellStyle name="20 % - Markeringsfarve6 5 6 4 3 2" xfId="32075" xr:uid="{00000000-0005-0000-0000-000075300000}"/>
    <cellStyle name="20 % - Markeringsfarve6 5 6 4 4" xfId="25073" xr:uid="{00000000-0005-0000-0000-000076300000}"/>
    <cellStyle name="20 % - Markeringsfarve6 5 6 5" xfId="7968" xr:uid="{00000000-0005-0000-0000-000077300000}"/>
    <cellStyle name="20 % - Markeringsfarve6 5 6 5 2" xfId="15886" xr:uid="{00000000-0005-0000-0000-000078300000}"/>
    <cellStyle name="20 % - Markeringsfarve6 5 6 5 2 2" xfId="34046" xr:uid="{00000000-0005-0000-0000-000079300000}"/>
    <cellStyle name="20 % - Markeringsfarve6 5 6 5 3" xfId="27045" xr:uid="{00000000-0005-0000-0000-00007A300000}"/>
    <cellStyle name="20 % - Markeringsfarve6 5 6 6" xfId="13904" xr:uid="{00000000-0005-0000-0000-00007B300000}"/>
    <cellStyle name="20 % - Markeringsfarve6 5 6 6 2" xfId="32071" xr:uid="{00000000-0005-0000-0000-00007C300000}"/>
    <cellStyle name="20 % - Markeringsfarve6 5 6 7" xfId="25069" xr:uid="{00000000-0005-0000-0000-00007D300000}"/>
    <cellStyle name="20 % - Markeringsfarve6 5 7" xfId="5355" xr:uid="{00000000-0005-0000-0000-00007E300000}"/>
    <cellStyle name="20 % - Markeringsfarve6 5 7 2" xfId="5356" xr:uid="{00000000-0005-0000-0000-00007F300000}"/>
    <cellStyle name="20 % - Markeringsfarve6 5 7 2 2" xfId="9805" xr:uid="{00000000-0005-0000-0000-000080300000}"/>
    <cellStyle name="20 % - Markeringsfarve6 5 7 2 2 2" xfId="17706" xr:uid="{00000000-0005-0000-0000-000081300000}"/>
    <cellStyle name="20 % - Markeringsfarve6 5 7 2 2 2 2" xfId="35866" xr:uid="{00000000-0005-0000-0000-000082300000}"/>
    <cellStyle name="20 % - Markeringsfarve6 5 7 2 2 3" xfId="28865" xr:uid="{00000000-0005-0000-0000-000083300000}"/>
    <cellStyle name="20 % - Markeringsfarve6 5 7 2 3" xfId="13910" xr:uid="{00000000-0005-0000-0000-000084300000}"/>
    <cellStyle name="20 % - Markeringsfarve6 5 7 2 3 2" xfId="32077" xr:uid="{00000000-0005-0000-0000-000085300000}"/>
    <cellStyle name="20 % - Markeringsfarve6 5 7 2 4" xfId="25075" xr:uid="{00000000-0005-0000-0000-000086300000}"/>
    <cellStyle name="20 % - Markeringsfarve6 5 7 3" xfId="8394" xr:uid="{00000000-0005-0000-0000-000087300000}"/>
    <cellStyle name="20 % - Markeringsfarve6 5 7 3 2" xfId="16311" xr:uid="{00000000-0005-0000-0000-000088300000}"/>
    <cellStyle name="20 % - Markeringsfarve6 5 7 3 2 2" xfId="34471" xr:uid="{00000000-0005-0000-0000-000089300000}"/>
    <cellStyle name="20 % - Markeringsfarve6 5 7 3 3" xfId="27470" xr:uid="{00000000-0005-0000-0000-00008A300000}"/>
    <cellStyle name="20 % - Markeringsfarve6 5 7 4" xfId="13909" xr:uid="{00000000-0005-0000-0000-00008B300000}"/>
    <cellStyle name="20 % - Markeringsfarve6 5 7 4 2" xfId="32076" xr:uid="{00000000-0005-0000-0000-00008C300000}"/>
    <cellStyle name="20 % - Markeringsfarve6 5 7 5" xfId="25074" xr:uid="{00000000-0005-0000-0000-00008D300000}"/>
    <cellStyle name="20 % - Markeringsfarve6 5 8" xfId="5357" xr:uid="{00000000-0005-0000-0000-00008E300000}"/>
    <cellStyle name="20 % - Markeringsfarve6 5 8 2" xfId="9033" xr:uid="{00000000-0005-0000-0000-00008F300000}"/>
    <cellStyle name="20 % - Markeringsfarve6 5 8 2 2" xfId="16944" xr:uid="{00000000-0005-0000-0000-000090300000}"/>
    <cellStyle name="20 % - Markeringsfarve6 5 8 2 2 2" xfId="35104" xr:uid="{00000000-0005-0000-0000-000091300000}"/>
    <cellStyle name="20 % - Markeringsfarve6 5 8 2 3" xfId="28103" xr:uid="{00000000-0005-0000-0000-000092300000}"/>
    <cellStyle name="20 % - Markeringsfarve6 5 8 3" xfId="13911" xr:uid="{00000000-0005-0000-0000-000093300000}"/>
    <cellStyle name="20 % - Markeringsfarve6 5 8 3 2" xfId="32078" xr:uid="{00000000-0005-0000-0000-000094300000}"/>
    <cellStyle name="20 % - Markeringsfarve6 5 8 4" xfId="25076" xr:uid="{00000000-0005-0000-0000-000095300000}"/>
    <cellStyle name="20 % - Markeringsfarve6 5 9" xfId="5358" xr:uid="{00000000-0005-0000-0000-000096300000}"/>
    <cellStyle name="20 % - Markeringsfarve6 5 9 2" xfId="10729" xr:uid="{00000000-0005-0000-0000-000097300000}"/>
    <cellStyle name="20 % - Markeringsfarve6 5 9 2 2" xfId="18618" xr:uid="{00000000-0005-0000-0000-000098300000}"/>
    <cellStyle name="20 % - Markeringsfarve6 5 9 2 2 2" xfId="36778" xr:uid="{00000000-0005-0000-0000-000099300000}"/>
    <cellStyle name="20 % - Markeringsfarve6 5 9 2 3" xfId="29777" xr:uid="{00000000-0005-0000-0000-00009A300000}"/>
    <cellStyle name="20 % - Markeringsfarve6 5 9 3" xfId="13912" xr:uid="{00000000-0005-0000-0000-00009B300000}"/>
    <cellStyle name="20 % - Markeringsfarve6 5 9 3 2" xfId="32079" xr:uid="{00000000-0005-0000-0000-00009C300000}"/>
    <cellStyle name="20 % - Markeringsfarve6 5 9 4" xfId="25077" xr:uid="{00000000-0005-0000-0000-00009D300000}"/>
    <cellStyle name="20 % - Markeringsfarve6 6" xfId="1858" xr:uid="{00000000-0005-0000-0000-00009E300000}"/>
    <cellStyle name="20 % - Markeringsfarve6 6 2" xfId="1859" xr:uid="{00000000-0005-0000-0000-00009F300000}"/>
    <cellStyle name="20 % - Markeringsfarve6 6 2 2" xfId="5361" xr:uid="{00000000-0005-0000-0000-0000A0300000}"/>
    <cellStyle name="20 % - Markeringsfarve6 6 2 2 2" xfId="9846" xr:uid="{00000000-0005-0000-0000-0000A1300000}"/>
    <cellStyle name="20 % - Markeringsfarve6 6 2 2 2 2" xfId="17747" xr:uid="{00000000-0005-0000-0000-0000A2300000}"/>
    <cellStyle name="20 % - Markeringsfarve6 6 2 2 2 2 2" xfId="35907" xr:uid="{00000000-0005-0000-0000-0000A3300000}"/>
    <cellStyle name="20 % - Markeringsfarve6 6 2 2 2 3" xfId="28906" xr:uid="{00000000-0005-0000-0000-0000A4300000}"/>
    <cellStyle name="20 % - Markeringsfarve6 6 2 2 3" xfId="13915" xr:uid="{00000000-0005-0000-0000-0000A5300000}"/>
    <cellStyle name="20 % - Markeringsfarve6 6 2 2 3 2" xfId="32082" xr:uid="{00000000-0005-0000-0000-0000A6300000}"/>
    <cellStyle name="20 % - Markeringsfarve6 6 2 2 4" xfId="25080" xr:uid="{00000000-0005-0000-0000-0000A7300000}"/>
    <cellStyle name="20 % - Markeringsfarve6 6 2 3" xfId="8427" xr:uid="{00000000-0005-0000-0000-0000A8300000}"/>
    <cellStyle name="20 % - Markeringsfarve6 6 2 3 2" xfId="16344" xr:uid="{00000000-0005-0000-0000-0000A9300000}"/>
    <cellStyle name="20 % - Markeringsfarve6 6 2 3 2 2" xfId="34504" xr:uid="{00000000-0005-0000-0000-0000AA300000}"/>
    <cellStyle name="20 % - Markeringsfarve6 6 2 3 3" xfId="27503" xr:uid="{00000000-0005-0000-0000-0000AB300000}"/>
    <cellStyle name="20 % - Markeringsfarve6 6 2 4" xfId="13914" xr:uid="{00000000-0005-0000-0000-0000AC300000}"/>
    <cellStyle name="20 % - Markeringsfarve6 6 2 4 2" xfId="32081" xr:uid="{00000000-0005-0000-0000-0000AD300000}"/>
    <cellStyle name="20 % - Markeringsfarve6 6 2 5" xfId="5360" xr:uid="{00000000-0005-0000-0000-0000AE300000}"/>
    <cellStyle name="20 % - Markeringsfarve6 6 2 5 2" xfId="25079" xr:uid="{00000000-0005-0000-0000-0000AF300000}"/>
    <cellStyle name="20 % - Markeringsfarve6 6 2 6" xfId="21983" xr:uid="{00000000-0005-0000-0000-0000B0300000}"/>
    <cellStyle name="20 % - Markeringsfarve6 6 3" xfId="5362" xr:uid="{00000000-0005-0000-0000-0000B1300000}"/>
    <cellStyle name="20 % - Markeringsfarve6 6 3 2" xfId="9076" xr:uid="{00000000-0005-0000-0000-0000B2300000}"/>
    <cellStyle name="20 % - Markeringsfarve6 6 3 2 2" xfId="16987" xr:uid="{00000000-0005-0000-0000-0000B3300000}"/>
    <cellStyle name="20 % - Markeringsfarve6 6 3 2 2 2" xfId="35147" xr:uid="{00000000-0005-0000-0000-0000B4300000}"/>
    <cellStyle name="20 % - Markeringsfarve6 6 3 2 3" xfId="28146" xr:uid="{00000000-0005-0000-0000-0000B5300000}"/>
    <cellStyle name="20 % - Markeringsfarve6 6 3 3" xfId="13916" xr:uid="{00000000-0005-0000-0000-0000B6300000}"/>
    <cellStyle name="20 % - Markeringsfarve6 6 3 3 2" xfId="32083" xr:uid="{00000000-0005-0000-0000-0000B7300000}"/>
    <cellStyle name="20 % - Markeringsfarve6 6 3 4" xfId="25081" xr:uid="{00000000-0005-0000-0000-0000B8300000}"/>
    <cellStyle name="20 % - Markeringsfarve6 6 4" xfId="5363" xr:uid="{00000000-0005-0000-0000-0000B9300000}"/>
    <cellStyle name="20 % - Markeringsfarve6 6 4 2" xfId="10525" xr:uid="{00000000-0005-0000-0000-0000BA300000}"/>
    <cellStyle name="20 % - Markeringsfarve6 6 4 2 2" xfId="18419" xr:uid="{00000000-0005-0000-0000-0000BB300000}"/>
    <cellStyle name="20 % - Markeringsfarve6 6 4 2 2 2" xfId="36579" xr:uid="{00000000-0005-0000-0000-0000BC300000}"/>
    <cellStyle name="20 % - Markeringsfarve6 6 4 2 3" xfId="29578" xr:uid="{00000000-0005-0000-0000-0000BD300000}"/>
    <cellStyle name="20 % - Markeringsfarve6 6 4 3" xfId="13917" xr:uid="{00000000-0005-0000-0000-0000BE300000}"/>
    <cellStyle name="20 % - Markeringsfarve6 6 4 3 2" xfId="32084" xr:uid="{00000000-0005-0000-0000-0000BF300000}"/>
    <cellStyle name="20 % - Markeringsfarve6 6 4 4" xfId="25082" xr:uid="{00000000-0005-0000-0000-0000C0300000}"/>
    <cellStyle name="20 % - Markeringsfarve6 6 5" xfId="7969" xr:uid="{00000000-0005-0000-0000-0000C1300000}"/>
    <cellStyle name="20 % - Markeringsfarve6 6 5 2" xfId="15887" xr:uid="{00000000-0005-0000-0000-0000C2300000}"/>
    <cellStyle name="20 % - Markeringsfarve6 6 5 2 2" xfId="34047" xr:uid="{00000000-0005-0000-0000-0000C3300000}"/>
    <cellStyle name="20 % - Markeringsfarve6 6 5 3" xfId="27046" xr:uid="{00000000-0005-0000-0000-0000C4300000}"/>
    <cellStyle name="20 % - Markeringsfarve6 6 6" xfId="13913" xr:uid="{00000000-0005-0000-0000-0000C5300000}"/>
    <cellStyle name="20 % - Markeringsfarve6 6 6 2" xfId="32080" xr:uid="{00000000-0005-0000-0000-0000C6300000}"/>
    <cellStyle name="20 % - Markeringsfarve6 6 7" xfId="5359" xr:uid="{00000000-0005-0000-0000-0000C7300000}"/>
    <cellStyle name="20 % - Markeringsfarve6 6 7 2" xfId="25078" xr:uid="{00000000-0005-0000-0000-0000C8300000}"/>
    <cellStyle name="20 % - Markeringsfarve6 6 8" xfId="21982" xr:uid="{00000000-0005-0000-0000-0000C9300000}"/>
    <cellStyle name="20 % - Markeringsfarve6 7" xfId="1860" xr:uid="{00000000-0005-0000-0000-0000CA300000}"/>
    <cellStyle name="20 % - Markeringsfarve6 7 2" xfId="5365" xr:uid="{00000000-0005-0000-0000-0000CB300000}"/>
    <cellStyle name="20 % - Markeringsfarve6 7 2 2" xfId="5366" xr:uid="{00000000-0005-0000-0000-0000CC300000}"/>
    <cellStyle name="20 % - Markeringsfarve6 7 2 2 2" xfId="9999" xr:uid="{00000000-0005-0000-0000-0000CD300000}"/>
    <cellStyle name="20 % - Markeringsfarve6 7 2 2 2 2" xfId="17900" xr:uid="{00000000-0005-0000-0000-0000CE300000}"/>
    <cellStyle name="20 % - Markeringsfarve6 7 2 2 2 2 2" xfId="36060" xr:uid="{00000000-0005-0000-0000-0000CF300000}"/>
    <cellStyle name="20 % - Markeringsfarve6 7 2 2 2 3" xfId="29059" xr:uid="{00000000-0005-0000-0000-0000D0300000}"/>
    <cellStyle name="20 % - Markeringsfarve6 7 2 2 3" xfId="13920" xr:uid="{00000000-0005-0000-0000-0000D1300000}"/>
    <cellStyle name="20 % - Markeringsfarve6 7 2 2 3 2" xfId="32087" xr:uid="{00000000-0005-0000-0000-0000D2300000}"/>
    <cellStyle name="20 % - Markeringsfarve6 7 2 2 4" xfId="25085" xr:uid="{00000000-0005-0000-0000-0000D3300000}"/>
    <cellStyle name="20 % - Markeringsfarve6 7 2 3" xfId="8554" xr:uid="{00000000-0005-0000-0000-0000D4300000}"/>
    <cellStyle name="20 % - Markeringsfarve6 7 2 3 2" xfId="16471" xr:uid="{00000000-0005-0000-0000-0000D5300000}"/>
    <cellStyle name="20 % - Markeringsfarve6 7 2 3 2 2" xfId="34631" xr:uid="{00000000-0005-0000-0000-0000D6300000}"/>
    <cellStyle name="20 % - Markeringsfarve6 7 2 3 3" xfId="27630" xr:uid="{00000000-0005-0000-0000-0000D7300000}"/>
    <cellStyle name="20 % - Markeringsfarve6 7 2 4" xfId="13919" xr:uid="{00000000-0005-0000-0000-0000D8300000}"/>
    <cellStyle name="20 % - Markeringsfarve6 7 2 4 2" xfId="32086" xr:uid="{00000000-0005-0000-0000-0000D9300000}"/>
    <cellStyle name="20 % - Markeringsfarve6 7 2 5" xfId="25084" xr:uid="{00000000-0005-0000-0000-0000DA300000}"/>
    <cellStyle name="20 % - Markeringsfarve6 7 3" xfId="5367" xr:uid="{00000000-0005-0000-0000-0000DB300000}"/>
    <cellStyle name="20 % - Markeringsfarve6 7 3 2" xfId="9229" xr:uid="{00000000-0005-0000-0000-0000DC300000}"/>
    <cellStyle name="20 % - Markeringsfarve6 7 3 2 2" xfId="17140" xr:uid="{00000000-0005-0000-0000-0000DD300000}"/>
    <cellStyle name="20 % - Markeringsfarve6 7 3 2 2 2" xfId="35300" xr:uid="{00000000-0005-0000-0000-0000DE300000}"/>
    <cellStyle name="20 % - Markeringsfarve6 7 3 2 3" xfId="28299" xr:uid="{00000000-0005-0000-0000-0000DF300000}"/>
    <cellStyle name="20 % - Markeringsfarve6 7 3 3" xfId="13921" xr:uid="{00000000-0005-0000-0000-0000E0300000}"/>
    <cellStyle name="20 % - Markeringsfarve6 7 3 3 2" xfId="32088" xr:uid="{00000000-0005-0000-0000-0000E1300000}"/>
    <cellStyle name="20 % - Markeringsfarve6 7 3 4" xfId="25086" xr:uid="{00000000-0005-0000-0000-0000E2300000}"/>
    <cellStyle name="20 % - Markeringsfarve6 7 4" xfId="5368" xr:uid="{00000000-0005-0000-0000-0000E3300000}"/>
    <cellStyle name="20 % - Markeringsfarve6 7 4 2" xfId="10837" xr:uid="{00000000-0005-0000-0000-0000E4300000}"/>
    <cellStyle name="20 % - Markeringsfarve6 7 4 2 2" xfId="18723" xr:uid="{00000000-0005-0000-0000-0000E5300000}"/>
    <cellStyle name="20 % - Markeringsfarve6 7 4 2 2 2" xfId="36883" xr:uid="{00000000-0005-0000-0000-0000E6300000}"/>
    <cellStyle name="20 % - Markeringsfarve6 7 4 2 3" xfId="29882" xr:uid="{00000000-0005-0000-0000-0000E7300000}"/>
    <cellStyle name="20 % - Markeringsfarve6 7 4 3" xfId="13922" xr:uid="{00000000-0005-0000-0000-0000E8300000}"/>
    <cellStyle name="20 % - Markeringsfarve6 7 4 3 2" xfId="32089" xr:uid="{00000000-0005-0000-0000-0000E9300000}"/>
    <cellStyle name="20 % - Markeringsfarve6 7 4 4" xfId="25087" xr:uid="{00000000-0005-0000-0000-0000EA300000}"/>
    <cellStyle name="20 % - Markeringsfarve6 7 5" xfId="7970" xr:uid="{00000000-0005-0000-0000-0000EB300000}"/>
    <cellStyle name="20 % - Markeringsfarve6 7 5 2" xfId="15888" xr:uid="{00000000-0005-0000-0000-0000EC300000}"/>
    <cellStyle name="20 % - Markeringsfarve6 7 5 2 2" xfId="34048" xr:uid="{00000000-0005-0000-0000-0000ED300000}"/>
    <cellStyle name="20 % - Markeringsfarve6 7 5 3" xfId="27047" xr:uid="{00000000-0005-0000-0000-0000EE300000}"/>
    <cellStyle name="20 % - Markeringsfarve6 7 6" xfId="13918" xr:uid="{00000000-0005-0000-0000-0000EF300000}"/>
    <cellStyle name="20 % - Markeringsfarve6 7 6 2" xfId="32085" xr:uid="{00000000-0005-0000-0000-0000F0300000}"/>
    <cellStyle name="20 % - Markeringsfarve6 7 7" xfId="5364" xr:uid="{00000000-0005-0000-0000-0000F1300000}"/>
    <cellStyle name="20 % - Markeringsfarve6 7 7 2" xfId="25083" xr:uid="{00000000-0005-0000-0000-0000F2300000}"/>
    <cellStyle name="20 % - Markeringsfarve6 7 8" xfId="21984" xr:uid="{00000000-0005-0000-0000-0000F3300000}"/>
    <cellStyle name="20 % - Markeringsfarve6 8" xfId="5369" xr:uid="{00000000-0005-0000-0000-0000F4300000}"/>
    <cellStyle name="20 % - Markeringsfarve6 8 2" xfId="5370" xr:uid="{00000000-0005-0000-0000-0000F5300000}"/>
    <cellStyle name="20 % - Markeringsfarve6 8 2 2" xfId="5371" xr:uid="{00000000-0005-0000-0000-0000F6300000}"/>
    <cellStyle name="20 % - Markeringsfarve6 8 2 2 2" xfId="10084" xr:uid="{00000000-0005-0000-0000-0000F7300000}"/>
    <cellStyle name="20 % - Markeringsfarve6 8 2 2 2 2" xfId="17985" xr:uid="{00000000-0005-0000-0000-0000F8300000}"/>
    <cellStyle name="20 % - Markeringsfarve6 8 2 2 2 2 2" xfId="36145" xr:uid="{00000000-0005-0000-0000-0000F9300000}"/>
    <cellStyle name="20 % - Markeringsfarve6 8 2 2 2 3" xfId="29144" xr:uid="{00000000-0005-0000-0000-0000FA300000}"/>
    <cellStyle name="20 % - Markeringsfarve6 8 2 2 3" xfId="13925" xr:uid="{00000000-0005-0000-0000-0000FB300000}"/>
    <cellStyle name="20 % - Markeringsfarve6 8 2 2 3 2" xfId="32092" xr:uid="{00000000-0005-0000-0000-0000FC300000}"/>
    <cellStyle name="20 % - Markeringsfarve6 8 2 2 4" xfId="25090" xr:uid="{00000000-0005-0000-0000-0000FD300000}"/>
    <cellStyle name="20 % - Markeringsfarve6 8 2 3" xfId="8629" xr:uid="{00000000-0005-0000-0000-0000FE300000}"/>
    <cellStyle name="20 % - Markeringsfarve6 8 2 3 2" xfId="16543" xr:uid="{00000000-0005-0000-0000-0000FF300000}"/>
    <cellStyle name="20 % - Markeringsfarve6 8 2 3 2 2" xfId="34703" xr:uid="{00000000-0005-0000-0000-000000310000}"/>
    <cellStyle name="20 % - Markeringsfarve6 8 2 3 3" xfId="27702" xr:uid="{00000000-0005-0000-0000-000001310000}"/>
    <cellStyle name="20 % - Markeringsfarve6 8 2 4" xfId="13924" xr:uid="{00000000-0005-0000-0000-000002310000}"/>
    <cellStyle name="20 % - Markeringsfarve6 8 2 4 2" xfId="32091" xr:uid="{00000000-0005-0000-0000-000003310000}"/>
    <cellStyle name="20 % - Markeringsfarve6 8 2 5" xfId="25089" xr:uid="{00000000-0005-0000-0000-000004310000}"/>
    <cellStyle name="20 % - Markeringsfarve6 8 3" xfId="5372" xr:uid="{00000000-0005-0000-0000-000005310000}"/>
    <cellStyle name="20 % - Markeringsfarve6 8 3 2" xfId="9360" xr:uid="{00000000-0005-0000-0000-000006310000}"/>
    <cellStyle name="20 % - Markeringsfarve6 8 3 2 2" xfId="17270" xr:uid="{00000000-0005-0000-0000-000007310000}"/>
    <cellStyle name="20 % - Markeringsfarve6 8 3 2 2 2" xfId="35430" xr:uid="{00000000-0005-0000-0000-000008310000}"/>
    <cellStyle name="20 % - Markeringsfarve6 8 3 2 3" xfId="28429" xr:uid="{00000000-0005-0000-0000-000009310000}"/>
    <cellStyle name="20 % - Markeringsfarve6 8 3 3" xfId="13926" xr:uid="{00000000-0005-0000-0000-00000A310000}"/>
    <cellStyle name="20 % - Markeringsfarve6 8 3 3 2" xfId="32093" xr:uid="{00000000-0005-0000-0000-00000B310000}"/>
    <cellStyle name="20 % - Markeringsfarve6 8 3 4" xfId="25091" xr:uid="{00000000-0005-0000-0000-00000C310000}"/>
    <cellStyle name="20 % - Markeringsfarve6 8 4" xfId="5373" xr:uid="{00000000-0005-0000-0000-00000D310000}"/>
    <cellStyle name="20 % - Markeringsfarve6 8 4 2" xfId="10487" xr:uid="{00000000-0005-0000-0000-00000E310000}"/>
    <cellStyle name="20 % - Markeringsfarve6 8 4 2 2" xfId="18383" xr:uid="{00000000-0005-0000-0000-00000F310000}"/>
    <cellStyle name="20 % - Markeringsfarve6 8 4 2 2 2" xfId="36543" xr:uid="{00000000-0005-0000-0000-000010310000}"/>
    <cellStyle name="20 % - Markeringsfarve6 8 4 2 3" xfId="29542" xr:uid="{00000000-0005-0000-0000-000011310000}"/>
    <cellStyle name="20 % - Markeringsfarve6 8 4 3" xfId="13927" xr:uid="{00000000-0005-0000-0000-000012310000}"/>
    <cellStyle name="20 % - Markeringsfarve6 8 4 3 2" xfId="32094" xr:uid="{00000000-0005-0000-0000-000013310000}"/>
    <cellStyle name="20 % - Markeringsfarve6 8 4 4" xfId="25092" xr:uid="{00000000-0005-0000-0000-000014310000}"/>
    <cellStyle name="20 % - Markeringsfarve6 8 5" xfId="7971" xr:uid="{00000000-0005-0000-0000-000015310000}"/>
    <cellStyle name="20 % - Markeringsfarve6 8 5 2" xfId="15889" xr:uid="{00000000-0005-0000-0000-000016310000}"/>
    <cellStyle name="20 % - Markeringsfarve6 8 5 2 2" xfId="34049" xr:uid="{00000000-0005-0000-0000-000017310000}"/>
    <cellStyle name="20 % - Markeringsfarve6 8 5 3" xfId="27048" xr:uid="{00000000-0005-0000-0000-000018310000}"/>
    <cellStyle name="20 % - Markeringsfarve6 8 6" xfId="13923" xr:uid="{00000000-0005-0000-0000-000019310000}"/>
    <cellStyle name="20 % - Markeringsfarve6 8 6 2" xfId="32090" xr:uid="{00000000-0005-0000-0000-00001A310000}"/>
    <cellStyle name="20 % - Markeringsfarve6 8 7" xfId="25088" xr:uid="{00000000-0005-0000-0000-00001B310000}"/>
    <cellStyle name="20 % - Markeringsfarve6 9" xfId="5374" xr:uid="{00000000-0005-0000-0000-00001C310000}"/>
    <cellStyle name="20 % - Markeringsfarve6 9 2" xfId="5375" xr:uid="{00000000-0005-0000-0000-00001D310000}"/>
    <cellStyle name="20 % - Markeringsfarve6 9 2 2" xfId="5376" xr:uid="{00000000-0005-0000-0000-00001E310000}"/>
    <cellStyle name="20 % - Markeringsfarve6 9 2 2 2" xfId="10201" xr:uid="{00000000-0005-0000-0000-00001F310000}"/>
    <cellStyle name="20 % - Markeringsfarve6 9 2 2 2 2" xfId="18102" xr:uid="{00000000-0005-0000-0000-000020310000}"/>
    <cellStyle name="20 % - Markeringsfarve6 9 2 2 2 2 2" xfId="36262" xr:uid="{00000000-0005-0000-0000-000021310000}"/>
    <cellStyle name="20 % - Markeringsfarve6 9 2 2 2 3" xfId="29261" xr:uid="{00000000-0005-0000-0000-000022310000}"/>
    <cellStyle name="20 % - Markeringsfarve6 9 2 2 3" xfId="13930" xr:uid="{00000000-0005-0000-0000-000023310000}"/>
    <cellStyle name="20 % - Markeringsfarve6 9 2 2 3 2" xfId="32097" xr:uid="{00000000-0005-0000-0000-000024310000}"/>
    <cellStyle name="20 % - Markeringsfarve6 9 2 2 4" xfId="25095" xr:uid="{00000000-0005-0000-0000-000025310000}"/>
    <cellStyle name="20 % - Markeringsfarve6 9 2 3" xfId="8728" xr:uid="{00000000-0005-0000-0000-000026310000}"/>
    <cellStyle name="20 % - Markeringsfarve6 9 2 3 2" xfId="16642" xr:uid="{00000000-0005-0000-0000-000027310000}"/>
    <cellStyle name="20 % - Markeringsfarve6 9 2 3 2 2" xfId="34802" xr:uid="{00000000-0005-0000-0000-000028310000}"/>
    <cellStyle name="20 % - Markeringsfarve6 9 2 3 3" xfId="27801" xr:uid="{00000000-0005-0000-0000-000029310000}"/>
    <cellStyle name="20 % - Markeringsfarve6 9 2 4" xfId="13929" xr:uid="{00000000-0005-0000-0000-00002A310000}"/>
    <cellStyle name="20 % - Markeringsfarve6 9 2 4 2" xfId="32096" xr:uid="{00000000-0005-0000-0000-00002B310000}"/>
    <cellStyle name="20 % - Markeringsfarve6 9 2 5" xfId="25094" xr:uid="{00000000-0005-0000-0000-00002C310000}"/>
    <cellStyle name="20 % - Markeringsfarve6 9 3" xfId="5377" xr:uid="{00000000-0005-0000-0000-00002D310000}"/>
    <cellStyle name="20 % - Markeringsfarve6 9 3 2" xfId="9477" xr:uid="{00000000-0005-0000-0000-00002E310000}"/>
    <cellStyle name="20 % - Markeringsfarve6 9 3 2 2" xfId="17387" xr:uid="{00000000-0005-0000-0000-00002F310000}"/>
    <cellStyle name="20 % - Markeringsfarve6 9 3 2 2 2" xfId="35547" xr:uid="{00000000-0005-0000-0000-000030310000}"/>
    <cellStyle name="20 % - Markeringsfarve6 9 3 2 3" xfId="28546" xr:uid="{00000000-0005-0000-0000-000031310000}"/>
    <cellStyle name="20 % - Markeringsfarve6 9 3 3" xfId="13931" xr:uid="{00000000-0005-0000-0000-000032310000}"/>
    <cellStyle name="20 % - Markeringsfarve6 9 3 3 2" xfId="32098" xr:uid="{00000000-0005-0000-0000-000033310000}"/>
    <cellStyle name="20 % - Markeringsfarve6 9 3 4" xfId="25096" xr:uid="{00000000-0005-0000-0000-000034310000}"/>
    <cellStyle name="20 % - Markeringsfarve6 9 4" xfId="5378" xr:uid="{00000000-0005-0000-0000-000035310000}"/>
    <cellStyle name="20 % - Markeringsfarve6 9 4 2" xfId="10440" xr:uid="{00000000-0005-0000-0000-000036310000}"/>
    <cellStyle name="20 % - Markeringsfarve6 9 4 2 2" xfId="18337" xr:uid="{00000000-0005-0000-0000-000037310000}"/>
    <cellStyle name="20 % - Markeringsfarve6 9 4 2 2 2" xfId="36497" xr:uid="{00000000-0005-0000-0000-000038310000}"/>
    <cellStyle name="20 % - Markeringsfarve6 9 4 2 3" xfId="29496" xr:uid="{00000000-0005-0000-0000-000039310000}"/>
    <cellStyle name="20 % - Markeringsfarve6 9 4 3" xfId="13932" xr:uid="{00000000-0005-0000-0000-00003A310000}"/>
    <cellStyle name="20 % - Markeringsfarve6 9 4 3 2" xfId="32099" xr:uid="{00000000-0005-0000-0000-00003B310000}"/>
    <cellStyle name="20 % - Markeringsfarve6 9 4 4" xfId="25097" xr:uid="{00000000-0005-0000-0000-00003C310000}"/>
    <cellStyle name="20 % - Markeringsfarve6 9 5" xfId="7972" xr:uid="{00000000-0005-0000-0000-00003D310000}"/>
    <cellStyle name="20 % - Markeringsfarve6 9 5 2" xfId="15890" xr:uid="{00000000-0005-0000-0000-00003E310000}"/>
    <cellStyle name="20 % - Markeringsfarve6 9 5 2 2" xfId="34050" xr:uid="{00000000-0005-0000-0000-00003F310000}"/>
    <cellStyle name="20 % - Markeringsfarve6 9 5 3" xfId="27049" xr:uid="{00000000-0005-0000-0000-000040310000}"/>
    <cellStyle name="20 % - Markeringsfarve6 9 6" xfId="13928" xr:uid="{00000000-0005-0000-0000-000041310000}"/>
    <cellStyle name="20 % - Markeringsfarve6 9 6 2" xfId="32095" xr:uid="{00000000-0005-0000-0000-000042310000}"/>
    <cellStyle name="20 % - Markeringsfarve6 9 7" xfId="25093" xr:uid="{00000000-0005-0000-0000-000043310000}"/>
    <cellStyle name="20% - Accent1" xfId="3118" builtinId="30" customBuiltin="1"/>
    <cellStyle name="20% - Accent1 2" xfId="1861" xr:uid="{00000000-0005-0000-0000-000045310000}"/>
    <cellStyle name="20% - Accent1 2 2" xfId="18933" xr:uid="{00000000-0005-0000-0000-000046310000}"/>
    <cellStyle name="20% - Accent1 2 2 2" xfId="37092" xr:uid="{00000000-0005-0000-0000-000047310000}"/>
    <cellStyle name="20% - Accent1 2 3" xfId="11158" xr:uid="{00000000-0005-0000-0000-000048310000}"/>
    <cellStyle name="20% - Accent1 2 3 2" xfId="30091" xr:uid="{00000000-0005-0000-0000-000049310000}"/>
    <cellStyle name="20% - Accent1 3" xfId="11942" xr:uid="{00000000-0005-0000-0000-00004A310000}"/>
    <cellStyle name="20% - Accent1 3 2" xfId="30134" xr:uid="{00000000-0005-0000-0000-00004B310000}"/>
    <cellStyle name="20% - Accent1 4" xfId="23129" xr:uid="{00000000-0005-0000-0000-00004C310000}"/>
    <cellStyle name="20% - Accent1 5" xfId="39357" xr:uid="{00000000-0005-0000-0000-00004D310000}"/>
    <cellStyle name="20% - Accent2" xfId="3122" builtinId="34" customBuiltin="1"/>
    <cellStyle name="20% - Accent2 2" xfId="1862" xr:uid="{00000000-0005-0000-0000-00004F310000}"/>
    <cellStyle name="20% - Accent2 2 2" xfId="18935" xr:uid="{00000000-0005-0000-0000-000050310000}"/>
    <cellStyle name="20% - Accent2 2 2 2" xfId="37094" xr:uid="{00000000-0005-0000-0000-000051310000}"/>
    <cellStyle name="20% - Accent2 2 3" xfId="11160" xr:uid="{00000000-0005-0000-0000-000052310000}"/>
    <cellStyle name="20% - Accent2 2 3 2" xfId="30093" xr:uid="{00000000-0005-0000-0000-000053310000}"/>
    <cellStyle name="20% - Accent2 3" xfId="11944" xr:uid="{00000000-0005-0000-0000-000054310000}"/>
    <cellStyle name="20% - Accent2 3 2" xfId="30136" xr:uid="{00000000-0005-0000-0000-000055310000}"/>
    <cellStyle name="20% - Accent2 4" xfId="23131" xr:uid="{00000000-0005-0000-0000-000056310000}"/>
    <cellStyle name="20% - Accent2 5" xfId="39359" xr:uid="{00000000-0005-0000-0000-000057310000}"/>
    <cellStyle name="20% - Accent3" xfId="3126" builtinId="38" customBuiltin="1"/>
    <cellStyle name="20% - Accent3 2" xfId="1863" xr:uid="{00000000-0005-0000-0000-000059310000}"/>
    <cellStyle name="20% - Accent3 2 2" xfId="18937" xr:uid="{00000000-0005-0000-0000-00005A310000}"/>
    <cellStyle name="20% - Accent3 2 2 2" xfId="37096" xr:uid="{00000000-0005-0000-0000-00005B310000}"/>
    <cellStyle name="20% - Accent3 2 3" xfId="11162" xr:uid="{00000000-0005-0000-0000-00005C310000}"/>
    <cellStyle name="20% - Accent3 2 3 2" xfId="30095" xr:uid="{00000000-0005-0000-0000-00005D310000}"/>
    <cellStyle name="20% - Accent3 3" xfId="11946" xr:uid="{00000000-0005-0000-0000-00005E310000}"/>
    <cellStyle name="20% - Accent3 3 2" xfId="30138" xr:uid="{00000000-0005-0000-0000-00005F310000}"/>
    <cellStyle name="20% - Accent3 4" xfId="23133" xr:uid="{00000000-0005-0000-0000-000060310000}"/>
    <cellStyle name="20% - Accent3 5" xfId="39361" xr:uid="{00000000-0005-0000-0000-000061310000}"/>
    <cellStyle name="20% - Accent4" xfId="3130" builtinId="42" customBuiltin="1"/>
    <cellStyle name="20% - Accent4 2" xfId="1864" xr:uid="{00000000-0005-0000-0000-000063310000}"/>
    <cellStyle name="20% - Accent4 2 2" xfId="18939" xr:uid="{00000000-0005-0000-0000-000064310000}"/>
    <cellStyle name="20% - Accent4 2 2 2" xfId="37098" xr:uid="{00000000-0005-0000-0000-000065310000}"/>
    <cellStyle name="20% - Accent4 2 3" xfId="11164" xr:uid="{00000000-0005-0000-0000-000066310000}"/>
    <cellStyle name="20% - Accent4 2 3 2" xfId="30097" xr:uid="{00000000-0005-0000-0000-000067310000}"/>
    <cellStyle name="20% - Accent4 3" xfId="11948" xr:uid="{00000000-0005-0000-0000-000068310000}"/>
    <cellStyle name="20% - Accent4 3 2" xfId="30140" xr:uid="{00000000-0005-0000-0000-000069310000}"/>
    <cellStyle name="20% - Accent4 4" xfId="23135" xr:uid="{00000000-0005-0000-0000-00006A310000}"/>
    <cellStyle name="20% - Accent4 5" xfId="39363" xr:uid="{00000000-0005-0000-0000-00006B310000}"/>
    <cellStyle name="20% - Accent5" xfId="3134" builtinId="46" customBuiltin="1"/>
    <cellStyle name="20% - Accent5 2" xfId="1865" xr:uid="{00000000-0005-0000-0000-00006D310000}"/>
    <cellStyle name="20% - Accent5 2 2" xfId="12371" xr:uid="{00000000-0005-0000-0000-00006E310000}"/>
    <cellStyle name="20% - Accent5 2 2 2" xfId="30538" xr:uid="{00000000-0005-0000-0000-00006F310000}"/>
    <cellStyle name="20% - Accent5 2 3" xfId="3813" xr:uid="{00000000-0005-0000-0000-000070310000}"/>
    <cellStyle name="20% - Accent5 2 3 2" xfId="23536" xr:uid="{00000000-0005-0000-0000-000071310000}"/>
    <cellStyle name="20% - Accent5 3" xfId="11166" xr:uid="{00000000-0005-0000-0000-000072310000}"/>
    <cellStyle name="20% - Accent5 3 2" xfId="18941" xr:uid="{00000000-0005-0000-0000-000073310000}"/>
    <cellStyle name="20% - Accent5 3 2 2" xfId="37100" xr:uid="{00000000-0005-0000-0000-000074310000}"/>
    <cellStyle name="20% - Accent5 3 3" xfId="30099" xr:uid="{00000000-0005-0000-0000-000075310000}"/>
    <cellStyle name="20% - Accent5 4" xfId="11950" xr:uid="{00000000-0005-0000-0000-000076310000}"/>
    <cellStyle name="20% - Accent5 4 2" xfId="30142" xr:uid="{00000000-0005-0000-0000-000077310000}"/>
    <cellStyle name="20% - Accent5 5" xfId="23137" xr:uid="{00000000-0005-0000-0000-000078310000}"/>
    <cellStyle name="20% - Accent5 6" xfId="39365" xr:uid="{00000000-0005-0000-0000-000079310000}"/>
    <cellStyle name="20% - Accent6" xfId="3138" builtinId="50" customBuiltin="1"/>
    <cellStyle name="20% - Accent6 2" xfId="1866" xr:uid="{00000000-0005-0000-0000-00007B310000}"/>
    <cellStyle name="20% - Accent6 2 2" xfId="18943" xr:uid="{00000000-0005-0000-0000-00007C310000}"/>
    <cellStyle name="20% - Accent6 2 2 2" xfId="37102" xr:uid="{00000000-0005-0000-0000-00007D310000}"/>
    <cellStyle name="20% - Accent6 2 3" xfId="11168" xr:uid="{00000000-0005-0000-0000-00007E310000}"/>
    <cellStyle name="20% - Accent6 2 3 2" xfId="30101" xr:uid="{00000000-0005-0000-0000-00007F310000}"/>
    <cellStyle name="20% - Accent6 3" xfId="11952" xr:uid="{00000000-0005-0000-0000-000080310000}"/>
    <cellStyle name="20% - Accent6 3 2" xfId="30144" xr:uid="{00000000-0005-0000-0000-000081310000}"/>
    <cellStyle name="20% - Accent6 4" xfId="23139" xr:uid="{00000000-0005-0000-0000-000082310000}"/>
    <cellStyle name="20% - Accent6 5" xfId="39367" xr:uid="{00000000-0005-0000-0000-000083310000}"/>
    <cellStyle name="20% - Colore 1" xfId="3" xr:uid="{00000000-0005-0000-0000-000084310000}"/>
    <cellStyle name="20% - Colore 2" xfId="4" xr:uid="{00000000-0005-0000-0000-000085310000}"/>
    <cellStyle name="20% - Colore 3" xfId="5" xr:uid="{00000000-0005-0000-0000-000086310000}"/>
    <cellStyle name="20% - Colore 4" xfId="6" xr:uid="{00000000-0005-0000-0000-000087310000}"/>
    <cellStyle name="20% - Colore 5" xfId="7" xr:uid="{00000000-0005-0000-0000-000088310000}"/>
    <cellStyle name="20% - Colore 6" xfId="8" xr:uid="{00000000-0005-0000-0000-000089310000}"/>
    <cellStyle name="2x indented GHG Textfiels" xfId="5379" xr:uid="{00000000-0005-0000-0000-00008A310000}"/>
    <cellStyle name="2x indented GHG Textfiels 2" xfId="13933" xr:uid="{00000000-0005-0000-0000-00008B310000}"/>
    <cellStyle name="40 % - Markeringsfarve1 10" xfId="5381" xr:uid="{00000000-0005-0000-0000-00008C310000}"/>
    <cellStyle name="40 % - Markeringsfarve1 10 2" xfId="5382" xr:uid="{00000000-0005-0000-0000-00008D310000}"/>
    <cellStyle name="40 % - Markeringsfarve1 10 2 2" xfId="5383" xr:uid="{00000000-0005-0000-0000-00008E310000}"/>
    <cellStyle name="40 % - Markeringsfarve1 10 2 2 2" xfId="10362" xr:uid="{00000000-0005-0000-0000-00008F310000}"/>
    <cellStyle name="40 % - Markeringsfarve1 10 2 2 2 2" xfId="18263" xr:uid="{00000000-0005-0000-0000-000090310000}"/>
    <cellStyle name="40 % - Markeringsfarve1 10 2 2 2 2 2" xfId="36423" xr:uid="{00000000-0005-0000-0000-000091310000}"/>
    <cellStyle name="40 % - Markeringsfarve1 10 2 2 2 3" xfId="29422" xr:uid="{00000000-0005-0000-0000-000092310000}"/>
    <cellStyle name="40 % - Markeringsfarve1 10 2 2 3" xfId="13937" xr:uid="{00000000-0005-0000-0000-000093310000}"/>
    <cellStyle name="40 % - Markeringsfarve1 10 2 2 3 2" xfId="32103" xr:uid="{00000000-0005-0000-0000-000094310000}"/>
    <cellStyle name="40 % - Markeringsfarve1 10 2 2 4" xfId="25101" xr:uid="{00000000-0005-0000-0000-000095310000}"/>
    <cellStyle name="40 % - Markeringsfarve1 10 2 3" xfId="8864" xr:uid="{00000000-0005-0000-0000-000096310000}"/>
    <cellStyle name="40 % - Markeringsfarve1 10 2 3 2" xfId="16778" xr:uid="{00000000-0005-0000-0000-000097310000}"/>
    <cellStyle name="40 % - Markeringsfarve1 10 2 3 2 2" xfId="34938" xr:uid="{00000000-0005-0000-0000-000098310000}"/>
    <cellStyle name="40 % - Markeringsfarve1 10 2 3 3" xfId="27937" xr:uid="{00000000-0005-0000-0000-000099310000}"/>
    <cellStyle name="40 % - Markeringsfarve1 10 2 4" xfId="13936" xr:uid="{00000000-0005-0000-0000-00009A310000}"/>
    <cellStyle name="40 % - Markeringsfarve1 10 2 4 2" xfId="32102" xr:uid="{00000000-0005-0000-0000-00009B310000}"/>
    <cellStyle name="40 % - Markeringsfarve1 10 2 5" xfId="25100" xr:uid="{00000000-0005-0000-0000-00009C310000}"/>
    <cellStyle name="40 % - Markeringsfarve1 10 3" xfId="5384" xr:uid="{00000000-0005-0000-0000-00009D310000}"/>
    <cellStyle name="40 % - Markeringsfarve1 10 3 2" xfId="9639" xr:uid="{00000000-0005-0000-0000-00009E310000}"/>
    <cellStyle name="40 % - Markeringsfarve1 10 3 2 2" xfId="17549" xr:uid="{00000000-0005-0000-0000-00009F310000}"/>
    <cellStyle name="40 % - Markeringsfarve1 10 3 2 2 2" xfId="35709" xr:uid="{00000000-0005-0000-0000-0000A0310000}"/>
    <cellStyle name="40 % - Markeringsfarve1 10 3 2 3" xfId="28708" xr:uid="{00000000-0005-0000-0000-0000A1310000}"/>
    <cellStyle name="40 % - Markeringsfarve1 10 3 3" xfId="13938" xr:uid="{00000000-0005-0000-0000-0000A2310000}"/>
    <cellStyle name="40 % - Markeringsfarve1 10 3 3 2" xfId="32104" xr:uid="{00000000-0005-0000-0000-0000A3310000}"/>
    <cellStyle name="40 % - Markeringsfarve1 10 3 4" xfId="25102" xr:uid="{00000000-0005-0000-0000-0000A4310000}"/>
    <cellStyle name="40 % - Markeringsfarve1 10 4" xfId="5385" xr:uid="{00000000-0005-0000-0000-0000A5310000}"/>
    <cellStyle name="40 % - Markeringsfarve1 10 4 2" xfId="10728" xr:uid="{00000000-0005-0000-0000-0000A6310000}"/>
    <cellStyle name="40 % - Markeringsfarve1 10 4 2 2" xfId="18617" xr:uid="{00000000-0005-0000-0000-0000A7310000}"/>
    <cellStyle name="40 % - Markeringsfarve1 10 4 2 2 2" xfId="36777" xr:uid="{00000000-0005-0000-0000-0000A8310000}"/>
    <cellStyle name="40 % - Markeringsfarve1 10 4 2 3" xfId="29776" xr:uid="{00000000-0005-0000-0000-0000A9310000}"/>
    <cellStyle name="40 % - Markeringsfarve1 10 4 3" xfId="13939" xr:uid="{00000000-0005-0000-0000-0000AA310000}"/>
    <cellStyle name="40 % - Markeringsfarve1 10 4 3 2" xfId="32105" xr:uid="{00000000-0005-0000-0000-0000AB310000}"/>
    <cellStyle name="40 % - Markeringsfarve1 10 4 4" xfId="25103" xr:uid="{00000000-0005-0000-0000-0000AC310000}"/>
    <cellStyle name="40 % - Markeringsfarve1 10 5" xfId="7974" xr:uid="{00000000-0005-0000-0000-0000AD310000}"/>
    <cellStyle name="40 % - Markeringsfarve1 10 5 2" xfId="15892" xr:uid="{00000000-0005-0000-0000-0000AE310000}"/>
    <cellStyle name="40 % - Markeringsfarve1 10 5 2 2" xfId="34052" xr:uid="{00000000-0005-0000-0000-0000AF310000}"/>
    <cellStyle name="40 % - Markeringsfarve1 10 5 3" xfId="27051" xr:uid="{00000000-0005-0000-0000-0000B0310000}"/>
    <cellStyle name="40 % - Markeringsfarve1 10 6" xfId="13935" xr:uid="{00000000-0005-0000-0000-0000B1310000}"/>
    <cellStyle name="40 % - Markeringsfarve1 10 6 2" xfId="32101" xr:uid="{00000000-0005-0000-0000-0000B2310000}"/>
    <cellStyle name="40 % - Markeringsfarve1 10 7" xfId="25099" xr:uid="{00000000-0005-0000-0000-0000B3310000}"/>
    <cellStyle name="40 % - Markeringsfarve1 11" xfId="5386" xr:uid="{00000000-0005-0000-0000-0000B4310000}"/>
    <cellStyle name="40 % - Markeringsfarve1 11 2" xfId="5387" xr:uid="{00000000-0005-0000-0000-0000B5310000}"/>
    <cellStyle name="40 % - Markeringsfarve1 11 2 2" xfId="9717" xr:uid="{00000000-0005-0000-0000-0000B6310000}"/>
    <cellStyle name="40 % - Markeringsfarve1 11 2 2 2" xfId="17618" xr:uid="{00000000-0005-0000-0000-0000B7310000}"/>
    <cellStyle name="40 % - Markeringsfarve1 11 2 2 2 2" xfId="35778" xr:uid="{00000000-0005-0000-0000-0000B8310000}"/>
    <cellStyle name="40 % - Markeringsfarve1 11 2 2 3" xfId="28777" xr:uid="{00000000-0005-0000-0000-0000B9310000}"/>
    <cellStyle name="40 % - Markeringsfarve1 11 2 3" xfId="13941" xr:uid="{00000000-0005-0000-0000-0000BA310000}"/>
    <cellStyle name="40 % - Markeringsfarve1 11 2 3 2" xfId="32107" xr:uid="{00000000-0005-0000-0000-0000BB310000}"/>
    <cellStyle name="40 % - Markeringsfarve1 11 2 4" xfId="25105" xr:uid="{00000000-0005-0000-0000-0000BC310000}"/>
    <cellStyle name="40 % - Markeringsfarve1 11 3" xfId="5388" xr:uid="{00000000-0005-0000-0000-0000BD310000}"/>
    <cellStyle name="40 % - Markeringsfarve1 11 3 2" xfId="10954" xr:uid="{00000000-0005-0000-0000-0000BE310000}"/>
    <cellStyle name="40 % - Markeringsfarve1 11 3 2 2" xfId="18834" xr:uid="{00000000-0005-0000-0000-0000BF310000}"/>
    <cellStyle name="40 % - Markeringsfarve1 11 3 2 2 2" xfId="36994" xr:uid="{00000000-0005-0000-0000-0000C0310000}"/>
    <cellStyle name="40 % - Markeringsfarve1 11 3 2 3" xfId="29993" xr:uid="{00000000-0005-0000-0000-0000C1310000}"/>
    <cellStyle name="40 % - Markeringsfarve1 11 3 3" xfId="13942" xr:uid="{00000000-0005-0000-0000-0000C2310000}"/>
    <cellStyle name="40 % - Markeringsfarve1 11 3 3 2" xfId="32108" xr:uid="{00000000-0005-0000-0000-0000C3310000}"/>
    <cellStyle name="40 % - Markeringsfarve1 11 3 4" xfId="25106" xr:uid="{00000000-0005-0000-0000-0000C4310000}"/>
    <cellStyle name="40 % - Markeringsfarve1 11 4" xfId="7975" xr:uid="{00000000-0005-0000-0000-0000C5310000}"/>
    <cellStyle name="40 % - Markeringsfarve1 11 4 2" xfId="15893" xr:uid="{00000000-0005-0000-0000-0000C6310000}"/>
    <cellStyle name="40 % - Markeringsfarve1 11 4 2 2" xfId="34053" xr:uid="{00000000-0005-0000-0000-0000C7310000}"/>
    <cellStyle name="40 % - Markeringsfarve1 11 4 3" xfId="27052" xr:uid="{00000000-0005-0000-0000-0000C8310000}"/>
    <cellStyle name="40 % - Markeringsfarve1 11 5" xfId="13940" xr:uid="{00000000-0005-0000-0000-0000C9310000}"/>
    <cellStyle name="40 % - Markeringsfarve1 11 5 2" xfId="32106" xr:uid="{00000000-0005-0000-0000-0000CA310000}"/>
    <cellStyle name="40 % - Markeringsfarve1 11 6" xfId="25104" xr:uid="{00000000-0005-0000-0000-0000CB310000}"/>
    <cellStyle name="40 % - Markeringsfarve1 12" xfId="5389" xr:uid="{00000000-0005-0000-0000-0000CC310000}"/>
    <cellStyle name="40 % - Markeringsfarve1 12 2" xfId="5390" xr:uid="{00000000-0005-0000-0000-0000CD310000}"/>
    <cellStyle name="40 % - Markeringsfarve1 12 2 2" xfId="10679" xr:uid="{00000000-0005-0000-0000-0000CE310000}"/>
    <cellStyle name="40 % - Markeringsfarve1 12 2 2 2" xfId="18571" xr:uid="{00000000-0005-0000-0000-0000CF310000}"/>
    <cellStyle name="40 % - Markeringsfarve1 12 2 2 2 2" xfId="36731" xr:uid="{00000000-0005-0000-0000-0000D0310000}"/>
    <cellStyle name="40 % - Markeringsfarve1 12 2 2 3" xfId="29730" xr:uid="{00000000-0005-0000-0000-0000D1310000}"/>
    <cellStyle name="40 % - Markeringsfarve1 12 2 3" xfId="13944" xr:uid="{00000000-0005-0000-0000-0000D2310000}"/>
    <cellStyle name="40 % - Markeringsfarve1 12 2 3 2" xfId="32110" xr:uid="{00000000-0005-0000-0000-0000D3310000}"/>
    <cellStyle name="40 % - Markeringsfarve1 12 2 4" xfId="25108" xr:uid="{00000000-0005-0000-0000-0000D4310000}"/>
    <cellStyle name="40 % - Markeringsfarve1 12 3" xfId="7976" xr:uid="{00000000-0005-0000-0000-0000D5310000}"/>
    <cellStyle name="40 % - Markeringsfarve1 12 3 2" xfId="15894" xr:uid="{00000000-0005-0000-0000-0000D6310000}"/>
    <cellStyle name="40 % - Markeringsfarve1 12 3 2 2" xfId="34054" xr:uid="{00000000-0005-0000-0000-0000D7310000}"/>
    <cellStyle name="40 % - Markeringsfarve1 12 3 3" xfId="27053" xr:uid="{00000000-0005-0000-0000-0000D8310000}"/>
    <cellStyle name="40 % - Markeringsfarve1 12 4" xfId="13943" xr:uid="{00000000-0005-0000-0000-0000D9310000}"/>
    <cellStyle name="40 % - Markeringsfarve1 12 4 2" xfId="32109" xr:uid="{00000000-0005-0000-0000-0000DA310000}"/>
    <cellStyle name="40 % - Markeringsfarve1 12 5" xfId="25107" xr:uid="{00000000-0005-0000-0000-0000DB310000}"/>
    <cellStyle name="40 % - Markeringsfarve1 13" xfId="5391" xr:uid="{00000000-0005-0000-0000-0000DC310000}"/>
    <cellStyle name="40 % - Markeringsfarve1 13 2" xfId="5392" xr:uid="{00000000-0005-0000-0000-0000DD310000}"/>
    <cellStyle name="40 % - Markeringsfarve1 13 2 2" xfId="10914" xr:uid="{00000000-0005-0000-0000-0000DE310000}"/>
    <cellStyle name="40 % - Markeringsfarve1 13 2 2 2" xfId="18795" xr:uid="{00000000-0005-0000-0000-0000DF310000}"/>
    <cellStyle name="40 % - Markeringsfarve1 13 2 2 2 2" xfId="36955" xr:uid="{00000000-0005-0000-0000-0000E0310000}"/>
    <cellStyle name="40 % - Markeringsfarve1 13 2 2 3" xfId="29954" xr:uid="{00000000-0005-0000-0000-0000E1310000}"/>
    <cellStyle name="40 % - Markeringsfarve1 13 2 3" xfId="13946" xr:uid="{00000000-0005-0000-0000-0000E2310000}"/>
    <cellStyle name="40 % - Markeringsfarve1 13 2 3 2" xfId="32112" xr:uid="{00000000-0005-0000-0000-0000E3310000}"/>
    <cellStyle name="40 % - Markeringsfarve1 13 2 4" xfId="25110" xr:uid="{00000000-0005-0000-0000-0000E4310000}"/>
    <cellStyle name="40 % - Markeringsfarve1 13 3" xfId="7977" xr:uid="{00000000-0005-0000-0000-0000E5310000}"/>
    <cellStyle name="40 % - Markeringsfarve1 13 3 2" xfId="15895" xr:uid="{00000000-0005-0000-0000-0000E6310000}"/>
    <cellStyle name="40 % - Markeringsfarve1 13 3 2 2" xfId="34055" xr:uid="{00000000-0005-0000-0000-0000E7310000}"/>
    <cellStyle name="40 % - Markeringsfarve1 13 3 3" xfId="27054" xr:uid="{00000000-0005-0000-0000-0000E8310000}"/>
    <cellStyle name="40 % - Markeringsfarve1 13 4" xfId="13945" xr:uid="{00000000-0005-0000-0000-0000E9310000}"/>
    <cellStyle name="40 % - Markeringsfarve1 13 4 2" xfId="32111" xr:uid="{00000000-0005-0000-0000-0000EA310000}"/>
    <cellStyle name="40 % - Markeringsfarve1 13 5" xfId="25109" xr:uid="{00000000-0005-0000-0000-0000EB310000}"/>
    <cellStyle name="40 % - Markeringsfarve1 14" xfId="5393" xr:uid="{00000000-0005-0000-0000-0000EC310000}"/>
    <cellStyle name="40 % - Markeringsfarve1 14 2" xfId="5394" xr:uid="{00000000-0005-0000-0000-0000ED310000}"/>
    <cellStyle name="40 % - Markeringsfarve1 14 2 2" xfId="8936" xr:uid="{00000000-0005-0000-0000-0000EE310000}"/>
    <cellStyle name="40 % - Markeringsfarve1 14 2 2 2" xfId="16849" xr:uid="{00000000-0005-0000-0000-0000EF310000}"/>
    <cellStyle name="40 % - Markeringsfarve1 14 2 2 2 2" xfId="35009" xr:uid="{00000000-0005-0000-0000-0000F0310000}"/>
    <cellStyle name="40 % - Markeringsfarve1 14 2 2 3" xfId="28008" xr:uid="{00000000-0005-0000-0000-0000F1310000}"/>
    <cellStyle name="40 % - Markeringsfarve1 14 2 3" xfId="13948" xr:uid="{00000000-0005-0000-0000-0000F2310000}"/>
    <cellStyle name="40 % - Markeringsfarve1 14 2 3 2" xfId="32114" xr:uid="{00000000-0005-0000-0000-0000F3310000}"/>
    <cellStyle name="40 % - Markeringsfarve1 14 2 4" xfId="25112" xr:uid="{00000000-0005-0000-0000-0000F4310000}"/>
    <cellStyle name="40 % - Markeringsfarve1 14 3" xfId="7973" xr:uid="{00000000-0005-0000-0000-0000F5310000}"/>
    <cellStyle name="40 % - Markeringsfarve1 14 3 2" xfId="15891" xr:uid="{00000000-0005-0000-0000-0000F6310000}"/>
    <cellStyle name="40 % - Markeringsfarve1 14 3 2 2" xfId="34051" xr:uid="{00000000-0005-0000-0000-0000F7310000}"/>
    <cellStyle name="40 % - Markeringsfarve1 14 3 3" xfId="27050" xr:uid="{00000000-0005-0000-0000-0000F8310000}"/>
    <cellStyle name="40 % - Markeringsfarve1 14 4" xfId="13947" xr:uid="{00000000-0005-0000-0000-0000F9310000}"/>
    <cellStyle name="40 % - Markeringsfarve1 14 4 2" xfId="32113" xr:uid="{00000000-0005-0000-0000-0000FA310000}"/>
    <cellStyle name="40 % - Markeringsfarve1 14 5" xfId="25111" xr:uid="{00000000-0005-0000-0000-0000FB310000}"/>
    <cellStyle name="40 % - Markeringsfarve1 15" xfId="5395" xr:uid="{00000000-0005-0000-0000-0000FC310000}"/>
    <cellStyle name="40 % - Markeringsfarve1 15 2" xfId="8938" xr:uid="{00000000-0005-0000-0000-0000FD310000}"/>
    <cellStyle name="40 % - Markeringsfarve1 15 2 2" xfId="16851" xr:uid="{00000000-0005-0000-0000-0000FE310000}"/>
    <cellStyle name="40 % - Markeringsfarve1 15 2 2 2" xfId="35011" xr:uid="{00000000-0005-0000-0000-0000FF310000}"/>
    <cellStyle name="40 % - Markeringsfarve1 15 2 3" xfId="28010" xr:uid="{00000000-0005-0000-0000-000000320000}"/>
    <cellStyle name="40 % - Markeringsfarve1 15 3" xfId="13949" xr:uid="{00000000-0005-0000-0000-000001320000}"/>
    <cellStyle name="40 % - Markeringsfarve1 15 3 2" xfId="32115" xr:uid="{00000000-0005-0000-0000-000002320000}"/>
    <cellStyle name="40 % - Markeringsfarve1 15 4" xfId="25113" xr:uid="{00000000-0005-0000-0000-000003320000}"/>
    <cellStyle name="40 % - Markeringsfarve1 16" xfId="5396" xr:uid="{00000000-0005-0000-0000-000004320000}"/>
    <cellStyle name="40 % - Markeringsfarve1 16 2" xfId="10451" xr:uid="{00000000-0005-0000-0000-000005320000}"/>
    <cellStyle name="40 % - Markeringsfarve1 16 2 2" xfId="18348" xr:uid="{00000000-0005-0000-0000-000006320000}"/>
    <cellStyle name="40 % - Markeringsfarve1 16 2 2 2" xfId="36508" xr:uid="{00000000-0005-0000-0000-000007320000}"/>
    <cellStyle name="40 % - Markeringsfarve1 16 2 3" xfId="29507" xr:uid="{00000000-0005-0000-0000-000008320000}"/>
    <cellStyle name="40 % - Markeringsfarve1 16 3" xfId="13950" xr:uid="{00000000-0005-0000-0000-000009320000}"/>
    <cellStyle name="40 % - Markeringsfarve1 16 3 2" xfId="32116" xr:uid="{00000000-0005-0000-0000-00000A320000}"/>
    <cellStyle name="40 % - Markeringsfarve1 16 4" xfId="25114" xr:uid="{00000000-0005-0000-0000-00000B320000}"/>
    <cellStyle name="40 % - Markeringsfarve1 17" xfId="5397" xr:uid="{00000000-0005-0000-0000-00000C320000}"/>
    <cellStyle name="40 % - Markeringsfarve1 17 2" xfId="11008" xr:uid="{00000000-0005-0000-0000-00000D320000}"/>
    <cellStyle name="40 % - Markeringsfarve1 17 2 2" xfId="18884" xr:uid="{00000000-0005-0000-0000-00000E320000}"/>
    <cellStyle name="40 % - Markeringsfarve1 17 2 2 2" xfId="37044" xr:uid="{00000000-0005-0000-0000-00000F320000}"/>
    <cellStyle name="40 % - Markeringsfarve1 17 2 3" xfId="30043" xr:uid="{00000000-0005-0000-0000-000010320000}"/>
    <cellStyle name="40 % - Markeringsfarve1 17 3" xfId="13951" xr:uid="{00000000-0005-0000-0000-000011320000}"/>
    <cellStyle name="40 % - Markeringsfarve1 17 3 2" xfId="32117" xr:uid="{00000000-0005-0000-0000-000012320000}"/>
    <cellStyle name="40 % - Markeringsfarve1 17 4" xfId="25115" xr:uid="{00000000-0005-0000-0000-000013320000}"/>
    <cellStyle name="40 % - Markeringsfarve1 18" xfId="7613" xr:uid="{00000000-0005-0000-0000-000014320000}"/>
    <cellStyle name="40 % - Markeringsfarve1 18 2" xfId="15541" xr:uid="{00000000-0005-0000-0000-000015320000}"/>
    <cellStyle name="40 % - Markeringsfarve1 18 2 2" xfId="33701" xr:uid="{00000000-0005-0000-0000-000016320000}"/>
    <cellStyle name="40 % - Markeringsfarve1 18 3" xfId="26700" xr:uid="{00000000-0005-0000-0000-000017320000}"/>
    <cellStyle name="40 % - Markeringsfarve1 19" xfId="5380" xr:uid="{00000000-0005-0000-0000-000018320000}"/>
    <cellStyle name="40 % - Markeringsfarve1 19 2" xfId="13934" xr:uid="{00000000-0005-0000-0000-000019320000}"/>
    <cellStyle name="40 % - Markeringsfarve1 19 2 2" xfId="32100" xr:uid="{00000000-0005-0000-0000-00001A320000}"/>
    <cellStyle name="40 % - Markeringsfarve1 19 3" xfId="25098" xr:uid="{00000000-0005-0000-0000-00001B320000}"/>
    <cellStyle name="40 % - Markeringsfarve1 2" xfId="1867" xr:uid="{00000000-0005-0000-0000-00001C320000}"/>
    <cellStyle name="40 % - Markeringsfarve1 2 10" xfId="5399" xr:uid="{00000000-0005-0000-0000-00001D320000}"/>
    <cellStyle name="40 % - Markeringsfarve1 2 10 2" xfId="8971" xr:uid="{00000000-0005-0000-0000-00001E320000}"/>
    <cellStyle name="40 % - Markeringsfarve1 2 10 2 2" xfId="16882" xr:uid="{00000000-0005-0000-0000-00001F320000}"/>
    <cellStyle name="40 % - Markeringsfarve1 2 10 2 2 2" xfId="35042" xr:uid="{00000000-0005-0000-0000-000020320000}"/>
    <cellStyle name="40 % - Markeringsfarve1 2 10 2 3" xfId="28041" xr:uid="{00000000-0005-0000-0000-000021320000}"/>
    <cellStyle name="40 % - Markeringsfarve1 2 10 3" xfId="13953" xr:uid="{00000000-0005-0000-0000-000022320000}"/>
    <cellStyle name="40 % - Markeringsfarve1 2 10 3 2" xfId="32119" xr:uid="{00000000-0005-0000-0000-000023320000}"/>
    <cellStyle name="40 % - Markeringsfarve1 2 10 4" xfId="25117" xr:uid="{00000000-0005-0000-0000-000024320000}"/>
    <cellStyle name="40 % - Markeringsfarve1 2 11" xfId="5400" xr:uid="{00000000-0005-0000-0000-000025320000}"/>
    <cellStyle name="40 % - Markeringsfarve1 2 11 2" xfId="10638" xr:uid="{00000000-0005-0000-0000-000026320000}"/>
    <cellStyle name="40 % - Markeringsfarve1 2 11 2 2" xfId="18531" xr:uid="{00000000-0005-0000-0000-000027320000}"/>
    <cellStyle name="40 % - Markeringsfarve1 2 11 2 2 2" xfId="36691" xr:uid="{00000000-0005-0000-0000-000028320000}"/>
    <cellStyle name="40 % - Markeringsfarve1 2 11 2 3" xfId="29690" xr:uid="{00000000-0005-0000-0000-000029320000}"/>
    <cellStyle name="40 % - Markeringsfarve1 2 11 3" xfId="13954" xr:uid="{00000000-0005-0000-0000-00002A320000}"/>
    <cellStyle name="40 % - Markeringsfarve1 2 11 3 2" xfId="32120" xr:uid="{00000000-0005-0000-0000-00002B320000}"/>
    <cellStyle name="40 % - Markeringsfarve1 2 11 4" xfId="25118" xr:uid="{00000000-0005-0000-0000-00002C320000}"/>
    <cellStyle name="40 % - Markeringsfarve1 2 12" xfId="7978" xr:uid="{00000000-0005-0000-0000-00002D320000}"/>
    <cellStyle name="40 % - Markeringsfarve1 2 12 2" xfId="15896" xr:uid="{00000000-0005-0000-0000-00002E320000}"/>
    <cellStyle name="40 % - Markeringsfarve1 2 12 2 2" xfId="34056" xr:uid="{00000000-0005-0000-0000-00002F320000}"/>
    <cellStyle name="40 % - Markeringsfarve1 2 12 3" xfId="27055" xr:uid="{00000000-0005-0000-0000-000030320000}"/>
    <cellStyle name="40 % - Markeringsfarve1 2 13" xfId="13952" xr:uid="{00000000-0005-0000-0000-000031320000}"/>
    <cellStyle name="40 % - Markeringsfarve1 2 13 2" xfId="32118" xr:uid="{00000000-0005-0000-0000-000032320000}"/>
    <cellStyle name="40 % - Markeringsfarve1 2 14" xfId="5398" xr:uid="{00000000-0005-0000-0000-000033320000}"/>
    <cellStyle name="40 % - Markeringsfarve1 2 14 2" xfId="25116" xr:uid="{00000000-0005-0000-0000-000034320000}"/>
    <cellStyle name="40 % - Markeringsfarve1 2 15" xfId="21985" xr:uid="{00000000-0005-0000-0000-000035320000}"/>
    <cellStyle name="40 % - Markeringsfarve1 2 2" xfId="1868" xr:uid="{00000000-0005-0000-0000-000036320000}"/>
    <cellStyle name="40 % - Markeringsfarve1 2 2 10" xfId="7979" xr:uid="{00000000-0005-0000-0000-000037320000}"/>
    <cellStyle name="40 % - Markeringsfarve1 2 2 10 2" xfId="15897" xr:uid="{00000000-0005-0000-0000-000038320000}"/>
    <cellStyle name="40 % - Markeringsfarve1 2 2 10 2 2" xfId="34057" xr:uid="{00000000-0005-0000-0000-000039320000}"/>
    <cellStyle name="40 % - Markeringsfarve1 2 2 10 3" xfId="27056" xr:uid="{00000000-0005-0000-0000-00003A320000}"/>
    <cellStyle name="40 % - Markeringsfarve1 2 2 11" xfId="13955" xr:uid="{00000000-0005-0000-0000-00003B320000}"/>
    <cellStyle name="40 % - Markeringsfarve1 2 2 11 2" xfId="32121" xr:uid="{00000000-0005-0000-0000-00003C320000}"/>
    <cellStyle name="40 % - Markeringsfarve1 2 2 12" xfId="5401" xr:uid="{00000000-0005-0000-0000-00003D320000}"/>
    <cellStyle name="40 % - Markeringsfarve1 2 2 12 2" xfId="25119" xr:uid="{00000000-0005-0000-0000-00003E320000}"/>
    <cellStyle name="40 % - Markeringsfarve1 2 2 13" xfId="21986" xr:uid="{00000000-0005-0000-0000-00003F320000}"/>
    <cellStyle name="40 % - Markeringsfarve1 2 2 2" xfId="1869" xr:uid="{00000000-0005-0000-0000-000040320000}"/>
    <cellStyle name="40 % - Markeringsfarve1 2 2 2 2" xfId="5403" xr:uid="{00000000-0005-0000-0000-000041320000}"/>
    <cellStyle name="40 % - Markeringsfarve1 2 2 2 2 2" xfId="5404" xr:uid="{00000000-0005-0000-0000-000042320000}"/>
    <cellStyle name="40 % - Markeringsfarve1 2 2 2 2 2 2" xfId="9902" xr:uid="{00000000-0005-0000-0000-000043320000}"/>
    <cellStyle name="40 % - Markeringsfarve1 2 2 2 2 2 2 2" xfId="17803" xr:uid="{00000000-0005-0000-0000-000044320000}"/>
    <cellStyle name="40 % - Markeringsfarve1 2 2 2 2 2 2 2 2" xfId="35963" xr:uid="{00000000-0005-0000-0000-000045320000}"/>
    <cellStyle name="40 % - Markeringsfarve1 2 2 2 2 2 2 3" xfId="28962" xr:uid="{00000000-0005-0000-0000-000046320000}"/>
    <cellStyle name="40 % - Markeringsfarve1 2 2 2 2 2 3" xfId="13958" xr:uid="{00000000-0005-0000-0000-000047320000}"/>
    <cellStyle name="40 % - Markeringsfarve1 2 2 2 2 2 3 2" xfId="32124" xr:uid="{00000000-0005-0000-0000-000048320000}"/>
    <cellStyle name="40 % - Markeringsfarve1 2 2 2 2 2 4" xfId="25122" xr:uid="{00000000-0005-0000-0000-000049320000}"/>
    <cellStyle name="40 % - Markeringsfarve1 2 2 2 2 3" xfId="8475" xr:uid="{00000000-0005-0000-0000-00004A320000}"/>
    <cellStyle name="40 % - Markeringsfarve1 2 2 2 2 3 2" xfId="16392" xr:uid="{00000000-0005-0000-0000-00004B320000}"/>
    <cellStyle name="40 % - Markeringsfarve1 2 2 2 2 3 2 2" xfId="34552" xr:uid="{00000000-0005-0000-0000-00004C320000}"/>
    <cellStyle name="40 % - Markeringsfarve1 2 2 2 2 3 3" xfId="27551" xr:uid="{00000000-0005-0000-0000-00004D320000}"/>
    <cellStyle name="40 % - Markeringsfarve1 2 2 2 2 4" xfId="13957" xr:uid="{00000000-0005-0000-0000-00004E320000}"/>
    <cellStyle name="40 % - Markeringsfarve1 2 2 2 2 4 2" xfId="32123" xr:uid="{00000000-0005-0000-0000-00004F320000}"/>
    <cellStyle name="40 % - Markeringsfarve1 2 2 2 2 5" xfId="25121" xr:uid="{00000000-0005-0000-0000-000050320000}"/>
    <cellStyle name="40 % - Markeringsfarve1 2 2 2 3" xfId="5405" xr:uid="{00000000-0005-0000-0000-000051320000}"/>
    <cellStyle name="40 % - Markeringsfarve1 2 2 2 3 2" xfId="9132" xr:uid="{00000000-0005-0000-0000-000052320000}"/>
    <cellStyle name="40 % - Markeringsfarve1 2 2 2 3 2 2" xfId="17043" xr:uid="{00000000-0005-0000-0000-000053320000}"/>
    <cellStyle name="40 % - Markeringsfarve1 2 2 2 3 2 2 2" xfId="35203" xr:uid="{00000000-0005-0000-0000-000054320000}"/>
    <cellStyle name="40 % - Markeringsfarve1 2 2 2 3 2 3" xfId="28202" xr:uid="{00000000-0005-0000-0000-000055320000}"/>
    <cellStyle name="40 % - Markeringsfarve1 2 2 2 3 3" xfId="13959" xr:uid="{00000000-0005-0000-0000-000056320000}"/>
    <cellStyle name="40 % - Markeringsfarve1 2 2 2 3 3 2" xfId="32125" xr:uid="{00000000-0005-0000-0000-000057320000}"/>
    <cellStyle name="40 % - Markeringsfarve1 2 2 2 3 4" xfId="25123" xr:uid="{00000000-0005-0000-0000-000058320000}"/>
    <cellStyle name="40 % - Markeringsfarve1 2 2 2 4" xfId="5406" xr:uid="{00000000-0005-0000-0000-000059320000}"/>
    <cellStyle name="40 % - Markeringsfarve1 2 2 2 4 2" xfId="10524" xr:uid="{00000000-0005-0000-0000-00005A320000}"/>
    <cellStyle name="40 % - Markeringsfarve1 2 2 2 4 2 2" xfId="18418" xr:uid="{00000000-0005-0000-0000-00005B320000}"/>
    <cellStyle name="40 % - Markeringsfarve1 2 2 2 4 2 2 2" xfId="36578" xr:uid="{00000000-0005-0000-0000-00005C320000}"/>
    <cellStyle name="40 % - Markeringsfarve1 2 2 2 4 2 3" xfId="29577" xr:uid="{00000000-0005-0000-0000-00005D320000}"/>
    <cellStyle name="40 % - Markeringsfarve1 2 2 2 4 3" xfId="13960" xr:uid="{00000000-0005-0000-0000-00005E320000}"/>
    <cellStyle name="40 % - Markeringsfarve1 2 2 2 4 3 2" xfId="32126" xr:uid="{00000000-0005-0000-0000-00005F320000}"/>
    <cellStyle name="40 % - Markeringsfarve1 2 2 2 4 4" xfId="25124" xr:uid="{00000000-0005-0000-0000-000060320000}"/>
    <cellStyle name="40 % - Markeringsfarve1 2 2 2 5" xfId="7980" xr:uid="{00000000-0005-0000-0000-000061320000}"/>
    <cellStyle name="40 % - Markeringsfarve1 2 2 2 5 2" xfId="15898" xr:uid="{00000000-0005-0000-0000-000062320000}"/>
    <cellStyle name="40 % - Markeringsfarve1 2 2 2 5 2 2" xfId="34058" xr:uid="{00000000-0005-0000-0000-000063320000}"/>
    <cellStyle name="40 % - Markeringsfarve1 2 2 2 5 3" xfId="27057" xr:uid="{00000000-0005-0000-0000-000064320000}"/>
    <cellStyle name="40 % - Markeringsfarve1 2 2 2 6" xfId="13956" xr:uid="{00000000-0005-0000-0000-000065320000}"/>
    <cellStyle name="40 % - Markeringsfarve1 2 2 2 6 2" xfId="32122" xr:uid="{00000000-0005-0000-0000-000066320000}"/>
    <cellStyle name="40 % - Markeringsfarve1 2 2 2 7" xfId="5402" xr:uid="{00000000-0005-0000-0000-000067320000}"/>
    <cellStyle name="40 % - Markeringsfarve1 2 2 2 7 2" xfId="25120" xr:uid="{00000000-0005-0000-0000-000068320000}"/>
    <cellStyle name="40 % - Markeringsfarve1 2 2 2 8" xfId="21987" xr:uid="{00000000-0005-0000-0000-000069320000}"/>
    <cellStyle name="40 % - Markeringsfarve1 2 2 3" xfId="5407" xr:uid="{00000000-0005-0000-0000-00006A320000}"/>
    <cellStyle name="40 % - Markeringsfarve1 2 2 3 2" xfId="5408" xr:uid="{00000000-0005-0000-0000-00006B320000}"/>
    <cellStyle name="40 % - Markeringsfarve1 2 2 3 2 2" xfId="5409" xr:uid="{00000000-0005-0000-0000-00006C320000}"/>
    <cellStyle name="40 % - Markeringsfarve1 2 2 3 2 2 2" xfId="10010" xr:uid="{00000000-0005-0000-0000-00006D320000}"/>
    <cellStyle name="40 % - Markeringsfarve1 2 2 3 2 2 2 2" xfId="17911" xr:uid="{00000000-0005-0000-0000-00006E320000}"/>
    <cellStyle name="40 % - Markeringsfarve1 2 2 3 2 2 2 2 2" xfId="36071" xr:uid="{00000000-0005-0000-0000-00006F320000}"/>
    <cellStyle name="40 % - Markeringsfarve1 2 2 3 2 2 2 3" xfId="29070" xr:uid="{00000000-0005-0000-0000-000070320000}"/>
    <cellStyle name="40 % - Markeringsfarve1 2 2 3 2 2 3" xfId="13963" xr:uid="{00000000-0005-0000-0000-000071320000}"/>
    <cellStyle name="40 % - Markeringsfarve1 2 2 3 2 2 3 2" xfId="32129" xr:uid="{00000000-0005-0000-0000-000072320000}"/>
    <cellStyle name="40 % - Markeringsfarve1 2 2 3 2 2 4" xfId="25127" xr:uid="{00000000-0005-0000-0000-000073320000}"/>
    <cellStyle name="40 % - Markeringsfarve1 2 2 3 2 3" xfId="8565" xr:uid="{00000000-0005-0000-0000-000074320000}"/>
    <cellStyle name="40 % - Markeringsfarve1 2 2 3 2 3 2" xfId="16482" xr:uid="{00000000-0005-0000-0000-000075320000}"/>
    <cellStyle name="40 % - Markeringsfarve1 2 2 3 2 3 2 2" xfId="34642" xr:uid="{00000000-0005-0000-0000-000076320000}"/>
    <cellStyle name="40 % - Markeringsfarve1 2 2 3 2 3 3" xfId="27641" xr:uid="{00000000-0005-0000-0000-000077320000}"/>
    <cellStyle name="40 % - Markeringsfarve1 2 2 3 2 4" xfId="13962" xr:uid="{00000000-0005-0000-0000-000078320000}"/>
    <cellStyle name="40 % - Markeringsfarve1 2 2 3 2 4 2" xfId="32128" xr:uid="{00000000-0005-0000-0000-000079320000}"/>
    <cellStyle name="40 % - Markeringsfarve1 2 2 3 2 5" xfId="25126" xr:uid="{00000000-0005-0000-0000-00007A320000}"/>
    <cellStyle name="40 % - Markeringsfarve1 2 2 3 3" xfId="5410" xr:uid="{00000000-0005-0000-0000-00007B320000}"/>
    <cellStyle name="40 % - Markeringsfarve1 2 2 3 3 2" xfId="9240" xr:uid="{00000000-0005-0000-0000-00007C320000}"/>
    <cellStyle name="40 % - Markeringsfarve1 2 2 3 3 2 2" xfId="17151" xr:uid="{00000000-0005-0000-0000-00007D320000}"/>
    <cellStyle name="40 % - Markeringsfarve1 2 2 3 3 2 2 2" xfId="35311" xr:uid="{00000000-0005-0000-0000-00007E320000}"/>
    <cellStyle name="40 % - Markeringsfarve1 2 2 3 3 2 3" xfId="28310" xr:uid="{00000000-0005-0000-0000-00007F320000}"/>
    <cellStyle name="40 % - Markeringsfarve1 2 2 3 3 3" xfId="13964" xr:uid="{00000000-0005-0000-0000-000080320000}"/>
    <cellStyle name="40 % - Markeringsfarve1 2 2 3 3 3 2" xfId="32130" xr:uid="{00000000-0005-0000-0000-000081320000}"/>
    <cellStyle name="40 % - Markeringsfarve1 2 2 3 3 4" xfId="25128" xr:uid="{00000000-0005-0000-0000-000082320000}"/>
    <cellStyle name="40 % - Markeringsfarve1 2 2 3 4" xfId="5411" xr:uid="{00000000-0005-0000-0000-000083320000}"/>
    <cellStyle name="40 % - Markeringsfarve1 2 2 3 4 2" xfId="10822" xr:uid="{00000000-0005-0000-0000-000084320000}"/>
    <cellStyle name="40 % - Markeringsfarve1 2 2 3 4 2 2" xfId="18709" xr:uid="{00000000-0005-0000-0000-000085320000}"/>
    <cellStyle name="40 % - Markeringsfarve1 2 2 3 4 2 2 2" xfId="36869" xr:uid="{00000000-0005-0000-0000-000086320000}"/>
    <cellStyle name="40 % - Markeringsfarve1 2 2 3 4 2 3" xfId="29868" xr:uid="{00000000-0005-0000-0000-000087320000}"/>
    <cellStyle name="40 % - Markeringsfarve1 2 2 3 4 3" xfId="13965" xr:uid="{00000000-0005-0000-0000-000088320000}"/>
    <cellStyle name="40 % - Markeringsfarve1 2 2 3 4 3 2" xfId="32131" xr:uid="{00000000-0005-0000-0000-000089320000}"/>
    <cellStyle name="40 % - Markeringsfarve1 2 2 3 4 4" xfId="25129" xr:uid="{00000000-0005-0000-0000-00008A320000}"/>
    <cellStyle name="40 % - Markeringsfarve1 2 2 3 5" xfId="7981" xr:uid="{00000000-0005-0000-0000-00008B320000}"/>
    <cellStyle name="40 % - Markeringsfarve1 2 2 3 5 2" xfId="15899" xr:uid="{00000000-0005-0000-0000-00008C320000}"/>
    <cellStyle name="40 % - Markeringsfarve1 2 2 3 5 2 2" xfId="34059" xr:uid="{00000000-0005-0000-0000-00008D320000}"/>
    <cellStyle name="40 % - Markeringsfarve1 2 2 3 5 3" xfId="27058" xr:uid="{00000000-0005-0000-0000-00008E320000}"/>
    <cellStyle name="40 % - Markeringsfarve1 2 2 3 6" xfId="13961" xr:uid="{00000000-0005-0000-0000-00008F320000}"/>
    <cellStyle name="40 % - Markeringsfarve1 2 2 3 6 2" xfId="32127" xr:uid="{00000000-0005-0000-0000-000090320000}"/>
    <cellStyle name="40 % - Markeringsfarve1 2 2 3 7" xfId="25125" xr:uid="{00000000-0005-0000-0000-000091320000}"/>
    <cellStyle name="40 % - Markeringsfarve1 2 2 4" xfId="5412" xr:uid="{00000000-0005-0000-0000-000092320000}"/>
    <cellStyle name="40 % - Markeringsfarve1 2 2 4 2" xfId="5413" xr:uid="{00000000-0005-0000-0000-000093320000}"/>
    <cellStyle name="40 % - Markeringsfarve1 2 2 4 2 2" xfId="5414" xr:uid="{00000000-0005-0000-0000-000094320000}"/>
    <cellStyle name="40 % - Markeringsfarve1 2 2 4 2 2 2" xfId="10140" xr:uid="{00000000-0005-0000-0000-000095320000}"/>
    <cellStyle name="40 % - Markeringsfarve1 2 2 4 2 2 2 2" xfId="18041" xr:uid="{00000000-0005-0000-0000-000096320000}"/>
    <cellStyle name="40 % - Markeringsfarve1 2 2 4 2 2 2 2 2" xfId="36201" xr:uid="{00000000-0005-0000-0000-000097320000}"/>
    <cellStyle name="40 % - Markeringsfarve1 2 2 4 2 2 2 3" xfId="29200" xr:uid="{00000000-0005-0000-0000-000098320000}"/>
    <cellStyle name="40 % - Markeringsfarve1 2 2 4 2 2 3" xfId="13968" xr:uid="{00000000-0005-0000-0000-000099320000}"/>
    <cellStyle name="40 % - Markeringsfarve1 2 2 4 2 2 3 2" xfId="32134" xr:uid="{00000000-0005-0000-0000-00009A320000}"/>
    <cellStyle name="40 % - Markeringsfarve1 2 2 4 2 2 4" xfId="25132" xr:uid="{00000000-0005-0000-0000-00009B320000}"/>
    <cellStyle name="40 % - Markeringsfarve1 2 2 4 2 3" xfId="8677" xr:uid="{00000000-0005-0000-0000-00009C320000}"/>
    <cellStyle name="40 % - Markeringsfarve1 2 2 4 2 3 2" xfId="16591" xr:uid="{00000000-0005-0000-0000-00009D320000}"/>
    <cellStyle name="40 % - Markeringsfarve1 2 2 4 2 3 2 2" xfId="34751" xr:uid="{00000000-0005-0000-0000-00009E320000}"/>
    <cellStyle name="40 % - Markeringsfarve1 2 2 4 2 3 3" xfId="27750" xr:uid="{00000000-0005-0000-0000-00009F320000}"/>
    <cellStyle name="40 % - Markeringsfarve1 2 2 4 2 4" xfId="13967" xr:uid="{00000000-0005-0000-0000-0000A0320000}"/>
    <cellStyle name="40 % - Markeringsfarve1 2 2 4 2 4 2" xfId="32133" xr:uid="{00000000-0005-0000-0000-0000A1320000}"/>
    <cellStyle name="40 % - Markeringsfarve1 2 2 4 2 5" xfId="25131" xr:uid="{00000000-0005-0000-0000-0000A2320000}"/>
    <cellStyle name="40 % - Markeringsfarve1 2 2 4 3" xfId="5415" xr:uid="{00000000-0005-0000-0000-0000A3320000}"/>
    <cellStyle name="40 % - Markeringsfarve1 2 2 4 3 2" xfId="9416" xr:uid="{00000000-0005-0000-0000-0000A4320000}"/>
    <cellStyle name="40 % - Markeringsfarve1 2 2 4 3 2 2" xfId="17326" xr:uid="{00000000-0005-0000-0000-0000A5320000}"/>
    <cellStyle name="40 % - Markeringsfarve1 2 2 4 3 2 2 2" xfId="35486" xr:uid="{00000000-0005-0000-0000-0000A6320000}"/>
    <cellStyle name="40 % - Markeringsfarve1 2 2 4 3 2 3" xfId="28485" xr:uid="{00000000-0005-0000-0000-0000A7320000}"/>
    <cellStyle name="40 % - Markeringsfarve1 2 2 4 3 3" xfId="13969" xr:uid="{00000000-0005-0000-0000-0000A8320000}"/>
    <cellStyle name="40 % - Markeringsfarve1 2 2 4 3 3 2" xfId="32135" xr:uid="{00000000-0005-0000-0000-0000A9320000}"/>
    <cellStyle name="40 % - Markeringsfarve1 2 2 4 3 4" xfId="25133" xr:uid="{00000000-0005-0000-0000-0000AA320000}"/>
    <cellStyle name="40 % - Markeringsfarve1 2 2 4 4" xfId="5416" xr:uid="{00000000-0005-0000-0000-0000AB320000}"/>
    <cellStyle name="40 % - Markeringsfarve1 2 2 4 4 2" xfId="10473" xr:uid="{00000000-0005-0000-0000-0000AC320000}"/>
    <cellStyle name="40 % - Markeringsfarve1 2 2 4 4 2 2" xfId="18370" xr:uid="{00000000-0005-0000-0000-0000AD320000}"/>
    <cellStyle name="40 % - Markeringsfarve1 2 2 4 4 2 2 2" xfId="36530" xr:uid="{00000000-0005-0000-0000-0000AE320000}"/>
    <cellStyle name="40 % - Markeringsfarve1 2 2 4 4 2 3" xfId="29529" xr:uid="{00000000-0005-0000-0000-0000AF320000}"/>
    <cellStyle name="40 % - Markeringsfarve1 2 2 4 4 3" xfId="13970" xr:uid="{00000000-0005-0000-0000-0000B0320000}"/>
    <cellStyle name="40 % - Markeringsfarve1 2 2 4 4 3 2" xfId="32136" xr:uid="{00000000-0005-0000-0000-0000B1320000}"/>
    <cellStyle name="40 % - Markeringsfarve1 2 2 4 4 4" xfId="25134" xr:uid="{00000000-0005-0000-0000-0000B2320000}"/>
    <cellStyle name="40 % - Markeringsfarve1 2 2 4 5" xfId="7982" xr:uid="{00000000-0005-0000-0000-0000B3320000}"/>
    <cellStyle name="40 % - Markeringsfarve1 2 2 4 5 2" xfId="15900" xr:uid="{00000000-0005-0000-0000-0000B4320000}"/>
    <cellStyle name="40 % - Markeringsfarve1 2 2 4 5 2 2" xfId="34060" xr:uid="{00000000-0005-0000-0000-0000B5320000}"/>
    <cellStyle name="40 % - Markeringsfarve1 2 2 4 5 3" xfId="27059" xr:uid="{00000000-0005-0000-0000-0000B6320000}"/>
    <cellStyle name="40 % - Markeringsfarve1 2 2 4 6" xfId="13966" xr:uid="{00000000-0005-0000-0000-0000B7320000}"/>
    <cellStyle name="40 % - Markeringsfarve1 2 2 4 6 2" xfId="32132" xr:uid="{00000000-0005-0000-0000-0000B8320000}"/>
    <cellStyle name="40 % - Markeringsfarve1 2 2 4 7" xfId="25130" xr:uid="{00000000-0005-0000-0000-0000B9320000}"/>
    <cellStyle name="40 % - Markeringsfarve1 2 2 5" xfId="5417" xr:uid="{00000000-0005-0000-0000-0000BA320000}"/>
    <cellStyle name="40 % - Markeringsfarve1 2 2 5 2" xfId="5418" xr:uid="{00000000-0005-0000-0000-0000BB320000}"/>
    <cellStyle name="40 % - Markeringsfarve1 2 2 5 2 2" xfId="5419" xr:uid="{00000000-0005-0000-0000-0000BC320000}"/>
    <cellStyle name="40 % - Markeringsfarve1 2 2 5 2 2 2" xfId="10257" xr:uid="{00000000-0005-0000-0000-0000BD320000}"/>
    <cellStyle name="40 % - Markeringsfarve1 2 2 5 2 2 2 2" xfId="18158" xr:uid="{00000000-0005-0000-0000-0000BE320000}"/>
    <cellStyle name="40 % - Markeringsfarve1 2 2 5 2 2 2 2 2" xfId="36318" xr:uid="{00000000-0005-0000-0000-0000BF320000}"/>
    <cellStyle name="40 % - Markeringsfarve1 2 2 5 2 2 2 3" xfId="29317" xr:uid="{00000000-0005-0000-0000-0000C0320000}"/>
    <cellStyle name="40 % - Markeringsfarve1 2 2 5 2 2 3" xfId="13973" xr:uid="{00000000-0005-0000-0000-0000C1320000}"/>
    <cellStyle name="40 % - Markeringsfarve1 2 2 5 2 2 3 2" xfId="32139" xr:uid="{00000000-0005-0000-0000-0000C2320000}"/>
    <cellStyle name="40 % - Markeringsfarve1 2 2 5 2 2 4" xfId="25137" xr:uid="{00000000-0005-0000-0000-0000C3320000}"/>
    <cellStyle name="40 % - Markeringsfarve1 2 2 5 2 3" xfId="8776" xr:uid="{00000000-0005-0000-0000-0000C4320000}"/>
    <cellStyle name="40 % - Markeringsfarve1 2 2 5 2 3 2" xfId="16690" xr:uid="{00000000-0005-0000-0000-0000C5320000}"/>
    <cellStyle name="40 % - Markeringsfarve1 2 2 5 2 3 2 2" xfId="34850" xr:uid="{00000000-0005-0000-0000-0000C6320000}"/>
    <cellStyle name="40 % - Markeringsfarve1 2 2 5 2 3 3" xfId="27849" xr:uid="{00000000-0005-0000-0000-0000C7320000}"/>
    <cellStyle name="40 % - Markeringsfarve1 2 2 5 2 4" xfId="13972" xr:uid="{00000000-0005-0000-0000-0000C8320000}"/>
    <cellStyle name="40 % - Markeringsfarve1 2 2 5 2 4 2" xfId="32138" xr:uid="{00000000-0005-0000-0000-0000C9320000}"/>
    <cellStyle name="40 % - Markeringsfarve1 2 2 5 2 5" xfId="25136" xr:uid="{00000000-0005-0000-0000-0000CA320000}"/>
    <cellStyle name="40 % - Markeringsfarve1 2 2 5 3" xfId="5420" xr:uid="{00000000-0005-0000-0000-0000CB320000}"/>
    <cellStyle name="40 % - Markeringsfarve1 2 2 5 3 2" xfId="9533" xr:uid="{00000000-0005-0000-0000-0000CC320000}"/>
    <cellStyle name="40 % - Markeringsfarve1 2 2 5 3 2 2" xfId="17443" xr:uid="{00000000-0005-0000-0000-0000CD320000}"/>
    <cellStyle name="40 % - Markeringsfarve1 2 2 5 3 2 2 2" xfId="35603" xr:uid="{00000000-0005-0000-0000-0000CE320000}"/>
    <cellStyle name="40 % - Markeringsfarve1 2 2 5 3 2 3" xfId="28602" xr:uid="{00000000-0005-0000-0000-0000CF320000}"/>
    <cellStyle name="40 % - Markeringsfarve1 2 2 5 3 3" xfId="13974" xr:uid="{00000000-0005-0000-0000-0000D0320000}"/>
    <cellStyle name="40 % - Markeringsfarve1 2 2 5 3 3 2" xfId="32140" xr:uid="{00000000-0005-0000-0000-0000D1320000}"/>
    <cellStyle name="40 % - Markeringsfarve1 2 2 5 3 4" xfId="25138" xr:uid="{00000000-0005-0000-0000-0000D2320000}"/>
    <cellStyle name="40 % - Markeringsfarve1 2 2 5 4" xfId="5421" xr:uid="{00000000-0005-0000-0000-0000D3320000}"/>
    <cellStyle name="40 % - Markeringsfarve1 2 2 5 4 2" xfId="8934" xr:uid="{00000000-0005-0000-0000-0000D4320000}"/>
    <cellStyle name="40 % - Markeringsfarve1 2 2 5 4 2 2" xfId="16847" xr:uid="{00000000-0005-0000-0000-0000D5320000}"/>
    <cellStyle name="40 % - Markeringsfarve1 2 2 5 4 2 2 2" xfId="35007" xr:uid="{00000000-0005-0000-0000-0000D6320000}"/>
    <cellStyle name="40 % - Markeringsfarve1 2 2 5 4 2 3" xfId="28006" xr:uid="{00000000-0005-0000-0000-0000D7320000}"/>
    <cellStyle name="40 % - Markeringsfarve1 2 2 5 4 3" xfId="13975" xr:uid="{00000000-0005-0000-0000-0000D8320000}"/>
    <cellStyle name="40 % - Markeringsfarve1 2 2 5 4 3 2" xfId="32141" xr:uid="{00000000-0005-0000-0000-0000D9320000}"/>
    <cellStyle name="40 % - Markeringsfarve1 2 2 5 4 4" xfId="25139" xr:uid="{00000000-0005-0000-0000-0000DA320000}"/>
    <cellStyle name="40 % - Markeringsfarve1 2 2 5 5" xfId="7983" xr:uid="{00000000-0005-0000-0000-0000DB320000}"/>
    <cellStyle name="40 % - Markeringsfarve1 2 2 5 5 2" xfId="15901" xr:uid="{00000000-0005-0000-0000-0000DC320000}"/>
    <cellStyle name="40 % - Markeringsfarve1 2 2 5 5 2 2" xfId="34061" xr:uid="{00000000-0005-0000-0000-0000DD320000}"/>
    <cellStyle name="40 % - Markeringsfarve1 2 2 5 5 3" xfId="27060" xr:uid="{00000000-0005-0000-0000-0000DE320000}"/>
    <cellStyle name="40 % - Markeringsfarve1 2 2 5 6" xfId="13971" xr:uid="{00000000-0005-0000-0000-0000DF320000}"/>
    <cellStyle name="40 % - Markeringsfarve1 2 2 5 6 2" xfId="32137" xr:uid="{00000000-0005-0000-0000-0000E0320000}"/>
    <cellStyle name="40 % - Markeringsfarve1 2 2 5 7" xfId="25135" xr:uid="{00000000-0005-0000-0000-0000E1320000}"/>
    <cellStyle name="40 % - Markeringsfarve1 2 2 6" xfId="5422" xr:uid="{00000000-0005-0000-0000-0000E2320000}"/>
    <cellStyle name="40 % - Markeringsfarve1 2 2 6 2" xfId="5423" xr:uid="{00000000-0005-0000-0000-0000E3320000}"/>
    <cellStyle name="40 % - Markeringsfarve1 2 2 6 2 2" xfId="5424" xr:uid="{00000000-0005-0000-0000-0000E4320000}"/>
    <cellStyle name="40 % - Markeringsfarve1 2 2 6 2 2 2" xfId="10364" xr:uid="{00000000-0005-0000-0000-0000E5320000}"/>
    <cellStyle name="40 % - Markeringsfarve1 2 2 6 2 2 2 2" xfId="18265" xr:uid="{00000000-0005-0000-0000-0000E6320000}"/>
    <cellStyle name="40 % - Markeringsfarve1 2 2 6 2 2 2 2 2" xfId="36425" xr:uid="{00000000-0005-0000-0000-0000E7320000}"/>
    <cellStyle name="40 % - Markeringsfarve1 2 2 6 2 2 2 3" xfId="29424" xr:uid="{00000000-0005-0000-0000-0000E8320000}"/>
    <cellStyle name="40 % - Markeringsfarve1 2 2 6 2 2 3" xfId="13978" xr:uid="{00000000-0005-0000-0000-0000E9320000}"/>
    <cellStyle name="40 % - Markeringsfarve1 2 2 6 2 2 3 2" xfId="32144" xr:uid="{00000000-0005-0000-0000-0000EA320000}"/>
    <cellStyle name="40 % - Markeringsfarve1 2 2 6 2 2 4" xfId="25142" xr:uid="{00000000-0005-0000-0000-0000EB320000}"/>
    <cellStyle name="40 % - Markeringsfarve1 2 2 6 2 3" xfId="8866" xr:uid="{00000000-0005-0000-0000-0000EC320000}"/>
    <cellStyle name="40 % - Markeringsfarve1 2 2 6 2 3 2" xfId="16780" xr:uid="{00000000-0005-0000-0000-0000ED320000}"/>
    <cellStyle name="40 % - Markeringsfarve1 2 2 6 2 3 2 2" xfId="34940" xr:uid="{00000000-0005-0000-0000-0000EE320000}"/>
    <cellStyle name="40 % - Markeringsfarve1 2 2 6 2 3 3" xfId="27939" xr:uid="{00000000-0005-0000-0000-0000EF320000}"/>
    <cellStyle name="40 % - Markeringsfarve1 2 2 6 2 4" xfId="13977" xr:uid="{00000000-0005-0000-0000-0000F0320000}"/>
    <cellStyle name="40 % - Markeringsfarve1 2 2 6 2 4 2" xfId="32143" xr:uid="{00000000-0005-0000-0000-0000F1320000}"/>
    <cellStyle name="40 % - Markeringsfarve1 2 2 6 2 5" xfId="25141" xr:uid="{00000000-0005-0000-0000-0000F2320000}"/>
    <cellStyle name="40 % - Markeringsfarve1 2 2 6 3" xfId="5425" xr:uid="{00000000-0005-0000-0000-0000F3320000}"/>
    <cellStyle name="40 % - Markeringsfarve1 2 2 6 3 2" xfId="9641" xr:uid="{00000000-0005-0000-0000-0000F4320000}"/>
    <cellStyle name="40 % - Markeringsfarve1 2 2 6 3 2 2" xfId="17551" xr:uid="{00000000-0005-0000-0000-0000F5320000}"/>
    <cellStyle name="40 % - Markeringsfarve1 2 2 6 3 2 2 2" xfId="35711" xr:uid="{00000000-0005-0000-0000-0000F6320000}"/>
    <cellStyle name="40 % - Markeringsfarve1 2 2 6 3 2 3" xfId="28710" xr:uid="{00000000-0005-0000-0000-0000F7320000}"/>
    <cellStyle name="40 % - Markeringsfarve1 2 2 6 3 3" xfId="13979" xr:uid="{00000000-0005-0000-0000-0000F8320000}"/>
    <cellStyle name="40 % - Markeringsfarve1 2 2 6 3 3 2" xfId="32145" xr:uid="{00000000-0005-0000-0000-0000F9320000}"/>
    <cellStyle name="40 % - Markeringsfarve1 2 2 6 3 4" xfId="25143" xr:uid="{00000000-0005-0000-0000-0000FA320000}"/>
    <cellStyle name="40 % - Markeringsfarve1 2 2 6 4" xfId="5426" xr:uid="{00000000-0005-0000-0000-0000FB320000}"/>
    <cellStyle name="40 % - Markeringsfarve1 2 2 6 4 2" xfId="9311" xr:uid="{00000000-0005-0000-0000-0000FC320000}"/>
    <cellStyle name="40 % - Markeringsfarve1 2 2 6 4 2 2" xfId="17222" xr:uid="{00000000-0005-0000-0000-0000FD320000}"/>
    <cellStyle name="40 % - Markeringsfarve1 2 2 6 4 2 2 2" xfId="35382" xr:uid="{00000000-0005-0000-0000-0000FE320000}"/>
    <cellStyle name="40 % - Markeringsfarve1 2 2 6 4 2 3" xfId="28381" xr:uid="{00000000-0005-0000-0000-0000FF320000}"/>
    <cellStyle name="40 % - Markeringsfarve1 2 2 6 4 3" xfId="13980" xr:uid="{00000000-0005-0000-0000-000000330000}"/>
    <cellStyle name="40 % - Markeringsfarve1 2 2 6 4 3 2" xfId="32146" xr:uid="{00000000-0005-0000-0000-000001330000}"/>
    <cellStyle name="40 % - Markeringsfarve1 2 2 6 4 4" xfId="25144" xr:uid="{00000000-0005-0000-0000-000002330000}"/>
    <cellStyle name="40 % - Markeringsfarve1 2 2 6 5" xfId="7984" xr:uid="{00000000-0005-0000-0000-000003330000}"/>
    <cellStyle name="40 % - Markeringsfarve1 2 2 6 5 2" xfId="15902" xr:uid="{00000000-0005-0000-0000-000004330000}"/>
    <cellStyle name="40 % - Markeringsfarve1 2 2 6 5 2 2" xfId="34062" xr:uid="{00000000-0005-0000-0000-000005330000}"/>
    <cellStyle name="40 % - Markeringsfarve1 2 2 6 5 3" xfId="27061" xr:uid="{00000000-0005-0000-0000-000006330000}"/>
    <cellStyle name="40 % - Markeringsfarve1 2 2 6 6" xfId="13976" xr:uid="{00000000-0005-0000-0000-000007330000}"/>
    <cellStyle name="40 % - Markeringsfarve1 2 2 6 6 2" xfId="32142" xr:uid="{00000000-0005-0000-0000-000008330000}"/>
    <cellStyle name="40 % - Markeringsfarve1 2 2 6 7" xfId="25140" xr:uid="{00000000-0005-0000-0000-000009330000}"/>
    <cellStyle name="40 % - Markeringsfarve1 2 2 7" xfId="5427" xr:uid="{00000000-0005-0000-0000-00000A330000}"/>
    <cellStyle name="40 % - Markeringsfarve1 2 2 7 2" xfId="5428" xr:uid="{00000000-0005-0000-0000-00000B330000}"/>
    <cellStyle name="40 % - Markeringsfarve1 2 2 7 2 2" xfId="9783" xr:uid="{00000000-0005-0000-0000-00000C330000}"/>
    <cellStyle name="40 % - Markeringsfarve1 2 2 7 2 2 2" xfId="17684" xr:uid="{00000000-0005-0000-0000-00000D330000}"/>
    <cellStyle name="40 % - Markeringsfarve1 2 2 7 2 2 2 2" xfId="35844" xr:uid="{00000000-0005-0000-0000-00000E330000}"/>
    <cellStyle name="40 % - Markeringsfarve1 2 2 7 2 2 3" xfId="28843" xr:uid="{00000000-0005-0000-0000-00000F330000}"/>
    <cellStyle name="40 % - Markeringsfarve1 2 2 7 2 3" xfId="13982" xr:uid="{00000000-0005-0000-0000-000010330000}"/>
    <cellStyle name="40 % - Markeringsfarve1 2 2 7 2 3 2" xfId="32148" xr:uid="{00000000-0005-0000-0000-000011330000}"/>
    <cellStyle name="40 % - Markeringsfarve1 2 2 7 2 4" xfId="25146" xr:uid="{00000000-0005-0000-0000-000012330000}"/>
    <cellStyle name="40 % - Markeringsfarve1 2 2 7 3" xfId="8376" xr:uid="{00000000-0005-0000-0000-000013330000}"/>
    <cellStyle name="40 % - Markeringsfarve1 2 2 7 3 2" xfId="16293" xr:uid="{00000000-0005-0000-0000-000014330000}"/>
    <cellStyle name="40 % - Markeringsfarve1 2 2 7 3 2 2" xfId="34453" xr:uid="{00000000-0005-0000-0000-000015330000}"/>
    <cellStyle name="40 % - Markeringsfarve1 2 2 7 3 3" xfId="27452" xr:uid="{00000000-0005-0000-0000-000016330000}"/>
    <cellStyle name="40 % - Markeringsfarve1 2 2 7 4" xfId="13981" xr:uid="{00000000-0005-0000-0000-000017330000}"/>
    <cellStyle name="40 % - Markeringsfarve1 2 2 7 4 2" xfId="32147" xr:uid="{00000000-0005-0000-0000-000018330000}"/>
    <cellStyle name="40 % - Markeringsfarve1 2 2 7 5" xfId="25145" xr:uid="{00000000-0005-0000-0000-000019330000}"/>
    <cellStyle name="40 % - Markeringsfarve1 2 2 8" xfId="5429" xr:uid="{00000000-0005-0000-0000-00001A330000}"/>
    <cellStyle name="40 % - Markeringsfarve1 2 2 8 2" xfId="9011" xr:uid="{00000000-0005-0000-0000-00001B330000}"/>
    <cellStyle name="40 % - Markeringsfarve1 2 2 8 2 2" xfId="16922" xr:uid="{00000000-0005-0000-0000-00001C330000}"/>
    <cellStyle name="40 % - Markeringsfarve1 2 2 8 2 2 2" xfId="35082" xr:uid="{00000000-0005-0000-0000-00001D330000}"/>
    <cellStyle name="40 % - Markeringsfarve1 2 2 8 2 3" xfId="28081" xr:uid="{00000000-0005-0000-0000-00001E330000}"/>
    <cellStyle name="40 % - Markeringsfarve1 2 2 8 3" xfId="13983" xr:uid="{00000000-0005-0000-0000-00001F330000}"/>
    <cellStyle name="40 % - Markeringsfarve1 2 2 8 3 2" xfId="32149" xr:uid="{00000000-0005-0000-0000-000020330000}"/>
    <cellStyle name="40 % - Markeringsfarve1 2 2 8 4" xfId="25147" xr:uid="{00000000-0005-0000-0000-000021330000}"/>
    <cellStyle name="40 % - Markeringsfarve1 2 2 9" xfId="5430" xr:uid="{00000000-0005-0000-0000-000022330000}"/>
    <cellStyle name="40 % - Markeringsfarve1 2 2 9 2" xfId="10875" xr:uid="{00000000-0005-0000-0000-000023330000}"/>
    <cellStyle name="40 % - Markeringsfarve1 2 2 9 2 2" xfId="18758" xr:uid="{00000000-0005-0000-0000-000024330000}"/>
    <cellStyle name="40 % - Markeringsfarve1 2 2 9 2 2 2" xfId="36918" xr:uid="{00000000-0005-0000-0000-000025330000}"/>
    <cellStyle name="40 % - Markeringsfarve1 2 2 9 2 3" xfId="29917" xr:uid="{00000000-0005-0000-0000-000026330000}"/>
    <cellStyle name="40 % - Markeringsfarve1 2 2 9 3" xfId="13984" xr:uid="{00000000-0005-0000-0000-000027330000}"/>
    <cellStyle name="40 % - Markeringsfarve1 2 2 9 3 2" xfId="32150" xr:uid="{00000000-0005-0000-0000-000028330000}"/>
    <cellStyle name="40 % - Markeringsfarve1 2 2 9 4" xfId="25148" xr:uid="{00000000-0005-0000-0000-000029330000}"/>
    <cellStyle name="40 % - Markeringsfarve1 2 3" xfId="1870" xr:uid="{00000000-0005-0000-0000-00002A330000}"/>
    <cellStyle name="40 % - Markeringsfarve1 2 3 10" xfId="7985" xr:uid="{00000000-0005-0000-0000-00002B330000}"/>
    <cellStyle name="40 % - Markeringsfarve1 2 3 10 2" xfId="15903" xr:uid="{00000000-0005-0000-0000-00002C330000}"/>
    <cellStyle name="40 % - Markeringsfarve1 2 3 10 2 2" xfId="34063" xr:uid="{00000000-0005-0000-0000-00002D330000}"/>
    <cellStyle name="40 % - Markeringsfarve1 2 3 10 3" xfId="27062" xr:uid="{00000000-0005-0000-0000-00002E330000}"/>
    <cellStyle name="40 % - Markeringsfarve1 2 3 11" xfId="13985" xr:uid="{00000000-0005-0000-0000-00002F330000}"/>
    <cellStyle name="40 % - Markeringsfarve1 2 3 11 2" xfId="32151" xr:uid="{00000000-0005-0000-0000-000030330000}"/>
    <cellStyle name="40 % - Markeringsfarve1 2 3 12" xfId="5431" xr:uid="{00000000-0005-0000-0000-000031330000}"/>
    <cellStyle name="40 % - Markeringsfarve1 2 3 12 2" xfId="25149" xr:uid="{00000000-0005-0000-0000-000032330000}"/>
    <cellStyle name="40 % - Markeringsfarve1 2 3 13" xfId="21988" xr:uid="{00000000-0005-0000-0000-000033330000}"/>
    <cellStyle name="40 % - Markeringsfarve1 2 3 2" xfId="1871" xr:uid="{00000000-0005-0000-0000-000034330000}"/>
    <cellStyle name="40 % - Markeringsfarve1 2 3 2 2" xfId="5433" xr:uid="{00000000-0005-0000-0000-000035330000}"/>
    <cellStyle name="40 % - Markeringsfarve1 2 3 2 2 2" xfId="5434" xr:uid="{00000000-0005-0000-0000-000036330000}"/>
    <cellStyle name="40 % - Markeringsfarve1 2 3 2 2 2 2" xfId="9941" xr:uid="{00000000-0005-0000-0000-000037330000}"/>
    <cellStyle name="40 % - Markeringsfarve1 2 3 2 2 2 2 2" xfId="17842" xr:uid="{00000000-0005-0000-0000-000038330000}"/>
    <cellStyle name="40 % - Markeringsfarve1 2 3 2 2 2 2 2 2" xfId="36002" xr:uid="{00000000-0005-0000-0000-000039330000}"/>
    <cellStyle name="40 % - Markeringsfarve1 2 3 2 2 2 2 3" xfId="29001" xr:uid="{00000000-0005-0000-0000-00003A330000}"/>
    <cellStyle name="40 % - Markeringsfarve1 2 3 2 2 2 3" xfId="13988" xr:uid="{00000000-0005-0000-0000-00003B330000}"/>
    <cellStyle name="40 % - Markeringsfarve1 2 3 2 2 2 3 2" xfId="32154" xr:uid="{00000000-0005-0000-0000-00003C330000}"/>
    <cellStyle name="40 % - Markeringsfarve1 2 3 2 2 2 4" xfId="25152" xr:uid="{00000000-0005-0000-0000-00003D330000}"/>
    <cellStyle name="40 % - Markeringsfarve1 2 3 2 2 3" xfId="8508" xr:uid="{00000000-0005-0000-0000-00003E330000}"/>
    <cellStyle name="40 % - Markeringsfarve1 2 3 2 2 3 2" xfId="16425" xr:uid="{00000000-0005-0000-0000-00003F330000}"/>
    <cellStyle name="40 % - Markeringsfarve1 2 3 2 2 3 2 2" xfId="34585" xr:uid="{00000000-0005-0000-0000-000040330000}"/>
    <cellStyle name="40 % - Markeringsfarve1 2 3 2 2 3 3" xfId="27584" xr:uid="{00000000-0005-0000-0000-000041330000}"/>
    <cellStyle name="40 % - Markeringsfarve1 2 3 2 2 4" xfId="13987" xr:uid="{00000000-0005-0000-0000-000042330000}"/>
    <cellStyle name="40 % - Markeringsfarve1 2 3 2 2 4 2" xfId="32153" xr:uid="{00000000-0005-0000-0000-000043330000}"/>
    <cellStyle name="40 % - Markeringsfarve1 2 3 2 2 5" xfId="25151" xr:uid="{00000000-0005-0000-0000-000044330000}"/>
    <cellStyle name="40 % - Markeringsfarve1 2 3 2 3" xfId="5435" xr:uid="{00000000-0005-0000-0000-000045330000}"/>
    <cellStyle name="40 % - Markeringsfarve1 2 3 2 3 2" xfId="9171" xr:uid="{00000000-0005-0000-0000-000046330000}"/>
    <cellStyle name="40 % - Markeringsfarve1 2 3 2 3 2 2" xfId="17082" xr:uid="{00000000-0005-0000-0000-000047330000}"/>
    <cellStyle name="40 % - Markeringsfarve1 2 3 2 3 2 2 2" xfId="35242" xr:uid="{00000000-0005-0000-0000-000048330000}"/>
    <cellStyle name="40 % - Markeringsfarve1 2 3 2 3 2 3" xfId="28241" xr:uid="{00000000-0005-0000-0000-000049330000}"/>
    <cellStyle name="40 % - Markeringsfarve1 2 3 2 3 3" xfId="13989" xr:uid="{00000000-0005-0000-0000-00004A330000}"/>
    <cellStyle name="40 % - Markeringsfarve1 2 3 2 3 3 2" xfId="32155" xr:uid="{00000000-0005-0000-0000-00004B330000}"/>
    <cellStyle name="40 % - Markeringsfarve1 2 3 2 3 4" xfId="25153" xr:uid="{00000000-0005-0000-0000-00004C330000}"/>
    <cellStyle name="40 % - Markeringsfarve1 2 3 2 4" xfId="5436" xr:uid="{00000000-0005-0000-0000-00004D330000}"/>
    <cellStyle name="40 % - Markeringsfarve1 2 3 2 4 2" xfId="11004" xr:uid="{00000000-0005-0000-0000-00004E330000}"/>
    <cellStyle name="40 % - Markeringsfarve1 2 3 2 4 2 2" xfId="18880" xr:uid="{00000000-0005-0000-0000-00004F330000}"/>
    <cellStyle name="40 % - Markeringsfarve1 2 3 2 4 2 2 2" xfId="37040" xr:uid="{00000000-0005-0000-0000-000050330000}"/>
    <cellStyle name="40 % - Markeringsfarve1 2 3 2 4 2 3" xfId="30039" xr:uid="{00000000-0005-0000-0000-000051330000}"/>
    <cellStyle name="40 % - Markeringsfarve1 2 3 2 4 3" xfId="13990" xr:uid="{00000000-0005-0000-0000-000052330000}"/>
    <cellStyle name="40 % - Markeringsfarve1 2 3 2 4 3 2" xfId="32156" xr:uid="{00000000-0005-0000-0000-000053330000}"/>
    <cellStyle name="40 % - Markeringsfarve1 2 3 2 4 4" xfId="25154" xr:uid="{00000000-0005-0000-0000-000054330000}"/>
    <cellStyle name="40 % - Markeringsfarve1 2 3 2 5" xfId="7986" xr:uid="{00000000-0005-0000-0000-000055330000}"/>
    <cellStyle name="40 % - Markeringsfarve1 2 3 2 5 2" xfId="15904" xr:uid="{00000000-0005-0000-0000-000056330000}"/>
    <cellStyle name="40 % - Markeringsfarve1 2 3 2 5 2 2" xfId="34064" xr:uid="{00000000-0005-0000-0000-000057330000}"/>
    <cellStyle name="40 % - Markeringsfarve1 2 3 2 5 3" xfId="27063" xr:uid="{00000000-0005-0000-0000-000058330000}"/>
    <cellStyle name="40 % - Markeringsfarve1 2 3 2 6" xfId="13986" xr:uid="{00000000-0005-0000-0000-000059330000}"/>
    <cellStyle name="40 % - Markeringsfarve1 2 3 2 6 2" xfId="32152" xr:uid="{00000000-0005-0000-0000-00005A330000}"/>
    <cellStyle name="40 % - Markeringsfarve1 2 3 2 7" xfId="5432" xr:uid="{00000000-0005-0000-0000-00005B330000}"/>
    <cellStyle name="40 % - Markeringsfarve1 2 3 2 7 2" xfId="25150" xr:uid="{00000000-0005-0000-0000-00005C330000}"/>
    <cellStyle name="40 % - Markeringsfarve1 2 3 2 8" xfId="21989" xr:uid="{00000000-0005-0000-0000-00005D330000}"/>
    <cellStyle name="40 % - Markeringsfarve1 2 3 3" xfId="5437" xr:uid="{00000000-0005-0000-0000-00005E330000}"/>
    <cellStyle name="40 % - Markeringsfarve1 2 3 3 2" xfId="5438" xr:uid="{00000000-0005-0000-0000-00005F330000}"/>
    <cellStyle name="40 % - Markeringsfarve1 2 3 3 2 2" xfId="5439" xr:uid="{00000000-0005-0000-0000-000060330000}"/>
    <cellStyle name="40 % - Markeringsfarve1 2 3 3 2 2 2" xfId="10011" xr:uid="{00000000-0005-0000-0000-000061330000}"/>
    <cellStyle name="40 % - Markeringsfarve1 2 3 3 2 2 2 2" xfId="17912" xr:uid="{00000000-0005-0000-0000-000062330000}"/>
    <cellStyle name="40 % - Markeringsfarve1 2 3 3 2 2 2 2 2" xfId="36072" xr:uid="{00000000-0005-0000-0000-000063330000}"/>
    <cellStyle name="40 % - Markeringsfarve1 2 3 3 2 2 2 3" xfId="29071" xr:uid="{00000000-0005-0000-0000-000064330000}"/>
    <cellStyle name="40 % - Markeringsfarve1 2 3 3 2 2 3" xfId="13993" xr:uid="{00000000-0005-0000-0000-000065330000}"/>
    <cellStyle name="40 % - Markeringsfarve1 2 3 3 2 2 3 2" xfId="32159" xr:uid="{00000000-0005-0000-0000-000066330000}"/>
    <cellStyle name="40 % - Markeringsfarve1 2 3 3 2 2 4" xfId="25157" xr:uid="{00000000-0005-0000-0000-000067330000}"/>
    <cellStyle name="40 % - Markeringsfarve1 2 3 3 2 3" xfId="8566" xr:uid="{00000000-0005-0000-0000-000068330000}"/>
    <cellStyle name="40 % - Markeringsfarve1 2 3 3 2 3 2" xfId="16483" xr:uid="{00000000-0005-0000-0000-000069330000}"/>
    <cellStyle name="40 % - Markeringsfarve1 2 3 3 2 3 2 2" xfId="34643" xr:uid="{00000000-0005-0000-0000-00006A330000}"/>
    <cellStyle name="40 % - Markeringsfarve1 2 3 3 2 3 3" xfId="27642" xr:uid="{00000000-0005-0000-0000-00006B330000}"/>
    <cellStyle name="40 % - Markeringsfarve1 2 3 3 2 4" xfId="13992" xr:uid="{00000000-0005-0000-0000-00006C330000}"/>
    <cellStyle name="40 % - Markeringsfarve1 2 3 3 2 4 2" xfId="32158" xr:uid="{00000000-0005-0000-0000-00006D330000}"/>
    <cellStyle name="40 % - Markeringsfarve1 2 3 3 2 5" xfId="25156" xr:uid="{00000000-0005-0000-0000-00006E330000}"/>
    <cellStyle name="40 % - Markeringsfarve1 2 3 3 3" xfId="5440" xr:uid="{00000000-0005-0000-0000-00006F330000}"/>
    <cellStyle name="40 % - Markeringsfarve1 2 3 3 3 2" xfId="9241" xr:uid="{00000000-0005-0000-0000-000070330000}"/>
    <cellStyle name="40 % - Markeringsfarve1 2 3 3 3 2 2" xfId="17152" xr:uid="{00000000-0005-0000-0000-000071330000}"/>
    <cellStyle name="40 % - Markeringsfarve1 2 3 3 3 2 2 2" xfId="35312" xr:uid="{00000000-0005-0000-0000-000072330000}"/>
    <cellStyle name="40 % - Markeringsfarve1 2 3 3 3 2 3" xfId="28311" xr:uid="{00000000-0005-0000-0000-000073330000}"/>
    <cellStyle name="40 % - Markeringsfarve1 2 3 3 3 3" xfId="13994" xr:uid="{00000000-0005-0000-0000-000074330000}"/>
    <cellStyle name="40 % - Markeringsfarve1 2 3 3 3 3 2" xfId="32160" xr:uid="{00000000-0005-0000-0000-000075330000}"/>
    <cellStyle name="40 % - Markeringsfarve1 2 3 3 3 4" xfId="25158" xr:uid="{00000000-0005-0000-0000-000076330000}"/>
    <cellStyle name="40 % - Markeringsfarve1 2 3 3 4" xfId="5441" xr:uid="{00000000-0005-0000-0000-000077330000}"/>
    <cellStyle name="40 % - Markeringsfarve1 2 3 3 4 2" xfId="10724" xr:uid="{00000000-0005-0000-0000-000078330000}"/>
    <cellStyle name="40 % - Markeringsfarve1 2 3 3 4 2 2" xfId="18613" xr:uid="{00000000-0005-0000-0000-000079330000}"/>
    <cellStyle name="40 % - Markeringsfarve1 2 3 3 4 2 2 2" xfId="36773" xr:uid="{00000000-0005-0000-0000-00007A330000}"/>
    <cellStyle name="40 % - Markeringsfarve1 2 3 3 4 2 3" xfId="29772" xr:uid="{00000000-0005-0000-0000-00007B330000}"/>
    <cellStyle name="40 % - Markeringsfarve1 2 3 3 4 3" xfId="13995" xr:uid="{00000000-0005-0000-0000-00007C330000}"/>
    <cellStyle name="40 % - Markeringsfarve1 2 3 3 4 3 2" xfId="32161" xr:uid="{00000000-0005-0000-0000-00007D330000}"/>
    <cellStyle name="40 % - Markeringsfarve1 2 3 3 4 4" xfId="25159" xr:uid="{00000000-0005-0000-0000-00007E330000}"/>
    <cellStyle name="40 % - Markeringsfarve1 2 3 3 5" xfId="7987" xr:uid="{00000000-0005-0000-0000-00007F330000}"/>
    <cellStyle name="40 % - Markeringsfarve1 2 3 3 5 2" xfId="15905" xr:uid="{00000000-0005-0000-0000-000080330000}"/>
    <cellStyle name="40 % - Markeringsfarve1 2 3 3 5 2 2" xfId="34065" xr:uid="{00000000-0005-0000-0000-000081330000}"/>
    <cellStyle name="40 % - Markeringsfarve1 2 3 3 5 3" xfId="27064" xr:uid="{00000000-0005-0000-0000-000082330000}"/>
    <cellStyle name="40 % - Markeringsfarve1 2 3 3 6" xfId="13991" xr:uid="{00000000-0005-0000-0000-000083330000}"/>
    <cellStyle name="40 % - Markeringsfarve1 2 3 3 6 2" xfId="32157" xr:uid="{00000000-0005-0000-0000-000084330000}"/>
    <cellStyle name="40 % - Markeringsfarve1 2 3 3 7" xfId="25155" xr:uid="{00000000-0005-0000-0000-000085330000}"/>
    <cellStyle name="40 % - Markeringsfarve1 2 3 4" xfId="5442" xr:uid="{00000000-0005-0000-0000-000086330000}"/>
    <cellStyle name="40 % - Markeringsfarve1 2 3 4 2" xfId="5443" xr:uid="{00000000-0005-0000-0000-000087330000}"/>
    <cellStyle name="40 % - Markeringsfarve1 2 3 4 2 2" xfId="5444" xr:uid="{00000000-0005-0000-0000-000088330000}"/>
    <cellStyle name="40 % - Markeringsfarve1 2 3 4 2 2 2" xfId="10179" xr:uid="{00000000-0005-0000-0000-000089330000}"/>
    <cellStyle name="40 % - Markeringsfarve1 2 3 4 2 2 2 2" xfId="18080" xr:uid="{00000000-0005-0000-0000-00008A330000}"/>
    <cellStyle name="40 % - Markeringsfarve1 2 3 4 2 2 2 2 2" xfId="36240" xr:uid="{00000000-0005-0000-0000-00008B330000}"/>
    <cellStyle name="40 % - Markeringsfarve1 2 3 4 2 2 2 3" xfId="29239" xr:uid="{00000000-0005-0000-0000-00008C330000}"/>
    <cellStyle name="40 % - Markeringsfarve1 2 3 4 2 2 3" xfId="13998" xr:uid="{00000000-0005-0000-0000-00008D330000}"/>
    <cellStyle name="40 % - Markeringsfarve1 2 3 4 2 2 3 2" xfId="32164" xr:uid="{00000000-0005-0000-0000-00008E330000}"/>
    <cellStyle name="40 % - Markeringsfarve1 2 3 4 2 2 4" xfId="25162" xr:uid="{00000000-0005-0000-0000-00008F330000}"/>
    <cellStyle name="40 % - Markeringsfarve1 2 3 4 2 3" xfId="8710" xr:uid="{00000000-0005-0000-0000-000090330000}"/>
    <cellStyle name="40 % - Markeringsfarve1 2 3 4 2 3 2" xfId="16624" xr:uid="{00000000-0005-0000-0000-000091330000}"/>
    <cellStyle name="40 % - Markeringsfarve1 2 3 4 2 3 2 2" xfId="34784" xr:uid="{00000000-0005-0000-0000-000092330000}"/>
    <cellStyle name="40 % - Markeringsfarve1 2 3 4 2 3 3" xfId="27783" xr:uid="{00000000-0005-0000-0000-000093330000}"/>
    <cellStyle name="40 % - Markeringsfarve1 2 3 4 2 4" xfId="13997" xr:uid="{00000000-0005-0000-0000-000094330000}"/>
    <cellStyle name="40 % - Markeringsfarve1 2 3 4 2 4 2" xfId="32163" xr:uid="{00000000-0005-0000-0000-000095330000}"/>
    <cellStyle name="40 % - Markeringsfarve1 2 3 4 2 5" xfId="25161" xr:uid="{00000000-0005-0000-0000-000096330000}"/>
    <cellStyle name="40 % - Markeringsfarve1 2 3 4 3" xfId="5445" xr:uid="{00000000-0005-0000-0000-000097330000}"/>
    <cellStyle name="40 % - Markeringsfarve1 2 3 4 3 2" xfId="9455" xr:uid="{00000000-0005-0000-0000-000098330000}"/>
    <cellStyle name="40 % - Markeringsfarve1 2 3 4 3 2 2" xfId="17365" xr:uid="{00000000-0005-0000-0000-000099330000}"/>
    <cellStyle name="40 % - Markeringsfarve1 2 3 4 3 2 2 2" xfId="35525" xr:uid="{00000000-0005-0000-0000-00009A330000}"/>
    <cellStyle name="40 % - Markeringsfarve1 2 3 4 3 2 3" xfId="28524" xr:uid="{00000000-0005-0000-0000-00009B330000}"/>
    <cellStyle name="40 % - Markeringsfarve1 2 3 4 3 3" xfId="13999" xr:uid="{00000000-0005-0000-0000-00009C330000}"/>
    <cellStyle name="40 % - Markeringsfarve1 2 3 4 3 3 2" xfId="32165" xr:uid="{00000000-0005-0000-0000-00009D330000}"/>
    <cellStyle name="40 % - Markeringsfarve1 2 3 4 3 4" xfId="25163" xr:uid="{00000000-0005-0000-0000-00009E330000}"/>
    <cellStyle name="40 % - Markeringsfarve1 2 3 4 4" xfId="5446" xr:uid="{00000000-0005-0000-0000-00009F330000}"/>
    <cellStyle name="40 % - Markeringsfarve1 2 3 4 4 2" xfId="10945" xr:uid="{00000000-0005-0000-0000-0000A0330000}"/>
    <cellStyle name="40 % - Markeringsfarve1 2 3 4 4 2 2" xfId="18825" xr:uid="{00000000-0005-0000-0000-0000A1330000}"/>
    <cellStyle name="40 % - Markeringsfarve1 2 3 4 4 2 2 2" xfId="36985" xr:uid="{00000000-0005-0000-0000-0000A2330000}"/>
    <cellStyle name="40 % - Markeringsfarve1 2 3 4 4 2 3" xfId="29984" xr:uid="{00000000-0005-0000-0000-0000A3330000}"/>
    <cellStyle name="40 % - Markeringsfarve1 2 3 4 4 3" xfId="14000" xr:uid="{00000000-0005-0000-0000-0000A4330000}"/>
    <cellStyle name="40 % - Markeringsfarve1 2 3 4 4 3 2" xfId="32166" xr:uid="{00000000-0005-0000-0000-0000A5330000}"/>
    <cellStyle name="40 % - Markeringsfarve1 2 3 4 4 4" xfId="25164" xr:uid="{00000000-0005-0000-0000-0000A6330000}"/>
    <cellStyle name="40 % - Markeringsfarve1 2 3 4 5" xfId="7988" xr:uid="{00000000-0005-0000-0000-0000A7330000}"/>
    <cellStyle name="40 % - Markeringsfarve1 2 3 4 5 2" xfId="15906" xr:uid="{00000000-0005-0000-0000-0000A8330000}"/>
    <cellStyle name="40 % - Markeringsfarve1 2 3 4 5 2 2" xfId="34066" xr:uid="{00000000-0005-0000-0000-0000A9330000}"/>
    <cellStyle name="40 % - Markeringsfarve1 2 3 4 5 3" xfId="27065" xr:uid="{00000000-0005-0000-0000-0000AA330000}"/>
    <cellStyle name="40 % - Markeringsfarve1 2 3 4 6" xfId="13996" xr:uid="{00000000-0005-0000-0000-0000AB330000}"/>
    <cellStyle name="40 % - Markeringsfarve1 2 3 4 6 2" xfId="32162" xr:uid="{00000000-0005-0000-0000-0000AC330000}"/>
    <cellStyle name="40 % - Markeringsfarve1 2 3 4 7" xfId="25160" xr:uid="{00000000-0005-0000-0000-0000AD330000}"/>
    <cellStyle name="40 % - Markeringsfarve1 2 3 5" xfId="5447" xr:uid="{00000000-0005-0000-0000-0000AE330000}"/>
    <cellStyle name="40 % - Markeringsfarve1 2 3 5 2" xfId="5448" xr:uid="{00000000-0005-0000-0000-0000AF330000}"/>
    <cellStyle name="40 % - Markeringsfarve1 2 3 5 2 2" xfId="5449" xr:uid="{00000000-0005-0000-0000-0000B0330000}"/>
    <cellStyle name="40 % - Markeringsfarve1 2 3 5 2 2 2" xfId="10296" xr:uid="{00000000-0005-0000-0000-0000B1330000}"/>
    <cellStyle name="40 % - Markeringsfarve1 2 3 5 2 2 2 2" xfId="18197" xr:uid="{00000000-0005-0000-0000-0000B2330000}"/>
    <cellStyle name="40 % - Markeringsfarve1 2 3 5 2 2 2 2 2" xfId="36357" xr:uid="{00000000-0005-0000-0000-0000B3330000}"/>
    <cellStyle name="40 % - Markeringsfarve1 2 3 5 2 2 2 3" xfId="29356" xr:uid="{00000000-0005-0000-0000-0000B4330000}"/>
    <cellStyle name="40 % - Markeringsfarve1 2 3 5 2 2 3" xfId="14003" xr:uid="{00000000-0005-0000-0000-0000B5330000}"/>
    <cellStyle name="40 % - Markeringsfarve1 2 3 5 2 2 3 2" xfId="32169" xr:uid="{00000000-0005-0000-0000-0000B6330000}"/>
    <cellStyle name="40 % - Markeringsfarve1 2 3 5 2 2 4" xfId="25167" xr:uid="{00000000-0005-0000-0000-0000B7330000}"/>
    <cellStyle name="40 % - Markeringsfarve1 2 3 5 2 3" xfId="8809" xr:uid="{00000000-0005-0000-0000-0000B8330000}"/>
    <cellStyle name="40 % - Markeringsfarve1 2 3 5 2 3 2" xfId="16723" xr:uid="{00000000-0005-0000-0000-0000B9330000}"/>
    <cellStyle name="40 % - Markeringsfarve1 2 3 5 2 3 2 2" xfId="34883" xr:uid="{00000000-0005-0000-0000-0000BA330000}"/>
    <cellStyle name="40 % - Markeringsfarve1 2 3 5 2 3 3" xfId="27882" xr:uid="{00000000-0005-0000-0000-0000BB330000}"/>
    <cellStyle name="40 % - Markeringsfarve1 2 3 5 2 4" xfId="14002" xr:uid="{00000000-0005-0000-0000-0000BC330000}"/>
    <cellStyle name="40 % - Markeringsfarve1 2 3 5 2 4 2" xfId="32168" xr:uid="{00000000-0005-0000-0000-0000BD330000}"/>
    <cellStyle name="40 % - Markeringsfarve1 2 3 5 2 5" xfId="25166" xr:uid="{00000000-0005-0000-0000-0000BE330000}"/>
    <cellStyle name="40 % - Markeringsfarve1 2 3 5 3" xfId="5450" xr:uid="{00000000-0005-0000-0000-0000BF330000}"/>
    <cellStyle name="40 % - Markeringsfarve1 2 3 5 3 2" xfId="9572" xr:uid="{00000000-0005-0000-0000-0000C0330000}"/>
    <cellStyle name="40 % - Markeringsfarve1 2 3 5 3 2 2" xfId="17482" xr:uid="{00000000-0005-0000-0000-0000C1330000}"/>
    <cellStyle name="40 % - Markeringsfarve1 2 3 5 3 2 2 2" xfId="35642" xr:uid="{00000000-0005-0000-0000-0000C2330000}"/>
    <cellStyle name="40 % - Markeringsfarve1 2 3 5 3 2 3" xfId="28641" xr:uid="{00000000-0005-0000-0000-0000C3330000}"/>
    <cellStyle name="40 % - Markeringsfarve1 2 3 5 3 3" xfId="14004" xr:uid="{00000000-0005-0000-0000-0000C4330000}"/>
    <cellStyle name="40 % - Markeringsfarve1 2 3 5 3 3 2" xfId="32170" xr:uid="{00000000-0005-0000-0000-0000C5330000}"/>
    <cellStyle name="40 % - Markeringsfarve1 2 3 5 3 4" xfId="25168" xr:uid="{00000000-0005-0000-0000-0000C6330000}"/>
    <cellStyle name="40 % - Markeringsfarve1 2 3 5 4" xfId="5451" xr:uid="{00000000-0005-0000-0000-0000C7330000}"/>
    <cellStyle name="40 % - Markeringsfarve1 2 3 5 4 2" xfId="10668" xr:uid="{00000000-0005-0000-0000-0000C8330000}"/>
    <cellStyle name="40 % - Markeringsfarve1 2 3 5 4 2 2" xfId="18560" xr:uid="{00000000-0005-0000-0000-0000C9330000}"/>
    <cellStyle name="40 % - Markeringsfarve1 2 3 5 4 2 2 2" xfId="36720" xr:uid="{00000000-0005-0000-0000-0000CA330000}"/>
    <cellStyle name="40 % - Markeringsfarve1 2 3 5 4 2 3" xfId="29719" xr:uid="{00000000-0005-0000-0000-0000CB330000}"/>
    <cellStyle name="40 % - Markeringsfarve1 2 3 5 4 3" xfId="14005" xr:uid="{00000000-0005-0000-0000-0000CC330000}"/>
    <cellStyle name="40 % - Markeringsfarve1 2 3 5 4 3 2" xfId="32171" xr:uid="{00000000-0005-0000-0000-0000CD330000}"/>
    <cellStyle name="40 % - Markeringsfarve1 2 3 5 4 4" xfId="25169" xr:uid="{00000000-0005-0000-0000-0000CE330000}"/>
    <cellStyle name="40 % - Markeringsfarve1 2 3 5 5" xfId="7989" xr:uid="{00000000-0005-0000-0000-0000CF330000}"/>
    <cellStyle name="40 % - Markeringsfarve1 2 3 5 5 2" xfId="15907" xr:uid="{00000000-0005-0000-0000-0000D0330000}"/>
    <cellStyle name="40 % - Markeringsfarve1 2 3 5 5 2 2" xfId="34067" xr:uid="{00000000-0005-0000-0000-0000D1330000}"/>
    <cellStyle name="40 % - Markeringsfarve1 2 3 5 5 3" xfId="27066" xr:uid="{00000000-0005-0000-0000-0000D2330000}"/>
    <cellStyle name="40 % - Markeringsfarve1 2 3 5 6" xfId="14001" xr:uid="{00000000-0005-0000-0000-0000D3330000}"/>
    <cellStyle name="40 % - Markeringsfarve1 2 3 5 6 2" xfId="32167" xr:uid="{00000000-0005-0000-0000-0000D4330000}"/>
    <cellStyle name="40 % - Markeringsfarve1 2 3 5 7" xfId="25165" xr:uid="{00000000-0005-0000-0000-0000D5330000}"/>
    <cellStyle name="40 % - Markeringsfarve1 2 3 6" xfId="5452" xr:uid="{00000000-0005-0000-0000-0000D6330000}"/>
    <cellStyle name="40 % - Markeringsfarve1 2 3 6 2" xfId="5453" xr:uid="{00000000-0005-0000-0000-0000D7330000}"/>
    <cellStyle name="40 % - Markeringsfarve1 2 3 6 2 2" xfId="5454" xr:uid="{00000000-0005-0000-0000-0000D8330000}"/>
    <cellStyle name="40 % - Markeringsfarve1 2 3 6 2 2 2" xfId="10365" xr:uid="{00000000-0005-0000-0000-0000D9330000}"/>
    <cellStyle name="40 % - Markeringsfarve1 2 3 6 2 2 2 2" xfId="18266" xr:uid="{00000000-0005-0000-0000-0000DA330000}"/>
    <cellStyle name="40 % - Markeringsfarve1 2 3 6 2 2 2 2 2" xfId="36426" xr:uid="{00000000-0005-0000-0000-0000DB330000}"/>
    <cellStyle name="40 % - Markeringsfarve1 2 3 6 2 2 2 3" xfId="29425" xr:uid="{00000000-0005-0000-0000-0000DC330000}"/>
    <cellStyle name="40 % - Markeringsfarve1 2 3 6 2 2 3" xfId="14008" xr:uid="{00000000-0005-0000-0000-0000DD330000}"/>
    <cellStyle name="40 % - Markeringsfarve1 2 3 6 2 2 3 2" xfId="32174" xr:uid="{00000000-0005-0000-0000-0000DE330000}"/>
    <cellStyle name="40 % - Markeringsfarve1 2 3 6 2 2 4" xfId="25172" xr:uid="{00000000-0005-0000-0000-0000DF330000}"/>
    <cellStyle name="40 % - Markeringsfarve1 2 3 6 2 3" xfId="8867" xr:uid="{00000000-0005-0000-0000-0000E0330000}"/>
    <cellStyle name="40 % - Markeringsfarve1 2 3 6 2 3 2" xfId="16781" xr:uid="{00000000-0005-0000-0000-0000E1330000}"/>
    <cellStyle name="40 % - Markeringsfarve1 2 3 6 2 3 2 2" xfId="34941" xr:uid="{00000000-0005-0000-0000-0000E2330000}"/>
    <cellStyle name="40 % - Markeringsfarve1 2 3 6 2 3 3" xfId="27940" xr:uid="{00000000-0005-0000-0000-0000E3330000}"/>
    <cellStyle name="40 % - Markeringsfarve1 2 3 6 2 4" xfId="14007" xr:uid="{00000000-0005-0000-0000-0000E4330000}"/>
    <cellStyle name="40 % - Markeringsfarve1 2 3 6 2 4 2" xfId="32173" xr:uid="{00000000-0005-0000-0000-0000E5330000}"/>
    <cellStyle name="40 % - Markeringsfarve1 2 3 6 2 5" xfId="25171" xr:uid="{00000000-0005-0000-0000-0000E6330000}"/>
    <cellStyle name="40 % - Markeringsfarve1 2 3 6 3" xfId="5455" xr:uid="{00000000-0005-0000-0000-0000E7330000}"/>
    <cellStyle name="40 % - Markeringsfarve1 2 3 6 3 2" xfId="9642" xr:uid="{00000000-0005-0000-0000-0000E8330000}"/>
    <cellStyle name="40 % - Markeringsfarve1 2 3 6 3 2 2" xfId="17552" xr:uid="{00000000-0005-0000-0000-0000E9330000}"/>
    <cellStyle name="40 % - Markeringsfarve1 2 3 6 3 2 2 2" xfId="35712" xr:uid="{00000000-0005-0000-0000-0000EA330000}"/>
    <cellStyle name="40 % - Markeringsfarve1 2 3 6 3 2 3" xfId="28711" xr:uid="{00000000-0005-0000-0000-0000EB330000}"/>
    <cellStyle name="40 % - Markeringsfarve1 2 3 6 3 3" xfId="14009" xr:uid="{00000000-0005-0000-0000-0000EC330000}"/>
    <cellStyle name="40 % - Markeringsfarve1 2 3 6 3 3 2" xfId="32175" xr:uid="{00000000-0005-0000-0000-0000ED330000}"/>
    <cellStyle name="40 % - Markeringsfarve1 2 3 6 3 4" xfId="25173" xr:uid="{00000000-0005-0000-0000-0000EE330000}"/>
    <cellStyle name="40 % - Markeringsfarve1 2 3 6 4" xfId="5456" xr:uid="{00000000-0005-0000-0000-0000EF330000}"/>
    <cellStyle name="40 % - Markeringsfarve1 2 3 6 4 2" xfId="10903" xr:uid="{00000000-0005-0000-0000-0000F0330000}"/>
    <cellStyle name="40 % - Markeringsfarve1 2 3 6 4 2 2" xfId="18785" xr:uid="{00000000-0005-0000-0000-0000F1330000}"/>
    <cellStyle name="40 % - Markeringsfarve1 2 3 6 4 2 2 2" xfId="36945" xr:uid="{00000000-0005-0000-0000-0000F2330000}"/>
    <cellStyle name="40 % - Markeringsfarve1 2 3 6 4 2 3" xfId="29944" xr:uid="{00000000-0005-0000-0000-0000F3330000}"/>
    <cellStyle name="40 % - Markeringsfarve1 2 3 6 4 3" xfId="14010" xr:uid="{00000000-0005-0000-0000-0000F4330000}"/>
    <cellStyle name="40 % - Markeringsfarve1 2 3 6 4 3 2" xfId="32176" xr:uid="{00000000-0005-0000-0000-0000F5330000}"/>
    <cellStyle name="40 % - Markeringsfarve1 2 3 6 4 4" xfId="25174" xr:uid="{00000000-0005-0000-0000-0000F6330000}"/>
    <cellStyle name="40 % - Markeringsfarve1 2 3 6 5" xfId="7990" xr:uid="{00000000-0005-0000-0000-0000F7330000}"/>
    <cellStyle name="40 % - Markeringsfarve1 2 3 6 5 2" xfId="15908" xr:uid="{00000000-0005-0000-0000-0000F8330000}"/>
    <cellStyle name="40 % - Markeringsfarve1 2 3 6 5 2 2" xfId="34068" xr:uid="{00000000-0005-0000-0000-0000F9330000}"/>
    <cellStyle name="40 % - Markeringsfarve1 2 3 6 5 3" xfId="27067" xr:uid="{00000000-0005-0000-0000-0000FA330000}"/>
    <cellStyle name="40 % - Markeringsfarve1 2 3 6 6" xfId="14006" xr:uid="{00000000-0005-0000-0000-0000FB330000}"/>
    <cellStyle name="40 % - Markeringsfarve1 2 3 6 6 2" xfId="32172" xr:uid="{00000000-0005-0000-0000-0000FC330000}"/>
    <cellStyle name="40 % - Markeringsfarve1 2 3 6 7" xfId="25170" xr:uid="{00000000-0005-0000-0000-0000FD330000}"/>
    <cellStyle name="40 % - Markeringsfarve1 2 3 7" xfId="5457" xr:uid="{00000000-0005-0000-0000-0000FE330000}"/>
    <cellStyle name="40 % - Markeringsfarve1 2 3 7 2" xfId="5458" xr:uid="{00000000-0005-0000-0000-0000FF330000}"/>
    <cellStyle name="40 % - Markeringsfarve1 2 3 7 2 2" xfId="9822" xr:uid="{00000000-0005-0000-0000-000000340000}"/>
    <cellStyle name="40 % - Markeringsfarve1 2 3 7 2 2 2" xfId="17723" xr:uid="{00000000-0005-0000-0000-000001340000}"/>
    <cellStyle name="40 % - Markeringsfarve1 2 3 7 2 2 2 2" xfId="35883" xr:uid="{00000000-0005-0000-0000-000002340000}"/>
    <cellStyle name="40 % - Markeringsfarve1 2 3 7 2 2 3" xfId="28882" xr:uid="{00000000-0005-0000-0000-000003340000}"/>
    <cellStyle name="40 % - Markeringsfarve1 2 3 7 2 3" xfId="14012" xr:uid="{00000000-0005-0000-0000-000004340000}"/>
    <cellStyle name="40 % - Markeringsfarve1 2 3 7 2 3 2" xfId="32178" xr:uid="{00000000-0005-0000-0000-000005340000}"/>
    <cellStyle name="40 % - Markeringsfarve1 2 3 7 2 4" xfId="25176" xr:uid="{00000000-0005-0000-0000-000006340000}"/>
    <cellStyle name="40 % - Markeringsfarve1 2 3 7 3" xfId="8409" xr:uid="{00000000-0005-0000-0000-000007340000}"/>
    <cellStyle name="40 % - Markeringsfarve1 2 3 7 3 2" xfId="16326" xr:uid="{00000000-0005-0000-0000-000008340000}"/>
    <cellStyle name="40 % - Markeringsfarve1 2 3 7 3 2 2" xfId="34486" xr:uid="{00000000-0005-0000-0000-000009340000}"/>
    <cellStyle name="40 % - Markeringsfarve1 2 3 7 3 3" xfId="27485" xr:uid="{00000000-0005-0000-0000-00000A340000}"/>
    <cellStyle name="40 % - Markeringsfarve1 2 3 7 4" xfId="14011" xr:uid="{00000000-0005-0000-0000-00000B340000}"/>
    <cellStyle name="40 % - Markeringsfarve1 2 3 7 4 2" xfId="32177" xr:uid="{00000000-0005-0000-0000-00000C340000}"/>
    <cellStyle name="40 % - Markeringsfarve1 2 3 7 5" xfId="25175" xr:uid="{00000000-0005-0000-0000-00000D340000}"/>
    <cellStyle name="40 % - Markeringsfarve1 2 3 8" xfId="5459" xr:uid="{00000000-0005-0000-0000-00000E340000}"/>
    <cellStyle name="40 % - Markeringsfarve1 2 3 8 2" xfId="9050" xr:uid="{00000000-0005-0000-0000-00000F340000}"/>
    <cellStyle name="40 % - Markeringsfarve1 2 3 8 2 2" xfId="16961" xr:uid="{00000000-0005-0000-0000-000010340000}"/>
    <cellStyle name="40 % - Markeringsfarve1 2 3 8 2 2 2" xfId="35121" xr:uid="{00000000-0005-0000-0000-000011340000}"/>
    <cellStyle name="40 % - Markeringsfarve1 2 3 8 2 3" xfId="28120" xr:uid="{00000000-0005-0000-0000-000012340000}"/>
    <cellStyle name="40 % - Markeringsfarve1 2 3 8 3" xfId="14013" xr:uid="{00000000-0005-0000-0000-000013340000}"/>
    <cellStyle name="40 % - Markeringsfarve1 2 3 8 3 2" xfId="32179" xr:uid="{00000000-0005-0000-0000-000014340000}"/>
    <cellStyle name="40 % - Markeringsfarve1 2 3 8 4" xfId="25177" xr:uid="{00000000-0005-0000-0000-000015340000}"/>
    <cellStyle name="40 % - Markeringsfarve1 2 3 9" xfId="5460" xr:uid="{00000000-0005-0000-0000-000016340000}"/>
    <cellStyle name="40 % - Markeringsfarve1 2 3 9 2" xfId="10772" xr:uid="{00000000-0005-0000-0000-000017340000}"/>
    <cellStyle name="40 % - Markeringsfarve1 2 3 9 2 2" xfId="18660" xr:uid="{00000000-0005-0000-0000-000018340000}"/>
    <cellStyle name="40 % - Markeringsfarve1 2 3 9 2 2 2" xfId="36820" xr:uid="{00000000-0005-0000-0000-000019340000}"/>
    <cellStyle name="40 % - Markeringsfarve1 2 3 9 2 3" xfId="29819" xr:uid="{00000000-0005-0000-0000-00001A340000}"/>
    <cellStyle name="40 % - Markeringsfarve1 2 3 9 3" xfId="14014" xr:uid="{00000000-0005-0000-0000-00001B340000}"/>
    <cellStyle name="40 % - Markeringsfarve1 2 3 9 3 2" xfId="32180" xr:uid="{00000000-0005-0000-0000-00001C340000}"/>
    <cellStyle name="40 % - Markeringsfarve1 2 3 9 4" xfId="25178" xr:uid="{00000000-0005-0000-0000-00001D340000}"/>
    <cellStyle name="40 % - Markeringsfarve1 2 4" xfId="1872" xr:uid="{00000000-0005-0000-0000-00001E340000}"/>
    <cellStyle name="40 % - Markeringsfarve1 2 4 2" xfId="5462" xr:uid="{00000000-0005-0000-0000-00001F340000}"/>
    <cellStyle name="40 % - Markeringsfarve1 2 4 2 2" xfId="5463" xr:uid="{00000000-0005-0000-0000-000020340000}"/>
    <cellStyle name="40 % - Markeringsfarve1 2 4 2 2 2" xfId="9863" xr:uid="{00000000-0005-0000-0000-000021340000}"/>
    <cellStyle name="40 % - Markeringsfarve1 2 4 2 2 2 2" xfId="17764" xr:uid="{00000000-0005-0000-0000-000022340000}"/>
    <cellStyle name="40 % - Markeringsfarve1 2 4 2 2 2 2 2" xfId="35924" xr:uid="{00000000-0005-0000-0000-000023340000}"/>
    <cellStyle name="40 % - Markeringsfarve1 2 4 2 2 2 3" xfId="28923" xr:uid="{00000000-0005-0000-0000-000024340000}"/>
    <cellStyle name="40 % - Markeringsfarve1 2 4 2 2 3" xfId="14017" xr:uid="{00000000-0005-0000-0000-000025340000}"/>
    <cellStyle name="40 % - Markeringsfarve1 2 4 2 2 3 2" xfId="32183" xr:uid="{00000000-0005-0000-0000-000026340000}"/>
    <cellStyle name="40 % - Markeringsfarve1 2 4 2 2 4" xfId="25181" xr:uid="{00000000-0005-0000-0000-000027340000}"/>
    <cellStyle name="40 % - Markeringsfarve1 2 4 2 3" xfId="8442" xr:uid="{00000000-0005-0000-0000-000028340000}"/>
    <cellStyle name="40 % - Markeringsfarve1 2 4 2 3 2" xfId="16359" xr:uid="{00000000-0005-0000-0000-000029340000}"/>
    <cellStyle name="40 % - Markeringsfarve1 2 4 2 3 2 2" xfId="34519" xr:uid="{00000000-0005-0000-0000-00002A340000}"/>
    <cellStyle name="40 % - Markeringsfarve1 2 4 2 3 3" xfId="27518" xr:uid="{00000000-0005-0000-0000-00002B340000}"/>
    <cellStyle name="40 % - Markeringsfarve1 2 4 2 4" xfId="14016" xr:uid="{00000000-0005-0000-0000-00002C340000}"/>
    <cellStyle name="40 % - Markeringsfarve1 2 4 2 4 2" xfId="32182" xr:uid="{00000000-0005-0000-0000-00002D340000}"/>
    <cellStyle name="40 % - Markeringsfarve1 2 4 2 5" xfId="25180" xr:uid="{00000000-0005-0000-0000-00002E340000}"/>
    <cellStyle name="40 % - Markeringsfarve1 2 4 3" xfId="5464" xr:uid="{00000000-0005-0000-0000-00002F340000}"/>
    <cellStyle name="40 % - Markeringsfarve1 2 4 3 2" xfId="9093" xr:uid="{00000000-0005-0000-0000-000030340000}"/>
    <cellStyle name="40 % - Markeringsfarve1 2 4 3 2 2" xfId="17004" xr:uid="{00000000-0005-0000-0000-000031340000}"/>
    <cellStyle name="40 % - Markeringsfarve1 2 4 3 2 2 2" xfId="35164" xr:uid="{00000000-0005-0000-0000-000032340000}"/>
    <cellStyle name="40 % - Markeringsfarve1 2 4 3 2 3" xfId="28163" xr:uid="{00000000-0005-0000-0000-000033340000}"/>
    <cellStyle name="40 % - Markeringsfarve1 2 4 3 3" xfId="14018" xr:uid="{00000000-0005-0000-0000-000034340000}"/>
    <cellStyle name="40 % - Markeringsfarve1 2 4 3 3 2" xfId="32184" xr:uid="{00000000-0005-0000-0000-000035340000}"/>
    <cellStyle name="40 % - Markeringsfarve1 2 4 3 4" xfId="25182" xr:uid="{00000000-0005-0000-0000-000036340000}"/>
    <cellStyle name="40 % - Markeringsfarve1 2 4 4" xfId="5465" xr:uid="{00000000-0005-0000-0000-000037340000}"/>
    <cellStyle name="40 % - Markeringsfarve1 2 4 4 2" xfId="10627" xr:uid="{00000000-0005-0000-0000-000038340000}"/>
    <cellStyle name="40 % - Markeringsfarve1 2 4 4 2 2" xfId="18520" xr:uid="{00000000-0005-0000-0000-000039340000}"/>
    <cellStyle name="40 % - Markeringsfarve1 2 4 4 2 2 2" xfId="36680" xr:uid="{00000000-0005-0000-0000-00003A340000}"/>
    <cellStyle name="40 % - Markeringsfarve1 2 4 4 2 3" xfId="29679" xr:uid="{00000000-0005-0000-0000-00003B340000}"/>
    <cellStyle name="40 % - Markeringsfarve1 2 4 4 3" xfId="14019" xr:uid="{00000000-0005-0000-0000-00003C340000}"/>
    <cellStyle name="40 % - Markeringsfarve1 2 4 4 3 2" xfId="32185" xr:uid="{00000000-0005-0000-0000-00003D340000}"/>
    <cellStyle name="40 % - Markeringsfarve1 2 4 4 4" xfId="25183" xr:uid="{00000000-0005-0000-0000-00003E340000}"/>
    <cellStyle name="40 % - Markeringsfarve1 2 4 5" xfId="7991" xr:uid="{00000000-0005-0000-0000-00003F340000}"/>
    <cellStyle name="40 % - Markeringsfarve1 2 4 5 2" xfId="15909" xr:uid="{00000000-0005-0000-0000-000040340000}"/>
    <cellStyle name="40 % - Markeringsfarve1 2 4 5 2 2" xfId="34069" xr:uid="{00000000-0005-0000-0000-000041340000}"/>
    <cellStyle name="40 % - Markeringsfarve1 2 4 5 3" xfId="27068" xr:uid="{00000000-0005-0000-0000-000042340000}"/>
    <cellStyle name="40 % - Markeringsfarve1 2 4 6" xfId="14015" xr:uid="{00000000-0005-0000-0000-000043340000}"/>
    <cellStyle name="40 % - Markeringsfarve1 2 4 6 2" xfId="32181" xr:uid="{00000000-0005-0000-0000-000044340000}"/>
    <cellStyle name="40 % - Markeringsfarve1 2 4 7" xfId="5461" xr:uid="{00000000-0005-0000-0000-000045340000}"/>
    <cellStyle name="40 % - Markeringsfarve1 2 4 7 2" xfId="25179" xr:uid="{00000000-0005-0000-0000-000046340000}"/>
    <cellStyle name="40 % - Markeringsfarve1 2 4 8" xfId="21990" xr:uid="{00000000-0005-0000-0000-000047340000}"/>
    <cellStyle name="40 % - Markeringsfarve1 2 5" xfId="5466" xr:uid="{00000000-0005-0000-0000-000048340000}"/>
    <cellStyle name="40 % - Markeringsfarve1 2 5 2" xfId="5467" xr:uid="{00000000-0005-0000-0000-000049340000}"/>
    <cellStyle name="40 % - Markeringsfarve1 2 5 2 2" xfId="5468" xr:uid="{00000000-0005-0000-0000-00004A340000}"/>
    <cellStyle name="40 % - Markeringsfarve1 2 5 2 2 2" xfId="10009" xr:uid="{00000000-0005-0000-0000-00004B340000}"/>
    <cellStyle name="40 % - Markeringsfarve1 2 5 2 2 2 2" xfId="17910" xr:uid="{00000000-0005-0000-0000-00004C340000}"/>
    <cellStyle name="40 % - Markeringsfarve1 2 5 2 2 2 2 2" xfId="36070" xr:uid="{00000000-0005-0000-0000-00004D340000}"/>
    <cellStyle name="40 % - Markeringsfarve1 2 5 2 2 2 3" xfId="29069" xr:uid="{00000000-0005-0000-0000-00004E340000}"/>
    <cellStyle name="40 % - Markeringsfarve1 2 5 2 2 3" xfId="14022" xr:uid="{00000000-0005-0000-0000-00004F340000}"/>
    <cellStyle name="40 % - Markeringsfarve1 2 5 2 2 3 2" xfId="32188" xr:uid="{00000000-0005-0000-0000-000050340000}"/>
    <cellStyle name="40 % - Markeringsfarve1 2 5 2 2 4" xfId="25186" xr:uid="{00000000-0005-0000-0000-000051340000}"/>
    <cellStyle name="40 % - Markeringsfarve1 2 5 2 3" xfId="8564" xr:uid="{00000000-0005-0000-0000-000052340000}"/>
    <cellStyle name="40 % - Markeringsfarve1 2 5 2 3 2" xfId="16481" xr:uid="{00000000-0005-0000-0000-000053340000}"/>
    <cellStyle name="40 % - Markeringsfarve1 2 5 2 3 2 2" xfId="34641" xr:uid="{00000000-0005-0000-0000-000054340000}"/>
    <cellStyle name="40 % - Markeringsfarve1 2 5 2 3 3" xfId="27640" xr:uid="{00000000-0005-0000-0000-000055340000}"/>
    <cellStyle name="40 % - Markeringsfarve1 2 5 2 4" xfId="14021" xr:uid="{00000000-0005-0000-0000-000056340000}"/>
    <cellStyle name="40 % - Markeringsfarve1 2 5 2 4 2" xfId="32187" xr:uid="{00000000-0005-0000-0000-000057340000}"/>
    <cellStyle name="40 % - Markeringsfarve1 2 5 2 5" xfId="25185" xr:uid="{00000000-0005-0000-0000-000058340000}"/>
    <cellStyle name="40 % - Markeringsfarve1 2 5 3" xfId="5469" xr:uid="{00000000-0005-0000-0000-000059340000}"/>
    <cellStyle name="40 % - Markeringsfarve1 2 5 3 2" xfId="9239" xr:uid="{00000000-0005-0000-0000-00005A340000}"/>
    <cellStyle name="40 % - Markeringsfarve1 2 5 3 2 2" xfId="17150" xr:uid="{00000000-0005-0000-0000-00005B340000}"/>
    <cellStyle name="40 % - Markeringsfarve1 2 5 3 2 2 2" xfId="35310" xr:uid="{00000000-0005-0000-0000-00005C340000}"/>
    <cellStyle name="40 % - Markeringsfarve1 2 5 3 2 3" xfId="28309" xr:uid="{00000000-0005-0000-0000-00005D340000}"/>
    <cellStyle name="40 % - Markeringsfarve1 2 5 3 3" xfId="14023" xr:uid="{00000000-0005-0000-0000-00005E340000}"/>
    <cellStyle name="40 % - Markeringsfarve1 2 5 3 3 2" xfId="32189" xr:uid="{00000000-0005-0000-0000-00005F340000}"/>
    <cellStyle name="40 % - Markeringsfarve1 2 5 3 4" xfId="25187" xr:uid="{00000000-0005-0000-0000-000060340000}"/>
    <cellStyle name="40 % - Markeringsfarve1 2 5 4" xfId="5470" xr:uid="{00000000-0005-0000-0000-000061340000}"/>
    <cellStyle name="40 % - Markeringsfarve1 2 5 4 2" xfId="10871" xr:uid="{00000000-0005-0000-0000-000062340000}"/>
    <cellStyle name="40 % - Markeringsfarve1 2 5 4 2 2" xfId="18754" xr:uid="{00000000-0005-0000-0000-000063340000}"/>
    <cellStyle name="40 % - Markeringsfarve1 2 5 4 2 2 2" xfId="36914" xr:uid="{00000000-0005-0000-0000-000064340000}"/>
    <cellStyle name="40 % - Markeringsfarve1 2 5 4 2 3" xfId="29913" xr:uid="{00000000-0005-0000-0000-000065340000}"/>
    <cellStyle name="40 % - Markeringsfarve1 2 5 4 3" xfId="14024" xr:uid="{00000000-0005-0000-0000-000066340000}"/>
    <cellStyle name="40 % - Markeringsfarve1 2 5 4 3 2" xfId="32190" xr:uid="{00000000-0005-0000-0000-000067340000}"/>
    <cellStyle name="40 % - Markeringsfarve1 2 5 4 4" xfId="25188" xr:uid="{00000000-0005-0000-0000-000068340000}"/>
    <cellStyle name="40 % - Markeringsfarve1 2 5 5" xfId="7992" xr:uid="{00000000-0005-0000-0000-000069340000}"/>
    <cellStyle name="40 % - Markeringsfarve1 2 5 5 2" xfId="15910" xr:uid="{00000000-0005-0000-0000-00006A340000}"/>
    <cellStyle name="40 % - Markeringsfarve1 2 5 5 2 2" xfId="34070" xr:uid="{00000000-0005-0000-0000-00006B340000}"/>
    <cellStyle name="40 % - Markeringsfarve1 2 5 5 3" xfId="27069" xr:uid="{00000000-0005-0000-0000-00006C340000}"/>
    <cellStyle name="40 % - Markeringsfarve1 2 5 6" xfId="14020" xr:uid="{00000000-0005-0000-0000-00006D340000}"/>
    <cellStyle name="40 % - Markeringsfarve1 2 5 6 2" xfId="32186" xr:uid="{00000000-0005-0000-0000-00006E340000}"/>
    <cellStyle name="40 % - Markeringsfarve1 2 5 7" xfId="25184" xr:uid="{00000000-0005-0000-0000-00006F340000}"/>
    <cellStyle name="40 % - Markeringsfarve1 2 6" xfId="5471" xr:uid="{00000000-0005-0000-0000-000070340000}"/>
    <cellStyle name="40 % - Markeringsfarve1 2 6 2" xfId="5472" xr:uid="{00000000-0005-0000-0000-000071340000}"/>
    <cellStyle name="40 % - Markeringsfarve1 2 6 2 2" xfId="5473" xr:uid="{00000000-0005-0000-0000-000072340000}"/>
    <cellStyle name="40 % - Markeringsfarve1 2 6 2 2 2" xfId="10101" xr:uid="{00000000-0005-0000-0000-000073340000}"/>
    <cellStyle name="40 % - Markeringsfarve1 2 6 2 2 2 2" xfId="18002" xr:uid="{00000000-0005-0000-0000-000074340000}"/>
    <cellStyle name="40 % - Markeringsfarve1 2 6 2 2 2 2 2" xfId="36162" xr:uid="{00000000-0005-0000-0000-000075340000}"/>
    <cellStyle name="40 % - Markeringsfarve1 2 6 2 2 2 3" xfId="29161" xr:uid="{00000000-0005-0000-0000-000076340000}"/>
    <cellStyle name="40 % - Markeringsfarve1 2 6 2 2 3" xfId="14027" xr:uid="{00000000-0005-0000-0000-000077340000}"/>
    <cellStyle name="40 % - Markeringsfarve1 2 6 2 2 3 2" xfId="32193" xr:uid="{00000000-0005-0000-0000-000078340000}"/>
    <cellStyle name="40 % - Markeringsfarve1 2 6 2 2 4" xfId="25191" xr:uid="{00000000-0005-0000-0000-000079340000}"/>
    <cellStyle name="40 % - Markeringsfarve1 2 6 2 3" xfId="8644" xr:uid="{00000000-0005-0000-0000-00007A340000}"/>
    <cellStyle name="40 % - Markeringsfarve1 2 6 2 3 2" xfId="16558" xr:uid="{00000000-0005-0000-0000-00007B340000}"/>
    <cellStyle name="40 % - Markeringsfarve1 2 6 2 3 2 2" xfId="34718" xr:uid="{00000000-0005-0000-0000-00007C340000}"/>
    <cellStyle name="40 % - Markeringsfarve1 2 6 2 3 3" xfId="27717" xr:uid="{00000000-0005-0000-0000-00007D340000}"/>
    <cellStyle name="40 % - Markeringsfarve1 2 6 2 4" xfId="14026" xr:uid="{00000000-0005-0000-0000-00007E340000}"/>
    <cellStyle name="40 % - Markeringsfarve1 2 6 2 4 2" xfId="32192" xr:uid="{00000000-0005-0000-0000-00007F340000}"/>
    <cellStyle name="40 % - Markeringsfarve1 2 6 2 5" xfId="25190" xr:uid="{00000000-0005-0000-0000-000080340000}"/>
    <cellStyle name="40 % - Markeringsfarve1 2 6 3" xfId="5474" xr:uid="{00000000-0005-0000-0000-000081340000}"/>
    <cellStyle name="40 % - Markeringsfarve1 2 6 3 2" xfId="9377" xr:uid="{00000000-0005-0000-0000-000082340000}"/>
    <cellStyle name="40 % - Markeringsfarve1 2 6 3 2 2" xfId="17287" xr:uid="{00000000-0005-0000-0000-000083340000}"/>
    <cellStyle name="40 % - Markeringsfarve1 2 6 3 2 2 2" xfId="35447" xr:uid="{00000000-0005-0000-0000-000084340000}"/>
    <cellStyle name="40 % - Markeringsfarve1 2 6 3 2 3" xfId="28446" xr:uid="{00000000-0005-0000-0000-000085340000}"/>
    <cellStyle name="40 % - Markeringsfarve1 2 6 3 3" xfId="14028" xr:uid="{00000000-0005-0000-0000-000086340000}"/>
    <cellStyle name="40 % - Markeringsfarve1 2 6 3 3 2" xfId="32194" xr:uid="{00000000-0005-0000-0000-000087340000}"/>
    <cellStyle name="40 % - Markeringsfarve1 2 6 3 4" xfId="25192" xr:uid="{00000000-0005-0000-0000-000088340000}"/>
    <cellStyle name="40 % - Markeringsfarve1 2 6 4" xfId="5475" xr:uid="{00000000-0005-0000-0000-000089340000}"/>
    <cellStyle name="40 % - Markeringsfarve1 2 6 4 2" xfId="10520" xr:uid="{00000000-0005-0000-0000-00008A340000}"/>
    <cellStyle name="40 % - Markeringsfarve1 2 6 4 2 2" xfId="18414" xr:uid="{00000000-0005-0000-0000-00008B340000}"/>
    <cellStyle name="40 % - Markeringsfarve1 2 6 4 2 2 2" xfId="36574" xr:uid="{00000000-0005-0000-0000-00008C340000}"/>
    <cellStyle name="40 % - Markeringsfarve1 2 6 4 2 3" xfId="29573" xr:uid="{00000000-0005-0000-0000-00008D340000}"/>
    <cellStyle name="40 % - Markeringsfarve1 2 6 4 3" xfId="14029" xr:uid="{00000000-0005-0000-0000-00008E340000}"/>
    <cellStyle name="40 % - Markeringsfarve1 2 6 4 3 2" xfId="32195" xr:uid="{00000000-0005-0000-0000-00008F340000}"/>
    <cellStyle name="40 % - Markeringsfarve1 2 6 4 4" xfId="25193" xr:uid="{00000000-0005-0000-0000-000090340000}"/>
    <cellStyle name="40 % - Markeringsfarve1 2 6 5" xfId="7993" xr:uid="{00000000-0005-0000-0000-000091340000}"/>
    <cellStyle name="40 % - Markeringsfarve1 2 6 5 2" xfId="15911" xr:uid="{00000000-0005-0000-0000-000092340000}"/>
    <cellStyle name="40 % - Markeringsfarve1 2 6 5 2 2" xfId="34071" xr:uid="{00000000-0005-0000-0000-000093340000}"/>
    <cellStyle name="40 % - Markeringsfarve1 2 6 5 3" xfId="27070" xr:uid="{00000000-0005-0000-0000-000094340000}"/>
    <cellStyle name="40 % - Markeringsfarve1 2 6 6" xfId="14025" xr:uid="{00000000-0005-0000-0000-000095340000}"/>
    <cellStyle name="40 % - Markeringsfarve1 2 6 6 2" xfId="32191" xr:uid="{00000000-0005-0000-0000-000096340000}"/>
    <cellStyle name="40 % - Markeringsfarve1 2 6 7" xfId="25189" xr:uid="{00000000-0005-0000-0000-000097340000}"/>
    <cellStyle name="40 % - Markeringsfarve1 2 7" xfId="5476" xr:uid="{00000000-0005-0000-0000-000098340000}"/>
    <cellStyle name="40 % - Markeringsfarve1 2 7 2" xfId="5477" xr:uid="{00000000-0005-0000-0000-000099340000}"/>
    <cellStyle name="40 % - Markeringsfarve1 2 7 2 2" xfId="5478" xr:uid="{00000000-0005-0000-0000-00009A340000}"/>
    <cellStyle name="40 % - Markeringsfarve1 2 7 2 2 2" xfId="10218" xr:uid="{00000000-0005-0000-0000-00009B340000}"/>
    <cellStyle name="40 % - Markeringsfarve1 2 7 2 2 2 2" xfId="18119" xr:uid="{00000000-0005-0000-0000-00009C340000}"/>
    <cellStyle name="40 % - Markeringsfarve1 2 7 2 2 2 2 2" xfId="36279" xr:uid="{00000000-0005-0000-0000-00009D340000}"/>
    <cellStyle name="40 % - Markeringsfarve1 2 7 2 2 2 3" xfId="29278" xr:uid="{00000000-0005-0000-0000-00009E340000}"/>
    <cellStyle name="40 % - Markeringsfarve1 2 7 2 2 3" xfId="14032" xr:uid="{00000000-0005-0000-0000-00009F340000}"/>
    <cellStyle name="40 % - Markeringsfarve1 2 7 2 2 3 2" xfId="32198" xr:uid="{00000000-0005-0000-0000-0000A0340000}"/>
    <cellStyle name="40 % - Markeringsfarve1 2 7 2 2 4" xfId="25196" xr:uid="{00000000-0005-0000-0000-0000A1340000}"/>
    <cellStyle name="40 % - Markeringsfarve1 2 7 2 3" xfId="8743" xr:uid="{00000000-0005-0000-0000-0000A2340000}"/>
    <cellStyle name="40 % - Markeringsfarve1 2 7 2 3 2" xfId="16657" xr:uid="{00000000-0005-0000-0000-0000A3340000}"/>
    <cellStyle name="40 % - Markeringsfarve1 2 7 2 3 2 2" xfId="34817" xr:uid="{00000000-0005-0000-0000-0000A4340000}"/>
    <cellStyle name="40 % - Markeringsfarve1 2 7 2 3 3" xfId="27816" xr:uid="{00000000-0005-0000-0000-0000A5340000}"/>
    <cellStyle name="40 % - Markeringsfarve1 2 7 2 4" xfId="14031" xr:uid="{00000000-0005-0000-0000-0000A6340000}"/>
    <cellStyle name="40 % - Markeringsfarve1 2 7 2 4 2" xfId="32197" xr:uid="{00000000-0005-0000-0000-0000A7340000}"/>
    <cellStyle name="40 % - Markeringsfarve1 2 7 2 5" xfId="25195" xr:uid="{00000000-0005-0000-0000-0000A8340000}"/>
    <cellStyle name="40 % - Markeringsfarve1 2 7 3" xfId="5479" xr:uid="{00000000-0005-0000-0000-0000A9340000}"/>
    <cellStyle name="40 % - Markeringsfarve1 2 7 3 2" xfId="9494" xr:uid="{00000000-0005-0000-0000-0000AA340000}"/>
    <cellStyle name="40 % - Markeringsfarve1 2 7 3 2 2" xfId="17404" xr:uid="{00000000-0005-0000-0000-0000AB340000}"/>
    <cellStyle name="40 % - Markeringsfarve1 2 7 3 2 2 2" xfId="35564" xr:uid="{00000000-0005-0000-0000-0000AC340000}"/>
    <cellStyle name="40 % - Markeringsfarve1 2 7 3 2 3" xfId="28563" xr:uid="{00000000-0005-0000-0000-0000AD340000}"/>
    <cellStyle name="40 % - Markeringsfarve1 2 7 3 3" xfId="14033" xr:uid="{00000000-0005-0000-0000-0000AE340000}"/>
    <cellStyle name="40 % - Markeringsfarve1 2 7 3 3 2" xfId="32199" xr:uid="{00000000-0005-0000-0000-0000AF340000}"/>
    <cellStyle name="40 % - Markeringsfarve1 2 7 3 4" xfId="25197" xr:uid="{00000000-0005-0000-0000-0000B0340000}"/>
    <cellStyle name="40 % - Markeringsfarve1 2 7 4" xfId="5480" xr:uid="{00000000-0005-0000-0000-0000B1340000}"/>
    <cellStyle name="40 % - Markeringsfarve1 2 7 4 2" xfId="10812" xr:uid="{00000000-0005-0000-0000-0000B2340000}"/>
    <cellStyle name="40 % - Markeringsfarve1 2 7 4 2 2" xfId="18699" xr:uid="{00000000-0005-0000-0000-0000B3340000}"/>
    <cellStyle name="40 % - Markeringsfarve1 2 7 4 2 2 2" xfId="36859" xr:uid="{00000000-0005-0000-0000-0000B4340000}"/>
    <cellStyle name="40 % - Markeringsfarve1 2 7 4 2 3" xfId="29858" xr:uid="{00000000-0005-0000-0000-0000B5340000}"/>
    <cellStyle name="40 % - Markeringsfarve1 2 7 4 3" xfId="14034" xr:uid="{00000000-0005-0000-0000-0000B6340000}"/>
    <cellStyle name="40 % - Markeringsfarve1 2 7 4 3 2" xfId="32200" xr:uid="{00000000-0005-0000-0000-0000B7340000}"/>
    <cellStyle name="40 % - Markeringsfarve1 2 7 4 4" xfId="25198" xr:uid="{00000000-0005-0000-0000-0000B8340000}"/>
    <cellStyle name="40 % - Markeringsfarve1 2 7 5" xfId="7994" xr:uid="{00000000-0005-0000-0000-0000B9340000}"/>
    <cellStyle name="40 % - Markeringsfarve1 2 7 5 2" xfId="15912" xr:uid="{00000000-0005-0000-0000-0000BA340000}"/>
    <cellStyle name="40 % - Markeringsfarve1 2 7 5 2 2" xfId="34072" xr:uid="{00000000-0005-0000-0000-0000BB340000}"/>
    <cellStyle name="40 % - Markeringsfarve1 2 7 5 3" xfId="27071" xr:uid="{00000000-0005-0000-0000-0000BC340000}"/>
    <cellStyle name="40 % - Markeringsfarve1 2 7 6" xfId="14030" xr:uid="{00000000-0005-0000-0000-0000BD340000}"/>
    <cellStyle name="40 % - Markeringsfarve1 2 7 6 2" xfId="32196" xr:uid="{00000000-0005-0000-0000-0000BE340000}"/>
    <cellStyle name="40 % - Markeringsfarve1 2 7 7" xfId="25194" xr:uid="{00000000-0005-0000-0000-0000BF340000}"/>
    <cellStyle name="40 % - Markeringsfarve1 2 8" xfId="5481" xr:uid="{00000000-0005-0000-0000-0000C0340000}"/>
    <cellStyle name="40 % - Markeringsfarve1 2 8 2" xfId="5482" xr:uid="{00000000-0005-0000-0000-0000C1340000}"/>
    <cellStyle name="40 % - Markeringsfarve1 2 8 2 2" xfId="5483" xr:uid="{00000000-0005-0000-0000-0000C2340000}"/>
    <cellStyle name="40 % - Markeringsfarve1 2 8 2 2 2" xfId="10363" xr:uid="{00000000-0005-0000-0000-0000C3340000}"/>
    <cellStyle name="40 % - Markeringsfarve1 2 8 2 2 2 2" xfId="18264" xr:uid="{00000000-0005-0000-0000-0000C4340000}"/>
    <cellStyle name="40 % - Markeringsfarve1 2 8 2 2 2 2 2" xfId="36424" xr:uid="{00000000-0005-0000-0000-0000C5340000}"/>
    <cellStyle name="40 % - Markeringsfarve1 2 8 2 2 2 3" xfId="29423" xr:uid="{00000000-0005-0000-0000-0000C6340000}"/>
    <cellStyle name="40 % - Markeringsfarve1 2 8 2 2 3" xfId="14037" xr:uid="{00000000-0005-0000-0000-0000C7340000}"/>
    <cellStyle name="40 % - Markeringsfarve1 2 8 2 2 3 2" xfId="32203" xr:uid="{00000000-0005-0000-0000-0000C8340000}"/>
    <cellStyle name="40 % - Markeringsfarve1 2 8 2 2 4" xfId="25201" xr:uid="{00000000-0005-0000-0000-0000C9340000}"/>
    <cellStyle name="40 % - Markeringsfarve1 2 8 2 3" xfId="8865" xr:uid="{00000000-0005-0000-0000-0000CA340000}"/>
    <cellStyle name="40 % - Markeringsfarve1 2 8 2 3 2" xfId="16779" xr:uid="{00000000-0005-0000-0000-0000CB340000}"/>
    <cellStyle name="40 % - Markeringsfarve1 2 8 2 3 2 2" xfId="34939" xr:uid="{00000000-0005-0000-0000-0000CC340000}"/>
    <cellStyle name="40 % - Markeringsfarve1 2 8 2 3 3" xfId="27938" xr:uid="{00000000-0005-0000-0000-0000CD340000}"/>
    <cellStyle name="40 % - Markeringsfarve1 2 8 2 4" xfId="14036" xr:uid="{00000000-0005-0000-0000-0000CE340000}"/>
    <cellStyle name="40 % - Markeringsfarve1 2 8 2 4 2" xfId="32202" xr:uid="{00000000-0005-0000-0000-0000CF340000}"/>
    <cellStyle name="40 % - Markeringsfarve1 2 8 2 5" xfId="25200" xr:uid="{00000000-0005-0000-0000-0000D0340000}"/>
    <cellStyle name="40 % - Markeringsfarve1 2 8 3" xfId="5484" xr:uid="{00000000-0005-0000-0000-0000D1340000}"/>
    <cellStyle name="40 % - Markeringsfarve1 2 8 3 2" xfId="9640" xr:uid="{00000000-0005-0000-0000-0000D2340000}"/>
    <cellStyle name="40 % - Markeringsfarve1 2 8 3 2 2" xfId="17550" xr:uid="{00000000-0005-0000-0000-0000D3340000}"/>
    <cellStyle name="40 % - Markeringsfarve1 2 8 3 2 2 2" xfId="35710" xr:uid="{00000000-0005-0000-0000-0000D4340000}"/>
    <cellStyle name="40 % - Markeringsfarve1 2 8 3 2 3" xfId="28709" xr:uid="{00000000-0005-0000-0000-0000D5340000}"/>
    <cellStyle name="40 % - Markeringsfarve1 2 8 3 3" xfId="14038" xr:uid="{00000000-0005-0000-0000-0000D6340000}"/>
    <cellStyle name="40 % - Markeringsfarve1 2 8 3 3 2" xfId="32204" xr:uid="{00000000-0005-0000-0000-0000D7340000}"/>
    <cellStyle name="40 % - Markeringsfarve1 2 8 3 4" xfId="25202" xr:uid="{00000000-0005-0000-0000-0000D8340000}"/>
    <cellStyle name="40 % - Markeringsfarve1 2 8 4" xfId="5485" xr:uid="{00000000-0005-0000-0000-0000D9340000}"/>
    <cellStyle name="40 % - Markeringsfarve1 2 8 4 2" xfId="10462" xr:uid="{00000000-0005-0000-0000-0000DA340000}"/>
    <cellStyle name="40 % - Markeringsfarve1 2 8 4 2 2" xfId="18359" xr:uid="{00000000-0005-0000-0000-0000DB340000}"/>
    <cellStyle name="40 % - Markeringsfarve1 2 8 4 2 2 2" xfId="36519" xr:uid="{00000000-0005-0000-0000-0000DC340000}"/>
    <cellStyle name="40 % - Markeringsfarve1 2 8 4 2 3" xfId="29518" xr:uid="{00000000-0005-0000-0000-0000DD340000}"/>
    <cellStyle name="40 % - Markeringsfarve1 2 8 4 3" xfId="14039" xr:uid="{00000000-0005-0000-0000-0000DE340000}"/>
    <cellStyle name="40 % - Markeringsfarve1 2 8 4 3 2" xfId="32205" xr:uid="{00000000-0005-0000-0000-0000DF340000}"/>
    <cellStyle name="40 % - Markeringsfarve1 2 8 4 4" xfId="25203" xr:uid="{00000000-0005-0000-0000-0000E0340000}"/>
    <cellStyle name="40 % - Markeringsfarve1 2 8 5" xfId="7995" xr:uid="{00000000-0005-0000-0000-0000E1340000}"/>
    <cellStyle name="40 % - Markeringsfarve1 2 8 5 2" xfId="15913" xr:uid="{00000000-0005-0000-0000-0000E2340000}"/>
    <cellStyle name="40 % - Markeringsfarve1 2 8 5 2 2" xfId="34073" xr:uid="{00000000-0005-0000-0000-0000E3340000}"/>
    <cellStyle name="40 % - Markeringsfarve1 2 8 5 3" xfId="27072" xr:uid="{00000000-0005-0000-0000-0000E4340000}"/>
    <cellStyle name="40 % - Markeringsfarve1 2 8 6" xfId="14035" xr:uid="{00000000-0005-0000-0000-0000E5340000}"/>
    <cellStyle name="40 % - Markeringsfarve1 2 8 6 2" xfId="32201" xr:uid="{00000000-0005-0000-0000-0000E6340000}"/>
    <cellStyle name="40 % - Markeringsfarve1 2 8 7" xfId="25199" xr:uid="{00000000-0005-0000-0000-0000E7340000}"/>
    <cellStyle name="40 % - Markeringsfarve1 2 9" xfId="5486" xr:uid="{00000000-0005-0000-0000-0000E8340000}"/>
    <cellStyle name="40 % - Markeringsfarve1 2 9 2" xfId="5487" xr:uid="{00000000-0005-0000-0000-0000E9340000}"/>
    <cellStyle name="40 % - Markeringsfarve1 2 9 2 2" xfId="9744" xr:uid="{00000000-0005-0000-0000-0000EA340000}"/>
    <cellStyle name="40 % - Markeringsfarve1 2 9 2 2 2" xfId="17645" xr:uid="{00000000-0005-0000-0000-0000EB340000}"/>
    <cellStyle name="40 % - Markeringsfarve1 2 9 2 2 2 2" xfId="35805" xr:uid="{00000000-0005-0000-0000-0000EC340000}"/>
    <cellStyle name="40 % - Markeringsfarve1 2 9 2 2 3" xfId="28804" xr:uid="{00000000-0005-0000-0000-0000ED340000}"/>
    <cellStyle name="40 % - Markeringsfarve1 2 9 2 3" xfId="14041" xr:uid="{00000000-0005-0000-0000-0000EE340000}"/>
    <cellStyle name="40 % - Markeringsfarve1 2 9 2 3 2" xfId="32207" xr:uid="{00000000-0005-0000-0000-0000EF340000}"/>
    <cellStyle name="40 % - Markeringsfarve1 2 9 2 4" xfId="25205" xr:uid="{00000000-0005-0000-0000-0000F0340000}"/>
    <cellStyle name="40 % - Markeringsfarve1 2 9 3" xfId="8343" xr:uid="{00000000-0005-0000-0000-0000F1340000}"/>
    <cellStyle name="40 % - Markeringsfarve1 2 9 3 2" xfId="16260" xr:uid="{00000000-0005-0000-0000-0000F2340000}"/>
    <cellStyle name="40 % - Markeringsfarve1 2 9 3 2 2" xfId="34420" xr:uid="{00000000-0005-0000-0000-0000F3340000}"/>
    <cellStyle name="40 % - Markeringsfarve1 2 9 3 3" xfId="27419" xr:uid="{00000000-0005-0000-0000-0000F4340000}"/>
    <cellStyle name="40 % - Markeringsfarve1 2 9 4" xfId="14040" xr:uid="{00000000-0005-0000-0000-0000F5340000}"/>
    <cellStyle name="40 % - Markeringsfarve1 2 9 4 2" xfId="32206" xr:uid="{00000000-0005-0000-0000-0000F6340000}"/>
    <cellStyle name="40 % - Markeringsfarve1 2 9 5" xfId="25204" xr:uid="{00000000-0005-0000-0000-0000F7340000}"/>
    <cellStyle name="40 % - Markeringsfarve1 3" xfId="1873" xr:uid="{00000000-0005-0000-0000-0000F8340000}"/>
    <cellStyle name="40 % - Markeringsfarve1 3 10" xfId="5489" xr:uid="{00000000-0005-0000-0000-0000F9340000}"/>
    <cellStyle name="40 % - Markeringsfarve1 3 10 2" xfId="8957" xr:uid="{00000000-0005-0000-0000-0000FA340000}"/>
    <cellStyle name="40 % - Markeringsfarve1 3 10 2 2" xfId="16869" xr:uid="{00000000-0005-0000-0000-0000FB340000}"/>
    <cellStyle name="40 % - Markeringsfarve1 3 10 2 2 2" xfId="35029" xr:uid="{00000000-0005-0000-0000-0000FC340000}"/>
    <cellStyle name="40 % - Markeringsfarve1 3 10 2 3" xfId="28028" xr:uid="{00000000-0005-0000-0000-0000FD340000}"/>
    <cellStyle name="40 % - Markeringsfarve1 3 10 3" xfId="14043" xr:uid="{00000000-0005-0000-0000-0000FE340000}"/>
    <cellStyle name="40 % - Markeringsfarve1 3 10 3 2" xfId="32209" xr:uid="{00000000-0005-0000-0000-0000FF340000}"/>
    <cellStyle name="40 % - Markeringsfarve1 3 10 4" xfId="25207" xr:uid="{00000000-0005-0000-0000-000000350000}"/>
    <cellStyle name="40 % - Markeringsfarve1 3 11" xfId="5490" xr:uid="{00000000-0005-0000-0000-000001350000}"/>
    <cellStyle name="40 % - Markeringsfarve1 3 11 2" xfId="10797" xr:uid="{00000000-0005-0000-0000-000002350000}"/>
    <cellStyle name="40 % - Markeringsfarve1 3 11 2 2" xfId="18684" xr:uid="{00000000-0005-0000-0000-000003350000}"/>
    <cellStyle name="40 % - Markeringsfarve1 3 11 2 2 2" xfId="36844" xr:uid="{00000000-0005-0000-0000-000004350000}"/>
    <cellStyle name="40 % - Markeringsfarve1 3 11 2 3" xfId="29843" xr:uid="{00000000-0005-0000-0000-000005350000}"/>
    <cellStyle name="40 % - Markeringsfarve1 3 11 3" xfId="14044" xr:uid="{00000000-0005-0000-0000-000006350000}"/>
    <cellStyle name="40 % - Markeringsfarve1 3 11 3 2" xfId="32210" xr:uid="{00000000-0005-0000-0000-000007350000}"/>
    <cellStyle name="40 % - Markeringsfarve1 3 11 4" xfId="25208" xr:uid="{00000000-0005-0000-0000-000008350000}"/>
    <cellStyle name="40 % - Markeringsfarve1 3 12" xfId="7996" xr:uid="{00000000-0005-0000-0000-000009350000}"/>
    <cellStyle name="40 % - Markeringsfarve1 3 12 2" xfId="15914" xr:uid="{00000000-0005-0000-0000-00000A350000}"/>
    <cellStyle name="40 % - Markeringsfarve1 3 12 2 2" xfId="34074" xr:uid="{00000000-0005-0000-0000-00000B350000}"/>
    <cellStyle name="40 % - Markeringsfarve1 3 12 3" xfId="27073" xr:uid="{00000000-0005-0000-0000-00000C350000}"/>
    <cellStyle name="40 % - Markeringsfarve1 3 13" xfId="14042" xr:uid="{00000000-0005-0000-0000-00000D350000}"/>
    <cellStyle name="40 % - Markeringsfarve1 3 13 2" xfId="32208" xr:uid="{00000000-0005-0000-0000-00000E350000}"/>
    <cellStyle name="40 % - Markeringsfarve1 3 14" xfId="5488" xr:uid="{00000000-0005-0000-0000-00000F350000}"/>
    <cellStyle name="40 % - Markeringsfarve1 3 14 2" xfId="25206" xr:uid="{00000000-0005-0000-0000-000010350000}"/>
    <cellStyle name="40 % - Markeringsfarve1 3 15" xfId="21991" xr:uid="{00000000-0005-0000-0000-000011350000}"/>
    <cellStyle name="40 % - Markeringsfarve1 3 2" xfId="1874" xr:uid="{00000000-0005-0000-0000-000012350000}"/>
    <cellStyle name="40 % - Markeringsfarve1 3 2 10" xfId="7997" xr:uid="{00000000-0005-0000-0000-000013350000}"/>
    <cellStyle name="40 % - Markeringsfarve1 3 2 10 2" xfId="15915" xr:uid="{00000000-0005-0000-0000-000014350000}"/>
    <cellStyle name="40 % - Markeringsfarve1 3 2 10 2 2" xfId="34075" xr:uid="{00000000-0005-0000-0000-000015350000}"/>
    <cellStyle name="40 % - Markeringsfarve1 3 2 10 3" xfId="27074" xr:uid="{00000000-0005-0000-0000-000016350000}"/>
    <cellStyle name="40 % - Markeringsfarve1 3 2 11" xfId="14045" xr:uid="{00000000-0005-0000-0000-000017350000}"/>
    <cellStyle name="40 % - Markeringsfarve1 3 2 11 2" xfId="32211" xr:uid="{00000000-0005-0000-0000-000018350000}"/>
    <cellStyle name="40 % - Markeringsfarve1 3 2 12" xfId="5491" xr:uid="{00000000-0005-0000-0000-000019350000}"/>
    <cellStyle name="40 % - Markeringsfarve1 3 2 12 2" xfId="25209" xr:uid="{00000000-0005-0000-0000-00001A350000}"/>
    <cellStyle name="40 % - Markeringsfarve1 3 2 13" xfId="21992" xr:uid="{00000000-0005-0000-0000-00001B350000}"/>
    <cellStyle name="40 % - Markeringsfarve1 3 2 2" xfId="5492" xr:uid="{00000000-0005-0000-0000-00001C350000}"/>
    <cellStyle name="40 % - Markeringsfarve1 3 2 2 2" xfId="5493" xr:uid="{00000000-0005-0000-0000-00001D350000}"/>
    <cellStyle name="40 % - Markeringsfarve1 3 2 2 2 2" xfId="5494" xr:uid="{00000000-0005-0000-0000-00001E350000}"/>
    <cellStyle name="40 % - Markeringsfarve1 3 2 2 2 2 2" xfId="9890" xr:uid="{00000000-0005-0000-0000-00001F350000}"/>
    <cellStyle name="40 % - Markeringsfarve1 3 2 2 2 2 2 2" xfId="17791" xr:uid="{00000000-0005-0000-0000-000020350000}"/>
    <cellStyle name="40 % - Markeringsfarve1 3 2 2 2 2 2 2 2" xfId="35951" xr:uid="{00000000-0005-0000-0000-000021350000}"/>
    <cellStyle name="40 % - Markeringsfarve1 3 2 2 2 2 2 3" xfId="28950" xr:uid="{00000000-0005-0000-0000-000022350000}"/>
    <cellStyle name="40 % - Markeringsfarve1 3 2 2 2 2 3" xfId="14048" xr:uid="{00000000-0005-0000-0000-000023350000}"/>
    <cellStyle name="40 % - Markeringsfarve1 3 2 2 2 2 3 2" xfId="32214" xr:uid="{00000000-0005-0000-0000-000024350000}"/>
    <cellStyle name="40 % - Markeringsfarve1 3 2 2 2 2 4" xfId="25212" xr:uid="{00000000-0005-0000-0000-000025350000}"/>
    <cellStyle name="40 % - Markeringsfarve1 3 2 2 2 3" xfId="8465" xr:uid="{00000000-0005-0000-0000-000026350000}"/>
    <cellStyle name="40 % - Markeringsfarve1 3 2 2 2 3 2" xfId="16382" xr:uid="{00000000-0005-0000-0000-000027350000}"/>
    <cellStyle name="40 % - Markeringsfarve1 3 2 2 2 3 2 2" xfId="34542" xr:uid="{00000000-0005-0000-0000-000028350000}"/>
    <cellStyle name="40 % - Markeringsfarve1 3 2 2 2 3 3" xfId="27541" xr:uid="{00000000-0005-0000-0000-000029350000}"/>
    <cellStyle name="40 % - Markeringsfarve1 3 2 2 2 4" xfId="14047" xr:uid="{00000000-0005-0000-0000-00002A350000}"/>
    <cellStyle name="40 % - Markeringsfarve1 3 2 2 2 4 2" xfId="32213" xr:uid="{00000000-0005-0000-0000-00002B350000}"/>
    <cellStyle name="40 % - Markeringsfarve1 3 2 2 2 5" xfId="25211" xr:uid="{00000000-0005-0000-0000-00002C350000}"/>
    <cellStyle name="40 % - Markeringsfarve1 3 2 2 3" xfId="5495" xr:uid="{00000000-0005-0000-0000-00002D350000}"/>
    <cellStyle name="40 % - Markeringsfarve1 3 2 2 3 2" xfId="9120" xr:uid="{00000000-0005-0000-0000-00002E350000}"/>
    <cellStyle name="40 % - Markeringsfarve1 3 2 2 3 2 2" xfId="17031" xr:uid="{00000000-0005-0000-0000-00002F350000}"/>
    <cellStyle name="40 % - Markeringsfarve1 3 2 2 3 2 2 2" xfId="35191" xr:uid="{00000000-0005-0000-0000-000030350000}"/>
    <cellStyle name="40 % - Markeringsfarve1 3 2 2 3 2 3" xfId="28190" xr:uid="{00000000-0005-0000-0000-000031350000}"/>
    <cellStyle name="40 % - Markeringsfarve1 3 2 2 3 3" xfId="14049" xr:uid="{00000000-0005-0000-0000-000032350000}"/>
    <cellStyle name="40 % - Markeringsfarve1 3 2 2 3 3 2" xfId="32215" xr:uid="{00000000-0005-0000-0000-000033350000}"/>
    <cellStyle name="40 % - Markeringsfarve1 3 2 2 3 4" xfId="25213" xr:uid="{00000000-0005-0000-0000-000034350000}"/>
    <cellStyle name="40 % - Markeringsfarve1 3 2 2 4" xfId="5496" xr:uid="{00000000-0005-0000-0000-000035350000}"/>
    <cellStyle name="40 % - Markeringsfarve1 3 2 2 4 2" xfId="10726" xr:uid="{00000000-0005-0000-0000-000036350000}"/>
    <cellStyle name="40 % - Markeringsfarve1 3 2 2 4 2 2" xfId="18615" xr:uid="{00000000-0005-0000-0000-000037350000}"/>
    <cellStyle name="40 % - Markeringsfarve1 3 2 2 4 2 2 2" xfId="36775" xr:uid="{00000000-0005-0000-0000-000038350000}"/>
    <cellStyle name="40 % - Markeringsfarve1 3 2 2 4 2 3" xfId="29774" xr:uid="{00000000-0005-0000-0000-000039350000}"/>
    <cellStyle name="40 % - Markeringsfarve1 3 2 2 4 3" xfId="14050" xr:uid="{00000000-0005-0000-0000-00003A350000}"/>
    <cellStyle name="40 % - Markeringsfarve1 3 2 2 4 3 2" xfId="32216" xr:uid="{00000000-0005-0000-0000-00003B350000}"/>
    <cellStyle name="40 % - Markeringsfarve1 3 2 2 4 4" xfId="25214" xr:uid="{00000000-0005-0000-0000-00003C350000}"/>
    <cellStyle name="40 % - Markeringsfarve1 3 2 2 5" xfId="7998" xr:uid="{00000000-0005-0000-0000-00003D350000}"/>
    <cellStyle name="40 % - Markeringsfarve1 3 2 2 5 2" xfId="15916" xr:uid="{00000000-0005-0000-0000-00003E350000}"/>
    <cellStyle name="40 % - Markeringsfarve1 3 2 2 5 2 2" xfId="34076" xr:uid="{00000000-0005-0000-0000-00003F350000}"/>
    <cellStyle name="40 % - Markeringsfarve1 3 2 2 5 3" xfId="27075" xr:uid="{00000000-0005-0000-0000-000040350000}"/>
    <cellStyle name="40 % - Markeringsfarve1 3 2 2 6" xfId="14046" xr:uid="{00000000-0005-0000-0000-000041350000}"/>
    <cellStyle name="40 % - Markeringsfarve1 3 2 2 6 2" xfId="32212" xr:uid="{00000000-0005-0000-0000-000042350000}"/>
    <cellStyle name="40 % - Markeringsfarve1 3 2 2 7" xfId="25210" xr:uid="{00000000-0005-0000-0000-000043350000}"/>
    <cellStyle name="40 % - Markeringsfarve1 3 2 3" xfId="5497" xr:uid="{00000000-0005-0000-0000-000044350000}"/>
    <cellStyle name="40 % - Markeringsfarve1 3 2 3 2" xfId="5498" xr:uid="{00000000-0005-0000-0000-000045350000}"/>
    <cellStyle name="40 % - Markeringsfarve1 3 2 3 2 2" xfId="5499" xr:uid="{00000000-0005-0000-0000-000046350000}"/>
    <cellStyle name="40 % - Markeringsfarve1 3 2 3 2 2 2" xfId="10013" xr:uid="{00000000-0005-0000-0000-000047350000}"/>
    <cellStyle name="40 % - Markeringsfarve1 3 2 3 2 2 2 2" xfId="17914" xr:uid="{00000000-0005-0000-0000-000048350000}"/>
    <cellStyle name="40 % - Markeringsfarve1 3 2 3 2 2 2 2 2" xfId="36074" xr:uid="{00000000-0005-0000-0000-000049350000}"/>
    <cellStyle name="40 % - Markeringsfarve1 3 2 3 2 2 2 3" xfId="29073" xr:uid="{00000000-0005-0000-0000-00004A350000}"/>
    <cellStyle name="40 % - Markeringsfarve1 3 2 3 2 2 3" xfId="14053" xr:uid="{00000000-0005-0000-0000-00004B350000}"/>
    <cellStyle name="40 % - Markeringsfarve1 3 2 3 2 2 3 2" xfId="32219" xr:uid="{00000000-0005-0000-0000-00004C350000}"/>
    <cellStyle name="40 % - Markeringsfarve1 3 2 3 2 2 4" xfId="25217" xr:uid="{00000000-0005-0000-0000-00004D350000}"/>
    <cellStyle name="40 % - Markeringsfarve1 3 2 3 2 3" xfId="8568" xr:uid="{00000000-0005-0000-0000-00004E350000}"/>
    <cellStyle name="40 % - Markeringsfarve1 3 2 3 2 3 2" xfId="16485" xr:uid="{00000000-0005-0000-0000-00004F350000}"/>
    <cellStyle name="40 % - Markeringsfarve1 3 2 3 2 3 2 2" xfId="34645" xr:uid="{00000000-0005-0000-0000-000050350000}"/>
    <cellStyle name="40 % - Markeringsfarve1 3 2 3 2 3 3" xfId="27644" xr:uid="{00000000-0005-0000-0000-000051350000}"/>
    <cellStyle name="40 % - Markeringsfarve1 3 2 3 2 4" xfId="14052" xr:uid="{00000000-0005-0000-0000-000052350000}"/>
    <cellStyle name="40 % - Markeringsfarve1 3 2 3 2 4 2" xfId="32218" xr:uid="{00000000-0005-0000-0000-000053350000}"/>
    <cellStyle name="40 % - Markeringsfarve1 3 2 3 2 5" xfId="25216" xr:uid="{00000000-0005-0000-0000-000054350000}"/>
    <cellStyle name="40 % - Markeringsfarve1 3 2 3 3" xfId="5500" xr:uid="{00000000-0005-0000-0000-000055350000}"/>
    <cellStyle name="40 % - Markeringsfarve1 3 2 3 3 2" xfId="9243" xr:uid="{00000000-0005-0000-0000-000056350000}"/>
    <cellStyle name="40 % - Markeringsfarve1 3 2 3 3 2 2" xfId="17154" xr:uid="{00000000-0005-0000-0000-000057350000}"/>
    <cellStyle name="40 % - Markeringsfarve1 3 2 3 3 2 2 2" xfId="35314" xr:uid="{00000000-0005-0000-0000-000058350000}"/>
    <cellStyle name="40 % - Markeringsfarve1 3 2 3 3 2 3" xfId="28313" xr:uid="{00000000-0005-0000-0000-000059350000}"/>
    <cellStyle name="40 % - Markeringsfarve1 3 2 3 3 3" xfId="14054" xr:uid="{00000000-0005-0000-0000-00005A350000}"/>
    <cellStyle name="40 % - Markeringsfarve1 3 2 3 3 3 2" xfId="32220" xr:uid="{00000000-0005-0000-0000-00005B350000}"/>
    <cellStyle name="40 % - Markeringsfarve1 3 2 3 3 4" xfId="25218" xr:uid="{00000000-0005-0000-0000-00005C350000}"/>
    <cellStyle name="40 % - Markeringsfarve1 3 2 3 4" xfId="5501" xr:uid="{00000000-0005-0000-0000-00005D350000}"/>
    <cellStyle name="40 % - Markeringsfarve1 3 2 3 4 2" xfId="10971" xr:uid="{00000000-0005-0000-0000-00005E350000}"/>
    <cellStyle name="40 % - Markeringsfarve1 3 2 3 4 2 2" xfId="18850" xr:uid="{00000000-0005-0000-0000-00005F350000}"/>
    <cellStyle name="40 % - Markeringsfarve1 3 2 3 4 2 2 2" xfId="37010" xr:uid="{00000000-0005-0000-0000-000060350000}"/>
    <cellStyle name="40 % - Markeringsfarve1 3 2 3 4 2 3" xfId="30009" xr:uid="{00000000-0005-0000-0000-000061350000}"/>
    <cellStyle name="40 % - Markeringsfarve1 3 2 3 4 3" xfId="14055" xr:uid="{00000000-0005-0000-0000-000062350000}"/>
    <cellStyle name="40 % - Markeringsfarve1 3 2 3 4 3 2" xfId="32221" xr:uid="{00000000-0005-0000-0000-000063350000}"/>
    <cellStyle name="40 % - Markeringsfarve1 3 2 3 4 4" xfId="25219" xr:uid="{00000000-0005-0000-0000-000064350000}"/>
    <cellStyle name="40 % - Markeringsfarve1 3 2 3 5" xfId="7999" xr:uid="{00000000-0005-0000-0000-000065350000}"/>
    <cellStyle name="40 % - Markeringsfarve1 3 2 3 5 2" xfId="15917" xr:uid="{00000000-0005-0000-0000-000066350000}"/>
    <cellStyle name="40 % - Markeringsfarve1 3 2 3 5 2 2" xfId="34077" xr:uid="{00000000-0005-0000-0000-000067350000}"/>
    <cellStyle name="40 % - Markeringsfarve1 3 2 3 5 3" xfId="27076" xr:uid="{00000000-0005-0000-0000-000068350000}"/>
    <cellStyle name="40 % - Markeringsfarve1 3 2 3 6" xfId="14051" xr:uid="{00000000-0005-0000-0000-000069350000}"/>
    <cellStyle name="40 % - Markeringsfarve1 3 2 3 6 2" xfId="32217" xr:uid="{00000000-0005-0000-0000-00006A350000}"/>
    <cellStyle name="40 % - Markeringsfarve1 3 2 3 7" xfId="25215" xr:uid="{00000000-0005-0000-0000-00006B350000}"/>
    <cellStyle name="40 % - Markeringsfarve1 3 2 4" xfId="5502" xr:uid="{00000000-0005-0000-0000-00006C350000}"/>
    <cellStyle name="40 % - Markeringsfarve1 3 2 4 2" xfId="5503" xr:uid="{00000000-0005-0000-0000-00006D350000}"/>
    <cellStyle name="40 % - Markeringsfarve1 3 2 4 2 2" xfId="5504" xr:uid="{00000000-0005-0000-0000-00006E350000}"/>
    <cellStyle name="40 % - Markeringsfarve1 3 2 4 2 2 2" xfId="10128" xr:uid="{00000000-0005-0000-0000-00006F350000}"/>
    <cellStyle name="40 % - Markeringsfarve1 3 2 4 2 2 2 2" xfId="18029" xr:uid="{00000000-0005-0000-0000-000070350000}"/>
    <cellStyle name="40 % - Markeringsfarve1 3 2 4 2 2 2 2 2" xfId="36189" xr:uid="{00000000-0005-0000-0000-000071350000}"/>
    <cellStyle name="40 % - Markeringsfarve1 3 2 4 2 2 2 3" xfId="29188" xr:uid="{00000000-0005-0000-0000-000072350000}"/>
    <cellStyle name="40 % - Markeringsfarve1 3 2 4 2 2 3" xfId="14058" xr:uid="{00000000-0005-0000-0000-000073350000}"/>
    <cellStyle name="40 % - Markeringsfarve1 3 2 4 2 2 3 2" xfId="32224" xr:uid="{00000000-0005-0000-0000-000074350000}"/>
    <cellStyle name="40 % - Markeringsfarve1 3 2 4 2 2 4" xfId="25222" xr:uid="{00000000-0005-0000-0000-000075350000}"/>
    <cellStyle name="40 % - Markeringsfarve1 3 2 4 2 3" xfId="8667" xr:uid="{00000000-0005-0000-0000-000076350000}"/>
    <cellStyle name="40 % - Markeringsfarve1 3 2 4 2 3 2" xfId="16581" xr:uid="{00000000-0005-0000-0000-000077350000}"/>
    <cellStyle name="40 % - Markeringsfarve1 3 2 4 2 3 2 2" xfId="34741" xr:uid="{00000000-0005-0000-0000-000078350000}"/>
    <cellStyle name="40 % - Markeringsfarve1 3 2 4 2 3 3" xfId="27740" xr:uid="{00000000-0005-0000-0000-000079350000}"/>
    <cellStyle name="40 % - Markeringsfarve1 3 2 4 2 4" xfId="14057" xr:uid="{00000000-0005-0000-0000-00007A350000}"/>
    <cellStyle name="40 % - Markeringsfarve1 3 2 4 2 4 2" xfId="32223" xr:uid="{00000000-0005-0000-0000-00007B350000}"/>
    <cellStyle name="40 % - Markeringsfarve1 3 2 4 2 5" xfId="25221" xr:uid="{00000000-0005-0000-0000-00007C350000}"/>
    <cellStyle name="40 % - Markeringsfarve1 3 2 4 3" xfId="5505" xr:uid="{00000000-0005-0000-0000-00007D350000}"/>
    <cellStyle name="40 % - Markeringsfarve1 3 2 4 3 2" xfId="9404" xr:uid="{00000000-0005-0000-0000-00007E350000}"/>
    <cellStyle name="40 % - Markeringsfarve1 3 2 4 3 2 2" xfId="17314" xr:uid="{00000000-0005-0000-0000-00007F350000}"/>
    <cellStyle name="40 % - Markeringsfarve1 3 2 4 3 2 2 2" xfId="35474" xr:uid="{00000000-0005-0000-0000-000080350000}"/>
    <cellStyle name="40 % - Markeringsfarve1 3 2 4 3 2 3" xfId="28473" xr:uid="{00000000-0005-0000-0000-000081350000}"/>
    <cellStyle name="40 % - Markeringsfarve1 3 2 4 3 3" xfId="14059" xr:uid="{00000000-0005-0000-0000-000082350000}"/>
    <cellStyle name="40 % - Markeringsfarve1 3 2 4 3 3 2" xfId="32225" xr:uid="{00000000-0005-0000-0000-000083350000}"/>
    <cellStyle name="40 % - Markeringsfarve1 3 2 4 3 4" xfId="25223" xr:uid="{00000000-0005-0000-0000-000084350000}"/>
    <cellStyle name="40 % - Markeringsfarve1 3 2 4 4" xfId="5506" xr:uid="{00000000-0005-0000-0000-000085350000}"/>
    <cellStyle name="40 % - Markeringsfarve1 3 2 4 4 2" xfId="10695" xr:uid="{00000000-0005-0000-0000-000086350000}"/>
    <cellStyle name="40 % - Markeringsfarve1 3 2 4 4 2 2" xfId="18586" xr:uid="{00000000-0005-0000-0000-000087350000}"/>
    <cellStyle name="40 % - Markeringsfarve1 3 2 4 4 2 2 2" xfId="36746" xr:uid="{00000000-0005-0000-0000-000088350000}"/>
    <cellStyle name="40 % - Markeringsfarve1 3 2 4 4 2 3" xfId="29745" xr:uid="{00000000-0005-0000-0000-000089350000}"/>
    <cellStyle name="40 % - Markeringsfarve1 3 2 4 4 3" xfId="14060" xr:uid="{00000000-0005-0000-0000-00008A350000}"/>
    <cellStyle name="40 % - Markeringsfarve1 3 2 4 4 3 2" xfId="32226" xr:uid="{00000000-0005-0000-0000-00008B350000}"/>
    <cellStyle name="40 % - Markeringsfarve1 3 2 4 4 4" xfId="25224" xr:uid="{00000000-0005-0000-0000-00008C350000}"/>
    <cellStyle name="40 % - Markeringsfarve1 3 2 4 5" xfId="8000" xr:uid="{00000000-0005-0000-0000-00008D350000}"/>
    <cellStyle name="40 % - Markeringsfarve1 3 2 4 5 2" xfId="15918" xr:uid="{00000000-0005-0000-0000-00008E350000}"/>
    <cellStyle name="40 % - Markeringsfarve1 3 2 4 5 2 2" xfId="34078" xr:uid="{00000000-0005-0000-0000-00008F350000}"/>
    <cellStyle name="40 % - Markeringsfarve1 3 2 4 5 3" xfId="27077" xr:uid="{00000000-0005-0000-0000-000090350000}"/>
    <cellStyle name="40 % - Markeringsfarve1 3 2 4 6" xfId="14056" xr:uid="{00000000-0005-0000-0000-000091350000}"/>
    <cellStyle name="40 % - Markeringsfarve1 3 2 4 6 2" xfId="32222" xr:uid="{00000000-0005-0000-0000-000092350000}"/>
    <cellStyle name="40 % - Markeringsfarve1 3 2 4 7" xfId="25220" xr:uid="{00000000-0005-0000-0000-000093350000}"/>
    <cellStyle name="40 % - Markeringsfarve1 3 2 5" xfId="5507" xr:uid="{00000000-0005-0000-0000-000094350000}"/>
    <cellStyle name="40 % - Markeringsfarve1 3 2 5 2" xfId="5508" xr:uid="{00000000-0005-0000-0000-000095350000}"/>
    <cellStyle name="40 % - Markeringsfarve1 3 2 5 2 2" xfId="5509" xr:uid="{00000000-0005-0000-0000-000096350000}"/>
    <cellStyle name="40 % - Markeringsfarve1 3 2 5 2 2 2" xfId="10245" xr:uid="{00000000-0005-0000-0000-000097350000}"/>
    <cellStyle name="40 % - Markeringsfarve1 3 2 5 2 2 2 2" xfId="18146" xr:uid="{00000000-0005-0000-0000-000098350000}"/>
    <cellStyle name="40 % - Markeringsfarve1 3 2 5 2 2 2 2 2" xfId="36306" xr:uid="{00000000-0005-0000-0000-000099350000}"/>
    <cellStyle name="40 % - Markeringsfarve1 3 2 5 2 2 2 3" xfId="29305" xr:uid="{00000000-0005-0000-0000-00009A350000}"/>
    <cellStyle name="40 % - Markeringsfarve1 3 2 5 2 2 3" xfId="14063" xr:uid="{00000000-0005-0000-0000-00009B350000}"/>
    <cellStyle name="40 % - Markeringsfarve1 3 2 5 2 2 3 2" xfId="32229" xr:uid="{00000000-0005-0000-0000-00009C350000}"/>
    <cellStyle name="40 % - Markeringsfarve1 3 2 5 2 2 4" xfId="25227" xr:uid="{00000000-0005-0000-0000-00009D350000}"/>
    <cellStyle name="40 % - Markeringsfarve1 3 2 5 2 3" xfId="8766" xr:uid="{00000000-0005-0000-0000-00009E350000}"/>
    <cellStyle name="40 % - Markeringsfarve1 3 2 5 2 3 2" xfId="16680" xr:uid="{00000000-0005-0000-0000-00009F350000}"/>
    <cellStyle name="40 % - Markeringsfarve1 3 2 5 2 3 2 2" xfId="34840" xr:uid="{00000000-0005-0000-0000-0000A0350000}"/>
    <cellStyle name="40 % - Markeringsfarve1 3 2 5 2 3 3" xfId="27839" xr:uid="{00000000-0005-0000-0000-0000A1350000}"/>
    <cellStyle name="40 % - Markeringsfarve1 3 2 5 2 4" xfId="14062" xr:uid="{00000000-0005-0000-0000-0000A2350000}"/>
    <cellStyle name="40 % - Markeringsfarve1 3 2 5 2 4 2" xfId="32228" xr:uid="{00000000-0005-0000-0000-0000A3350000}"/>
    <cellStyle name="40 % - Markeringsfarve1 3 2 5 2 5" xfId="25226" xr:uid="{00000000-0005-0000-0000-0000A4350000}"/>
    <cellStyle name="40 % - Markeringsfarve1 3 2 5 3" xfId="5510" xr:uid="{00000000-0005-0000-0000-0000A5350000}"/>
    <cellStyle name="40 % - Markeringsfarve1 3 2 5 3 2" xfId="9521" xr:uid="{00000000-0005-0000-0000-0000A6350000}"/>
    <cellStyle name="40 % - Markeringsfarve1 3 2 5 3 2 2" xfId="17431" xr:uid="{00000000-0005-0000-0000-0000A7350000}"/>
    <cellStyle name="40 % - Markeringsfarve1 3 2 5 3 2 2 2" xfId="35591" xr:uid="{00000000-0005-0000-0000-0000A8350000}"/>
    <cellStyle name="40 % - Markeringsfarve1 3 2 5 3 2 3" xfId="28590" xr:uid="{00000000-0005-0000-0000-0000A9350000}"/>
    <cellStyle name="40 % - Markeringsfarve1 3 2 5 3 3" xfId="14064" xr:uid="{00000000-0005-0000-0000-0000AA350000}"/>
    <cellStyle name="40 % - Markeringsfarve1 3 2 5 3 3 2" xfId="32230" xr:uid="{00000000-0005-0000-0000-0000AB350000}"/>
    <cellStyle name="40 % - Markeringsfarve1 3 2 5 3 4" xfId="25228" xr:uid="{00000000-0005-0000-0000-0000AC350000}"/>
    <cellStyle name="40 % - Markeringsfarve1 3 2 5 4" xfId="5511" xr:uid="{00000000-0005-0000-0000-0000AD350000}"/>
    <cellStyle name="40 % - Markeringsfarve1 3 2 5 4 2" xfId="10929" xr:uid="{00000000-0005-0000-0000-0000AE350000}"/>
    <cellStyle name="40 % - Markeringsfarve1 3 2 5 4 2 2" xfId="18810" xr:uid="{00000000-0005-0000-0000-0000AF350000}"/>
    <cellStyle name="40 % - Markeringsfarve1 3 2 5 4 2 2 2" xfId="36970" xr:uid="{00000000-0005-0000-0000-0000B0350000}"/>
    <cellStyle name="40 % - Markeringsfarve1 3 2 5 4 2 3" xfId="29969" xr:uid="{00000000-0005-0000-0000-0000B1350000}"/>
    <cellStyle name="40 % - Markeringsfarve1 3 2 5 4 3" xfId="14065" xr:uid="{00000000-0005-0000-0000-0000B2350000}"/>
    <cellStyle name="40 % - Markeringsfarve1 3 2 5 4 3 2" xfId="32231" xr:uid="{00000000-0005-0000-0000-0000B3350000}"/>
    <cellStyle name="40 % - Markeringsfarve1 3 2 5 4 4" xfId="25229" xr:uid="{00000000-0005-0000-0000-0000B4350000}"/>
    <cellStyle name="40 % - Markeringsfarve1 3 2 5 5" xfId="8001" xr:uid="{00000000-0005-0000-0000-0000B5350000}"/>
    <cellStyle name="40 % - Markeringsfarve1 3 2 5 5 2" xfId="15919" xr:uid="{00000000-0005-0000-0000-0000B6350000}"/>
    <cellStyle name="40 % - Markeringsfarve1 3 2 5 5 2 2" xfId="34079" xr:uid="{00000000-0005-0000-0000-0000B7350000}"/>
    <cellStyle name="40 % - Markeringsfarve1 3 2 5 5 3" xfId="27078" xr:uid="{00000000-0005-0000-0000-0000B8350000}"/>
    <cellStyle name="40 % - Markeringsfarve1 3 2 5 6" xfId="14061" xr:uid="{00000000-0005-0000-0000-0000B9350000}"/>
    <cellStyle name="40 % - Markeringsfarve1 3 2 5 6 2" xfId="32227" xr:uid="{00000000-0005-0000-0000-0000BA350000}"/>
    <cellStyle name="40 % - Markeringsfarve1 3 2 5 7" xfId="25225" xr:uid="{00000000-0005-0000-0000-0000BB350000}"/>
    <cellStyle name="40 % - Markeringsfarve1 3 2 6" xfId="5512" xr:uid="{00000000-0005-0000-0000-0000BC350000}"/>
    <cellStyle name="40 % - Markeringsfarve1 3 2 6 2" xfId="5513" xr:uid="{00000000-0005-0000-0000-0000BD350000}"/>
    <cellStyle name="40 % - Markeringsfarve1 3 2 6 2 2" xfId="5514" xr:uid="{00000000-0005-0000-0000-0000BE350000}"/>
    <cellStyle name="40 % - Markeringsfarve1 3 2 6 2 2 2" xfId="10367" xr:uid="{00000000-0005-0000-0000-0000BF350000}"/>
    <cellStyle name="40 % - Markeringsfarve1 3 2 6 2 2 2 2" xfId="18268" xr:uid="{00000000-0005-0000-0000-0000C0350000}"/>
    <cellStyle name="40 % - Markeringsfarve1 3 2 6 2 2 2 2 2" xfId="36428" xr:uid="{00000000-0005-0000-0000-0000C1350000}"/>
    <cellStyle name="40 % - Markeringsfarve1 3 2 6 2 2 2 3" xfId="29427" xr:uid="{00000000-0005-0000-0000-0000C2350000}"/>
    <cellStyle name="40 % - Markeringsfarve1 3 2 6 2 2 3" xfId="14068" xr:uid="{00000000-0005-0000-0000-0000C3350000}"/>
    <cellStyle name="40 % - Markeringsfarve1 3 2 6 2 2 3 2" xfId="32234" xr:uid="{00000000-0005-0000-0000-0000C4350000}"/>
    <cellStyle name="40 % - Markeringsfarve1 3 2 6 2 2 4" xfId="25232" xr:uid="{00000000-0005-0000-0000-0000C5350000}"/>
    <cellStyle name="40 % - Markeringsfarve1 3 2 6 2 3" xfId="8869" xr:uid="{00000000-0005-0000-0000-0000C6350000}"/>
    <cellStyle name="40 % - Markeringsfarve1 3 2 6 2 3 2" xfId="16783" xr:uid="{00000000-0005-0000-0000-0000C7350000}"/>
    <cellStyle name="40 % - Markeringsfarve1 3 2 6 2 3 2 2" xfId="34943" xr:uid="{00000000-0005-0000-0000-0000C8350000}"/>
    <cellStyle name="40 % - Markeringsfarve1 3 2 6 2 3 3" xfId="27942" xr:uid="{00000000-0005-0000-0000-0000C9350000}"/>
    <cellStyle name="40 % - Markeringsfarve1 3 2 6 2 4" xfId="14067" xr:uid="{00000000-0005-0000-0000-0000CA350000}"/>
    <cellStyle name="40 % - Markeringsfarve1 3 2 6 2 4 2" xfId="32233" xr:uid="{00000000-0005-0000-0000-0000CB350000}"/>
    <cellStyle name="40 % - Markeringsfarve1 3 2 6 2 5" xfId="25231" xr:uid="{00000000-0005-0000-0000-0000CC350000}"/>
    <cellStyle name="40 % - Markeringsfarve1 3 2 6 3" xfId="5515" xr:uid="{00000000-0005-0000-0000-0000CD350000}"/>
    <cellStyle name="40 % - Markeringsfarve1 3 2 6 3 2" xfId="9644" xr:uid="{00000000-0005-0000-0000-0000CE350000}"/>
    <cellStyle name="40 % - Markeringsfarve1 3 2 6 3 2 2" xfId="17554" xr:uid="{00000000-0005-0000-0000-0000CF350000}"/>
    <cellStyle name="40 % - Markeringsfarve1 3 2 6 3 2 2 2" xfId="35714" xr:uid="{00000000-0005-0000-0000-0000D0350000}"/>
    <cellStyle name="40 % - Markeringsfarve1 3 2 6 3 2 3" xfId="28713" xr:uid="{00000000-0005-0000-0000-0000D1350000}"/>
    <cellStyle name="40 % - Markeringsfarve1 3 2 6 3 3" xfId="14069" xr:uid="{00000000-0005-0000-0000-0000D2350000}"/>
    <cellStyle name="40 % - Markeringsfarve1 3 2 6 3 3 2" xfId="32235" xr:uid="{00000000-0005-0000-0000-0000D3350000}"/>
    <cellStyle name="40 % - Markeringsfarve1 3 2 6 3 4" xfId="25233" xr:uid="{00000000-0005-0000-0000-0000D4350000}"/>
    <cellStyle name="40 % - Markeringsfarve1 3 2 6 4" xfId="5516" xr:uid="{00000000-0005-0000-0000-0000D5350000}"/>
    <cellStyle name="40 % - Markeringsfarve1 3 2 6 4 2" xfId="10654" xr:uid="{00000000-0005-0000-0000-0000D6350000}"/>
    <cellStyle name="40 % - Markeringsfarve1 3 2 6 4 2 2" xfId="18547" xr:uid="{00000000-0005-0000-0000-0000D7350000}"/>
    <cellStyle name="40 % - Markeringsfarve1 3 2 6 4 2 2 2" xfId="36707" xr:uid="{00000000-0005-0000-0000-0000D8350000}"/>
    <cellStyle name="40 % - Markeringsfarve1 3 2 6 4 2 3" xfId="29706" xr:uid="{00000000-0005-0000-0000-0000D9350000}"/>
    <cellStyle name="40 % - Markeringsfarve1 3 2 6 4 3" xfId="14070" xr:uid="{00000000-0005-0000-0000-0000DA350000}"/>
    <cellStyle name="40 % - Markeringsfarve1 3 2 6 4 3 2" xfId="32236" xr:uid="{00000000-0005-0000-0000-0000DB350000}"/>
    <cellStyle name="40 % - Markeringsfarve1 3 2 6 4 4" xfId="25234" xr:uid="{00000000-0005-0000-0000-0000DC350000}"/>
    <cellStyle name="40 % - Markeringsfarve1 3 2 6 5" xfId="8002" xr:uid="{00000000-0005-0000-0000-0000DD350000}"/>
    <cellStyle name="40 % - Markeringsfarve1 3 2 6 5 2" xfId="15920" xr:uid="{00000000-0005-0000-0000-0000DE350000}"/>
    <cellStyle name="40 % - Markeringsfarve1 3 2 6 5 2 2" xfId="34080" xr:uid="{00000000-0005-0000-0000-0000DF350000}"/>
    <cellStyle name="40 % - Markeringsfarve1 3 2 6 5 3" xfId="27079" xr:uid="{00000000-0005-0000-0000-0000E0350000}"/>
    <cellStyle name="40 % - Markeringsfarve1 3 2 6 6" xfId="14066" xr:uid="{00000000-0005-0000-0000-0000E1350000}"/>
    <cellStyle name="40 % - Markeringsfarve1 3 2 6 6 2" xfId="32232" xr:uid="{00000000-0005-0000-0000-0000E2350000}"/>
    <cellStyle name="40 % - Markeringsfarve1 3 2 6 7" xfId="25230" xr:uid="{00000000-0005-0000-0000-0000E3350000}"/>
    <cellStyle name="40 % - Markeringsfarve1 3 2 7" xfId="5517" xr:uid="{00000000-0005-0000-0000-0000E4350000}"/>
    <cellStyle name="40 % - Markeringsfarve1 3 2 7 2" xfId="5518" xr:uid="{00000000-0005-0000-0000-0000E5350000}"/>
    <cellStyle name="40 % - Markeringsfarve1 3 2 7 2 2" xfId="9771" xr:uid="{00000000-0005-0000-0000-0000E6350000}"/>
    <cellStyle name="40 % - Markeringsfarve1 3 2 7 2 2 2" xfId="17672" xr:uid="{00000000-0005-0000-0000-0000E7350000}"/>
    <cellStyle name="40 % - Markeringsfarve1 3 2 7 2 2 2 2" xfId="35832" xr:uid="{00000000-0005-0000-0000-0000E8350000}"/>
    <cellStyle name="40 % - Markeringsfarve1 3 2 7 2 2 3" xfId="28831" xr:uid="{00000000-0005-0000-0000-0000E9350000}"/>
    <cellStyle name="40 % - Markeringsfarve1 3 2 7 2 3" xfId="14072" xr:uid="{00000000-0005-0000-0000-0000EA350000}"/>
    <cellStyle name="40 % - Markeringsfarve1 3 2 7 2 3 2" xfId="32238" xr:uid="{00000000-0005-0000-0000-0000EB350000}"/>
    <cellStyle name="40 % - Markeringsfarve1 3 2 7 2 4" xfId="25236" xr:uid="{00000000-0005-0000-0000-0000EC350000}"/>
    <cellStyle name="40 % - Markeringsfarve1 3 2 7 3" xfId="8366" xr:uid="{00000000-0005-0000-0000-0000ED350000}"/>
    <cellStyle name="40 % - Markeringsfarve1 3 2 7 3 2" xfId="16283" xr:uid="{00000000-0005-0000-0000-0000EE350000}"/>
    <cellStyle name="40 % - Markeringsfarve1 3 2 7 3 2 2" xfId="34443" xr:uid="{00000000-0005-0000-0000-0000EF350000}"/>
    <cellStyle name="40 % - Markeringsfarve1 3 2 7 3 3" xfId="27442" xr:uid="{00000000-0005-0000-0000-0000F0350000}"/>
    <cellStyle name="40 % - Markeringsfarve1 3 2 7 4" xfId="14071" xr:uid="{00000000-0005-0000-0000-0000F1350000}"/>
    <cellStyle name="40 % - Markeringsfarve1 3 2 7 4 2" xfId="32237" xr:uid="{00000000-0005-0000-0000-0000F2350000}"/>
    <cellStyle name="40 % - Markeringsfarve1 3 2 7 5" xfId="25235" xr:uid="{00000000-0005-0000-0000-0000F3350000}"/>
    <cellStyle name="40 % - Markeringsfarve1 3 2 8" xfId="5519" xr:uid="{00000000-0005-0000-0000-0000F4350000}"/>
    <cellStyle name="40 % - Markeringsfarve1 3 2 8 2" xfId="8999" xr:uid="{00000000-0005-0000-0000-0000F5350000}"/>
    <cellStyle name="40 % - Markeringsfarve1 3 2 8 2 2" xfId="16910" xr:uid="{00000000-0005-0000-0000-0000F6350000}"/>
    <cellStyle name="40 % - Markeringsfarve1 3 2 8 2 2 2" xfId="35070" xr:uid="{00000000-0005-0000-0000-0000F7350000}"/>
    <cellStyle name="40 % - Markeringsfarve1 3 2 8 2 3" xfId="28069" xr:uid="{00000000-0005-0000-0000-0000F8350000}"/>
    <cellStyle name="40 % - Markeringsfarve1 3 2 8 3" xfId="14073" xr:uid="{00000000-0005-0000-0000-0000F9350000}"/>
    <cellStyle name="40 % - Markeringsfarve1 3 2 8 3 2" xfId="32239" xr:uid="{00000000-0005-0000-0000-0000FA350000}"/>
    <cellStyle name="40 % - Markeringsfarve1 3 2 8 4" xfId="25237" xr:uid="{00000000-0005-0000-0000-0000FB350000}"/>
    <cellStyle name="40 % - Markeringsfarve1 3 2 9" xfId="5520" xr:uid="{00000000-0005-0000-0000-0000FC350000}"/>
    <cellStyle name="40 % - Markeringsfarve1 3 2 9 2" xfId="11006" xr:uid="{00000000-0005-0000-0000-0000FD350000}"/>
    <cellStyle name="40 % - Markeringsfarve1 3 2 9 2 2" xfId="18882" xr:uid="{00000000-0005-0000-0000-0000FE350000}"/>
    <cellStyle name="40 % - Markeringsfarve1 3 2 9 2 2 2" xfId="37042" xr:uid="{00000000-0005-0000-0000-0000FF350000}"/>
    <cellStyle name="40 % - Markeringsfarve1 3 2 9 2 3" xfId="30041" xr:uid="{00000000-0005-0000-0000-000000360000}"/>
    <cellStyle name="40 % - Markeringsfarve1 3 2 9 3" xfId="14074" xr:uid="{00000000-0005-0000-0000-000001360000}"/>
    <cellStyle name="40 % - Markeringsfarve1 3 2 9 3 2" xfId="32240" xr:uid="{00000000-0005-0000-0000-000002360000}"/>
    <cellStyle name="40 % - Markeringsfarve1 3 2 9 4" xfId="25238" xr:uid="{00000000-0005-0000-0000-000003360000}"/>
    <cellStyle name="40 % - Markeringsfarve1 3 3" xfId="5521" xr:uid="{00000000-0005-0000-0000-000004360000}"/>
    <cellStyle name="40 % - Markeringsfarve1 3 3 10" xfId="8003" xr:uid="{00000000-0005-0000-0000-000005360000}"/>
    <cellStyle name="40 % - Markeringsfarve1 3 3 10 2" xfId="15921" xr:uid="{00000000-0005-0000-0000-000006360000}"/>
    <cellStyle name="40 % - Markeringsfarve1 3 3 10 2 2" xfId="34081" xr:uid="{00000000-0005-0000-0000-000007360000}"/>
    <cellStyle name="40 % - Markeringsfarve1 3 3 10 3" xfId="27080" xr:uid="{00000000-0005-0000-0000-000008360000}"/>
    <cellStyle name="40 % - Markeringsfarve1 3 3 11" xfId="14075" xr:uid="{00000000-0005-0000-0000-000009360000}"/>
    <cellStyle name="40 % - Markeringsfarve1 3 3 11 2" xfId="32241" xr:uid="{00000000-0005-0000-0000-00000A360000}"/>
    <cellStyle name="40 % - Markeringsfarve1 3 3 12" xfId="25239" xr:uid="{00000000-0005-0000-0000-00000B360000}"/>
    <cellStyle name="40 % - Markeringsfarve1 3 3 2" xfId="5522" xr:uid="{00000000-0005-0000-0000-00000C360000}"/>
    <cellStyle name="40 % - Markeringsfarve1 3 3 2 2" xfId="5523" xr:uid="{00000000-0005-0000-0000-00000D360000}"/>
    <cellStyle name="40 % - Markeringsfarve1 3 3 2 2 2" xfId="5524" xr:uid="{00000000-0005-0000-0000-00000E360000}"/>
    <cellStyle name="40 % - Markeringsfarve1 3 3 2 2 2 2" xfId="9929" xr:uid="{00000000-0005-0000-0000-00000F360000}"/>
    <cellStyle name="40 % - Markeringsfarve1 3 3 2 2 2 2 2" xfId="17830" xr:uid="{00000000-0005-0000-0000-000010360000}"/>
    <cellStyle name="40 % - Markeringsfarve1 3 3 2 2 2 2 2 2" xfId="35990" xr:uid="{00000000-0005-0000-0000-000011360000}"/>
    <cellStyle name="40 % - Markeringsfarve1 3 3 2 2 2 2 3" xfId="28989" xr:uid="{00000000-0005-0000-0000-000012360000}"/>
    <cellStyle name="40 % - Markeringsfarve1 3 3 2 2 2 3" xfId="14078" xr:uid="{00000000-0005-0000-0000-000013360000}"/>
    <cellStyle name="40 % - Markeringsfarve1 3 3 2 2 2 3 2" xfId="32244" xr:uid="{00000000-0005-0000-0000-000014360000}"/>
    <cellStyle name="40 % - Markeringsfarve1 3 3 2 2 2 4" xfId="25242" xr:uid="{00000000-0005-0000-0000-000015360000}"/>
    <cellStyle name="40 % - Markeringsfarve1 3 3 2 2 3" xfId="8498" xr:uid="{00000000-0005-0000-0000-000016360000}"/>
    <cellStyle name="40 % - Markeringsfarve1 3 3 2 2 3 2" xfId="16415" xr:uid="{00000000-0005-0000-0000-000017360000}"/>
    <cellStyle name="40 % - Markeringsfarve1 3 3 2 2 3 2 2" xfId="34575" xr:uid="{00000000-0005-0000-0000-000018360000}"/>
    <cellStyle name="40 % - Markeringsfarve1 3 3 2 2 3 3" xfId="27574" xr:uid="{00000000-0005-0000-0000-000019360000}"/>
    <cellStyle name="40 % - Markeringsfarve1 3 3 2 2 4" xfId="14077" xr:uid="{00000000-0005-0000-0000-00001A360000}"/>
    <cellStyle name="40 % - Markeringsfarve1 3 3 2 2 4 2" xfId="32243" xr:uid="{00000000-0005-0000-0000-00001B360000}"/>
    <cellStyle name="40 % - Markeringsfarve1 3 3 2 2 5" xfId="25241" xr:uid="{00000000-0005-0000-0000-00001C360000}"/>
    <cellStyle name="40 % - Markeringsfarve1 3 3 2 3" xfId="5525" xr:uid="{00000000-0005-0000-0000-00001D360000}"/>
    <cellStyle name="40 % - Markeringsfarve1 3 3 2 3 2" xfId="9159" xr:uid="{00000000-0005-0000-0000-00001E360000}"/>
    <cellStyle name="40 % - Markeringsfarve1 3 3 2 3 2 2" xfId="17070" xr:uid="{00000000-0005-0000-0000-00001F360000}"/>
    <cellStyle name="40 % - Markeringsfarve1 3 3 2 3 2 2 2" xfId="35230" xr:uid="{00000000-0005-0000-0000-000020360000}"/>
    <cellStyle name="40 % - Markeringsfarve1 3 3 2 3 2 3" xfId="28229" xr:uid="{00000000-0005-0000-0000-000021360000}"/>
    <cellStyle name="40 % - Markeringsfarve1 3 3 2 3 3" xfId="14079" xr:uid="{00000000-0005-0000-0000-000022360000}"/>
    <cellStyle name="40 % - Markeringsfarve1 3 3 2 3 3 2" xfId="32245" xr:uid="{00000000-0005-0000-0000-000023360000}"/>
    <cellStyle name="40 % - Markeringsfarve1 3 3 2 3 4" xfId="25243" xr:uid="{00000000-0005-0000-0000-000024360000}"/>
    <cellStyle name="40 % - Markeringsfarve1 3 3 2 4" xfId="5526" xr:uid="{00000000-0005-0000-0000-000025360000}"/>
    <cellStyle name="40 % - Markeringsfarve1 3 3 2 4 2" xfId="10522" xr:uid="{00000000-0005-0000-0000-000026360000}"/>
    <cellStyle name="40 % - Markeringsfarve1 3 3 2 4 2 2" xfId="18416" xr:uid="{00000000-0005-0000-0000-000027360000}"/>
    <cellStyle name="40 % - Markeringsfarve1 3 3 2 4 2 2 2" xfId="36576" xr:uid="{00000000-0005-0000-0000-000028360000}"/>
    <cellStyle name="40 % - Markeringsfarve1 3 3 2 4 2 3" xfId="29575" xr:uid="{00000000-0005-0000-0000-000029360000}"/>
    <cellStyle name="40 % - Markeringsfarve1 3 3 2 4 3" xfId="14080" xr:uid="{00000000-0005-0000-0000-00002A360000}"/>
    <cellStyle name="40 % - Markeringsfarve1 3 3 2 4 3 2" xfId="32246" xr:uid="{00000000-0005-0000-0000-00002B360000}"/>
    <cellStyle name="40 % - Markeringsfarve1 3 3 2 4 4" xfId="25244" xr:uid="{00000000-0005-0000-0000-00002C360000}"/>
    <cellStyle name="40 % - Markeringsfarve1 3 3 2 5" xfId="8004" xr:uid="{00000000-0005-0000-0000-00002D360000}"/>
    <cellStyle name="40 % - Markeringsfarve1 3 3 2 5 2" xfId="15922" xr:uid="{00000000-0005-0000-0000-00002E360000}"/>
    <cellStyle name="40 % - Markeringsfarve1 3 3 2 5 2 2" xfId="34082" xr:uid="{00000000-0005-0000-0000-00002F360000}"/>
    <cellStyle name="40 % - Markeringsfarve1 3 3 2 5 3" xfId="27081" xr:uid="{00000000-0005-0000-0000-000030360000}"/>
    <cellStyle name="40 % - Markeringsfarve1 3 3 2 6" xfId="14076" xr:uid="{00000000-0005-0000-0000-000031360000}"/>
    <cellStyle name="40 % - Markeringsfarve1 3 3 2 6 2" xfId="32242" xr:uid="{00000000-0005-0000-0000-000032360000}"/>
    <cellStyle name="40 % - Markeringsfarve1 3 3 2 7" xfId="25240" xr:uid="{00000000-0005-0000-0000-000033360000}"/>
    <cellStyle name="40 % - Markeringsfarve1 3 3 3" xfId="5527" xr:uid="{00000000-0005-0000-0000-000034360000}"/>
    <cellStyle name="40 % - Markeringsfarve1 3 3 3 2" xfId="5528" xr:uid="{00000000-0005-0000-0000-000035360000}"/>
    <cellStyle name="40 % - Markeringsfarve1 3 3 3 2 2" xfId="5529" xr:uid="{00000000-0005-0000-0000-000036360000}"/>
    <cellStyle name="40 % - Markeringsfarve1 3 3 3 2 2 2" xfId="10014" xr:uid="{00000000-0005-0000-0000-000037360000}"/>
    <cellStyle name="40 % - Markeringsfarve1 3 3 3 2 2 2 2" xfId="17915" xr:uid="{00000000-0005-0000-0000-000038360000}"/>
    <cellStyle name="40 % - Markeringsfarve1 3 3 3 2 2 2 2 2" xfId="36075" xr:uid="{00000000-0005-0000-0000-000039360000}"/>
    <cellStyle name="40 % - Markeringsfarve1 3 3 3 2 2 2 3" xfId="29074" xr:uid="{00000000-0005-0000-0000-00003A360000}"/>
    <cellStyle name="40 % - Markeringsfarve1 3 3 3 2 2 3" xfId="14083" xr:uid="{00000000-0005-0000-0000-00003B360000}"/>
    <cellStyle name="40 % - Markeringsfarve1 3 3 3 2 2 3 2" xfId="32249" xr:uid="{00000000-0005-0000-0000-00003C360000}"/>
    <cellStyle name="40 % - Markeringsfarve1 3 3 3 2 2 4" xfId="25247" xr:uid="{00000000-0005-0000-0000-00003D360000}"/>
    <cellStyle name="40 % - Markeringsfarve1 3 3 3 2 3" xfId="8569" xr:uid="{00000000-0005-0000-0000-00003E360000}"/>
    <cellStyle name="40 % - Markeringsfarve1 3 3 3 2 3 2" xfId="16486" xr:uid="{00000000-0005-0000-0000-00003F360000}"/>
    <cellStyle name="40 % - Markeringsfarve1 3 3 3 2 3 2 2" xfId="34646" xr:uid="{00000000-0005-0000-0000-000040360000}"/>
    <cellStyle name="40 % - Markeringsfarve1 3 3 3 2 3 3" xfId="27645" xr:uid="{00000000-0005-0000-0000-000041360000}"/>
    <cellStyle name="40 % - Markeringsfarve1 3 3 3 2 4" xfId="14082" xr:uid="{00000000-0005-0000-0000-000042360000}"/>
    <cellStyle name="40 % - Markeringsfarve1 3 3 3 2 4 2" xfId="32248" xr:uid="{00000000-0005-0000-0000-000043360000}"/>
    <cellStyle name="40 % - Markeringsfarve1 3 3 3 2 5" xfId="25246" xr:uid="{00000000-0005-0000-0000-000044360000}"/>
    <cellStyle name="40 % - Markeringsfarve1 3 3 3 3" xfId="5530" xr:uid="{00000000-0005-0000-0000-000045360000}"/>
    <cellStyle name="40 % - Markeringsfarve1 3 3 3 3 2" xfId="9244" xr:uid="{00000000-0005-0000-0000-000046360000}"/>
    <cellStyle name="40 % - Markeringsfarve1 3 3 3 3 2 2" xfId="17155" xr:uid="{00000000-0005-0000-0000-000047360000}"/>
    <cellStyle name="40 % - Markeringsfarve1 3 3 3 3 2 2 2" xfId="35315" xr:uid="{00000000-0005-0000-0000-000048360000}"/>
    <cellStyle name="40 % - Markeringsfarve1 3 3 3 3 2 3" xfId="28314" xr:uid="{00000000-0005-0000-0000-000049360000}"/>
    <cellStyle name="40 % - Markeringsfarve1 3 3 3 3 3" xfId="14084" xr:uid="{00000000-0005-0000-0000-00004A360000}"/>
    <cellStyle name="40 % - Markeringsfarve1 3 3 3 3 3 2" xfId="32250" xr:uid="{00000000-0005-0000-0000-00004B360000}"/>
    <cellStyle name="40 % - Markeringsfarve1 3 3 3 3 4" xfId="25248" xr:uid="{00000000-0005-0000-0000-00004C360000}"/>
    <cellStyle name="40 % - Markeringsfarve1 3 3 3 4" xfId="5531" xr:uid="{00000000-0005-0000-0000-00004D360000}"/>
    <cellStyle name="40 % - Markeringsfarve1 3 3 3 4 2" xfId="10840" xr:uid="{00000000-0005-0000-0000-00004E360000}"/>
    <cellStyle name="40 % - Markeringsfarve1 3 3 3 4 2 2" xfId="18726" xr:uid="{00000000-0005-0000-0000-00004F360000}"/>
    <cellStyle name="40 % - Markeringsfarve1 3 3 3 4 2 2 2" xfId="36886" xr:uid="{00000000-0005-0000-0000-000050360000}"/>
    <cellStyle name="40 % - Markeringsfarve1 3 3 3 4 2 3" xfId="29885" xr:uid="{00000000-0005-0000-0000-000051360000}"/>
    <cellStyle name="40 % - Markeringsfarve1 3 3 3 4 3" xfId="14085" xr:uid="{00000000-0005-0000-0000-000052360000}"/>
    <cellStyle name="40 % - Markeringsfarve1 3 3 3 4 3 2" xfId="32251" xr:uid="{00000000-0005-0000-0000-000053360000}"/>
    <cellStyle name="40 % - Markeringsfarve1 3 3 3 4 4" xfId="25249" xr:uid="{00000000-0005-0000-0000-000054360000}"/>
    <cellStyle name="40 % - Markeringsfarve1 3 3 3 5" xfId="8005" xr:uid="{00000000-0005-0000-0000-000055360000}"/>
    <cellStyle name="40 % - Markeringsfarve1 3 3 3 5 2" xfId="15923" xr:uid="{00000000-0005-0000-0000-000056360000}"/>
    <cellStyle name="40 % - Markeringsfarve1 3 3 3 5 2 2" xfId="34083" xr:uid="{00000000-0005-0000-0000-000057360000}"/>
    <cellStyle name="40 % - Markeringsfarve1 3 3 3 5 3" xfId="27082" xr:uid="{00000000-0005-0000-0000-000058360000}"/>
    <cellStyle name="40 % - Markeringsfarve1 3 3 3 6" xfId="14081" xr:uid="{00000000-0005-0000-0000-000059360000}"/>
    <cellStyle name="40 % - Markeringsfarve1 3 3 3 6 2" xfId="32247" xr:uid="{00000000-0005-0000-0000-00005A360000}"/>
    <cellStyle name="40 % - Markeringsfarve1 3 3 3 7" xfId="25245" xr:uid="{00000000-0005-0000-0000-00005B360000}"/>
    <cellStyle name="40 % - Markeringsfarve1 3 3 4" xfId="5532" xr:uid="{00000000-0005-0000-0000-00005C360000}"/>
    <cellStyle name="40 % - Markeringsfarve1 3 3 4 2" xfId="5533" xr:uid="{00000000-0005-0000-0000-00005D360000}"/>
    <cellStyle name="40 % - Markeringsfarve1 3 3 4 2 2" xfId="5534" xr:uid="{00000000-0005-0000-0000-00005E360000}"/>
    <cellStyle name="40 % - Markeringsfarve1 3 3 4 2 2 2" xfId="10167" xr:uid="{00000000-0005-0000-0000-00005F360000}"/>
    <cellStyle name="40 % - Markeringsfarve1 3 3 4 2 2 2 2" xfId="18068" xr:uid="{00000000-0005-0000-0000-000060360000}"/>
    <cellStyle name="40 % - Markeringsfarve1 3 3 4 2 2 2 2 2" xfId="36228" xr:uid="{00000000-0005-0000-0000-000061360000}"/>
    <cellStyle name="40 % - Markeringsfarve1 3 3 4 2 2 2 3" xfId="29227" xr:uid="{00000000-0005-0000-0000-000062360000}"/>
    <cellStyle name="40 % - Markeringsfarve1 3 3 4 2 2 3" xfId="14088" xr:uid="{00000000-0005-0000-0000-000063360000}"/>
    <cellStyle name="40 % - Markeringsfarve1 3 3 4 2 2 3 2" xfId="32254" xr:uid="{00000000-0005-0000-0000-000064360000}"/>
    <cellStyle name="40 % - Markeringsfarve1 3 3 4 2 2 4" xfId="25252" xr:uid="{00000000-0005-0000-0000-000065360000}"/>
    <cellStyle name="40 % - Markeringsfarve1 3 3 4 2 3" xfId="8700" xr:uid="{00000000-0005-0000-0000-000066360000}"/>
    <cellStyle name="40 % - Markeringsfarve1 3 3 4 2 3 2" xfId="16614" xr:uid="{00000000-0005-0000-0000-000067360000}"/>
    <cellStyle name="40 % - Markeringsfarve1 3 3 4 2 3 2 2" xfId="34774" xr:uid="{00000000-0005-0000-0000-000068360000}"/>
    <cellStyle name="40 % - Markeringsfarve1 3 3 4 2 3 3" xfId="27773" xr:uid="{00000000-0005-0000-0000-000069360000}"/>
    <cellStyle name="40 % - Markeringsfarve1 3 3 4 2 4" xfId="14087" xr:uid="{00000000-0005-0000-0000-00006A360000}"/>
    <cellStyle name="40 % - Markeringsfarve1 3 3 4 2 4 2" xfId="32253" xr:uid="{00000000-0005-0000-0000-00006B360000}"/>
    <cellStyle name="40 % - Markeringsfarve1 3 3 4 2 5" xfId="25251" xr:uid="{00000000-0005-0000-0000-00006C360000}"/>
    <cellStyle name="40 % - Markeringsfarve1 3 3 4 3" xfId="5535" xr:uid="{00000000-0005-0000-0000-00006D360000}"/>
    <cellStyle name="40 % - Markeringsfarve1 3 3 4 3 2" xfId="9443" xr:uid="{00000000-0005-0000-0000-00006E360000}"/>
    <cellStyle name="40 % - Markeringsfarve1 3 3 4 3 2 2" xfId="17353" xr:uid="{00000000-0005-0000-0000-00006F360000}"/>
    <cellStyle name="40 % - Markeringsfarve1 3 3 4 3 2 2 2" xfId="35513" xr:uid="{00000000-0005-0000-0000-000070360000}"/>
    <cellStyle name="40 % - Markeringsfarve1 3 3 4 3 2 3" xfId="28512" xr:uid="{00000000-0005-0000-0000-000071360000}"/>
    <cellStyle name="40 % - Markeringsfarve1 3 3 4 3 3" xfId="14089" xr:uid="{00000000-0005-0000-0000-000072360000}"/>
    <cellStyle name="40 % - Markeringsfarve1 3 3 4 3 3 2" xfId="32255" xr:uid="{00000000-0005-0000-0000-000073360000}"/>
    <cellStyle name="40 % - Markeringsfarve1 3 3 4 3 4" xfId="25253" xr:uid="{00000000-0005-0000-0000-000074360000}"/>
    <cellStyle name="40 % - Markeringsfarve1 3 3 4 4" xfId="5536" xr:uid="{00000000-0005-0000-0000-000075360000}"/>
    <cellStyle name="40 % - Markeringsfarve1 3 3 4 4 2" xfId="10491" xr:uid="{00000000-0005-0000-0000-000076360000}"/>
    <cellStyle name="40 % - Markeringsfarve1 3 3 4 4 2 2" xfId="18387" xr:uid="{00000000-0005-0000-0000-000077360000}"/>
    <cellStyle name="40 % - Markeringsfarve1 3 3 4 4 2 2 2" xfId="36547" xr:uid="{00000000-0005-0000-0000-000078360000}"/>
    <cellStyle name="40 % - Markeringsfarve1 3 3 4 4 2 3" xfId="29546" xr:uid="{00000000-0005-0000-0000-000079360000}"/>
    <cellStyle name="40 % - Markeringsfarve1 3 3 4 4 3" xfId="14090" xr:uid="{00000000-0005-0000-0000-00007A360000}"/>
    <cellStyle name="40 % - Markeringsfarve1 3 3 4 4 3 2" xfId="32256" xr:uid="{00000000-0005-0000-0000-00007B360000}"/>
    <cellStyle name="40 % - Markeringsfarve1 3 3 4 4 4" xfId="25254" xr:uid="{00000000-0005-0000-0000-00007C360000}"/>
    <cellStyle name="40 % - Markeringsfarve1 3 3 4 5" xfId="8006" xr:uid="{00000000-0005-0000-0000-00007D360000}"/>
    <cellStyle name="40 % - Markeringsfarve1 3 3 4 5 2" xfId="15924" xr:uid="{00000000-0005-0000-0000-00007E360000}"/>
    <cellStyle name="40 % - Markeringsfarve1 3 3 4 5 2 2" xfId="34084" xr:uid="{00000000-0005-0000-0000-00007F360000}"/>
    <cellStyle name="40 % - Markeringsfarve1 3 3 4 5 3" xfId="27083" xr:uid="{00000000-0005-0000-0000-000080360000}"/>
    <cellStyle name="40 % - Markeringsfarve1 3 3 4 6" xfId="14086" xr:uid="{00000000-0005-0000-0000-000081360000}"/>
    <cellStyle name="40 % - Markeringsfarve1 3 3 4 6 2" xfId="32252" xr:uid="{00000000-0005-0000-0000-000082360000}"/>
    <cellStyle name="40 % - Markeringsfarve1 3 3 4 7" xfId="25250" xr:uid="{00000000-0005-0000-0000-000083360000}"/>
    <cellStyle name="40 % - Markeringsfarve1 3 3 5" xfId="5537" xr:uid="{00000000-0005-0000-0000-000084360000}"/>
    <cellStyle name="40 % - Markeringsfarve1 3 3 5 2" xfId="5538" xr:uid="{00000000-0005-0000-0000-000085360000}"/>
    <cellStyle name="40 % - Markeringsfarve1 3 3 5 2 2" xfId="5539" xr:uid="{00000000-0005-0000-0000-000086360000}"/>
    <cellStyle name="40 % - Markeringsfarve1 3 3 5 2 2 2" xfId="10284" xr:uid="{00000000-0005-0000-0000-000087360000}"/>
    <cellStyle name="40 % - Markeringsfarve1 3 3 5 2 2 2 2" xfId="18185" xr:uid="{00000000-0005-0000-0000-000088360000}"/>
    <cellStyle name="40 % - Markeringsfarve1 3 3 5 2 2 2 2 2" xfId="36345" xr:uid="{00000000-0005-0000-0000-000089360000}"/>
    <cellStyle name="40 % - Markeringsfarve1 3 3 5 2 2 2 3" xfId="29344" xr:uid="{00000000-0005-0000-0000-00008A360000}"/>
    <cellStyle name="40 % - Markeringsfarve1 3 3 5 2 2 3" xfId="14093" xr:uid="{00000000-0005-0000-0000-00008B360000}"/>
    <cellStyle name="40 % - Markeringsfarve1 3 3 5 2 2 3 2" xfId="32259" xr:uid="{00000000-0005-0000-0000-00008C360000}"/>
    <cellStyle name="40 % - Markeringsfarve1 3 3 5 2 2 4" xfId="25257" xr:uid="{00000000-0005-0000-0000-00008D360000}"/>
    <cellStyle name="40 % - Markeringsfarve1 3 3 5 2 3" xfId="8799" xr:uid="{00000000-0005-0000-0000-00008E360000}"/>
    <cellStyle name="40 % - Markeringsfarve1 3 3 5 2 3 2" xfId="16713" xr:uid="{00000000-0005-0000-0000-00008F360000}"/>
    <cellStyle name="40 % - Markeringsfarve1 3 3 5 2 3 2 2" xfId="34873" xr:uid="{00000000-0005-0000-0000-000090360000}"/>
    <cellStyle name="40 % - Markeringsfarve1 3 3 5 2 3 3" xfId="27872" xr:uid="{00000000-0005-0000-0000-000091360000}"/>
    <cellStyle name="40 % - Markeringsfarve1 3 3 5 2 4" xfId="14092" xr:uid="{00000000-0005-0000-0000-000092360000}"/>
    <cellStyle name="40 % - Markeringsfarve1 3 3 5 2 4 2" xfId="32258" xr:uid="{00000000-0005-0000-0000-000093360000}"/>
    <cellStyle name="40 % - Markeringsfarve1 3 3 5 2 5" xfId="25256" xr:uid="{00000000-0005-0000-0000-000094360000}"/>
    <cellStyle name="40 % - Markeringsfarve1 3 3 5 3" xfId="5540" xr:uid="{00000000-0005-0000-0000-000095360000}"/>
    <cellStyle name="40 % - Markeringsfarve1 3 3 5 3 2" xfId="9560" xr:uid="{00000000-0005-0000-0000-000096360000}"/>
    <cellStyle name="40 % - Markeringsfarve1 3 3 5 3 2 2" xfId="17470" xr:uid="{00000000-0005-0000-0000-000097360000}"/>
    <cellStyle name="40 % - Markeringsfarve1 3 3 5 3 2 2 2" xfId="35630" xr:uid="{00000000-0005-0000-0000-000098360000}"/>
    <cellStyle name="40 % - Markeringsfarve1 3 3 5 3 2 3" xfId="28629" xr:uid="{00000000-0005-0000-0000-000099360000}"/>
    <cellStyle name="40 % - Markeringsfarve1 3 3 5 3 3" xfId="14094" xr:uid="{00000000-0005-0000-0000-00009A360000}"/>
    <cellStyle name="40 % - Markeringsfarve1 3 3 5 3 3 2" xfId="32260" xr:uid="{00000000-0005-0000-0000-00009B360000}"/>
    <cellStyle name="40 % - Markeringsfarve1 3 3 5 3 4" xfId="25258" xr:uid="{00000000-0005-0000-0000-00009C360000}"/>
    <cellStyle name="40 % - Markeringsfarve1 3 3 5 4" xfId="5541" xr:uid="{00000000-0005-0000-0000-00009D360000}"/>
    <cellStyle name="40 % - Markeringsfarve1 3 3 5 4 2" xfId="10444" xr:uid="{00000000-0005-0000-0000-00009E360000}"/>
    <cellStyle name="40 % - Markeringsfarve1 3 3 5 4 2 2" xfId="18341" xr:uid="{00000000-0005-0000-0000-00009F360000}"/>
    <cellStyle name="40 % - Markeringsfarve1 3 3 5 4 2 2 2" xfId="36501" xr:uid="{00000000-0005-0000-0000-0000A0360000}"/>
    <cellStyle name="40 % - Markeringsfarve1 3 3 5 4 2 3" xfId="29500" xr:uid="{00000000-0005-0000-0000-0000A1360000}"/>
    <cellStyle name="40 % - Markeringsfarve1 3 3 5 4 3" xfId="14095" xr:uid="{00000000-0005-0000-0000-0000A2360000}"/>
    <cellStyle name="40 % - Markeringsfarve1 3 3 5 4 3 2" xfId="32261" xr:uid="{00000000-0005-0000-0000-0000A3360000}"/>
    <cellStyle name="40 % - Markeringsfarve1 3 3 5 4 4" xfId="25259" xr:uid="{00000000-0005-0000-0000-0000A4360000}"/>
    <cellStyle name="40 % - Markeringsfarve1 3 3 5 5" xfId="8007" xr:uid="{00000000-0005-0000-0000-0000A5360000}"/>
    <cellStyle name="40 % - Markeringsfarve1 3 3 5 5 2" xfId="15925" xr:uid="{00000000-0005-0000-0000-0000A6360000}"/>
    <cellStyle name="40 % - Markeringsfarve1 3 3 5 5 2 2" xfId="34085" xr:uid="{00000000-0005-0000-0000-0000A7360000}"/>
    <cellStyle name="40 % - Markeringsfarve1 3 3 5 5 3" xfId="27084" xr:uid="{00000000-0005-0000-0000-0000A8360000}"/>
    <cellStyle name="40 % - Markeringsfarve1 3 3 5 6" xfId="14091" xr:uid="{00000000-0005-0000-0000-0000A9360000}"/>
    <cellStyle name="40 % - Markeringsfarve1 3 3 5 6 2" xfId="32257" xr:uid="{00000000-0005-0000-0000-0000AA360000}"/>
    <cellStyle name="40 % - Markeringsfarve1 3 3 5 7" xfId="25255" xr:uid="{00000000-0005-0000-0000-0000AB360000}"/>
    <cellStyle name="40 % - Markeringsfarve1 3 3 6" xfId="5542" xr:uid="{00000000-0005-0000-0000-0000AC360000}"/>
    <cellStyle name="40 % - Markeringsfarve1 3 3 6 2" xfId="5543" xr:uid="{00000000-0005-0000-0000-0000AD360000}"/>
    <cellStyle name="40 % - Markeringsfarve1 3 3 6 2 2" xfId="5544" xr:uid="{00000000-0005-0000-0000-0000AE360000}"/>
    <cellStyle name="40 % - Markeringsfarve1 3 3 6 2 2 2" xfId="10368" xr:uid="{00000000-0005-0000-0000-0000AF360000}"/>
    <cellStyle name="40 % - Markeringsfarve1 3 3 6 2 2 2 2" xfId="18269" xr:uid="{00000000-0005-0000-0000-0000B0360000}"/>
    <cellStyle name="40 % - Markeringsfarve1 3 3 6 2 2 2 2 2" xfId="36429" xr:uid="{00000000-0005-0000-0000-0000B1360000}"/>
    <cellStyle name="40 % - Markeringsfarve1 3 3 6 2 2 2 3" xfId="29428" xr:uid="{00000000-0005-0000-0000-0000B2360000}"/>
    <cellStyle name="40 % - Markeringsfarve1 3 3 6 2 2 3" xfId="14098" xr:uid="{00000000-0005-0000-0000-0000B3360000}"/>
    <cellStyle name="40 % - Markeringsfarve1 3 3 6 2 2 3 2" xfId="32264" xr:uid="{00000000-0005-0000-0000-0000B4360000}"/>
    <cellStyle name="40 % - Markeringsfarve1 3 3 6 2 2 4" xfId="25262" xr:uid="{00000000-0005-0000-0000-0000B5360000}"/>
    <cellStyle name="40 % - Markeringsfarve1 3 3 6 2 3" xfId="8870" xr:uid="{00000000-0005-0000-0000-0000B6360000}"/>
    <cellStyle name="40 % - Markeringsfarve1 3 3 6 2 3 2" xfId="16784" xr:uid="{00000000-0005-0000-0000-0000B7360000}"/>
    <cellStyle name="40 % - Markeringsfarve1 3 3 6 2 3 2 2" xfId="34944" xr:uid="{00000000-0005-0000-0000-0000B8360000}"/>
    <cellStyle name="40 % - Markeringsfarve1 3 3 6 2 3 3" xfId="27943" xr:uid="{00000000-0005-0000-0000-0000B9360000}"/>
    <cellStyle name="40 % - Markeringsfarve1 3 3 6 2 4" xfId="14097" xr:uid="{00000000-0005-0000-0000-0000BA360000}"/>
    <cellStyle name="40 % - Markeringsfarve1 3 3 6 2 4 2" xfId="32263" xr:uid="{00000000-0005-0000-0000-0000BB360000}"/>
    <cellStyle name="40 % - Markeringsfarve1 3 3 6 2 5" xfId="25261" xr:uid="{00000000-0005-0000-0000-0000BC360000}"/>
    <cellStyle name="40 % - Markeringsfarve1 3 3 6 3" xfId="5545" xr:uid="{00000000-0005-0000-0000-0000BD360000}"/>
    <cellStyle name="40 % - Markeringsfarve1 3 3 6 3 2" xfId="9645" xr:uid="{00000000-0005-0000-0000-0000BE360000}"/>
    <cellStyle name="40 % - Markeringsfarve1 3 3 6 3 2 2" xfId="17555" xr:uid="{00000000-0005-0000-0000-0000BF360000}"/>
    <cellStyle name="40 % - Markeringsfarve1 3 3 6 3 2 2 2" xfId="35715" xr:uid="{00000000-0005-0000-0000-0000C0360000}"/>
    <cellStyle name="40 % - Markeringsfarve1 3 3 6 3 2 3" xfId="28714" xr:uid="{00000000-0005-0000-0000-0000C1360000}"/>
    <cellStyle name="40 % - Markeringsfarve1 3 3 6 3 3" xfId="14099" xr:uid="{00000000-0005-0000-0000-0000C2360000}"/>
    <cellStyle name="40 % - Markeringsfarve1 3 3 6 3 3 2" xfId="32265" xr:uid="{00000000-0005-0000-0000-0000C3360000}"/>
    <cellStyle name="40 % - Markeringsfarve1 3 3 6 3 4" xfId="25263" xr:uid="{00000000-0005-0000-0000-0000C4360000}"/>
    <cellStyle name="40 % - Markeringsfarve1 3 3 6 4" xfId="5546" xr:uid="{00000000-0005-0000-0000-0000C5360000}"/>
    <cellStyle name="40 % - Markeringsfarve1 3 3 6 4 2" xfId="10785" xr:uid="{00000000-0005-0000-0000-0000C6360000}"/>
    <cellStyle name="40 % - Markeringsfarve1 3 3 6 4 2 2" xfId="18673" xr:uid="{00000000-0005-0000-0000-0000C7360000}"/>
    <cellStyle name="40 % - Markeringsfarve1 3 3 6 4 2 2 2" xfId="36833" xr:uid="{00000000-0005-0000-0000-0000C8360000}"/>
    <cellStyle name="40 % - Markeringsfarve1 3 3 6 4 2 3" xfId="29832" xr:uid="{00000000-0005-0000-0000-0000C9360000}"/>
    <cellStyle name="40 % - Markeringsfarve1 3 3 6 4 3" xfId="14100" xr:uid="{00000000-0005-0000-0000-0000CA360000}"/>
    <cellStyle name="40 % - Markeringsfarve1 3 3 6 4 3 2" xfId="32266" xr:uid="{00000000-0005-0000-0000-0000CB360000}"/>
    <cellStyle name="40 % - Markeringsfarve1 3 3 6 4 4" xfId="25264" xr:uid="{00000000-0005-0000-0000-0000CC360000}"/>
    <cellStyle name="40 % - Markeringsfarve1 3 3 6 5" xfId="8008" xr:uid="{00000000-0005-0000-0000-0000CD360000}"/>
    <cellStyle name="40 % - Markeringsfarve1 3 3 6 5 2" xfId="15926" xr:uid="{00000000-0005-0000-0000-0000CE360000}"/>
    <cellStyle name="40 % - Markeringsfarve1 3 3 6 5 2 2" xfId="34086" xr:uid="{00000000-0005-0000-0000-0000CF360000}"/>
    <cellStyle name="40 % - Markeringsfarve1 3 3 6 5 3" xfId="27085" xr:uid="{00000000-0005-0000-0000-0000D0360000}"/>
    <cellStyle name="40 % - Markeringsfarve1 3 3 6 6" xfId="14096" xr:uid="{00000000-0005-0000-0000-0000D1360000}"/>
    <cellStyle name="40 % - Markeringsfarve1 3 3 6 6 2" xfId="32262" xr:uid="{00000000-0005-0000-0000-0000D2360000}"/>
    <cellStyle name="40 % - Markeringsfarve1 3 3 6 7" xfId="25260" xr:uid="{00000000-0005-0000-0000-0000D3360000}"/>
    <cellStyle name="40 % - Markeringsfarve1 3 3 7" xfId="5547" xr:uid="{00000000-0005-0000-0000-0000D4360000}"/>
    <cellStyle name="40 % - Markeringsfarve1 3 3 7 2" xfId="5548" xr:uid="{00000000-0005-0000-0000-0000D5360000}"/>
    <cellStyle name="40 % - Markeringsfarve1 3 3 7 2 2" xfId="9810" xr:uid="{00000000-0005-0000-0000-0000D6360000}"/>
    <cellStyle name="40 % - Markeringsfarve1 3 3 7 2 2 2" xfId="17711" xr:uid="{00000000-0005-0000-0000-0000D7360000}"/>
    <cellStyle name="40 % - Markeringsfarve1 3 3 7 2 2 2 2" xfId="35871" xr:uid="{00000000-0005-0000-0000-0000D8360000}"/>
    <cellStyle name="40 % - Markeringsfarve1 3 3 7 2 2 3" xfId="28870" xr:uid="{00000000-0005-0000-0000-0000D9360000}"/>
    <cellStyle name="40 % - Markeringsfarve1 3 3 7 2 3" xfId="14102" xr:uid="{00000000-0005-0000-0000-0000DA360000}"/>
    <cellStyle name="40 % - Markeringsfarve1 3 3 7 2 3 2" xfId="32268" xr:uid="{00000000-0005-0000-0000-0000DB360000}"/>
    <cellStyle name="40 % - Markeringsfarve1 3 3 7 2 4" xfId="25266" xr:uid="{00000000-0005-0000-0000-0000DC360000}"/>
    <cellStyle name="40 % - Markeringsfarve1 3 3 7 3" xfId="8399" xr:uid="{00000000-0005-0000-0000-0000DD360000}"/>
    <cellStyle name="40 % - Markeringsfarve1 3 3 7 3 2" xfId="16316" xr:uid="{00000000-0005-0000-0000-0000DE360000}"/>
    <cellStyle name="40 % - Markeringsfarve1 3 3 7 3 2 2" xfId="34476" xr:uid="{00000000-0005-0000-0000-0000DF360000}"/>
    <cellStyle name="40 % - Markeringsfarve1 3 3 7 3 3" xfId="27475" xr:uid="{00000000-0005-0000-0000-0000E0360000}"/>
    <cellStyle name="40 % - Markeringsfarve1 3 3 7 4" xfId="14101" xr:uid="{00000000-0005-0000-0000-0000E1360000}"/>
    <cellStyle name="40 % - Markeringsfarve1 3 3 7 4 2" xfId="32267" xr:uid="{00000000-0005-0000-0000-0000E2360000}"/>
    <cellStyle name="40 % - Markeringsfarve1 3 3 7 5" xfId="25265" xr:uid="{00000000-0005-0000-0000-0000E3360000}"/>
    <cellStyle name="40 % - Markeringsfarve1 3 3 8" xfId="5549" xr:uid="{00000000-0005-0000-0000-0000E4360000}"/>
    <cellStyle name="40 % - Markeringsfarve1 3 3 8 2" xfId="9038" xr:uid="{00000000-0005-0000-0000-0000E5360000}"/>
    <cellStyle name="40 % - Markeringsfarve1 3 3 8 2 2" xfId="16949" xr:uid="{00000000-0005-0000-0000-0000E6360000}"/>
    <cellStyle name="40 % - Markeringsfarve1 3 3 8 2 2 2" xfId="35109" xr:uid="{00000000-0005-0000-0000-0000E7360000}"/>
    <cellStyle name="40 % - Markeringsfarve1 3 3 8 2 3" xfId="28108" xr:uid="{00000000-0005-0000-0000-0000E8360000}"/>
    <cellStyle name="40 % - Markeringsfarve1 3 3 8 3" xfId="14103" xr:uid="{00000000-0005-0000-0000-0000E9360000}"/>
    <cellStyle name="40 % - Markeringsfarve1 3 3 8 3 2" xfId="32269" xr:uid="{00000000-0005-0000-0000-0000EA360000}"/>
    <cellStyle name="40 % - Markeringsfarve1 3 3 8 4" xfId="25267" xr:uid="{00000000-0005-0000-0000-0000EB360000}"/>
    <cellStyle name="40 % - Markeringsfarve1 3 3 9" xfId="5550" xr:uid="{00000000-0005-0000-0000-0000EC360000}"/>
    <cellStyle name="40 % - Markeringsfarve1 3 3 9 2" xfId="10873" xr:uid="{00000000-0005-0000-0000-0000ED360000}"/>
    <cellStyle name="40 % - Markeringsfarve1 3 3 9 2 2" xfId="18756" xr:uid="{00000000-0005-0000-0000-0000EE360000}"/>
    <cellStyle name="40 % - Markeringsfarve1 3 3 9 2 2 2" xfId="36916" xr:uid="{00000000-0005-0000-0000-0000EF360000}"/>
    <cellStyle name="40 % - Markeringsfarve1 3 3 9 2 3" xfId="29915" xr:uid="{00000000-0005-0000-0000-0000F0360000}"/>
    <cellStyle name="40 % - Markeringsfarve1 3 3 9 3" xfId="14104" xr:uid="{00000000-0005-0000-0000-0000F1360000}"/>
    <cellStyle name="40 % - Markeringsfarve1 3 3 9 3 2" xfId="32270" xr:uid="{00000000-0005-0000-0000-0000F2360000}"/>
    <cellStyle name="40 % - Markeringsfarve1 3 3 9 4" xfId="25268" xr:uid="{00000000-0005-0000-0000-0000F3360000}"/>
    <cellStyle name="40 % - Markeringsfarve1 3 4" xfId="5551" xr:uid="{00000000-0005-0000-0000-0000F4360000}"/>
    <cellStyle name="40 % - Markeringsfarve1 3 4 2" xfId="5552" xr:uid="{00000000-0005-0000-0000-0000F5360000}"/>
    <cellStyle name="40 % - Markeringsfarve1 3 4 2 2" xfId="5553" xr:uid="{00000000-0005-0000-0000-0000F6360000}"/>
    <cellStyle name="40 % - Markeringsfarve1 3 4 2 2 2" xfId="9851" xr:uid="{00000000-0005-0000-0000-0000F7360000}"/>
    <cellStyle name="40 % - Markeringsfarve1 3 4 2 2 2 2" xfId="17752" xr:uid="{00000000-0005-0000-0000-0000F8360000}"/>
    <cellStyle name="40 % - Markeringsfarve1 3 4 2 2 2 2 2" xfId="35912" xr:uid="{00000000-0005-0000-0000-0000F9360000}"/>
    <cellStyle name="40 % - Markeringsfarve1 3 4 2 2 2 3" xfId="28911" xr:uid="{00000000-0005-0000-0000-0000FA360000}"/>
    <cellStyle name="40 % - Markeringsfarve1 3 4 2 2 3" xfId="14107" xr:uid="{00000000-0005-0000-0000-0000FB360000}"/>
    <cellStyle name="40 % - Markeringsfarve1 3 4 2 2 3 2" xfId="32273" xr:uid="{00000000-0005-0000-0000-0000FC360000}"/>
    <cellStyle name="40 % - Markeringsfarve1 3 4 2 2 4" xfId="25271" xr:uid="{00000000-0005-0000-0000-0000FD360000}"/>
    <cellStyle name="40 % - Markeringsfarve1 3 4 2 3" xfId="8432" xr:uid="{00000000-0005-0000-0000-0000FE360000}"/>
    <cellStyle name="40 % - Markeringsfarve1 3 4 2 3 2" xfId="16349" xr:uid="{00000000-0005-0000-0000-0000FF360000}"/>
    <cellStyle name="40 % - Markeringsfarve1 3 4 2 3 2 2" xfId="34509" xr:uid="{00000000-0005-0000-0000-000000370000}"/>
    <cellStyle name="40 % - Markeringsfarve1 3 4 2 3 3" xfId="27508" xr:uid="{00000000-0005-0000-0000-000001370000}"/>
    <cellStyle name="40 % - Markeringsfarve1 3 4 2 4" xfId="14106" xr:uid="{00000000-0005-0000-0000-000002370000}"/>
    <cellStyle name="40 % - Markeringsfarve1 3 4 2 4 2" xfId="32272" xr:uid="{00000000-0005-0000-0000-000003370000}"/>
    <cellStyle name="40 % - Markeringsfarve1 3 4 2 5" xfId="25270" xr:uid="{00000000-0005-0000-0000-000004370000}"/>
    <cellStyle name="40 % - Markeringsfarve1 3 4 3" xfId="5554" xr:uid="{00000000-0005-0000-0000-000005370000}"/>
    <cellStyle name="40 % - Markeringsfarve1 3 4 3 2" xfId="9081" xr:uid="{00000000-0005-0000-0000-000006370000}"/>
    <cellStyle name="40 % - Markeringsfarve1 3 4 3 2 2" xfId="16992" xr:uid="{00000000-0005-0000-0000-000007370000}"/>
    <cellStyle name="40 % - Markeringsfarve1 3 4 3 2 2 2" xfId="35152" xr:uid="{00000000-0005-0000-0000-000008370000}"/>
    <cellStyle name="40 % - Markeringsfarve1 3 4 3 2 3" xfId="28151" xr:uid="{00000000-0005-0000-0000-000009370000}"/>
    <cellStyle name="40 % - Markeringsfarve1 3 4 3 3" xfId="14108" xr:uid="{00000000-0005-0000-0000-00000A370000}"/>
    <cellStyle name="40 % - Markeringsfarve1 3 4 3 3 2" xfId="32274" xr:uid="{00000000-0005-0000-0000-00000B370000}"/>
    <cellStyle name="40 % - Markeringsfarve1 3 4 3 4" xfId="25272" xr:uid="{00000000-0005-0000-0000-00000C370000}"/>
    <cellStyle name="40 % - Markeringsfarve1 3 4 4" xfId="5555" xr:uid="{00000000-0005-0000-0000-00000D370000}"/>
    <cellStyle name="40 % - Markeringsfarve1 3 4 4 2" xfId="11005" xr:uid="{00000000-0005-0000-0000-00000E370000}"/>
    <cellStyle name="40 % - Markeringsfarve1 3 4 4 2 2" xfId="18881" xr:uid="{00000000-0005-0000-0000-00000F370000}"/>
    <cellStyle name="40 % - Markeringsfarve1 3 4 4 2 2 2" xfId="37041" xr:uid="{00000000-0005-0000-0000-000010370000}"/>
    <cellStyle name="40 % - Markeringsfarve1 3 4 4 2 3" xfId="30040" xr:uid="{00000000-0005-0000-0000-000011370000}"/>
    <cellStyle name="40 % - Markeringsfarve1 3 4 4 3" xfId="14109" xr:uid="{00000000-0005-0000-0000-000012370000}"/>
    <cellStyle name="40 % - Markeringsfarve1 3 4 4 3 2" xfId="32275" xr:uid="{00000000-0005-0000-0000-000013370000}"/>
    <cellStyle name="40 % - Markeringsfarve1 3 4 4 4" xfId="25273" xr:uid="{00000000-0005-0000-0000-000014370000}"/>
    <cellStyle name="40 % - Markeringsfarve1 3 4 5" xfId="8009" xr:uid="{00000000-0005-0000-0000-000015370000}"/>
    <cellStyle name="40 % - Markeringsfarve1 3 4 5 2" xfId="15927" xr:uid="{00000000-0005-0000-0000-000016370000}"/>
    <cellStyle name="40 % - Markeringsfarve1 3 4 5 2 2" xfId="34087" xr:uid="{00000000-0005-0000-0000-000017370000}"/>
    <cellStyle name="40 % - Markeringsfarve1 3 4 5 3" xfId="27086" xr:uid="{00000000-0005-0000-0000-000018370000}"/>
    <cellStyle name="40 % - Markeringsfarve1 3 4 6" xfId="14105" xr:uid="{00000000-0005-0000-0000-000019370000}"/>
    <cellStyle name="40 % - Markeringsfarve1 3 4 6 2" xfId="32271" xr:uid="{00000000-0005-0000-0000-00001A370000}"/>
    <cellStyle name="40 % - Markeringsfarve1 3 4 7" xfId="25269" xr:uid="{00000000-0005-0000-0000-00001B370000}"/>
    <cellStyle name="40 % - Markeringsfarve1 3 5" xfId="5556" xr:uid="{00000000-0005-0000-0000-00001C370000}"/>
    <cellStyle name="40 % - Markeringsfarve1 3 5 2" xfId="5557" xr:uid="{00000000-0005-0000-0000-00001D370000}"/>
    <cellStyle name="40 % - Markeringsfarve1 3 5 2 2" xfId="5558" xr:uid="{00000000-0005-0000-0000-00001E370000}"/>
    <cellStyle name="40 % - Markeringsfarve1 3 5 2 2 2" xfId="10012" xr:uid="{00000000-0005-0000-0000-00001F370000}"/>
    <cellStyle name="40 % - Markeringsfarve1 3 5 2 2 2 2" xfId="17913" xr:uid="{00000000-0005-0000-0000-000020370000}"/>
    <cellStyle name="40 % - Markeringsfarve1 3 5 2 2 2 2 2" xfId="36073" xr:uid="{00000000-0005-0000-0000-000021370000}"/>
    <cellStyle name="40 % - Markeringsfarve1 3 5 2 2 2 3" xfId="29072" xr:uid="{00000000-0005-0000-0000-000022370000}"/>
    <cellStyle name="40 % - Markeringsfarve1 3 5 2 2 3" xfId="14112" xr:uid="{00000000-0005-0000-0000-000023370000}"/>
    <cellStyle name="40 % - Markeringsfarve1 3 5 2 2 3 2" xfId="32278" xr:uid="{00000000-0005-0000-0000-000024370000}"/>
    <cellStyle name="40 % - Markeringsfarve1 3 5 2 2 4" xfId="25276" xr:uid="{00000000-0005-0000-0000-000025370000}"/>
    <cellStyle name="40 % - Markeringsfarve1 3 5 2 3" xfId="8567" xr:uid="{00000000-0005-0000-0000-000026370000}"/>
    <cellStyle name="40 % - Markeringsfarve1 3 5 2 3 2" xfId="16484" xr:uid="{00000000-0005-0000-0000-000027370000}"/>
    <cellStyle name="40 % - Markeringsfarve1 3 5 2 3 2 2" xfId="34644" xr:uid="{00000000-0005-0000-0000-000028370000}"/>
    <cellStyle name="40 % - Markeringsfarve1 3 5 2 3 3" xfId="27643" xr:uid="{00000000-0005-0000-0000-000029370000}"/>
    <cellStyle name="40 % - Markeringsfarve1 3 5 2 4" xfId="14111" xr:uid="{00000000-0005-0000-0000-00002A370000}"/>
    <cellStyle name="40 % - Markeringsfarve1 3 5 2 4 2" xfId="32277" xr:uid="{00000000-0005-0000-0000-00002B370000}"/>
    <cellStyle name="40 % - Markeringsfarve1 3 5 2 5" xfId="25275" xr:uid="{00000000-0005-0000-0000-00002C370000}"/>
    <cellStyle name="40 % - Markeringsfarve1 3 5 3" xfId="5559" xr:uid="{00000000-0005-0000-0000-00002D370000}"/>
    <cellStyle name="40 % - Markeringsfarve1 3 5 3 2" xfId="9242" xr:uid="{00000000-0005-0000-0000-00002E370000}"/>
    <cellStyle name="40 % - Markeringsfarve1 3 5 3 2 2" xfId="17153" xr:uid="{00000000-0005-0000-0000-00002F370000}"/>
    <cellStyle name="40 % - Markeringsfarve1 3 5 3 2 2 2" xfId="35313" xr:uid="{00000000-0005-0000-0000-000030370000}"/>
    <cellStyle name="40 % - Markeringsfarve1 3 5 3 2 3" xfId="28312" xr:uid="{00000000-0005-0000-0000-000031370000}"/>
    <cellStyle name="40 % - Markeringsfarve1 3 5 3 3" xfId="14113" xr:uid="{00000000-0005-0000-0000-000032370000}"/>
    <cellStyle name="40 % - Markeringsfarve1 3 5 3 3 2" xfId="32279" xr:uid="{00000000-0005-0000-0000-000033370000}"/>
    <cellStyle name="40 % - Markeringsfarve1 3 5 3 4" xfId="25277" xr:uid="{00000000-0005-0000-0000-000034370000}"/>
    <cellStyle name="40 % - Markeringsfarve1 3 5 4" xfId="5560" xr:uid="{00000000-0005-0000-0000-000035370000}"/>
    <cellStyle name="40 % - Markeringsfarve1 3 5 4 2" xfId="10725" xr:uid="{00000000-0005-0000-0000-000036370000}"/>
    <cellStyle name="40 % - Markeringsfarve1 3 5 4 2 2" xfId="18614" xr:uid="{00000000-0005-0000-0000-000037370000}"/>
    <cellStyle name="40 % - Markeringsfarve1 3 5 4 2 2 2" xfId="36774" xr:uid="{00000000-0005-0000-0000-000038370000}"/>
    <cellStyle name="40 % - Markeringsfarve1 3 5 4 2 3" xfId="29773" xr:uid="{00000000-0005-0000-0000-000039370000}"/>
    <cellStyle name="40 % - Markeringsfarve1 3 5 4 3" xfId="14114" xr:uid="{00000000-0005-0000-0000-00003A370000}"/>
    <cellStyle name="40 % - Markeringsfarve1 3 5 4 3 2" xfId="32280" xr:uid="{00000000-0005-0000-0000-00003B370000}"/>
    <cellStyle name="40 % - Markeringsfarve1 3 5 4 4" xfId="25278" xr:uid="{00000000-0005-0000-0000-00003C370000}"/>
    <cellStyle name="40 % - Markeringsfarve1 3 5 5" xfId="8010" xr:uid="{00000000-0005-0000-0000-00003D370000}"/>
    <cellStyle name="40 % - Markeringsfarve1 3 5 5 2" xfId="15928" xr:uid="{00000000-0005-0000-0000-00003E370000}"/>
    <cellStyle name="40 % - Markeringsfarve1 3 5 5 2 2" xfId="34088" xr:uid="{00000000-0005-0000-0000-00003F370000}"/>
    <cellStyle name="40 % - Markeringsfarve1 3 5 5 3" xfId="27087" xr:uid="{00000000-0005-0000-0000-000040370000}"/>
    <cellStyle name="40 % - Markeringsfarve1 3 5 6" xfId="14110" xr:uid="{00000000-0005-0000-0000-000041370000}"/>
    <cellStyle name="40 % - Markeringsfarve1 3 5 6 2" xfId="32276" xr:uid="{00000000-0005-0000-0000-000042370000}"/>
    <cellStyle name="40 % - Markeringsfarve1 3 5 7" xfId="25274" xr:uid="{00000000-0005-0000-0000-000043370000}"/>
    <cellStyle name="40 % - Markeringsfarve1 3 6" xfId="5561" xr:uid="{00000000-0005-0000-0000-000044370000}"/>
    <cellStyle name="40 % - Markeringsfarve1 3 6 2" xfId="5562" xr:uid="{00000000-0005-0000-0000-000045370000}"/>
    <cellStyle name="40 % - Markeringsfarve1 3 6 2 2" xfId="5563" xr:uid="{00000000-0005-0000-0000-000046370000}"/>
    <cellStyle name="40 % - Markeringsfarve1 3 6 2 2 2" xfId="10089" xr:uid="{00000000-0005-0000-0000-000047370000}"/>
    <cellStyle name="40 % - Markeringsfarve1 3 6 2 2 2 2" xfId="17990" xr:uid="{00000000-0005-0000-0000-000048370000}"/>
    <cellStyle name="40 % - Markeringsfarve1 3 6 2 2 2 2 2" xfId="36150" xr:uid="{00000000-0005-0000-0000-000049370000}"/>
    <cellStyle name="40 % - Markeringsfarve1 3 6 2 2 2 3" xfId="29149" xr:uid="{00000000-0005-0000-0000-00004A370000}"/>
    <cellStyle name="40 % - Markeringsfarve1 3 6 2 2 3" xfId="14117" xr:uid="{00000000-0005-0000-0000-00004B370000}"/>
    <cellStyle name="40 % - Markeringsfarve1 3 6 2 2 3 2" xfId="32283" xr:uid="{00000000-0005-0000-0000-00004C370000}"/>
    <cellStyle name="40 % - Markeringsfarve1 3 6 2 2 4" xfId="25281" xr:uid="{00000000-0005-0000-0000-00004D370000}"/>
    <cellStyle name="40 % - Markeringsfarve1 3 6 2 3" xfId="8634" xr:uid="{00000000-0005-0000-0000-00004E370000}"/>
    <cellStyle name="40 % - Markeringsfarve1 3 6 2 3 2" xfId="16548" xr:uid="{00000000-0005-0000-0000-00004F370000}"/>
    <cellStyle name="40 % - Markeringsfarve1 3 6 2 3 2 2" xfId="34708" xr:uid="{00000000-0005-0000-0000-000050370000}"/>
    <cellStyle name="40 % - Markeringsfarve1 3 6 2 3 3" xfId="27707" xr:uid="{00000000-0005-0000-0000-000051370000}"/>
    <cellStyle name="40 % - Markeringsfarve1 3 6 2 4" xfId="14116" xr:uid="{00000000-0005-0000-0000-000052370000}"/>
    <cellStyle name="40 % - Markeringsfarve1 3 6 2 4 2" xfId="32282" xr:uid="{00000000-0005-0000-0000-000053370000}"/>
    <cellStyle name="40 % - Markeringsfarve1 3 6 2 5" xfId="25280" xr:uid="{00000000-0005-0000-0000-000054370000}"/>
    <cellStyle name="40 % - Markeringsfarve1 3 6 3" xfId="5564" xr:uid="{00000000-0005-0000-0000-000055370000}"/>
    <cellStyle name="40 % - Markeringsfarve1 3 6 3 2" xfId="9365" xr:uid="{00000000-0005-0000-0000-000056370000}"/>
    <cellStyle name="40 % - Markeringsfarve1 3 6 3 2 2" xfId="17275" xr:uid="{00000000-0005-0000-0000-000057370000}"/>
    <cellStyle name="40 % - Markeringsfarve1 3 6 3 2 2 2" xfId="35435" xr:uid="{00000000-0005-0000-0000-000058370000}"/>
    <cellStyle name="40 % - Markeringsfarve1 3 6 3 2 3" xfId="28434" xr:uid="{00000000-0005-0000-0000-000059370000}"/>
    <cellStyle name="40 % - Markeringsfarve1 3 6 3 3" xfId="14118" xr:uid="{00000000-0005-0000-0000-00005A370000}"/>
    <cellStyle name="40 % - Markeringsfarve1 3 6 3 3 2" xfId="32284" xr:uid="{00000000-0005-0000-0000-00005B370000}"/>
    <cellStyle name="40 % - Markeringsfarve1 3 6 3 4" xfId="25282" xr:uid="{00000000-0005-0000-0000-00005C370000}"/>
    <cellStyle name="40 % - Markeringsfarve1 3 6 4" xfId="5565" xr:uid="{00000000-0005-0000-0000-00005D370000}"/>
    <cellStyle name="40 % - Markeringsfarve1 3 6 4 2" xfId="10958" xr:uid="{00000000-0005-0000-0000-00005E370000}"/>
    <cellStyle name="40 % - Markeringsfarve1 3 6 4 2 2" xfId="18838" xr:uid="{00000000-0005-0000-0000-00005F370000}"/>
    <cellStyle name="40 % - Markeringsfarve1 3 6 4 2 2 2" xfId="36998" xr:uid="{00000000-0005-0000-0000-000060370000}"/>
    <cellStyle name="40 % - Markeringsfarve1 3 6 4 2 3" xfId="29997" xr:uid="{00000000-0005-0000-0000-000061370000}"/>
    <cellStyle name="40 % - Markeringsfarve1 3 6 4 3" xfId="14119" xr:uid="{00000000-0005-0000-0000-000062370000}"/>
    <cellStyle name="40 % - Markeringsfarve1 3 6 4 3 2" xfId="32285" xr:uid="{00000000-0005-0000-0000-000063370000}"/>
    <cellStyle name="40 % - Markeringsfarve1 3 6 4 4" xfId="25283" xr:uid="{00000000-0005-0000-0000-000064370000}"/>
    <cellStyle name="40 % - Markeringsfarve1 3 6 5" xfId="8011" xr:uid="{00000000-0005-0000-0000-000065370000}"/>
    <cellStyle name="40 % - Markeringsfarve1 3 6 5 2" xfId="15929" xr:uid="{00000000-0005-0000-0000-000066370000}"/>
    <cellStyle name="40 % - Markeringsfarve1 3 6 5 2 2" xfId="34089" xr:uid="{00000000-0005-0000-0000-000067370000}"/>
    <cellStyle name="40 % - Markeringsfarve1 3 6 5 3" xfId="27088" xr:uid="{00000000-0005-0000-0000-000068370000}"/>
    <cellStyle name="40 % - Markeringsfarve1 3 6 6" xfId="14115" xr:uid="{00000000-0005-0000-0000-000069370000}"/>
    <cellStyle name="40 % - Markeringsfarve1 3 6 6 2" xfId="32281" xr:uid="{00000000-0005-0000-0000-00006A370000}"/>
    <cellStyle name="40 % - Markeringsfarve1 3 6 7" xfId="25279" xr:uid="{00000000-0005-0000-0000-00006B370000}"/>
    <cellStyle name="40 % - Markeringsfarve1 3 7" xfId="5566" xr:uid="{00000000-0005-0000-0000-00006C370000}"/>
    <cellStyle name="40 % - Markeringsfarve1 3 7 2" xfId="5567" xr:uid="{00000000-0005-0000-0000-00006D370000}"/>
    <cellStyle name="40 % - Markeringsfarve1 3 7 2 2" xfId="5568" xr:uid="{00000000-0005-0000-0000-00006E370000}"/>
    <cellStyle name="40 % - Markeringsfarve1 3 7 2 2 2" xfId="10206" xr:uid="{00000000-0005-0000-0000-00006F370000}"/>
    <cellStyle name="40 % - Markeringsfarve1 3 7 2 2 2 2" xfId="18107" xr:uid="{00000000-0005-0000-0000-000070370000}"/>
    <cellStyle name="40 % - Markeringsfarve1 3 7 2 2 2 2 2" xfId="36267" xr:uid="{00000000-0005-0000-0000-000071370000}"/>
    <cellStyle name="40 % - Markeringsfarve1 3 7 2 2 2 3" xfId="29266" xr:uid="{00000000-0005-0000-0000-000072370000}"/>
    <cellStyle name="40 % - Markeringsfarve1 3 7 2 2 3" xfId="14122" xr:uid="{00000000-0005-0000-0000-000073370000}"/>
    <cellStyle name="40 % - Markeringsfarve1 3 7 2 2 3 2" xfId="32288" xr:uid="{00000000-0005-0000-0000-000074370000}"/>
    <cellStyle name="40 % - Markeringsfarve1 3 7 2 2 4" xfId="25286" xr:uid="{00000000-0005-0000-0000-000075370000}"/>
    <cellStyle name="40 % - Markeringsfarve1 3 7 2 3" xfId="8733" xr:uid="{00000000-0005-0000-0000-000076370000}"/>
    <cellStyle name="40 % - Markeringsfarve1 3 7 2 3 2" xfId="16647" xr:uid="{00000000-0005-0000-0000-000077370000}"/>
    <cellStyle name="40 % - Markeringsfarve1 3 7 2 3 2 2" xfId="34807" xr:uid="{00000000-0005-0000-0000-000078370000}"/>
    <cellStyle name="40 % - Markeringsfarve1 3 7 2 3 3" xfId="27806" xr:uid="{00000000-0005-0000-0000-000079370000}"/>
    <cellStyle name="40 % - Markeringsfarve1 3 7 2 4" xfId="14121" xr:uid="{00000000-0005-0000-0000-00007A370000}"/>
    <cellStyle name="40 % - Markeringsfarve1 3 7 2 4 2" xfId="32287" xr:uid="{00000000-0005-0000-0000-00007B370000}"/>
    <cellStyle name="40 % - Markeringsfarve1 3 7 2 5" xfId="25285" xr:uid="{00000000-0005-0000-0000-00007C370000}"/>
    <cellStyle name="40 % - Markeringsfarve1 3 7 3" xfId="5569" xr:uid="{00000000-0005-0000-0000-00007D370000}"/>
    <cellStyle name="40 % - Markeringsfarve1 3 7 3 2" xfId="9482" xr:uid="{00000000-0005-0000-0000-00007E370000}"/>
    <cellStyle name="40 % - Markeringsfarve1 3 7 3 2 2" xfId="17392" xr:uid="{00000000-0005-0000-0000-00007F370000}"/>
    <cellStyle name="40 % - Markeringsfarve1 3 7 3 2 2 2" xfId="35552" xr:uid="{00000000-0005-0000-0000-000080370000}"/>
    <cellStyle name="40 % - Markeringsfarve1 3 7 3 2 3" xfId="28551" xr:uid="{00000000-0005-0000-0000-000081370000}"/>
    <cellStyle name="40 % - Markeringsfarve1 3 7 3 3" xfId="14123" xr:uid="{00000000-0005-0000-0000-000082370000}"/>
    <cellStyle name="40 % - Markeringsfarve1 3 7 3 3 2" xfId="32289" xr:uid="{00000000-0005-0000-0000-000083370000}"/>
    <cellStyle name="40 % - Markeringsfarve1 3 7 3 4" xfId="25287" xr:uid="{00000000-0005-0000-0000-000084370000}"/>
    <cellStyle name="40 % - Markeringsfarve1 3 7 4" xfId="5570" xr:uid="{00000000-0005-0000-0000-000085370000}"/>
    <cellStyle name="40 % - Markeringsfarve1 3 7 4 2" xfId="10682" xr:uid="{00000000-0005-0000-0000-000086370000}"/>
    <cellStyle name="40 % - Markeringsfarve1 3 7 4 2 2" xfId="18574" xr:uid="{00000000-0005-0000-0000-000087370000}"/>
    <cellStyle name="40 % - Markeringsfarve1 3 7 4 2 2 2" xfId="36734" xr:uid="{00000000-0005-0000-0000-000088370000}"/>
    <cellStyle name="40 % - Markeringsfarve1 3 7 4 2 3" xfId="29733" xr:uid="{00000000-0005-0000-0000-000089370000}"/>
    <cellStyle name="40 % - Markeringsfarve1 3 7 4 3" xfId="14124" xr:uid="{00000000-0005-0000-0000-00008A370000}"/>
    <cellStyle name="40 % - Markeringsfarve1 3 7 4 3 2" xfId="32290" xr:uid="{00000000-0005-0000-0000-00008B370000}"/>
    <cellStyle name="40 % - Markeringsfarve1 3 7 4 4" xfId="25288" xr:uid="{00000000-0005-0000-0000-00008C370000}"/>
    <cellStyle name="40 % - Markeringsfarve1 3 7 5" xfId="8012" xr:uid="{00000000-0005-0000-0000-00008D370000}"/>
    <cellStyle name="40 % - Markeringsfarve1 3 7 5 2" xfId="15930" xr:uid="{00000000-0005-0000-0000-00008E370000}"/>
    <cellStyle name="40 % - Markeringsfarve1 3 7 5 2 2" xfId="34090" xr:uid="{00000000-0005-0000-0000-00008F370000}"/>
    <cellStyle name="40 % - Markeringsfarve1 3 7 5 3" xfId="27089" xr:uid="{00000000-0005-0000-0000-000090370000}"/>
    <cellStyle name="40 % - Markeringsfarve1 3 7 6" xfId="14120" xr:uid="{00000000-0005-0000-0000-000091370000}"/>
    <cellStyle name="40 % - Markeringsfarve1 3 7 6 2" xfId="32286" xr:uid="{00000000-0005-0000-0000-000092370000}"/>
    <cellStyle name="40 % - Markeringsfarve1 3 7 7" xfId="25284" xr:uid="{00000000-0005-0000-0000-000093370000}"/>
    <cellStyle name="40 % - Markeringsfarve1 3 8" xfId="5571" xr:uid="{00000000-0005-0000-0000-000094370000}"/>
    <cellStyle name="40 % - Markeringsfarve1 3 8 2" xfId="5572" xr:uid="{00000000-0005-0000-0000-000095370000}"/>
    <cellStyle name="40 % - Markeringsfarve1 3 8 2 2" xfId="5573" xr:uid="{00000000-0005-0000-0000-000096370000}"/>
    <cellStyle name="40 % - Markeringsfarve1 3 8 2 2 2" xfId="10366" xr:uid="{00000000-0005-0000-0000-000097370000}"/>
    <cellStyle name="40 % - Markeringsfarve1 3 8 2 2 2 2" xfId="18267" xr:uid="{00000000-0005-0000-0000-000098370000}"/>
    <cellStyle name="40 % - Markeringsfarve1 3 8 2 2 2 2 2" xfId="36427" xr:uid="{00000000-0005-0000-0000-000099370000}"/>
    <cellStyle name="40 % - Markeringsfarve1 3 8 2 2 2 3" xfId="29426" xr:uid="{00000000-0005-0000-0000-00009A370000}"/>
    <cellStyle name="40 % - Markeringsfarve1 3 8 2 2 3" xfId="14127" xr:uid="{00000000-0005-0000-0000-00009B370000}"/>
    <cellStyle name="40 % - Markeringsfarve1 3 8 2 2 3 2" xfId="32293" xr:uid="{00000000-0005-0000-0000-00009C370000}"/>
    <cellStyle name="40 % - Markeringsfarve1 3 8 2 2 4" xfId="25291" xr:uid="{00000000-0005-0000-0000-00009D370000}"/>
    <cellStyle name="40 % - Markeringsfarve1 3 8 2 3" xfId="8868" xr:uid="{00000000-0005-0000-0000-00009E370000}"/>
    <cellStyle name="40 % - Markeringsfarve1 3 8 2 3 2" xfId="16782" xr:uid="{00000000-0005-0000-0000-00009F370000}"/>
    <cellStyle name="40 % - Markeringsfarve1 3 8 2 3 2 2" xfId="34942" xr:uid="{00000000-0005-0000-0000-0000A0370000}"/>
    <cellStyle name="40 % - Markeringsfarve1 3 8 2 3 3" xfId="27941" xr:uid="{00000000-0005-0000-0000-0000A1370000}"/>
    <cellStyle name="40 % - Markeringsfarve1 3 8 2 4" xfId="14126" xr:uid="{00000000-0005-0000-0000-0000A2370000}"/>
    <cellStyle name="40 % - Markeringsfarve1 3 8 2 4 2" xfId="32292" xr:uid="{00000000-0005-0000-0000-0000A3370000}"/>
    <cellStyle name="40 % - Markeringsfarve1 3 8 2 5" xfId="25290" xr:uid="{00000000-0005-0000-0000-0000A4370000}"/>
    <cellStyle name="40 % - Markeringsfarve1 3 8 3" xfId="5574" xr:uid="{00000000-0005-0000-0000-0000A5370000}"/>
    <cellStyle name="40 % - Markeringsfarve1 3 8 3 2" xfId="9643" xr:uid="{00000000-0005-0000-0000-0000A6370000}"/>
    <cellStyle name="40 % - Markeringsfarve1 3 8 3 2 2" xfId="17553" xr:uid="{00000000-0005-0000-0000-0000A7370000}"/>
    <cellStyle name="40 % - Markeringsfarve1 3 8 3 2 2 2" xfId="35713" xr:uid="{00000000-0005-0000-0000-0000A8370000}"/>
    <cellStyle name="40 % - Markeringsfarve1 3 8 3 2 3" xfId="28712" xr:uid="{00000000-0005-0000-0000-0000A9370000}"/>
    <cellStyle name="40 % - Markeringsfarve1 3 8 3 3" xfId="14128" xr:uid="{00000000-0005-0000-0000-0000AA370000}"/>
    <cellStyle name="40 % - Markeringsfarve1 3 8 3 3 2" xfId="32294" xr:uid="{00000000-0005-0000-0000-0000AB370000}"/>
    <cellStyle name="40 % - Markeringsfarve1 3 8 3 4" xfId="25292" xr:uid="{00000000-0005-0000-0000-0000AC370000}"/>
    <cellStyle name="40 % - Markeringsfarve1 3 8 4" xfId="5575" xr:uid="{00000000-0005-0000-0000-0000AD370000}"/>
    <cellStyle name="40 % - Markeringsfarve1 3 8 4 2" xfId="10917" xr:uid="{00000000-0005-0000-0000-0000AE370000}"/>
    <cellStyle name="40 % - Markeringsfarve1 3 8 4 2 2" xfId="18798" xr:uid="{00000000-0005-0000-0000-0000AF370000}"/>
    <cellStyle name="40 % - Markeringsfarve1 3 8 4 2 2 2" xfId="36958" xr:uid="{00000000-0005-0000-0000-0000B0370000}"/>
    <cellStyle name="40 % - Markeringsfarve1 3 8 4 2 3" xfId="29957" xr:uid="{00000000-0005-0000-0000-0000B1370000}"/>
    <cellStyle name="40 % - Markeringsfarve1 3 8 4 3" xfId="14129" xr:uid="{00000000-0005-0000-0000-0000B2370000}"/>
    <cellStyle name="40 % - Markeringsfarve1 3 8 4 3 2" xfId="32295" xr:uid="{00000000-0005-0000-0000-0000B3370000}"/>
    <cellStyle name="40 % - Markeringsfarve1 3 8 4 4" xfId="25293" xr:uid="{00000000-0005-0000-0000-0000B4370000}"/>
    <cellStyle name="40 % - Markeringsfarve1 3 8 5" xfId="8013" xr:uid="{00000000-0005-0000-0000-0000B5370000}"/>
    <cellStyle name="40 % - Markeringsfarve1 3 8 5 2" xfId="15931" xr:uid="{00000000-0005-0000-0000-0000B6370000}"/>
    <cellStyle name="40 % - Markeringsfarve1 3 8 5 2 2" xfId="34091" xr:uid="{00000000-0005-0000-0000-0000B7370000}"/>
    <cellStyle name="40 % - Markeringsfarve1 3 8 5 3" xfId="27090" xr:uid="{00000000-0005-0000-0000-0000B8370000}"/>
    <cellStyle name="40 % - Markeringsfarve1 3 8 6" xfId="14125" xr:uid="{00000000-0005-0000-0000-0000B9370000}"/>
    <cellStyle name="40 % - Markeringsfarve1 3 8 6 2" xfId="32291" xr:uid="{00000000-0005-0000-0000-0000BA370000}"/>
    <cellStyle name="40 % - Markeringsfarve1 3 8 7" xfId="25289" xr:uid="{00000000-0005-0000-0000-0000BB370000}"/>
    <cellStyle name="40 % - Markeringsfarve1 3 9" xfId="5576" xr:uid="{00000000-0005-0000-0000-0000BC370000}"/>
    <cellStyle name="40 % - Markeringsfarve1 3 9 2" xfId="5577" xr:uid="{00000000-0005-0000-0000-0000BD370000}"/>
    <cellStyle name="40 % - Markeringsfarve1 3 9 2 2" xfId="9732" xr:uid="{00000000-0005-0000-0000-0000BE370000}"/>
    <cellStyle name="40 % - Markeringsfarve1 3 9 2 2 2" xfId="17633" xr:uid="{00000000-0005-0000-0000-0000BF370000}"/>
    <cellStyle name="40 % - Markeringsfarve1 3 9 2 2 2 2" xfId="35793" xr:uid="{00000000-0005-0000-0000-0000C0370000}"/>
    <cellStyle name="40 % - Markeringsfarve1 3 9 2 2 3" xfId="28792" xr:uid="{00000000-0005-0000-0000-0000C1370000}"/>
    <cellStyle name="40 % - Markeringsfarve1 3 9 2 3" xfId="14131" xr:uid="{00000000-0005-0000-0000-0000C2370000}"/>
    <cellStyle name="40 % - Markeringsfarve1 3 9 2 3 2" xfId="32297" xr:uid="{00000000-0005-0000-0000-0000C3370000}"/>
    <cellStyle name="40 % - Markeringsfarve1 3 9 2 4" xfId="25295" xr:uid="{00000000-0005-0000-0000-0000C4370000}"/>
    <cellStyle name="40 % - Markeringsfarve1 3 9 3" xfId="8333" xr:uid="{00000000-0005-0000-0000-0000C5370000}"/>
    <cellStyle name="40 % - Markeringsfarve1 3 9 3 2" xfId="16250" xr:uid="{00000000-0005-0000-0000-0000C6370000}"/>
    <cellStyle name="40 % - Markeringsfarve1 3 9 3 2 2" xfId="34410" xr:uid="{00000000-0005-0000-0000-0000C7370000}"/>
    <cellStyle name="40 % - Markeringsfarve1 3 9 3 3" xfId="27409" xr:uid="{00000000-0005-0000-0000-0000C8370000}"/>
    <cellStyle name="40 % - Markeringsfarve1 3 9 4" xfId="14130" xr:uid="{00000000-0005-0000-0000-0000C9370000}"/>
    <cellStyle name="40 % - Markeringsfarve1 3 9 4 2" xfId="32296" xr:uid="{00000000-0005-0000-0000-0000CA370000}"/>
    <cellStyle name="40 % - Markeringsfarve1 3 9 5" xfId="25294" xr:uid="{00000000-0005-0000-0000-0000CB370000}"/>
    <cellStyle name="40 % - Markeringsfarve1 4" xfId="1875" xr:uid="{00000000-0005-0000-0000-0000CC370000}"/>
    <cellStyle name="40 % - Markeringsfarve1 4 10" xfId="8014" xr:uid="{00000000-0005-0000-0000-0000CD370000}"/>
    <cellStyle name="40 % - Markeringsfarve1 4 10 2" xfId="15932" xr:uid="{00000000-0005-0000-0000-0000CE370000}"/>
    <cellStyle name="40 % - Markeringsfarve1 4 10 2 2" xfId="34092" xr:uid="{00000000-0005-0000-0000-0000CF370000}"/>
    <cellStyle name="40 % - Markeringsfarve1 4 10 3" xfId="27091" xr:uid="{00000000-0005-0000-0000-0000D0370000}"/>
    <cellStyle name="40 % - Markeringsfarve1 4 11" xfId="14132" xr:uid="{00000000-0005-0000-0000-0000D1370000}"/>
    <cellStyle name="40 % - Markeringsfarve1 4 11 2" xfId="32298" xr:uid="{00000000-0005-0000-0000-0000D2370000}"/>
    <cellStyle name="40 % - Markeringsfarve1 4 12" xfId="5578" xr:uid="{00000000-0005-0000-0000-0000D3370000}"/>
    <cellStyle name="40 % - Markeringsfarve1 4 12 2" xfId="25296" xr:uid="{00000000-0005-0000-0000-0000D4370000}"/>
    <cellStyle name="40 % - Markeringsfarve1 4 13" xfId="21993" xr:uid="{00000000-0005-0000-0000-0000D5370000}"/>
    <cellStyle name="40 % - Markeringsfarve1 4 2" xfId="1876" xr:uid="{00000000-0005-0000-0000-0000D6370000}"/>
    <cellStyle name="40 % - Markeringsfarve1 4 2 2" xfId="5580" xr:uid="{00000000-0005-0000-0000-0000D7370000}"/>
    <cellStyle name="40 % - Markeringsfarve1 4 2 2 2" xfId="5581" xr:uid="{00000000-0005-0000-0000-0000D8370000}"/>
    <cellStyle name="40 % - Markeringsfarve1 4 2 2 2 2" xfId="9876" xr:uid="{00000000-0005-0000-0000-0000D9370000}"/>
    <cellStyle name="40 % - Markeringsfarve1 4 2 2 2 2 2" xfId="17777" xr:uid="{00000000-0005-0000-0000-0000DA370000}"/>
    <cellStyle name="40 % - Markeringsfarve1 4 2 2 2 2 2 2" xfId="35937" xr:uid="{00000000-0005-0000-0000-0000DB370000}"/>
    <cellStyle name="40 % - Markeringsfarve1 4 2 2 2 2 3" xfId="28936" xr:uid="{00000000-0005-0000-0000-0000DC370000}"/>
    <cellStyle name="40 % - Markeringsfarve1 4 2 2 2 3" xfId="14135" xr:uid="{00000000-0005-0000-0000-0000DD370000}"/>
    <cellStyle name="40 % - Markeringsfarve1 4 2 2 2 3 2" xfId="32301" xr:uid="{00000000-0005-0000-0000-0000DE370000}"/>
    <cellStyle name="40 % - Markeringsfarve1 4 2 2 2 4" xfId="25299" xr:uid="{00000000-0005-0000-0000-0000DF370000}"/>
    <cellStyle name="40 % - Markeringsfarve1 4 2 2 3" xfId="8453" xr:uid="{00000000-0005-0000-0000-0000E0370000}"/>
    <cellStyle name="40 % - Markeringsfarve1 4 2 2 3 2" xfId="16370" xr:uid="{00000000-0005-0000-0000-0000E1370000}"/>
    <cellStyle name="40 % - Markeringsfarve1 4 2 2 3 2 2" xfId="34530" xr:uid="{00000000-0005-0000-0000-0000E2370000}"/>
    <cellStyle name="40 % - Markeringsfarve1 4 2 2 3 3" xfId="27529" xr:uid="{00000000-0005-0000-0000-0000E3370000}"/>
    <cellStyle name="40 % - Markeringsfarve1 4 2 2 4" xfId="14134" xr:uid="{00000000-0005-0000-0000-0000E4370000}"/>
    <cellStyle name="40 % - Markeringsfarve1 4 2 2 4 2" xfId="32300" xr:uid="{00000000-0005-0000-0000-0000E5370000}"/>
    <cellStyle name="40 % - Markeringsfarve1 4 2 2 5" xfId="25298" xr:uid="{00000000-0005-0000-0000-0000E6370000}"/>
    <cellStyle name="40 % - Markeringsfarve1 4 2 3" xfId="5582" xr:uid="{00000000-0005-0000-0000-0000E7370000}"/>
    <cellStyle name="40 % - Markeringsfarve1 4 2 3 2" xfId="9106" xr:uid="{00000000-0005-0000-0000-0000E8370000}"/>
    <cellStyle name="40 % - Markeringsfarve1 4 2 3 2 2" xfId="17017" xr:uid="{00000000-0005-0000-0000-0000E9370000}"/>
    <cellStyle name="40 % - Markeringsfarve1 4 2 3 2 2 2" xfId="35177" xr:uid="{00000000-0005-0000-0000-0000EA370000}"/>
    <cellStyle name="40 % - Markeringsfarve1 4 2 3 2 3" xfId="28176" xr:uid="{00000000-0005-0000-0000-0000EB370000}"/>
    <cellStyle name="40 % - Markeringsfarve1 4 2 3 3" xfId="14136" xr:uid="{00000000-0005-0000-0000-0000EC370000}"/>
    <cellStyle name="40 % - Markeringsfarve1 4 2 3 3 2" xfId="32302" xr:uid="{00000000-0005-0000-0000-0000ED370000}"/>
    <cellStyle name="40 % - Markeringsfarve1 4 2 3 4" xfId="25300" xr:uid="{00000000-0005-0000-0000-0000EE370000}"/>
    <cellStyle name="40 % - Markeringsfarve1 4 2 4" xfId="5583" xr:uid="{00000000-0005-0000-0000-0000EF370000}"/>
    <cellStyle name="40 % - Markeringsfarve1 4 2 4 2" xfId="10872" xr:uid="{00000000-0005-0000-0000-0000F0370000}"/>
    <cellStyle name="40 % - Markeringsfarve1 4 2 4 2 2" xfId="18755" xr:uid="{00000000-0005-0000-0000-0000F1370000}"/>
    <cellStyle name="40 % - Markeringsfarve1 4 2 4 2 2 2" xfId="36915" xr:uid="{00000000-0005-0000-0000-0000F2370000}"/>
    <cellStyle name="40 % - Markeringsfarve1 4 2 4 2 3" xfId="29914" xr:uid="{00000000-0005-0000-0000-0000F3370000}"/>
    <cellStyle name="40 % - Markeringsfarve1 4 2 4 3" xfId="14137" xr:uid="{00000000-0005-0000-0000-0000F4370000}"/>
    <cellStyle name="40 % - Markeringsfarve1 4 2 4 3 2" xfId="32303" xr:uid="{00000000-0005-0000-0000-0000F5370000}"/>
    <cellStyle name="40 % - Markeringsfarve1 4 2 4 4" xfId="25301" xr:uid="{00000000-0005-0000-0000-0000F6370000}"/>
    <cellStyle name="40 % - Markeringsfarve1 4 2 5" xfId="8015" xr:uid="{00000000-0005-0000-0000-0000F7370000}"/>
    <cellStyle name="40 % - Markeringsfarve1 4 2 5 2" xfId="15933" xr:uid="{00000000-0005-0000-0000-0000F8370000}"/>
    <cellStyle name="40 % - Markeringsfarve1 4 2 5 2 2" xfId="34093" xr:uid="{00000000-0005-0000-0000-0000F9370000}"/>
    <cellStyle name="40 % - Markeringsfarve1 4 2 5 3" xfId="27092" xr:uid="{00000000-0005-0000-0000-0000FA370000}"/>
    <cellStyle name="40 % - Markeringsfarve1 4 2 6" xfId="14133" xr:uid="{00000000-0005-0000-0000-0000FB370000}"/>
    <cellStyle name="40 % - Markeringsfarve1 4 2 6 2" xfId="32299" xr:uid="{00000000-0005-0000-0000-0000FC370000}"/>
    <cellStyle name="40 % - Markeringsfarve1 4 2 7" xfId="5579" xr:uid="{00000000-0005-0000-0000-0000FD370000}"/>
    <cellStyle name="40 % - Markeringsfarve1 4 2 7 2" xfId="25297" xr:uid="{00000000-0005-0000-0000-0000FE370000}"/>
    <cellStyle name="40 % - Markeringsfarve1 4 2 8" xfId="21994" xr:uid="{00000000-0005-0000-0000-0000FF370000}"/>
    <cellStyle name="40 % - Markeringsfarve1 4 3" xfId="5584" xr:uid="{00000000-0005-0000-0000-000000380000}"/>
    <cellStyle name="40 % - Markeringsfarve1 4 3 2" xfId="5585" xr:uid="{00000000-0005-0000-0000-000001380000}"/>
    <cellStyle name="40 % - Markeringsfarve1 4 3 2 2" xfId="5586" xr:uid="{00000000-0005-0000-0000-000002380000}"/>
    <cellStyle name="40 % - Markeringsfarve1 4 3 2 2 2" xfId="10015" xr:uid="{00000000-0005-0000-0000-000003380000}"/>
    <cellStyle name="40 % - Markeringsfarve1 4 3 2 2 2 2" xfId="17916" xr:uid="{00000000-0005-0000-0000-000004380000}"/>
    <cellStyle name="40 % - Markeringsfarve1 4 3 2 2 2 2 2" xfId="36076" xr:uid="{00000000-0005-0000-0000-000005380000}"/>
    <cellStyle name="40 % - Markeringsfarve1 4 3 2 2 2 3" xfId="29075" xr:uid="{00000000-0005-0000-0000-000006380000}"/>
    <cellStyle name="40 % - Markeringsfarve1 4 3 2 2 3" xfId="14140" xr:uid="{00000000-0005-0000-0000-000007380000}"/>
    <cellStyle name="40 % - Markeringsfarve1 4 3 2 2 3 2" xfId="32306" xr:uid="{00000000-0005-0000-0000-000008380000}"/>
    <cellStyle name="40 % - Markeringsfarve1 4 3 2 2 4" xfId="25304" xr:uid="{00000000-0005-0000-0000-000009380000}"/>
    <cellStyle name="40 % - Markeringsfarve1 4 3 2 3" xfId="8570" xr:uid="{00000000-0005-0000-0000-00000A380000}"/>
    <cellStyle name="40 % - Markeringsfarve1 4 3 2 3 2" xfId="16487" xr:uid="{00000000-0005-0000-0000-00000B380000}"/>
    <cellStyle name="40 % - Markeringsfarve1 4 3 2 3 2 2" xfId="34647" xr:uid="{00000000-0005-0000-0000-00000C380000}"/>
    <cellStyle name="40 % - Markeringsfarve1 4 3 2 3 3" xfId="27646" xr:uid="{00000000-0005-0000-0000-00000D380000}"/>
    <cellStyle name="40 % - Markeringsfarve1 4 3 2 4" xfId="14139" xr:uid="{00000000-0005-0000-0000-00000E380000}"/>
    <cellStyle name="40 % - Markeringsfarve1 4 3 2 4 2" xfId="32305" xr:uid="{00000000-0005-0000-0000-00000F380000}"/>
    <cellStyle name="40 % - Markeringsfarve1 4 3 2 5" xfId="25303" xr:uid="{00000000-0005-0000-0000-000010380000}"/>
    <cellStyle name="40 % - Markeringsfarve1 4 3 3" xfId="5587" xr:uid="{00000000-0005-0000-0000-000011380000}"/>
    <cellStyle name="40 % - Markeringsfarve1 4 3 3 2" xfId="9245" xr:uid="{00000000-0005-0000-0000-000012380000}"/>
    <cellStyle name="40 % - Markeringsfarve1 4 3 3 2 2" xfId="17156" xr:uid="{00000000-0005-0000-0000-000013380000}"/>
    <cellStyle name="40 % - Markeringsfarve1 4 3 3 2 2 2" xfId="35316" xr:uid="{00000000-0005-0000-0000-000014380000}"/>
    <cellStyle name="40 % - Markeringsfarve1 4 3 3 2 3" xfId="28315" xr:uid="{00000000-0005-0000-0000-000015380000}"/>
    <cellStyle name="40 % - Markeringsfarve1 4 3 3 3" xfId="14141" xr:uid="{00000000-0005-0000-0000-000016380000}"/>
    <cellStyle name="40 % - Markeringsfarve1 4 3 3 3 2" xfId="32307" xr:uid="{00000000-0005-0000-0000-000017380000}"/>
    <cellStyle name="40 % - Markeringsfarve1 4 3 3 4" xfId="25305" xr:uid="{00000000-0005-0000-0000-000018380000}"/>
    <cellStyle name="40 % - Markeringsfarve1 4 3 4" xfId="5588" xr:uid="{00000000-0005-0000-0000-000019380000}"/>
    <cellStyle name="40 % - Markeringsfarve1 4 3 4 2" xfId="10521" xr:uid="{00000000-0005-0000-0000-00001A380000}"/>
    <cellStyle name="40 % - Markeringsfarve1 4 3 4 2 2" xfId="18415" xr:uid="{00000000-0005-0000-0000-00001B380000}"/>
    <cellStyle name="40 % - Markeringsfarve1 4 3 4 2 2 2" xfId="36575" xr:uid="{00000000-0005-0000-0000-00001C380000}"/>
    <cellStyle name="40 % - Markeringsfarve1 4 3 4 2 3" xfId="29574" xr:uid="{00000000-0005-0000-0000-00001D380000}"/>
    <cellStyle name="40 % - Markeringsfarve1 4 3 4 3" xfId="14142" xr:uid="{00000000-0005-0000-0000-00001E380000}"/>
    <cellStyle name="40 % - Markeringsfarve1 4 3 4 3 2" xfId="32308" xr:uid="{00000000-0005-0000-0000-00001F380000}"/>
    <cellStyle name="40 % - Markeringsfarve1 4 3 4 4" xfId="25306" xr:uid="{00000000-0005-0000-0000-000020380000}"/>
    <cellStyle name="40 % - Markeringsfarve1 4 3 5" xfId="8016" xr:uid="{00000000-0005-0000-0000-000021380000}"/>
    <cellStyle name="40 % - Markeringsfarve1 4 3 5 2" xfId="15934" xr:uid="{00000000-0005-0000-0000-000022380000}"/>
    <cellStyle name="40 % - Markeringsfarve1 4 3 5 2 2" xfId="34094" xr:uid="{00000000-0005-0000-0000-000023380000}"/>
    <cellStyle name="40 % - Markeringsfarve1 4 3 5 3" xfId="27093" xr:uid="{00000000-0005-0000-0000-000024380000}"/>
    <cellStyle name="40 % - Markeringsfarve1 4 3 6" xfId="14138" xr:uid="{00000000-0005-0000-0000-000025380000}"/>
    <cellStyle name="40 % - Markeringsfarve1 4 3 6 2" xfId="32304" xr:uid="{00000000-0005-0000-0000-000026380000}"/>
    <cellStyle name="40 % - Markeringsfarve1 4 3 7" xfId="25302" xr:uid="{00000000-0005-0000-0000-000027380000}"/>
    <cellStyle name="40 % - Markeringsfarve1 4 4" xfId="5589" xr:uid="{00000000-0005-0000-0000-000028380000}"/>
    <cellStyle name="40 % - Markeringsfarve1 4 4 2" xfId="5590" xr:uid="{00000000-0005-0000-0000-000029380000}"/>
    <cellStyle name="40 % - Markeringsfarve1 4 4 2 2" xfId="5591" xr:uid="{00000000-0005-0000-0000-00002A380000}"/>
    <cellStyle name="40 % - Markeringsfarve1 4 4 2 2 2" xfId="10114" xr:uid="{00000000-0005-0000-0000-00002B380000}"/>
    <cellStyle name="40 % - Markeringsfarve1 4 4 2 2 2 2" xfId="18015" xr:uid="{00000000-0005-0000-0000-00002C380000}"/>
    <cellStyle name="40 % - Markeringsfarve1 4 4 2 2 2 2 2" xfId="36175" xr:uid="{00000000-0005-0000-0000-00002D380000}"/>
    <cellStyle name="40 % - Markeringsfarve1 4 4 2 2 2 3" xfId="29174" xr:uid="{00000000-0005-0000-0000-00002E380000}"/>
    <cellStyle name="40 % - Markeringsfarve1 4 4 2 2 3" xfId="14145" xr:uid="{00000000-0005-0000-0000-00002F380000}"/>
    <cellStyle name="40 % - Markeringsfarve1 4 4 2 2 3 2" xfId="32311" xr:uid="{00000000-0005-0000-0000-000030380000}"/>
    <cellStyle name="40 % - Markeringsfarve1 4 4 2 2 4" xfId="25309" xr:uid="{00000000-0005-0000-0000-000031380000}"/>
    <cellStyle name="40 % - Markeringsfarve1 4 4 2 3" xfId="8655" xr:uid="{00000000-0005-0000-0000-000032380000}"/>
    <cellStyle name="40 % - Markeringsfarve1 4 4 2 3 2" xfId="16569" xr:uid="{00000000-0005-0000-0000-000033380000}"/>
    <cellStyle name="40 % - Markeringsfarve1 4 4 2 3 2 2" xfId="34729" xr:uid="{00000000-0005-0000-0000-000034380000}"/>
    <cellStyle name="40 % - Markeringsfarve1 4 4 2 3 3" xfId="27728" xr:uid="{00000000-0005-0000-0000-000035380000}"/>
    <cellStyle name="40 % - Markeringsfarve1 4 4 2 4" xfId="14144" xr:uid="{00000000-0005-0000-0000-000036380000}"/>
    <cellStyle name="40 % - Markeringsfarve1 4 4 2 4 2" xfId="32310" xr:uid="{00000000-0005-0000-0000-000037380000}"/>
    <cellStyle name="40 % - Markeringsfarve1 4 4 2 5" xfId="25308" xr:uid="{00000000-0005-0000-0000-000038380000}"/>
    <cellStyle name="40 % - Markeringsfarve1 4 4 3" xfId="5592" xr:uid="{00000000-0005-0000-0000-000039380000}"/>
    <cellStyle name="40 % - Markeringsfarve1 4 4 3 2" xfId="9390" xr:uid="{00000000-0005-0000-0000-00003A380000}"/>
    <cellStyle name="40 % - Markeringsfarve1 4 4 3 2 2" xfId="17300" xr:uid="{00000000-0005-0000-0000-00003B380000}"/>
    <cellStyle name="40 % - Markeringsfarve1 4 4 3 2 2 2" xfId="35460" xr:uid="{00000000-0005-0000-0000-00003C380000}"/>
    <cellStyle name="40 % - Markeringsfarve1 4 4 3 2 3" xfId="28459" xr:uid="{00000000-0005-0000-0000-00003D380000}"/>
    <cellStyle name="40 % - Markeringsfarve1 4 4 3 3" xfId="14146" xr:uid="{00000000-0005-0000-0000-00003E380000}"/>
    <cellStyle name="40 % - Markeringsfarve1 4 4 3 3 2" xfId="32312" xr:uid="{00000000-0005-0000-0000-00003F380000}"/>
    <cellStyle name="40 % - Markeringsfarve1 4 4 3 4" xfId="25310" xr:uid="{00000000-0005-0000-0000-000040380000}"/>
    <cellStyle name="40 % - Markeringsfarve1 4 4 4" xfId="5593" xr:uid="{00000000-0005-0000-0000-000041380000}"/>
    <cellStyle name="40 % - Markeringsfarve1 4 4 4 2" xfId="10826" xr:uid="{00000000-0005-0000-0000-000042380000}"/>
    <cellStyle name="40 % - Markeringsfarve1 4 4 4 2 2" xfId="18712" xr:uid="{00000000-0005-0000-0000-000043380000}"/>
    <cellStyle name="40 % - Markeringsfarve1 4 4 4 2 2 2" xfId="36872" xr:uid="{00000000-0005-0000-0000-000044380000}"/>
    <cellStyle name="40 % - Markeringsfarve1 4 4 4 2 3" xfId="29871" xr:uid="{00000000-0005-0000-0000-000045380000}"/>
    <cellStyle name="40 % - Markeringsfarve1 4 4 4 3" xfId="14147" xr:uid="{00000000-0005-0000-0000-000046380000}"/>
    <cellStyle name="40 % - Markeringsfarve1 4 4 4 3 2" xfId="32313" xr:uid="{00000000-0005-0000-0000-000047380000}"/>
    <cellStyle name="40 % - Markeringsfarve1 4 4 4 4" xfId="25311" xr:uid="{00000000-0005-0000-0000-000048380000}"/>
    <cellStyle name="40 % - Markeringsfarve1 4 4 5" xfId="8017" xr:uid="{00000000-0005-0000-0000-000049380000}"/>
    <cellStyle name="40 % - Markeringsfarve1 4 4 5 2" xfId="15935" xr:uid="{00000000-0005-0000-0000-00004A380000}"/>
    <cellStyle name="40 % - Markeringsfarve1 4 4 5 2 2" xfId="34095" xr:uid="{00000000-0005-0000-0000-00004B380000}"/>
    <cellStyle name="40 % - Markeringsfarve1 4 4 5 3" xfId="27094" xr:uid="{00000000-0005-0000-0000-00004C380000}"/>
    <cellStyle name="40 % - Markeringsfarve1 4 4 6" xfId="14143" xr:uid="{00000000-0005-0000-0000-00004D380000}"/>
    <cellStyle name="40 % - Markeringsfarve1 4 4 6 2" xfId="32309" xr:uid="{00000000-0005-0000-0000-00004E380000}"/>
    <cellStyle name="40 % - Markeringsfarve1 4 4 7" xfId="25307" xr:uid="{00000000-0005-0000-0000-00004F380000}"/>
    <cellStyle name="40 % - Markeringsfarve1 4 5" xfId="5594" xr:uid="{00000000-0005-0000-0000-000050380000}"/>
    <cellStyle name="40 % - Markeringsfarve1 4 5 2" xfId="5595" xr:uid="{00000000-0005-0000-0000-000051380000}"/>
    <cellStyle name="40 % - Markeringsfarve1 4 5 2 2" xfId="5596" xr:uid="{00000000-0005-0000-0000-000052380000}"/>
    <cellStyle name="40 % - Markeringsfarve1 4 5 2 2 2" xfId="10231" xr:uid="{00000000-0005-0000-0000-000053380000}"/>
    <cellStyle name="40 % - Markeringsfarve1 4 5 2 2 2 2" xfId="18132" xr:uid="{00000000-0005-0000-0000-000054380000}"/>
    <cellStyle name="40 % - Markeringsfarve1 4 5 2 2 2 2 2" xfId="36292" xr:uid="{00000000-0005-0000-0000-000055380000}"/>
    <cellStyle name="40 % - Markeringsfarve1 4 5 2 2 2 3" xfId="29291" xr:uid="{00000000-0005-0000-0000-000056380000}"/>
    <cellStyle name="40 % - Markeringsfarve1 4 5 2 2 3" xfId="14150" xr:uid="{00000000-0005-0000-0000-000057380000}"/>
    <cellStyle name="40 % - Markeringsfarve1 4 5 2 2 3 2" xfId="32316" xr:uid="{00000000-0005-0000-0000-000058380000}"/>
    <cellStyle name="40 % - Markeringsfarve1 4 5 2 2 4" xfId="25314" xr:uid="{00000000-0005-0000-0000-000059380000}"/>
    <cellStyle name="40 % - Markeringsfarve1 4 5 2 3" xfId="8754" xr:uid="{00000000-0005-0000-0000-00005A380000}"/>
    <cellStyle name="40 % - Markeringsfarve1 4 5 2 3 2" xfId="16668" xr:uid="{00000000-0005-0000-0000-00005B380000}"/>
    <cellStyle name="40 % - Markeringsfarve1 4 5 2 3 2 2" xfId="34828" xr:uid="{00000000-0005-0000-0000-00005C380000}"/>
    <cellStyle name="40 % - Markeringsfarve1 4 5 2 3 3" xfId="27827" xr:uid="{00000000-0005-0000-0000-00005D380000}"/>
    <cellStyle name="40 % - Markeringsfarve1 4 5 2 4" xfId="14149" xr:uid="{00000000-0005-0000-0000-00005E380000}"/>
    <cellStyle name="40 % - Markeringsfarve1 4 5 2 4 2" xfId="32315" xr:uid="{00000000-0005-0000-0000-00005F380000}"/>
    <cellStyle name="40 % - Markeringsfarve1 4 5 2 5" xfId="25313" xr:uid="{00000000-0005-0000-0000-000060380000}"/>
    <cellStyle name="40 % - Markeringsfarve1 4 5 3" xfId="5597" xr:uid="{00000000-0005-0000-0000-000061380000}"/>
    <cellStyle name="40 % - Markeringsfarve1 4 5 3 2" xfId="9507" xr:uid="{00000000-0005-0000-0000-000062380000}"/>
    <cellStyle name="40 % - Markeringsfarve1 4 5 3 2 2" xfId="17417" xr:uid="{00000000-0005-0000-0000-000063380000}"/>
    <cellStyle name="40 % - Markeringsfarve1 4 5 3 2 2 2" xfId="35577" xr:uid="{00000000-0005-0000-0000-000064380000}"/>
    <cellStyle name="40 % - Markeringsfarve1 4 5 3 2 3" xfId="28576" xr:uid="{00000000-0005-0000-0000-000065380000}"/>
    <cellStyle name="40 % - Markeringsfarve1 4 5 3 3" xfId="14151" xr:uid="{00000000-0005-0000-0000-000066380000}"/>
    <cellStyle name="40 % - Markeringsfarve1 4 5 3 3 2" xfId="32317" xr:uid="{00000000-0005-0000-0000-000067380000}"/>
    <cellStyle name="40 % - Markeringsfarve1 4 5 3 4" xfId="25315" xr:uid="{00000000-0005-0000-0000-000068380000}"/>
    <cellStyle name="40 % - Markeringsfarve1 4 5 4" xfId="5598" xr:uid="{00000000-0005-0000-0000-000069380000}"/>
    <cellStyle name="40 % - Markeringsfarve1 4 5 4 2" xfId="10478" xr:uid="{00000000-0005-0000-0000-00006A380000}"/>
    <cellStyle name="40 % - Markeringsfarve1 4 5 4 2 2" xfId="18374" xr:uid="{00000000-0005-0000-0000-00006B380000}"/>
    <cellStyle name="40 % - Markeringsfarve1 4 5 4 2 2 2" xfId="36534" xr:uid="{00000000-0005-0000-0000-00006C380000}"/>
    <cellStyle name="40 % - Markeringsfarve1 4 5 4 2 3" xfId="29533" xr:uid="{00000000-0005-0000-0000-00006D380000}"/>
    <cellStyle name="40 % - Markeringsfarve1 4 5 4 3" xfId="14152" xr:uid="{00000000-0005-0000-0000-00006E380000}"/>
    <cellStyle name="40 % - Markeringsfarve1 4 5 4 3 2" xfId="32318" xr:uid="{00000000-0005-0000-0000-00006F380000}"/>
    <cellStyle name="40 % - Markeringsfarve1 4 5 4 4" xfId="25316" xr:uid="{00000000-0005-0000-0000-000070380000}"/>
    <cellStyle name="40 % - Markeringsfarve1 4 5 5" xfId="8018" xr:uid="{00000000-0005-0000-0000-000071380000}"/>
    <cellStyle name="40 % - Markeringsfarve1 4 5 5 2" xfId="15936" xr:uid="{00000000-0005-0000-0000-000072380000}"/>
    <cellStyle name="40 % - Markeringsfarve1 4 5 5 2 2" xfId="34096" xr:uid="{00000000-0005-0000-0000-000073380000}"/>
    <cellStyle name="40 % - Markeringsfarve1 4 5 5 3" xfId="27095" xr:uid="{00000000-0005-0000-0000-000074380000}"/>
    <cellStyle name="40 % - Markeringsfarve1 4 5 6" xfId="14148" xr:uid="{00000000-0005-0000-0000-000075380000}"/>
    <cellStyle name="40 % - Markeringsfarve1 4 5 6 2" xfId="32314" xr:uid="{00000000-0005-0000-0000-000076380000}"/>
    <cellStyle name="40 % - Markeringsfarve1 4 5 7" xfId="25312" xr:uid="{00000000-0005-0000-0000-000077380000}"/>
    <cellStyle name="40 % - Markeringsfarve1 4 6" xfId="5599" xr:uid="{00000000-0005-0000-0000-000078380000}"/>
    <cellStyle name="40 % - Markeringsfarve1 4 6 2" xfId="5600" xr:uid="{00000000-0005-0000-0000-000079380000}"/>
    <cellStyle name="40 % - Markeringsfarve1 4 6 2 2" xfId="5601" xr:uid="{00000000-0005-0000-0000-00007A380000}"/>
    <cellStyle name="40 % - Markeringsfarve1 4 6 2 2 2" xfId="10369" xr:uid="{00000000-0005-0000-0000-00007B380000}"/>
    <cellStyle name="40 % - Markeringsfarve1 4 6 2 2 2 2" xfId="18270" xr:uid="{00000000-0005-0000-0000-00007C380000}"/>
    <cellStyle name="40 % - Markeringsfarve1 4 6 2 2 2 2 2" xfId="36430" xr:uid="{00000000-0005-0000-0000-00007D380000}"/>
    <cellStyle name="40 % - Markeringsfarve1 4 6 2 2 2 3" xfId="29429" xr:uid="{00000000-0005-0000-0000-00007E380000}"/>
    <cellStyle name="40 % - Markeringsfarve1 4 6 2 2 3" xfId="14155" xr:uid="{00000000-0005-0000-0000-00007F380000}"/>
    <cellStyle name="40 % - Markeringsfarve1 4 6 2 2 3 2" xfId="32321" xr:uid="{00000000-0005-0000-0000-000080380000}"/>
    <cellStyle name="40 % - Markeringsfarve1 4 6 2 2 4" xfId="25319" xr:uid="{00000000-0005-0000-0000-000081380000}"/>
    <cellStyle name="40 % - Markeringsfarve1 4 6 2 3" xfId="8871" xr:uid="{00000000-0005-0000-0000-000082380000}"/>
    <cellStyle name="40 % - Markeringsfarve1 4 6 2 3 2" xfId="16785" xr:uid="{00000000-0005-0000-0000-000083380000}"/>
    <cellStyle name="40 % - Markeringsfarve1 4 6 2 3 2 2" xfId="34945" xr:uid="{00000000-0005-0000-0000-000084380000}"/>
    <cellStyle name="40 % - Markeringsfarve1 4 6 2 3 3" xfId="27944" xr:uid="{00000000-0005-0000-0000-000085380000}"/>
    <cellStyle name="40 % - Markeringsfarve1 4 6 2 4" xfId="14154" xr:uid="{00000000-0005-0000-0000-000086380000}"/>
    <cellStyle name="40 % - Markeringsfarve1 4 6 2 4 2" xfId="32320" xr:uid="{00000000-0005-0000-0000-000087380000}"/>
    <cellStyle name="40 % - Markeringsfarve1 4 6 2 5" xfId="25318" xr:uid="{00000000-0005-0000-0000-000088380000}"/>
    <cellStyle name="40 % - Markeringsfarve1 4 6 3" xfId="5602" xr:uid="{00000000-0005-0000-0000-000089380000}"/>
    <cellStyle name="40 % - Markeringsfarve1 4 6 3 2" xfId="9646" xr:uid="{00000000-0005-0000-0000-00008A380000}"/>
    <cellStyle name="40 % - Markeringsfarve1 4 6 3 2 2" xfId="17556" xr:uid="{00000000-0005-0000-0000-00008B380000}"/>
    <cellStyle name="40 % - Markeringsfarve1 4 6 3 2 2 2" xfId="35716" xr:uid="{00000000-0005-0000-0000-00008C380000}"/>
    <cellStyle name="40 % - Markeringsfarve1 4 6 3 2 3" xfId="28715" xr:uid="{00000000-0005-0000-0000-00008D380000}"/>
    <cellStyle name="40 % - Markeringsfarve1 4 6 3 3" xfId="14156" xr:uid="{00000000-0005-0000-0000-00008E380000}"/>
    <cellStyle name="40 % - Markeringsfarve1 4 6 3 3 2" xfId="32322" xr:uid="{00000000-0005-0000-0000-00008F380000}"/>
    <cellStyle name="40 % - Markeringsfarve1 4 6 3 4" xfId="25320" xr:uid="{00000000-0005-0000-0000-000090380000}"/>
    <cellStyle name="40 % - Markeringsfarve1 4 6 4" xfId="5603" xr:uid="{00000000-0005-0000-0000-000091380000}"/>
    <cellStyle name="40 % - Markeringsfarve1 4 6 4 2" xfId="8950" xr:uid="{00000000-0005-0000-0000-000092380000}"/>
    <cellStyle name="40 % - Markeringsfarve1 4 6 4 2 2" xfId="16863" xr:uid="{00000000-0005-0000-0000-000093380000}"/>
    <cellStyle name="40 % - Markeringsfarve1 4 6 4 2 2 2" xfId="35023" xr:uid="{00000000-0005-0000-0000-000094380000}"/>
    <cellStyle name="40 % - Markeringsfarve1 4 6 4 2 3" xfId="28022" xr:uid="{00000000-0005-0000-0000-000095380000}"/>
    <cellStyle name="40 % - Markeringsfarve1 4 6 4 3" xfId="14157" xr:uid="{00000000-0005-0000-0000-000096380000}"/>
    <cellStyle name="40 % - Markeringsfarve1 4 6 4 3 2" xfId="32323" xr:uid="{00000000-0005-0000-0000-000097380000}"/>
    <cellStyle name="40 % - Markeringsfarve1 4 6 4 4" xfId="25321" xr:uid="{00000000-0005-0000-0000-000098380000}"/>
    <cellStyle name="40 % - Markeringsfarve1 4 6 5" xfId="8019" xr:uid="{00000000-0005-0000-0000-000099380000}"/>
    <cellStyle name="40 % - Markeringsfarve1 4 6 5 2" xfId="15937" xr:uid="{00000000-0005-0000-0000-00009A380000}"/>
    <cellStyle name="40 % - Markeringsfarve1 4 6 5 2 2" xfId="34097" xr:uid="{00000000-0005-0000-0000-00009B380000}"/>
    <cellStyle name="40 % - Markeringsfarve1 4 6 5 3" xfId="27096" xr:uid="{00000000-0005-0000-0000-00009C380000}"/>
    <cellStyle name="40 % - Markeringsfarve1 4 6 6" xfId="14153" xr:uid="{00000000-0005-0000-0000-00009D380000}"/>
    <cellStyle name="40 % - Markeringsfarve1 4 6 6 2" xfId="32319" xr:uid="{00000000-0005-0000-0000-00009E380000}"/>
    <cellStyle name="40 % - Markeringsfarve1 4 6 7" xfId="25317" xr:uid="{00000000-0005-0000-0000-00009F380000}"/>
    <cellStyle name="40 % - Markeringsfarve1 4 7" xfId="5604" xr:uid="{00000000-0005-0000-0000-0000A0380000}"/>
    <cellStyle name="40 % - Markeringsfarve1 4 7 2" xfId="5605" xr:uid="{00000000-0005-0000-0000-0000A1380000}"/>
    <cellStyle name="40 % - Markeringsfarve1 4 7 2 2" xfId="9757" xr:uid="{00000000-0005-0000-0000-0000A2380000}"/>
    <cellStyle name="40 % - Markeringsfarve1 4 7 2 2 2" xfId="17658" xr:uid="{00000000-0005-0000-0000-0000A3380000}"/>
    <cellStyle name="40 % - Markeringsfarve1 4 7 2 2 2 2" xfId="35818" xr:uid="{00000000-0005-0000-0000-0000A4380000}"/>
    <cellStyle name="40 % - Markeringsfarve1 4 7 2 2 3" xfId="28817" xr:uid="{00000000-0005-0000-0000-0000A5380000}"/>
    <cellStyle name="40 % - Markeringsfarve1 4 7 2 3" xfId="14159" xr:uid="{00000000-0005-0000-0000-0000A6380000}"/>
    <cellStyle name="40 % - Markeringsfarve1 4 7 2 3 2" xfId="32325" xr:uid="{00000000-0005-0000-0000-0000A7380000}"/>
    <cellStyle name="40 % - Markeringsfarve1 4 7 2 4" xfId="25323" xr:uid="{00000000-0005-0000-0000-0000A8380000}"/>
    <cellStyle name="40 % - Markeringsfarve1 4 7 3" xfId="8354" xr:uid="{00000000-0005-0000-0000-0000A9380000}"/>
    <cellStyle name="40 % - Markeringsfarve1 4 7 3 2" xfId="16271" xr:uid="{00000000-0005-0000-0000-0000AA380000}"/>
    <cellStyle name="40 % - Markeringsfarve1 4 7 3 2 2" xfId="34431" xr:uid="{00000000-0005-0000-0000-0000AB380000}"/>
    <cellStyle name="40 % - Markeringsfarve1 4 7 3 3" xfId="27430" xr:uid="{00000000-0005-0000-0000-0000AC380000}"/>
    <cellStyle name="40 % - Markeringsfarve1 4 7 4" xfId="14158" xr:uid="{00000000-0005-0000-0000-0000AD380000}"/>
    <cellStyle name="40 % - Markeringsfarve1 4 7 4 2" xfId="32324" xr:uid="{00000000-0005-0000-0000-0000AE380000}"/>
    <cellStyle name="40 % - Markeringsfarve1 4 7 5" xfId="25322" xr:uid="{00000000-0005-0000-0000-0000AF380000}"/>
    <cellStyle name="40 % - Markeringsfarve1 4 8" xfId="5606" xr:uid="{00000000-0005-0000-0000-0000B0380000}"/>
    <cellStyle name="40 % - Markeringsfarve1 4 8 2" xfId="8985" xr:uid="{00000000-0005-0000-0000-0000B1380000}"/>
    <cellStyle name="40 % - Markeringsfarve1 4 8 2 2" xfId="16896" xr:uid="{00000000-0005-0000-0000-0000B2380000}"/>
    <cellStyle name="40 % - Markeringsfarve1 4 8 2 2 2" xfId="35056" xr:uid="{00000000-0005-0000-0000-0000B3380000}"/>
    <cellStyle name="40 % - Markeringsfarve1 4 8 2 3" xfId="28055" xr:uid="{00000000-0005-0000-0000-0000B4380000}"/>
    <cellStyle name="40 % - Markeringsfarve1 4 8 3" xfId="14160" xr:uid="{00000000-0005-0000-0000-0000B5380000}"/>
    <cellStyle name="40 % - Markeringsfarve1 4 8 3 2" xfId="32326" xr:uid="{00000000-0005-0000-0000-0000B6380000}"/>
    <cellStyle name="40 % - Markeringsfarve1 4 8 4" xfId="25324" xr:uid="{00000000-0005-0000-0000-0000B7380000}"/>
    <cellStyle name="40 % - Markeringsfarve1 4 9" xfId="5607" xr:uid="{00000000-0005-0000-0000-0000B8380000}"/>
    <cellStyle name="40 % - Markeringsfarve1 4 9 2" xfId="10641" xr:uid="{00000000-0005-0000-0000-0000B9380000}"/>
    <cellStyle name="40 % - Markeringsfarve1 4 9 2 2" xfId="18534" xr:uid="{00000000-0005-0000-0000-0000BA380000}"/>
    <cellStyle name="40 % - Markeringsfarve1 4 9 2 2 2" xfId="36694" xr:uid="{00000000-0005-0000-0000-0000BB380000}"/>
    <cellStyle name="40 % - Markeringsfarve1 4 9 2 3" xfId="29693" xr:uid="{00000000-0005-0000-0000-0000BC380000}"/>
    <cellStyle name="40 % - Markeringsfarve1 4 9 3" xfId="14161" xr:uid="{00000000-0005-0000-0000-0000BD380000}"/>
    <cellStyle name="40 % - Markeringsfarve1 4 9 3 2" xfId="32327" xr:uid="{00000000-0005-0000-0000-0000BE380000}"/>
    <cellStyle name="40 % - Markeringsfarve1 4 9 4" xfId="25325" xr:uid="{00000000-0005-0000-0000-0000BF380000}"/>
    <cellStyle name="40 % - Markeringsfarve1 5" xfId="1877" xr:uid="{00000000-0005-0000-0000-0000C0380000}"/>
    <cellStyle name="40 % - Markeringsfarve1 5 10" xfId="8020" xr:uid="{00000000-0005-0000-0000-0000C1380000}"/>
    <cellStyle name="40 % - Markeringsfarve1 5 10 2" xfId="15938" xr:uid="{00000000-0005-0000-0000-0000C2380000}"/>
    <cellStyle name="40 % - Markeringsfarve1 5 10 2 2" xfId="34098" xr:uid="{00000000-0005-0000-0000-0000C3380000}"/>
    <cellStyle name="40 % - Markeringsfarve1 5 10 3" xfId="27097" xr:uid="{00000000-0005-0000-0000-0000C4380000}"/>
    <cellStyle name="40 % - Markeringsfarve1 5 11" xfId="14162" xr:uid="{00000000-0005-0000-0000-0000C5380000}"/>
    <cellStyle name="40 % - Markeringsfarve1 5 11 2" xfId="32328" xr:uid="{00000000-0005-0000-0000-0000C6380000}"/>
    <cellStyle name="40 % - Markeringsfarve1 5 12" xfId="5608" xr:uid="{00000000-0005-0000-0000-0000C7380000}"/>
    <cellStyle name="40 % - Markeringsfarve1 5 12 2" xfId="25326" xr:uid="{00000000-0005-0000-0000-0000C8380000}"/>
    <cellStyle name="40 % - Markeringsfarve1 5 13" xfId="21995" xr:uid="{00000000-0005-0000-0000-0000C9380000}"/>
    <cellStyle name="40 % - Markeringsfarve1 5 2" xfId="1878" xr:uid="{00000000-0005-0000-0000-0000CA380000}"/>
    <cellStyle name="40 % - Markeringsfarve1 5 2 2" xfId="5610" xr:uid="{00000000-0005-0000-0000-0000CB380000}"/>
    <cellStyle name="40 % - Markeringsfarve1 5 2 2 2" xfId="5611" xr:uid="{00000000-0005-0000-0000-0000CC380000}"/>
    <cellStyle name="40 % - Markeringsfarve1 5 2 2 2 2" xfId="9915" xr:uid="{00000000-0005-0000-0000-0000CD380000}"/>
    <cellStyle name="40 % - Markeringsfarve1 5 2 2 2 2 2" xfId="17816" xr:uid="{00000000-0005-0000-0000-0000CE380000}"/>
    <cellStyle name="40 % - Markeringsfarve1 5 2 2 2 2 2 2" xfId="35976" xr:uid="{00000000-0005-0000-0000-0000CF380000}"/>
    <cellStyle name="40 % - Markeringsfarve1 5 2 2 2 2 3" xfId="28975" xr:uid="{00000000-0005-0000-0000-0000D0380000}"/>
    <cellStyle name="40 % - Markeringsfarve1 5 2 2 2 3" xfId="14165" xr:uid="{00000000-0005-0000-0000-0000D1380000}"/>
    <cellStyle name="40 % - Markeringsfarve1 5 2 2 2 3 2" xfId="32331" xr:uid="{00000000-0005-0000-0000-0000D2380000}"/>
    <cellStyle name="40 % - Markeringsfarve1 5 2 2 2 4" xfId="25329" xr:uid="{00000000-0005-0000-0000-0000D3380000}"/>
    <cellStyle name="40 % - Markeringsfarve1 5 2 2 3" xfId="8486" xr:uid="{00000000-0005-0000-0000-0000D4380000}"/>
    <cellStyle name="40 % - Markeringsfarve1 5 2 2 3 2" xfId="16403" xr:uid="{00000000-0005-0000-0000-0000D5380000}"/>
    <cellStyle name="40 % - Markeringsfarve1 5 2 2 3 2 2" xfId="34563" xr:uid="{00000000-0005-0000-0000-0000D6380000}"/>
    <cellStyle name="40 % - Markeringsfarve1 5 2 2 3 3" xfId="27562" xr:uid="{00000000-0005-0000-0000-0000D7380000}"/>
    <cellStyle name="40 % - Markeringsfarve1 5 2 2 4" xfId="14164" xr:uid="{00000000-0005-0000-0000-0000D8380000}"/>
    <cellStyle name="40 % - Markeringsfarve1 5 2 2 4 2" xfId="32330" xr:uid="{00000000-0005-0000-0000-0000D9380000}"/>
    <cellStyle name="40 % - Markeringsfarve1 5 2 2 5" xfId="25328" xr:uid="{00000000-0005-0000-0000-0000DA380000}"/>
    <cellStyle name="40 % - Markeringsfarve1 5 2 3" xfId="5612" xr:uid="{00000000-0005-0000-0000-0000DB380000}"/>
    <cellStyle name="40 % - Markeringsfarve1 5 2 3 2" xfId="9145" xr:uid="{00000000-0005-0000-0000-0000DC380000}"/>
    <cellStyle name="40 % - Markeringsfarve1 5 2 3 2 2" xfId="17056" xr:uid="{00000000-0005-0000-0000-0000DD380000}"/>
    <cellStyle name="40 % - Markeringsfarve1 5 2 3 2 2 2" xfId="35216" xr:uid="{00000000-0005-0000-0000-0000DE380000}"/>
    <cellStyle name="40 % - Markeringsfarve1 5 2 3 2 3" xfId="28215" xr:uid="{00000000-0005-0000-0000-0000DF380000}"/>
    <cellStyle name="40 % - Markeringsfarve1 5 2 3 3" xfId="14166" xr:uid="{00000000-0005-0000-0000-0000E0380000}"/>
    <cellStyle name="40 % - Markeringsfarve1 5 2 3 3 2" xfId="32332" xr:uid="{00000000-0005-0000-0000-0000E1380000}"/>
    <cellStyle name="40 % - Markeringsfarve1 5 2 3 4" xfId="25330" xr:uid="{00000000-0005-0000-0000-0000E2380000}"/>
    <cellStyle name="40 % - Markeringsfarve1 5 2 4" xfId="5613" xr:uid="{00000000-0005-0000-0000-0000E3380000}"/>
    <cellStyle name="40 % - Markeringsfarve1 5 2 4 2" xfId="10758" xr:uid="{00000000-0005-0000-0000-0000E4380000}"/>
    <cellStyle name="40 % - Markeringsfarve1 5 2 4 2 2" xfId="18646" xr:uid="{00000000-0005-0000-0000-0000E5380000}"/>
    <cellStyle name="40 % - Markeringsfarve1 5 2 4 2 2 2" xfId="36806" xr:uid="{00000000-0005-0000-0000-0000E6380000}"/>
    <cellStyle name="40 % - Markeringsfarve1 5 2 4 2 3" xfId="29805" xr:uid="{00000000-0005-0000-0000-0000E7380000}"/>
    <cellStyle name="40 % - Markeringsfarve1 5 2 4 3" xfId="14167" xr:uid="{00000000-0005-0000-0000-0000E8380000}"/>
    <cellStyle name="40 % - Markeringsfarve1 5 2 4 3 2" xfId="32333" xr:uid="{00000000-0005-0000-0000-0000E9380000}"/>
    <cellStyle name="40 % - Markeringsfarve1 5 2 4 4" xfId="25331" xr:uid="{00000000-0005-0000-0000-0000EA380000}"/>
    <cellStyle name="40 % - Markeringsfarve1 5 2 5" xfId="8021" xr:uid="{00000000-0005-0000-0000-0000EB380000}"/>
    <cellStyle name="40 % - Markeringsfarve1 5 2 5 2" xfId="15939" xr:uid="{00000000-0005-0000-0000-0000EC380000}"/>
    <cellStyle name="40 % - Markeringsfarve1 5 2 5 2 2" xfId="34099" xr:uid="{00000000-0005-0000-0000-0000ED380000}"/>
    <cellStyle name="40 % - Markeringsfarve1 5 2 5 3" xfId="27098" xr:uid="{00000000-0005-0000-0000-0000EE380000}"/>
    <cellStyle name="40 % - Markeringsfarve1 5 2 6" xfId="14163" xr:uid="{00000000-0005-0000-0000-0000EF380000}"/>
    <cellStyle name="40 % - Markeringsfarve1 5 2 6 2" xfId="32329" xr:uid="{00000000-0005-0000-0000-0000F0380000}"/>
    <cellStyle name="40 % - Markeringsfarve1 5 2 7" xfId="5609" xr:uid="{00000000-0005-0000-0000-0000F1380000}"/>
    <cellStyle name="40 % - Markeringsfarve1 5 2 7 2" xfId="25327" xr:uid="{00000000-0005-0000-0000-0000F2380000}"/>
    <cellStyle name="40 % - Markeringsfarve1 5 2 8" xfId="21996" xr:uid="{00000000-0005-0000-0000-0000F3380000}"/>
    <cellStyle name="40 % - Markeringsfarve1 5 3" xfId="5614" xr:uid="{00000000-0005-0000-0000-0000F4380000}"/>
    <cellStyle name="40 % - Markeringsfarve1 5 3 2" xfId="5615" xr:uid="{00000000-0005-0000-0000-0000F5380000}"/>
    <cellStyle name="40 % - Markeringsfarve1 5 3 2 2" xfId="5616" xr:uid="{00000000-0005-0000-0000-0000F6380000}"/>
    <cellStyle name="40 % - Markeringsfarve1 5 3 2 2 2" xfId="10016" xr:uid="{00000000-0005-0000-0000-0000F7380000}"/>
    <cellStyle name="40 % - Markeringsfarve1 5 3 2 2 2 2" xfId="17917" xr:uid="{00000000-0005-0000-0000-0000F8380000}"/>
    <cellStyle name="40 % - Markeringsfarve1 5 3 2 2 2 2 2" xfId="36077" xr:uid="{00000000-0005-0000-0000-0000F9380000}"/>
    <cellStyle name="40 % - Markeringsfarve1 5 3 2 2 2 3" xfId="29076" xr:uid="{00000000-0005-0000-0000-0000FA380000}"/>
    <cellStyle name="40 % - Markeringsfarve1 5 3 2 2 3" xfId="14170" xr:uid="{00000000-0005-0000-0000-0000FB380000}"/>
    <cellStyle name="40 % - Markeringsfarve1 5 3 2 2 3 2" xfId="32336" xr:uid="{00000000-0005-0000-0000-0000FC380000}"/>
    <cellStyle name="40 % - Markeringsfarve1 5 3 2 2 4" xfId="25334" xr:uid="{00000000-0005-0000-0000-0000FD380000}"/>
    <cellStyle name="40 % - Markeringsfarve1 5 3 2 3" xfId="8571" xr:uid="{00000000-0005-0000-0000-0000FE380000}"/>
    <cellStyle name="40 % - Markeringsfarve1 5 3 2 3 2" xfId="16488" xr:uid="{00000000-0005-0000-0000-0000FF380000}"/>
    <cellStyle name="40 % - Markeringsfarve1 5 3 2 3 2 2" xfId="34648" xr:uid="{00000000-0005-0000-0000-000000390000}"/>
    <cellStyle name="40 % - Markeringsfarve1 5 3 2 3 3" xfId="27647" xr:uid="{00000000-0005-0000-0000-000001390000}"/>
    <cellStyle name="40 % - Markeringsfarve1 5 3 2 4" xfId="14169" xr:uid="{00000000-0005-0000-0000-000002390000}"/>
    <cellStyle name="40 % - Markeringsfarve1 5 3 2 4 2" xfId="32335" xr:uid="{00000000-0005-0000-0000-000003390000}"/>
    <cellStyle name="40 % - Markeringsfarve1 5 3 2 5" xfId="25333" xr:uid="{00000000-0005-0000-0000-000004390000}"/>
    <cellStyle name="40 % - Markeringsfarve1 5 3 3" xfId="5617" xr:uid="{00000000-0005-0000-0000-000005390000}"/>
    <cellStyle name="40 % - Markeringsfarve1 5 3 3 2" xfId="9246" xr:uid="{00000000-0005-0000-0000-000006390000}"/>
    <cellStyle name="40 % - Markeringsfarve1 5 3 3 2 2" xfId="17157" xr:uid="{00000000-0005-0000-0000-000007390000}"/>
    <cellStyle name="40 % - Markeringsfarve1 5 3 3 2 2 2" xfId="35317" xr:uid="{00000000-0005-0000-0000-000008390000}"/>
    <cellStyle name="40 % - Markeringsfarve1 5 3 3 2 3" xfId="28316" xr:uid="{00000000-0005-0000-0000-000009390000}"/>
    <cellStyle name="40 % - Markeringsfarve1 5 3 3 3" xfId="14171" xr:uid="{00000000-0005-0000-0000-00000A390000}"/>
    <cellStyle name="40 % - Markeringsfarve1 5 3 3 3 2" xfId="32337" xr:uid="{00000000-0005-0000-0000-00000B390000}"/>
    <cellStyle name="40 % - Markeringsfarve1 5 3 3 4" xfId="25335" xr:uid="{00000000-0005-0000-0000-00000C390000}"/>
    <cellStyle name="40 % - Markeringsfarve1 5 3 4" xfId="5618" xr:uid="{00000000-0005-0000-0000-00000D390000}"/>
    <cellStyle name="40 % - Markeringsfarve1 5 3 4 2" xfId="11003" xr:uid="{00000000-0005-0000-0000-00000E390000}"/>
    <cellStyle name="40 % - Markeringsfarve1 5 3 4 2 2" xfId="18879" xr:uid="{00000000-0005-0000-0000-00000F390000}"/>
    <cellStyle name="40 % - Markeringsfarve1 5 3 4 2 2 2" xfId="37039" xr:uid="{00000000-0005-0000-0000-000010390000}"/>
    <cellStyle name="40 % - Markeringsfarve1 5 3 4 2 3" xfId="30038" xr:uid="{00000000-0005-0000-0000-000011390000}"/>
    <cellStyle name="40 % - Markeringsfarve1 5 3 4 3" xfId="14172" xr:uid="{00000000-0005-0000-0000-000012390000}"/>
    <cellStyle name="40 % - Markeringsfarve1 5 3 4 3 2" xfId="32338" xr:uid="{00000000-0005-0000-0000-000013390000}"/>
    <cellStyle name="40 % - Markeringsfarve1 5 3 4 4" xfId="25336" xr:uid="{00000000-0005-0000-0000-000014390000}"/>
    <cellStyle name="40 % - Markeringsfarve1 5 3 5" xfId="8022" xr:uid="{00000000-0005-0000-0000-000015390000}"/>
    <cellStyle name="40 % - Markeringsfarve1 5 3 5 2" xfId="15940" xr:uid="{00000000-0005-0000-0000-000016390000}"/>
    <cellStyle name="40 % - Markeringsfarve1 5 3 5 2 2" xfId="34100" xr:uid="{00000000-0005-0000-0000-000017390000}"/>
    <cellStyle name="40 % - Markeringsfarve1 5 3 5 3" xfId="27099" xr:uid="{00000000-0005-0000-0000-000018390000}"/>
    <cellStyle name="40 % - Markeringsfarve1 5 3 6" xfId="14168" xr:uid="{00000000-0005-0000-0000-000019390000}"/>
    <cellStyle name="40 % - Markeringsfarve1 5 3 6 2" xfId="32334" xr:uid="{00000000-0005-0000-0000-00001A390000}"/>
    <cellStyle name="40 % - Markeringsfarve1 5 3 7" xfId="25332" xr:uid="{00000000-0005-0000-0000-00001B390000}"/>
    <cellStyle name="40 % - Markeringsfarve1 5 4" xfId="5619" xr:uid="{00000000-0005-0000-0000-00001C390000}"/>
    <cellStyle name="40 % - Markeringsfarve1 5 4 2" xfId="5620" xr:uid="{00000000-0005-0000-0000-00001D390000}"/>
    <cellStyle name="40 % - Markeringsfarve1 5 4 2 2" xfId="5621" xr:uid="{00000000-0005-0000-0000-00001E390000}"/>
    <cellStyle name="40 % - Markeringsfarve1 5 4 2 2 2" xfId="10153" xr:uid="{00000000-0005-0000-0000-00001F390000}"/>
    <cellStyle name="40 % - Markeringsfarve1 5 4 2 2 2 2" xfId="18054" xr:uid="{00000000-0005-0000-0000-000020390000}"/>
    <cellStyle name="40 % - Markeringsfarve1 5 4 2 2 2 2 2" xfId="36214" xr:uid="{00000000-0005-0000-0000-000021390000}"/>
    <cellStyle name="40 % - Markeringsfarve1 5 4 2 2 2 3" xfId="29213" xr:uid="{00000000-0005-0000-0000-000022390000}"/>
    <cellStyle name="40 % - Markeringsfarve1 5 4 2 2 3" xfId="14175" xr:uid="{00000000-0005-0000-0000-000023390000}"/>
    <cellStyle name="40 % - Markeringsfarve1 5 4 2 2 3 2" xfId="32341" xr:uid="{00000000-0005-0000-0000-000024390000}"/>
    <cellStyle name="40 % - Markeringsfarve1 5 4 2 2 4" xfId="25339" xr:uid="{00000000-0005-0000-0000-000025390000}"/>
    <cellStyle name="40 % - Markeringsfarve1 5 4 2 3" xfId="8688" xr:uid="{00000000-0005-0000-0000-000026390000}"/>
    <cellStyle name="40 % - Markeringsfarve1 5 4 2 3 2" xfId="16602" xr:uid="{00000000-0005-0000-0000-000027390000}"/>
    <cellStyle name="40 % - Markeringsfarve1 5 4 2 3 2 2" xfId="34762" xr:uid="{00000000-0005-0000-0000-000028390000}"/>
    <cellStyle name="40 % - Markeringsfarve1 5 4 2 3 3" xfId="27761" xr:uid="{00000000-0005-0000-0000-000029390000}"/>
    <cellStyle name="40 % - Markeringsfarve1 5 4 2 4" xfId="14174" xr:uid="{00000000-0005-0000-0000-00002A390000}"/>
    <cellStyle name="40 % - Markeringsfarve1 5 4 2 4 2" xfId="32340" xr:uid="{00000000-0005-0000-0000-00002B390000}"/>
    <cellStyle name="40 % - Markeringsfarve1 5 4 2 5" xfId="25338" xr:uid="{00000000-0005-0000-0000-00002C390000}"/>
    <cellStyle name="40 % - Markeringsfarve1 5 4 3" xfId="5622" xr:uid="{00000000-0005-0000-0000-00002D390000}"/>
    <cellStyle name="40 % - Markeringsfarve1 5 4 3 2" xfId="9429" xr:uid="{00000000-0005-0000-0000-00002E390000}"/>
    <cellStyle name="40 % - Markeringsfarve1 5 4 3 2 2" xfId="17339" xr:uid="{00000000-0005-0000-0000-00002F390000}"/>
    <cellStyle name="40 % - Markeringsfarve1 5 4 3 2 2 2" xfId="35499" xr:uid="{00000000-0005-0000-0000-000030390000}"/>
    <cellStyle name="40 % - Markeringsfarve1 5 4 3 2 3" xfId="28498" xr:uid="{00000000-0005-0000-0000-000031390000}"/>
    <cellStyle name="40 % - Markeringsfarve1 5 4 3 3" xfId="14176" xr:uid="{00000000-0005-0000-0000-000032390000}"/>
    <cellStyle name="40 % - Markeringsfarve1 5 4 3 3 2" xfId="32342" xr:uid="{00000000-0005-0000-0000-000033390000}"/>
    <cellStyle name="40 % - Markeringsfarve1 5 4 3 4" xfId="25340" xr:uid="{00000000-0005-0000-0000-000034390000}"/>
    <cellStyle name="40 % - Markeringsfarve1 5 4 4" xfId="5623" xr:uid="{00000000-0005-0000-0000-000035390000}"/>
    <cellStyle name="40 % - Markeringsfarve1 5 4 4 2" xfId="10723" xr:uid="{00000000-0005-0000-0000-000036390000}"/>
    <cellStyle name="40 % - Markeringsfarve1 5 4 4 2 2" xfId="18612" xr:uid="{00000000-0005-0000-0000-000037390000}"/>
    <cellStyle name="40 % - Markeringsfarve1 5 4 4 2 2 2" xfId="36772" xr:uid="{00000000-0005-0000-0000-000038390000}"/>
    <cellStyle name="40 % - Markeringsfarve1 5 4 4 2 3" xfId="29771" xr:uid="{00000000-0005-0000-0000-000039390000}"/>
    <cellStyle name="40 % - Markeringsfarve1 5 4 4 3" xfId="14177" xr:uid="{00000000-0005-0000-0000-00003A390000}"/>
    <cellStyle name="40 % - Markeringsfarve1 5 4 4 3 2" xfId="32343" xr:uid="{00000000-0005-0000-0000-00003B390000}"/>
    <cellStyle name="40 % - Markeringsfarve1 5 4 4 4" xfId="25341" xr:uid="{00000000-0005-0000-0000-00003C390000}"/>
    <cellStyle name="40 % - Markeringsfarve1 5 4 5" xfId="8023" xr:uid="{00000000-0005-0000-0000-00003D390000}"/>
    <cellStyle name="40 % - Markeringsfarve1 5 4 5 2" xfId="15941" xr:uid="{00000000-0005-0000-0000-00003E390000}"/>
    <cellStyle name="40 % - Markeringsfarve1 5 4 5 2 2" xfId="34101" xr:uid="{00000000-0005-0000-0000-00003F390000}"/>
    <cellStyle name="40 % - Markeringsfarve1 5 4 5 3" xfId="27100" xr:uid="{00000000-0005-0000-0000-000040390000}"/>
    <cellStyle name="40 % - Markeringsfarve1 5 4 6" xfId="14173" xr:uid="{00000000-0005-0000-0000-000041390000}"/>
    <cellStyle name="40 % - Markeringsfarve1 5 4 6 2" xfId="32339" xr:uid="{00000000-0005-0000-0000-000042390000}"/>
    <cellStyle name="40 % - Markeringsfarve1 5 4 7" xfId="25337" xr:uid="{00000000-0005-0000-0000-000043390000}"/>
    <cellStyle name="40 % - Markeringsfarve1 5 5" xfId="5624" xr:uid="{00000000-0005-0000-0000-000044390000}"/>
    <cellStyle name="40 % - Markeringsfarve1 5 5 2" xfId="5625" xr:uid="{00000000-0005-0000-0000-000045390000}"/>
    <cellStyle name="40 % - Markeringsfarve1 5 5 2 2" xfId="5626" xr:uid="{00000000-0005-0000-0000-000046390000}"/>
    <cellStyle name="40 % - Markeringsfarve1 5 5 2 2 2" xfId="10270" xr:uid="{00000000-0005-0000-0000-000047390000}"/>
    <cellStyle name="40 % - Markeringsfarve1 5 5 2 2 2 2" xfId="18171" xr:uid="{00000000-0005-0000-0000-000048390000}"/>
    <cellStyle name="40 % - Markeringsfarve1 5 5 2 2 2 2 2" xfId="36331" xr:uid="{00000000-0005-0000-0000-000049390000}"/>
    <cellStyle name="40 % - Markeringsfarve1 5 5 2 2 2 3" xfId="29330" xr:uid="{00000000-0005-0000-0000-00004A390000}"/>
    <cellStyle name="40 % - Markeringsfarve1 5 5 2 2 3" xfId="14180" xr:uid="{00000000-0005-0000-0000-00004B390000}"/>
    <cellStyle name="40 % - Markeringsfarve1 5 5 2 2 3 2" xfId="32346" xr:uid="{00000000-0005-0000-0000-00004C390000}"/>
    <cellStyle name="40 % - Markeringsfarve1 5 5 2 2 4" xfId="25344" xr:uid="{00000000-0005-0000-0000-00004D390000}"/>
    <cellStyle name="40 % - Markeringsfarve1 5 5 2 3" xfId="8787" xr:uid="{00000000-0005-0000-0000-00004E390000}"/>
    <cellStyle name="40 % - Markeringsfarve1 5 5 2 3 2" xfId="16701" xr:uid="{00000000-0005-0000-0000-00004F390000}"/>
    <cellStyle name="40 % - Markeringsfarve1 5 5 2 3 2 2" xfId="34861" xr:uid="{00000000-0005-0000-0000-000050390000}"/>
    <cellStyle name="40 % - Markeringsfarve1 5 5 2 3 3" xfId="27860" xr:uid="{00000000-0005-0000-0000-000051390000}"/>
    <cellStyle name="40 % - Markeringsfarve1 5 5 2 4" xfId="14179" xr:uid="{00000000-0005-0000-0000-000052390000}"/>
    <cellStyle name="40 % - Markeringsfarve1 5 5 2 4 2" xfId="32345" xr:uid="{00000000-0005-0000-0000-000053390000}"/>
    <cellStyle name="40 % - Markeringsfarve1 5 5 2 5" xfId="25343" xr:uid="{00000000-0005-0000-0000-000054390000}"/>
    <cellStyle name="40 % - Markeringsfarve1 5 5 3" xfId="5627" xr:uid="{00000000-0005-0000-0000-000055390000}"/>
    <cellStyle name="40 % - Markeringsfarve1 5 5 3 2" xfId="9546" xr:uid="{00000000-0005-0000-0000-000056390000}"/>
    <cellStyle name="40 % - Markeringsfarve1 5 5 3 2 2" xfId="17456" xr:uid="{00000000-0005-0000-0000-000057390000}"/>
    <cellStyle name="40 % - Markeringsfarve1 5 5 3 2 2 2" xfId="35616" xr:uid="{00000000-0005-0000-0000-000058390000}"/>
    <cellStyle name="40 % - Markeringsfarve1 5 5 3 2 3" xfId="28615" xr:uid="{00000000-0005-0000-0000-000059390000}"/>
    <cellStyle name="40 % - Markeringsfarve1 5 5 3 3" xfId="14181" xr:uid="{00000000-0005-0000-0000-00005A390000}"/>
    <cellStyle name="40 % - Markeringsfarve1 5 5 3 3 2" xfId="32347" xr:uid="{00000000-0005-0000-0000-00005B390000}"/>
    <cellStyle name="40 % - Markeringsfarve1 5 5 3 4" xfId="25345" xr:uid="{00000000-0005-0000-0000-00005C390000}"/>
    <cellStyle name="40 % - Markeringsfarve1 5 5 4" xfId="5628" xr:uid="{00000000-0005-0000-0000-00005D390000}"/>
    <cellStyle name="40 % - Markeringsfarve1 5 5 4 2" xfId="8932" xr:uid="{00000000-0005-0000-0000-00005E390000}"/>
    <cellStyle name="40 % - Markeringsfarve1 5 5 4 2 2" xfId="16845" xr:uid="{00000000-0005-0000-0000-00005F390000}"/>
    <cellStyle name="40 % - Markeringsfarve1 5 5 4 2 2 2" xfId="35005" xr:uid="{00000000-0005-0000-0000-000060390000}"/>
    <cellStyle name="40 % - Markeringsfarve1 5 5 4 2 3" xfId="28004" xr:uid="{00000000-0005-0000-0000-000061390000}"/>
    <cellStyle name="40 % - Markeringsfarve1 5 5 4 3" xfId="14182" xr:uid="{00000000-0005-0000-0000-000062390000}"/>
    <cellStyle name="40 % - Markeringsfarve1 5 5 4 3 2" xfId="32348" xr:uid="{00000000-0005-0000-0000-000063390000}"/>
    <cellStyle name="40 % - Markeringsfarve1 5 5 4 4" xfId="25346" xr:uid="{00000000-0005-0000-0000-000064390000}"/>
    <cellStyle name="40 % - Markeringsfarve1 5 5 5" xfId="8024" xr:uid="{00000000-0005-0000-0000-000065390000}"/>
    <cellStyle name="40 % - Markeringsfarve1 5 5 5 2" xfId="15942" xr:uid="{00000000-0005-0000-0000-000066390000}"/>
    <cellStyle name="40 % - Markeringsfarve1 5 5 5 2 2" xfId="34102" xr:uid="{00000000-0005-0000-0000-000067390000}"/>
    <cellStyle name="40 % - Markeringsfarve1 5 5 5 3" xfId="27101" xr:uid="{00000000-0005-0000-0000-000068390000}"/>
    <cellStyle name="40 % - Markeringsfarve1 5 5 6" xfId="14178" xr:uid="{00000000-0005-0000-0000-000069390000}"/>
    <cellStyle name="40 % - Markeringsfarve1 5 5 6 2" xfId="32344" xr:uid="{00000000-0005-0000-0000-00006A390000}"/>
    <cellStyle name="40 % - Markeringsfarve1 5 5 7" xfId="25342" xr:uid="{00000000-0005-0000-0000-00006B390000}"/>
    <cellStyle name="40 % - Markeringsfarve1 5 6" xfId="5629" xr:uid="{00000000-0005-0000-0000-00006C390000}"/>
    <cellStyle name="40 % - Markeringsfarve1 5 6 2" xfId="5630" xr:uid="{00000000-0005-0000-0000-00006D390000}"/>
    <cellStyle name="40 % - Markeringsfarve1 5 6 2 2" xfId="5631" xr:uid="{00000000-0005-0000-0000-00006E390000}"/>
    <cellStyle name="40 % - Markeringsfarve1 5 6 2 2 2" xfId="10370" xr:uid="{00000000-0005-0000-0000-00006F390000}"/>
    <cellStyle name="40 % - Markeringsfarve1 5 6 2 2 2 2" xfId="18271" xr:uid="{00000000-0005-0000-0000-000070390000}"/>
    <cellStyle name="40 % - Markeringsfarve1 5 6 2 2 2 2 2" xfId="36431" xr:uid="{00000000-0005-0000-0000-000071390000}"/>
    <cellStyle name="40 % - Markeringsfarve1 5 6 2 2 2 3" xfId="29430" xr:uid="{00000000-0005-0000-0000-000072390000}"/>
    <cellStyle name="40 % - Markeringsfarve1 5 6 2 2 3" xfId="14185" xr:uid="{00000000-0005-0000-0000-000073390000}"/>
    <cellStyle name="40 % - Markeringsfarve1 5 6 2 2 3 2" xfId="32351" xr:uid="{00000000-0005-0000-0000-000074390000}"/>
    <cellStyle name="40 % - Markeringsfarve1 5 6 2 2 4" xfId="25349" xr:uid="{00000000-0005-0000-0000-000075390000}"/>
    <cellStyle name="40 % - Markeringsfarve1 5 6 2 3" xfId="8872" xr:uid="{00000000-0005-0000-0000-000076390000}"/>
    <cellStyle name="40 % - Markeringsfarve1 5 6 2 3 2" xfId="16786" xr:uid="{00000000-0005-0000-0000-000077390000}"/>
    <cellStyle name="40 % - Markeringsfarve1 5 6 2 3 2 2" xfId="34946" xr:uid="{00000000-0005-0000-0000-000078390000}"/>
    <cellStyle name="40 % - Markeringsfarve1 5 6 2 3 3" xfId="27945" xr:uid="{00000000-0005-0000-0000-000079390000}"/>
    <cellStyle name="40 % - Markeringsfarve1 5 6 2 4" xfId="14184" xr:uid="{00000000-0005-0000-0000-00007A390000}"/>
    <cellStyle name="40 % - Markeringsfarve1 5 6 2 4 2" xfId="32350" xr:uid="{00000000-0005-0000-0000-00007B390000}"/>
    <cellStyle name="40 % - Markeringsfarve1 5 6 2 5" xfId="25348" xr:uid="{00000000-0005-0000-0000-00007C390000}"/>
    <cellStyle name="40 % - Markeringsfarve1 5 6 3" xfId="5632" xr:uid="{00000000-0005-0000-0000-00007D390000}"/>
    <cellStyle name="40 % - Markeringsfarve1 5 6 3 2" xfId="9647" xr:uid="{00000000-0005-0000-0000-00007E390000}"/>
    <cellStyle name="40 % - Markeringsfarve1 5 6 3 2 2" xfId="17557" xr:uid="{00000000-0005-0000-0000-00007F390000}"/>
    <cellStyle name="40 % - Markeringsfarve1 5 6 3 2 2 2" xfId="35717" xr:uid="{00000000-0005-0000-0000-000080390000}"/>
    <cellStyle name="40 % - Markeringsfarve1 5 6 3 2 3" xfId="28716" xr:uid="{00000000-0005-0000-0000-000081390000}"/>
    <cellStyle name="40 % - Markeringsfarve1 5 6 3 3" xfId="14186" xr:uid="{00000000-0005-0000-0000-000082390000}"/>
    <cellStyle name="40 % - Markeringsfarve1 5 6 3 3 2" xfId="32352" xr:uid="{00000000-0005-0000-0000-000083390000}"/>
    <cellStyle name="40 % - Markeringsfarve1 5 6 3 4" xfId="25350" xr:uid="{00000000-0005-0000-0000-000084390000}"/>
    <cellStyle name="40 % - Markeringsfarve1 5 6 4" xfId="5633" xr:uid="{00000000-0005-0000-0000-000085390000}"/>
    <cellStyle name="40 % - Markeringsfarve1 5 6 4 2" xfId="10933" xr:uid="{00000000-0005-0000-0000-000086390000}"/>
    <cellStyle name="40 % - Markeringsfarve1 5 6 4 2 2" xfId="18813" xr:uid="{00000000-0005-0000-0000-000087390000}"/>
    <cellStyle name="40 % - Markeringsfarve1 5 6 4 2 2 2" xfId="36973" xr:uid="{00000000-0005-0000-0000-000088390000}"/>
    <cellStyle name="40 % - Markeringsfarve1 5 6 4 2 3" xfId="29972" xr:uid="{00000000-0005-0000-0000-000089390000}"/>
    <cellStyle name="40 % - Markeringsfarve1 5 6 4 3" xfId="14187" xr:uid="{00000000-0005-0000-0000-00008A390000}"/>
    <cellStyle name="40 % - Markeringsfarve1 5 6 4 3 2" xfId="32353" xr:uid="{00000000-0005-0000-0000-00008B390000}"/>
    <cellStyle name="40 % - Markeringsfarve1 5 6 4 4" xfId="25351" xr:uid="{00000000-0005-0000-0000-00008C390000}"/>
    <cellStyle name="40 % - Markeringsfarve1 5 6 5" xfId="8025" xr:uid="{00000000-0005-0000-0000-00008D390000}"/>
    <cellStyle name="40 % - Markeringsfarve1 5 6 5 2" xfId="15943" xr:uid="{00000000-0005-0000-0000-00008E390000}"/>
    <cellStyle name="40 % - Markeringsfarve1 5 6 5 2 2" xfId="34103" xr:uid="{00000000-0005-0000-0000-00008F390000}"/>
    <cellStyle name="40 % - Markeringsfarve1 5 6 5 3" xfId="27102" xr:uid="{00000000-0005-0000-0000-000090390000}"/>
    <cellStyle name="40 % - Markeringsfarve1 5 6 6" xfId="14183" xr:uid="{00000000-0005-0000-0000-000091390000}"/>
    <cellStyle name="40 % - Markeringsfarve1 5 6 6 2" xfId="32349" xr:uid="{00000000-0005-0000-0000-000092390000}"/>
    <cellStyle name="40 % - Markeringsfarve1 5 6 7" xfId="25347" xr:uid="{00000000-0005-0000-0000-000093390000}"/>
    <cellStyle name="40 % - Markeringsfarve1 5 7" xfId="5634" xr:uid="{00000000-0005-0000-0000-000094390000}"/>
    <cellStyle name="40 % - Markeringsfarve1 5 7 2" xfId="5635" xr:uid="{00000000-0005-0000-0000-000095390000}"/>
    <cellStyle name="40 % - Markeringsfarve1 5 7 2 2" xfId="9796" xr:uid="{00000000-0005-0000-0000-000096390000}"/>
    <cellStyle name="40 % - Markeringsfarve1 5 7 2 2 2" xfId="17697" xr:uid="{00000000-0005-0000-0000-000097390000}"/>
    <cellStyle name="40 % - Markeringsfarve1 5 7 2 2 2 2" xfId="35857" xr:uid="{00000000-0005-0000-0000-000098390000}"/>
    <cellStyle name="40 % - Markeringsfarve1 5 7 2 2 3" xfId="28856" xr:uid="{00000000-0005-0000-0000-000099390000}"/>
    <cellStyle name="40 % - Markeringsfarve1 5 7 2 3" xfId="14189" xr:uid="{00000000-0005-0000-0000-00009A390000}"/>
    <cellStyle name="40 % - Markeringsfarve1 5 7 2 3 2" xfId="32355" xr:uid="{00000000-0005-0000-0000-00009B390000}"/>
    <cellStyle name="40 % - Markeringsfarve1 5 7 2 4" xfId="25353" xr:uid="{00000000-0005-0000-0000-00009C390000}"/>
    <cellStyle name="40 % - Markeringsfarve1 5 7 3" xfId="8387" xr:uid="{00000000-0005-0000-0000-00009D390000}"/>
    <cellStyle name="40 % - Markeringsfarve1 5 7 3 2" xfId="16304" xr:uid="{00000000-0005-0000-0000-00009E390000}"/>
    <cellStyle name="40 % - Markeringsfarve1 5 7 3 2 2" xfId="34464" xr:uid="{00000000-0005-0000-0000-00009F390000}"/>
    <cellStyle name="40 % - Markeringsfarve1 5 7 3 3" xfId="27463" xr:uid="{00000000-0005-0000-0000-0000A0390000}"/>
    <cellStyle name="40 % - Markeringsfarve1 5 7 4" xfId="14188" xr:uid="{00000000-0005-0000-0000-0000A1390000}"/>
    <cellStyle name="40 % - Markeringsfarve1 5 7 4 2" xfId="32354" xr:uid="{00000000-0005-0000-0000-0000A2390000}"/>
    <cellStyle name="40 % - Markeringsfarve1 5 7 5" xfId="25352" xr:uid="{00000000-0005-0000-0000-0000A3390000}"/>
    <cellStyle name="40 % - Markeringsfarve1 5 8" xfId="5636" xr:uid="{00000000-0005-0000-0000-0000A4390000}"/>
    <cellStyle name="40 % - Markeringsfarve1 5 8 2" xfId="9024" xr:uid="{00000000-0005-0000-0000-0000A5390000}"/>
    <cellStyle name="40 % - Markeringsfarve1 5 8 2 2" xfId="16935" xr:uid="{00000000-0005-0000-0000-0000A6390000}"/>
    <cellStyle name="40 % - Markeringsfarve1 5 8 2 2 2" xfId="35095" xr:uid="{00000000-0005-0000-0000-0000A7390000}"/>
    <cellStyle name="40 % - Markeringsfarve1 5 8 2 3" xfId="28094" xr:uid="{00000000-0005-0000-0000-0000A8390000}"/>
    <cellStyle name="40 % - Markeringsfarve1 5 8 3" xfId="14190" xr:uid="{00000000-0005-0000-0000-0000A9390000}"/>
    <cellStyle name="40 % - Markeringsfarve1 5 8 3 2" xfId="32356" xr:uid="{00000000-0005-0000-0000-0000AA390000}"/>
    <cellStyle name="40 % - Markeringsfarve1 5 8 4" xfId="25354" xr:uid="{00000000-0005-0000-0000-0000AB390000}"/>
    <cellStyle name="40 % - Markeringsfarve1 5 9" xfId="5637" xr:uid="{00000000-0005-0000-0000-0000AC390000}"/>
    <cellStyle name="40 % - Markeringsfarve1 5 9 2" xfId="8921" xr:uid="{00000000-0005-0000-0000-0000AD390000}"/>
    <cellStyle name="40 % - Markeringsfarve1 5 9 2 2" xfId="16834" xr:uid="{00000000-0005-0000-0000-0000AE390000}"/>
    <cellStyle name="40 % - Markeringsfarve1 5 9 2 2 2" xfId="34994" xr:uid="{00000000-0005-0000-0000-0000AF390000}"/>
    <cellStyle name="40 % - Markeringsfarve1 5 9 2 3" xfId="27993" xr:uid="{00000000-0005-0000-0000-0000B0390000}"/>
    <cellStyle name="40 % - Markeringsfarve1 5 9 3" xfId="14191" xr:uid="{00000000-0005-0000-0000-0000B1390000}"/>
    <cellStyle name="40 % - Markeringsfarve1 5 9 3 2" xfId="32357" xr:uid="{00000000-0005-0000-0000-0000B2390000}"/>
    <cellStyle name="40 % - Markeringsfarve1 5 9 4" xfId="25355" xr:uid="{00000000-0005-0000-0000-0000B3390000}"/>
    <cellStyle name="40 % - Markeringsfarve1 6" xfId="1879" xr:uid="{00000000-0005-0000-0000-0000B4390000}"/>
    <cellStyle name="40 % - Markeringsfarve1 6 2" xfId="1880" xr:uid="{00000000-0005-0000-0000-0000B5390000}"/>
    <cellStyle name="40 % - Markeringsfarve1 6 2 2" xfId="5640" xr:uid="{00000000-0005-0000-0000-0000B6390000}"/>
    <cellStyle name="40 % - Markeringsfarve1 6 2 2 2" xfId="9837" xr:uid="{00000000-0005-0000-0000-0000B7390000}"/>
    <cellStyle name="40 % - Markeringsfarve1 6 2 2 2 2" xfId="17738" xr:uid="{00000000-0005-0000-0000-0000B8390000}"/>
    <cellStyle name="40 % - Markeringsfarve1 6 2 2 2 2 2" xfId="35898" xr:uid="{00000000-0005-0000-0000-0000B9390000}"/>
    <cellStyle name="40 % - Markeringsfarve1 6 2 2 2 3" xfId="28897" xr:uid="{00000000-0005-0000-0000-0000BA390000}"/>
    <cellStyle name="40 % - Markeringsfarve1 6 2 2 3" xfId="14194" xr:uid="{00000000-0005-0000-0000-0000BB390000}"/>
    <cellStyle name="40 % - Markeringsfarve1 6 2 2 3 2" xfId="32360" xr:uid="{00000000-0005-0000-0000-0000BC390000}"/>
    <cellStyle name="40 % - Markeringsfarve1 6 2 2 4" xfId="25358" xr:uid="{00000000-0005-0000-0000-0000BD390000}"/>
    <cellStyle name="40 % - Markeringsfarve1 6 2 3" xfId="8420" xr:uid="{00000000-0005-0000-0000-0000BE390000}"/>
    <cellStyle name="40 % - Markeringsfarve1 6 2 3 2" xfId="16337" xr:uid="{00000000-0005-0000-0000-0000BF390000}"/>
    <cellStyle name="40 % - Markeringsfarve1 6 2 3 2 2" xfId="34497" xr:uid="{00000000-0005-0000-0000-0000C0390000}"/>
    <cellStyle name="40 % - Markeringsfarve1 6 2 3 3" xfId="27496" xr:uid="{00000000-0005-0000-0000-0000C1390000}"/>
    <cellStyle name="40 % - Markeringsfarve1 6 2 4" xfId="14193" xr:uid="{00000000-0005-0000-0000-0000C2390000}"/>
    <cellStyle name="40 % - Markeringsfarve1 6 2 4 2" xfId="32359" xr:uid="{00000000-0005-0000-0000-0000C3390000}"/>
    <cellStyle name="40 % - Markeringsfarve1 6 2 5" xfId="5639" xr:uid="{00000000-0005-0000-0000-0000C4390000}"/>
    <cellStyle name="40 % - Markeringsfarve1 6 2 5 2" xfId="25357" xr:uid="{00000000-0005-0000-0000-0000C5390000}"/>
    <cellStyle name="40 % - Markeringsfarve1 6 2 6" xfId="21998" xr:uid="{00000000-0005-0000-0000-0000C6390000}"/>
    <cellStyle name="40 % - Markeringsfarve1 6 3" xfId="5641" xr:uid="{00000000-0005-0000-0000-0000C7390000}"/>
    <cellStyle name="40 % - Markeringsfarve1 6 3 2" xfId="9067" xr:uid="{00000000-0005-0000-0000-0000C8390000}"/>
    <cellStyle name="40 % - Markeringsfarve1 6 3 2 2" xfId="16978" xr:uid="{00000000-0005-0000-0000-0000C9390000}"/>
    <cellStyle name="40 % - Markeringsfarve1 6 3 2 2 2" xfId="35138" xr:uid="{00000000-0005-0000-0000-0000CA390000}"/>
    <cellStyle name="40 % - Markeringsfarve1 6 3 2 3" xfId="28137" xr:uid="{00000000-0005-0000-0000-0000CB390000}"/>
    <cellStyle name="40 % - Markeringsfarve1 6 3 3" xfId="14195" xr:uid="{00000000-0005-0000-0000-0000CC390000}"/>
    <cellStyle name="40 % - Markeringsfarve1 6 3 3 2" xfId="32361" xr:uid="{00000000-0005-0000-0000-0000CD390000}"/>
    <cellStyle name="40 % - Markeringsfarve1 6 3 4" xfId="25359" xr:uid="{00000000-0005-0000-0000-0000CE390000}"/>
    <cellStyle name="40 % - Markeringsfarve1 6 4" xfId="5642" xr:uid="{00000000-0005-0000-0000-0000CF390000}"/>
    <cellStyle name="40 % - Markeringsfarve1 6 4 2" xfId="10658" xr:uid="{00000000-0005-0000-0000-0000D0390000}"/>
    <cellStyle name="40 % - Markeringsfarve1 6 4 2 2" xfId="18550" xr:uid="{00000000-0005-0000-0000-0000D1390000}"/>
    <cellStyle name="40 % - Markeringsfarve1 6 4 2 2 2" xfId="36710" xr:uid="{00000000-0005-0000-0000-0000D2390000}"/>
    <cellStyle name="40 % - Markeringsfarve1 6 4 2 3" xfId="29709" xr:uid="{00000000-0005-0000-0000-0000D3390000}"/>
    <cellStyle name="40 % - Markeringsfarve1 6 4 3" xfId="14196" xr:uid="{00000000-0005-0000-0000-0000D4390000}"/>
    <cellStyle name="40 % - Markeringsfarve1 6 4 3 2" xfId="32362" xr:uid="{00000000-0005-0000-0000-0000D5390000}"/>
    <cellStyle name="40 % - Markeringsfarve1 6 4 4" xfId="25360" xr:uid="{00000000-0005-0000-0000-0000D6390000}"/>
    <cellStyle name="40 % - Markeringsfarve1 6 5" xfId="8026" xr:uid="{00000000-0005-0000-0000-0000D7390000}"/>
    <cellStyle name="40 % - Markeringsfarve1 6 5 2" xfId="15944" xr:uid="{00000000-0005-0000-0000-0000D8390000}"/>
    <cellStyle name="40 % - Markeringsfarve1 6 5 2 2" xfId="34104" xr:uid="{00000000-0005-0000-0000-0000D9390000}"/>
    <cellStyle name="40 % - Markeringsfarve1 6 5 3" xfId="27103" xr:uid="{00000000-0005-0000-0000-0000DA390000}"/>
    <cellStyle name="40 % - Markeringsfarve1 6 6" xfId="14192" xr:uid="{00000000-0005-0000-0000-0000DB390000}"/>
    <cellStyle name="40 % - Markeringsfarve1 6 6 2" xfId="32358" xr:uid="{00000000-0005-0000-0000-0000DC390000}"/>
    <cellStyle name="40 % - Markeringsfarve1 6 7" xfId="5638" xr:uid="{00000000-0005-0000-0000-0000DD390000}"/>
    <cellStyle name="40 % - Markeringsfarve1 6 7 2" xfId="25356" xr:uid="{00000000-0005-0000-0000-0000DE390000}"/>
    <cellStyle name="40 % - Markeringsfarve1 6 8" xfId="21997" xr:uid="{00000000-0005-0000-0000-0000DF390000}"/>
    <cellStyle name="40 % - Markeringsfarve1 7" xfId="1881" xr:uid="{00000000-0005-0000-0000-0000E0390000}"/>
    <cellStyle name="40 % - Markeringsfarve1 7 2" xfId="5644" xr:uid="{00000000-0005-0000-0000-0000E1390000}"/>
    <cellStyle name="40 % - Markeringsfarve1 7 2 2" xfId="5645" xr:uid="{00000000-0005-0000-0000-0000E2390000}"/>
    <cellStyle name="40 % - Markeringsfarve1 7 2 2 2" xfId="10008" xr:uid="{00000000-0005-0000-0000-0000E3390000}"/>
    <cellStyle name="40 % - Markeringsfarve1 7 2 2 2 2" xfId="17909" xr:uid="{00000000-0005-0000-0000-0000E4390000}"/>
    <cellStyle name="40 % - Markeringsfarve1 7 2 2 2 2 2" xfId="36069" xr:uid="{00000000-0005-0000-0000-0000E5390000}"/>
    <cellStyle name="40 % - Markeringsfarve1 7 2 2 2 3" xfId="29068" xr:uid="{00000000-0005-0000-0000-0000E6390000}"/>
    <cellStyle name="40 % - Markeringsfarve1 7 2 2 3" xfId="14199" xr:uid="{00000000-0005-0000-0000-0000E7390000}"/>
    <cellStyle name="40 % - Markeringsfarve1 7 2 2 3 2" xfId="32365" xr:uid="{00000000-0005-0000-0000-0000E8390000}"/>
    <cellStyle name="40 % - Markeringsfarve1 7 2 2 4" xfId="25363" xr:uid="{00000000-0005-0000-0000-0000E9390000}"/>
    <cellStyle name="40 % - Markeringsfarve1 7 2 3" xfId="8563" xr:uid="{00000000-0005-0000-0000-0000EA390000}"/>
    <cellStyle name="40 % - Markeringsfarve1 7 2 3 2" xfId="16480" xr:uid="{00000000-0005-0000-0000-0000EB390000}"/>
    <cellStyle name="40 % - Markeringsfarve1 7 2 3 2 2" xfId="34640" xr:uid="{00000000-0005-0000-0000-0000EC390000}"/>
    <cellStyle name="40 % - Markeringsfarve1 7 2 3 3" xfId="27639" xr:uid="{00000000-0005-0000-0000-0000ED390000}"/>
    <cellStyle name="40 % - Markeringsfarve1 7 2 4" xfId="14198" xr:uid="{00000000-0005-0000-0000-0000EE390000}"/>
    <cellStyle name="40 % - Markeringsfarve1 7 2 4 2" xfId="32364" xr:uid="{00000000-0005-0000-0000-0000EF390000}"/>
    <cellStyle name="40 % - Markeringsfarve1 7 2 5" xfId="25362" xr:uid="{00000000-0005-0000-0000-0000F0390000}"/>
    <cellStyle name="40 % - Markeringsfarve1 7 3" xfId="5646" xr:uid="{00000000-0005-0000-0000-0000F1390000}"/>
    <cellStyle name="40 % - Markeringsfarve1 7 3 2" xfId="9238" xr:uid="{00000000-0005-0000-0000-0000F2390000}"/>
    <cellStyle name="40 % - Markeringsfarve1 7 3 2 2" xfId="17149" xr:uid="{00000000-0005-0000-0000-0000F3390000}"/>
    <cellStyle name="40 % - Markeringsfarve1 7 3 2 2 2" xfId="35309" xr:uid="{00000000-0005-0000-0000-0000F4390000}"/>
    <cellStyle name="40 % - Markeringsfarve1 7 3 2 3" xfId="28308" xr:uid="{00000000-0005-0000-0000-0000F5390000}"/>
    <cellStyle name="40 % - Markeringsfarve1 7 3 3" xfId="14200" xr:uid="{00000000-0005-0000-0000-0000F6390000}"/>
    <cellStyle name="40 % - Markeringsfarve1 7 3 3 2" xfId="32366" xr:uid="{00000000-0005-0000-0000-0000F7390000}"/>
    <cellStyle name="40 % - Markeringsfarve1 7 3 4" xfId="25364" xr:uid="{00000000-0005-0000-0000-0000F8390000}"/>
    <cellStyle name="40 % - Markeringsfarve1 7 4" xfId="5647" xr:uid="{00000000-0005-0000-0000-0000F9390000}"/>
    <cellStyle name="40 % - Markeringsfarve1 7 4 2" xfId="10894" xr:uid="{00000000-0005-0000-0000-0000FA390000}"/>
    <cellStyle name="40 % - Markeringsfarve1 7 4 2 2" xfId="18776" xr:uid="{00000000-0005-0000-0000-0000FB390000}"/>
    <cellStyle name="40 % - Markeringsfarve1 7 4 2 2 2" xfId="36936" xr:uid="{00000000-0005-0000-0000-0000FC390000}"/>
    <cellStyle name="40 % - Markeringsfarve1 7 4 2 3" xfId="29935" xr:uid="{00000000-0005-0000-0000-0000FD390000}"/>
    <cellStyle name="40 % - Markeringsfarve1 7 4 3" xfId="14201" xr:uid="{00000000-0005-0000-0000-0000FE390000}"/>
    <cellStyle name="40 % - Markeringsfarve1 7 4 3 2" xfId="32367" xr:uid="{00000000-0005-0000-0000-0000FF390000}"/>
    <cellStyle name="40 % - Markeringsfarve1 7 4 4" xfId="25365" xr:uid="{00000000-0005-0000-0000-0000003A0000}"/>
    <cellStyle name="40 % - Markeringsfarve1 7 5" xfId="8027" xr:uid="{00000000-0005-0000-0000-0000013A0000}"/>
    <cellStyle name="40 % - Markeringsfarve1 7 5 2" xfId="15945" xr:uid="{00000000-0005-0000-0000-0000023A0000}"/>
    <cellStyle name="40 % - Markeringsfarve1 7 5 2 2" xfId="34105" xr:uid="{00000000-0005-0000-0000-0000033A0000}"/>
    <cellStyle name="40 % - Markeringsfarve1 7 5 3" xfId="27104" xr:uid="{00000000-0005-0000-0000-0000043A0000}"/>
    <cellStyle name="40 % - Markeringsfarve1 7 6" xfId="14197" xr:uid="{00000000-0005-0000-0000-0000053A0000}"/>
    <cellStyle name="40 % - Markeringsfarve1 7 6 2" xfId="32363" xr:uid="{00000000-0005-0000-0000-0000063A0000}"/>
    <cellStyle name="40 % - Markeringsfarve1 7 7" xfId="5643" xr:uid="{00000000-0005-0000-0000-0000073A0000}"/>
    <cellStyle name="40 % - Markeringsfarve1 7 7 2" xfId="25361" xr:uid="{00000000-0005-0000-0000-0000083A0000}"/>
    <cellStyle name="40 % - Markeringsfarve1 7 8" xfId="21999" xr:uid="{00000000-0005-0000-0000-0000093A0000}"/>
    <cellStyle name="40 % - Markeringsfarve1 8" xfId="5648" xr:uid="{00000000-0005-0000-0000-00000A3A0000}"/>
    <cellStyle name="40 % - Markeringsfarve1 8 2" xfId="5649" xr:uid="{00000000-0005-0000-0000-00000B3A0000}"/>
    <cellStyle name="40 % - Markeringsfarve1 8 2 2" xfId="5650" xr:uid="{00000000-0005-0000-0000-00000C3A0000}"/>
    <cellStyle name="40 % - Markeringsfarve1 8 2 2 2" xfId="10075" xr:uid="{00000000-0005-0000-0000-00000D3A0000}"/>
    <cellStyle name="40 % - Markeringsfarve1 8 2 2 2 2" xfId="17976" xr:uid="{00000000-0005-0000-0000-00000E3A0000}"/>
    <cellStyle name="40 % - Markeringsfarve1 8 2 2 2 2 2" xfId="36136" xr:uid="{00000000-0005-0000-0000-00000F3A0000}"/>
    <cellStyle name="40 % - Markeringsfarve1 8 2 2 2 3" xfId="29135" xr:uid="{00000000-0005-0000-0000-0000103A0000}"/>
    <cellStyle name="40 % - Markeringsfarve1 8 2 2 3" xfId="14204" xr:uid="{00000000-0005-0000-0000-0000113A0000}"/>
    <cellStyle name="40 % - Markeringsfarve1 8 2 2 3 2" xfId="32370" xr:uid="{00000000-0005-0000-0000-0000123A0000}"/>
    <cellStyle name="40 % - Markeringsfarve1 8 2 2 4" xfId="25368" xr:uid="{00000000-0005-0000-0000-0000133A0000}"/>
    <cellStyle name="40 % - Markeringsfarve1 8 2 3" xfId="8622" xr:uid="{00000000-0005-0000-0000-0000143A0000}"/>
    <cellStyle name="40 % - Markeringsfarve1 8 2 3 2" xfId="16536" xr:uid="{00000000-0005-0000-0000-0000153A0000}"/>
    <cellStyle name="40 % - Markeringsfarve1 8 2 3 2 2" xfId="34696" xr:uid="{00000000-0005-0000-0000-0000163A0000}"/>
    <cellStyle name="40 % - Markeringsfarve1 8 2 3 3" xfId="27695" xr:uid="{00000000-0005-0000-0000-0000173A0000}"/>
    <cellStyle name="40 % - Markeringsfarve1 8 2 4" xfId="14203" xr:uid="{00000000-0005-0000-0000-0000183A0000}"/>
    <cellStyle name="40 % - Markeringsfarve1 8 2 4 2" xfId="32369" xr:uid="{00000000-0005-0000-0000-0000193A0000}"/>
    <cellStyle name="40 % - Markeringsfarve1 8 2 5" xfId="25367" xr:uid="{00000000-0005-0000-0000-00001A3A0000}"/>
    <cellStyle name="40 % - Markeringsfarve1 8 3" xfId="5651" xr:uid="{00000000-0005-0000-0000-00001B3A0000}"/>
    <cellStyle name="40 % - Markeringsfarve1 8 3 2" xfId="9351" xr:uid="{00000000-0005-0000-0000-00001C3A0000}"/>
    <cellStyle name="40 % - Markeringsfarve1 8 3 2 2" xfId="17261" xr:uid="{00000000-0005-0000-0000-00001D3A0000}"/>
    <cellStyle name="40 % - Markeringsfarve1 8 3 2 2 2" xfId="35421" xr:uid="{00000000-0005-0000-0000-00001E3A0000}"/>
    <cellStyle name="40 % - Markeringsfarve1 8 3 2 3" xfId="28420" xr:uid="{00000000-0005-0000-0000-00001F3A0000}"/>
    <cellStyle name="40 % - Markeringsfarve1 8 3 3" xfId="14205" xr:uid="{00000000-0005-0000-0000-0000203A0000}"/>
    <cellStyle name="40 % - Markeringsfarve1 8 3 3 2" xfId="32371" xr:uid="{00000000-0005-0000-0000-0000213A0000}"/>
    <cellStyle name="40 % - Markeringsfarve1 8 3 4" xfId="25369" xr:uid="{00000000-0005-0000-0000-0000223A0000}"/>
    <cellStyle name="40 % - Markeringsfarve1 8 4" xfId="5652" xr:uid="{00000000-0005-0000-0000-0000233A0000}"/>
    <cellStyle name="40 % - Markeringsfarve1 8 4 2" xfId="10616" xr:uid="{00000000-0005-0000-0000-0000243A0000}"/>
    <cellStyle name="40 % - Markeringsfarve1 8 4 2 2" xfId="18509" xr:uid="{00000000-0005-0000-0000-0000253A0000}"/>
    <cellStyle name="40 % - Markeringsfarve1 8 4 2 2 2" xfId="36669" xr:uid="{00000000-0005-0000-0000-0000263A0000}"/>
    <cellStyle name="40 % - Markeringsfarve1 8 4 2 3" xfId="29668" xr:uid="{00000000-0005-0000-0000-0000273A0000}"/>
    <cellStyle name="40 % - Markeringsfarve1 8 4 3" xfId="14206" xr:uid="{00000000-0005-0000-0000-0000283A0000}"/>
    <cellStyle name="40 % - Markeringsfarve1 8 4 3 2" xfId="32372" xr:uid="{00000000-0005-0000-0000-0000293A0000}"/>
    <cellStyle name="40 % - Markeringsfarve1 8 4 4" xfId="25370" xr:uid="{00000000-0005-0000-0000-00002A3A0000}"/>
    <cellStyle name="40 % - Markeringsfarve1 8 5" xfId="8028" xr:uid="{00000000-0005-0000-0000-00002B3A0000}"/>
    <cellStyle name="40 % - Markeringsfarve1 8 5 2" xfId="15946" xr:uid="{00000000-0005-0000-0000-00002C3A0000}"/>
    <cellStyle name="40 % - Markeringsfarve1 8 5 2 2" xfId="34106" xr:uid="{00000000-0005-0000-0000-00002D3A0000}"/>
    <cellStyle name="40 % - Markeringsfarve1 8 5 3" xfId="27105" xr:uid="{00000000-0005-0000-0000-00002E3A0000}"/>
    <cellStyle name="40 % - Markeringsfarve1 8 6" xfId="14202" xr:uid="{00000000-0005-0000-0000-00002F3A0000}"/>
    <cellStyle name="40 % - Markeringsfarve1 8 6 2" xfId="32368" xr:uid="{00000000-0005-0000-0000-0000303A0000}"/>
    <cellStyle name="40 % - Markeringsfarve1 8 7" xfId="25366" xr:uid="{00000000-0005-0000-0000-0000313A0000}"/>
    <cellStyle name="40 % - Markeringsfarve1 9" xfId="5653" xr:uid="{00000000-0005-0000-0000-0000323A0000}"/>
    <cellStyle name="40 % - Markeringsfarve1 9 2" xfId="5654" xr:uid="{00000000-0005-0000-0000-0000333A0000}"/>
    <cellStyle name="40 % - Markeringsfarve1 9 2 2" xfId="5655" xr:uid="{00000000-0005-0000-0000-0000343A0000}"/>
    <cellStyle name="40 % - Markeringsfarve1 9 2 2 2" xfId="10192" xr:uid="{00000000-0005-0000-0000-0000353A0000}"/>
    <cellStyle name="40 % - Markeringsfarve1 9 2 2 2 2" xfId="18093" xr:uid="{00000000-0005-0000-0000-0000363A0000}"/>
    <cellStyle name="40 % - Markeringsfarve1 9 2 2 2 2 2" xfId="36253" xr:uid="{00000000-0005-0000-0000-0000373A0000}"/>
    <cellStyle name="40 % - Markeringsfarve1 9 2 2 2 3" xfId="29252" xr:uid="{00000000-0005-0000-0000-0000383A0000}"/>
    <cellStyle name="40 % - Markeringsfarve1 9 2 2 3" xfId="14209" xr:uid="{00000000-0005-0000-0000-0000393A0000}"/>
    <cellStyle name="40 % - Markeringsfarve1 9 2 2 3 2" xfId="32375" xr:uid="{00000000-0005-0000-0000-00003A3A0000}"/>
    <cellStyle name="40 % - Markeringsfarve1 9 2 2 4" xfId="25373" xr:uid="{00000000-0005-0000-0000-00003B3A0000}"/>
    <cellStyle name="40 % - Markeringsfarve1 9 2 3" xfId="8721" xr:uid="{00000000-0005-0000-0000-00003C3A0000}"/>
    <cellStyle name="40 % - Markeringsfarve1 9 2 3 2" xfId="16635" xr:uid="{00000000-0005-0000-0000-00003D3A0000}"/>
    <cellStyle name="40 % - Markeringsfarve1 9 2 3 2 2" xfId="34795" xr:uid="{00000000-0005-0000-0000-00003E3A0000}"/>
    <cellStyle name="40 % - Markeringsfarve1 9 2 3 3" xfId="27794" xr:uid="{00000000-0005-0000-0000-00003F3A0000}"/>
    <cellStyle name="40 % - Markeringsfarve1 9 2 4" xfId="14208" xr:uid="{00000000-0005-0000-0000-0000403A0000}"/>
    <cellStyle name="40 % - Markeringsfarve1 9 2 4 2" xfId="32374" xr:uid="{00000000-0005-0000-0000-0000413A0000}"/>
    <cellStyle name="40 % - Markeringsfarve1 9 2 5" xfId="25372" xr:uid="{00000000-0005-0000-0000-0000423A0000}"/>
    <cellStyle name="40 % - Markeringsfarve1 9 3" xfId="5656" xr:uid="{00000000-0005-0000-0000-0000433A0000}"/>
    <cellStyle name="40 % - Markeringsfarve1 9 3 2" xfId="9468" xr:uid="{00000000-0005-0000-0000-0000443A0000}"/>
    <cellStyle name="40 % - Markeringsfarve1 9 3 2 2" xfId="17378" xr:uid="{00000000-0005-0000-0000-0000453A0000}"/>
    <cellStyle name="40 % - Markeringsfarve1 9 3 2 2 2" xfId="35538" xr:uid="{00000000-0005-0000-0000-0000463A0000}"/>
    <cellStyle name="40 % - Markeringsfarve1 9 3 2 3" xfId="28537" xr:uid="{00000000-0005-0000-0000-0000473A0000}"/>
    <cellStyle name="40 % - Markeringsfarve1 9 3 3" xfId="14210" xr:uid="{00000000-0005-0000-0000-0000483A0000}"/>
    <cellStyle name="40 % - Markeringsfarve1 9 3 3 2" xfId="32376" xr:uid="{00000000-0005-0000-0000-0000493A0000}"/>
    <cellStyle name="40 % - Markeringsfarve1 9 3 4" xfId="25374" xr:uid="{00000000-0005-0000-0000-00004A3A0000}"/>
    <cellStyle name="40 % - Markeringsfarve1 9 4" xfId="5657" xr:uid="{00000000-0005-0000-0000-00004B3A0000}"/>
    <cellStyle name="40 % - Markeringsfarve1 9 4 2" xfId="10865" xr:uid="{00000000-0005-0000-0000-00004C3A0000}"/>
    <cellStyle name="40 % - Markeringsfarve1 9 4 2 2" xfId="18748" xr:uid="{00000000-0005-0000-0000-00004D3A0000}"/>
    <cellStyle name="40 % - Markeringsfarve1 9 4 2 2 2" xfId="36908" xr:uid="{00000000-0005-0000-0000-00004E3A0000}"/>
    <cellStyle name="40 % - Markeringsfarve1 9 4 2 3" xfId="29907" xr:uid="{00000000-0005-0000-0000-00004F3A0000}"/>
    <cellStyle name="40 % - Markeringsfarve1 9 4 3" xfId="14211" xr:uid="{00000000-0005-0000-0000-0000503A0000}"/>
    <cellStyle name="40 % - Markeringsfarve1 9 4 3 2" xfId="32377" xr:uid="{00000000-0005-0000-0000-0000513A0000}"/>
    <cellStyle name="40 % - Markeringsfarve1 9 4 4" xfId="25375" xr:uid="{00000000-0005-0000-0000-0000523A0000}"/>
    <cellStyle name="40 % - Markeringsfarve1 9 5" xfId="8029" xr:uid="{00000000-0005-0000-0000-0000533A0000}"/>
    <cellStyle name="40 % - Markeringsfarve1 9 5 2" xfId="15947" xr:uid="{00000000-0005-0000-0000-0000543A0000}"/>
    <cellStyle name="40 % - Markeringsfarve1 9 5 2 2" xfId="34107" xr:uid="{00000000-0005-0000-0000-0000553A0000}"/>
    <cellStyle name="40 % - Markeringsfarve1 9 5 3" xfId="27106" xr:uid="{00000000-0005-0000-0000-0000563A0000}"/>
    <cellStyle name="40 % - Markeringsfarve1 9 6" xfId="14207" xr:uid="{00000000-0005-0000-0000-0000573A0000}"/>
    <cellStyle name="40 % - Markeringsfarve1 9 6 2" xfId="32373" xr:uid="{00000000-0005-0000-0000-0000583A0000}"/>
    <cellStyle name="40 % - Markeringsfarve1 9 7" xfId="25371" xr:uid="{00000000-0005-0000-0000-0000593A0000}"/>
    <cellStyle name="40 % - Markeringsfarve2 10" xfId="5658" xr:uid="{00000000-0005-0000-0000-00005A3A0000}"/>
    <cellStyle name="40 % - Markeringsfarve2 10 2" xfId="5659" xr:uid="{00000000-0005-0000-0000-00005B3A0000}"/>
    <cellStyle name="40 % - Markeringsfarve2 10 2 2" xfId="10371" xr:uid="{00000000-0005-0000-0000-00005C3A0000}"/>
    <cellStyle name="40 % - Markeringsfarve2 10 2 2 2" xfId="18272" xr:uid="{00000000-0005-0000-0000-00005D3A0000}"/>
    <cellStyle name="40 % - Markeringsfarve2 10 2 2 2 2" xfId="36432" xr:uid="{00000000-0005-0000-0000-00005E3A0000}"/>
    <cellStyle name="40 % - Markeringsfarve2 10 2 2 3" xfId="29431" xr:uid="{00000000-0005-0000-0000-00005F3A0000}"/>
    <cellStyle name="40 % - Markeringsfarve2 10 2 3" xfId="14213" xr:uid="{00000000-0005-0000-0000-0000603A0000}"/>
    <cellStyle name="40 % - Markeringsfarve2 10 2 3 2" xfId="32379" xr:uid="{00000000-0005-0000-0000-0000613A0000}"/>
    <cellStyle name="40 % - Markeringsfarve2 10 2 4" xfId="25377" xr:uid="{00000000-0005-0000-0000-0000623A0000}"/>
    <cellStyle name="40 % - Markeringsfarve2 10 3" xfId="5660" xr:uid="{00000000-0005-0000-0000-0000633A0000}"/>
    <cellStyle name="40 % - Markeringsfarve2 10 3 2" xfId="9648" xr:uid="{00000000-0005-0000-0000-0000643A0000}"/>
    <cellStyle name="40 % - Markeringsfarve2 10 3 2 2" xfId="17558" xr:uid="{00000000-0005-0000-0000-0000653A0000}"/>
    <cellStyle name="40 % - Markeringsfarve2 10 3 2 2 2" xfId="35718" xr:uid="{00000000-0005-0000-0000-0000663A0000}"/>
    <cellStyle name="40 % - Markeringsfarve2 10 3 2 3" xfId="28717" xr:uid="{00000000-0005-0000-0000-0000673A0000}"/>
    <cellStyle name="40 % - Markeringsfarve2 10 3 3" xfId="14214" xr:uid="{00000000-0005-0000-0000-0000683A0000}"/>
    <cellStyle name="40 % - Markeringsfarve2 10 3 3 2" xfId="32380" xr:uid="{00000000-0005-0000-0000-0000693A0000}"/>
    <cellStyle name="40 % - Markeringsfarve2 10 3 4" xfId="25378" xr:uid="{00000000-0005-0000-0000-00006A3A0000}"/>
    <cellStyle name="40 % - Markeringsfarve2 10 4" xfId="8030" xr:uid="{00000000-0005-0000-0000-00006B3A0000}"/>
    <cellStyle name="40 % - Markeringsfarve2 10 4 2" xfId="15948" xr:uid="{00000000-0005-0000-0000-00006C3A0000}"/>
    <cellStyle name="40 % - Markeringsfarve2 10 4 2 2" xfId="34108" xr:uid="{00000000-0005-0000-0000-00006D3A0000}"/>
    <cellStyle name="40 % - Markeringsfarve2 10 4 3" xfId="27107" xr:uid="{00000000-0005-0000-0000-00006E3A0000}"/>
    <cellStyle name="40 % - Markeringsfarve2 10 5" xfId="14212" xr:uid="{00000000-0005-0000-0000-00006F3A0000}"/>
    <cellStyle name="40 % - Markeringsfarve2 10 5 2" xfId="32378" xr:uid="{00000000-0005-0000-0000-0000703A0000}"/>
    <cellStyle name="40 % - Markeringsfarve2 10 6" xfId="25376" xr:uid="{00000000-0005-0000-0000-0000713A0000}"/>
    <cellStyle name="40 % - Markeringsfarve2 11" xfId="5661" xr:uid="{00000000-0005-0000-0000-0000723A0000}"/>
    <cellStyle name="40 % - Markeringsfarve2 11 2" xfId="5662" xr:uid="{00000000-0005-0000-0000-0000733A0000}"/>
    <cellStyle name="40 % - Markeringsfarve2 11 2 2" xfId="9719" xr:uid="{00000000-0005-0000-0000-0000743A0000}"/>
    <cellStyle name="40 % - Markeringsfarve2 11 2 2 2" xfId="17620" xr:uid="{00000000-0005-0000-0000-0000753A0000}"/>
    <cellStyle name="40 % - Markeringsfarve2 11 2 2 2 2" xfId="35780" xr:uid="{00000000-0005-0000-0000-0000763A0000}"/>
    <cellStyle name="40 % - Markeringsfarve2 11 2 2 3" xfId="28779" xr:uid="{00000000-0005-0000-0000-0000773A0000}"/>
    <cellStyle name="40 % - Markeringsfarve2 11 2 3" xfId="14216" xr:uid="{00000000-0005-0000-0000-0000783A0000}"/>
    <cellStyle name="40 % - Markeringsfarve2 11 2 3 2" xfId="32382" xr:uid="{00000000-0005-0000-0000-0000793A0000}"/>
    <cellStyle name="40 % - Markeringsfarve2 11 2 4" xfId="25380" xr:uid="{00000000-0005-0000-0000-00007A3A0000}"/>
    <cellStyle name="40 % - Markeringsfarve2 11 3" xfId="8031" xr:uid="{00000000-0005-0000-0000-00007B3A0000}"/>
    <cellStyle name="40 % - Markeringsfarve2 11 3 2" xfId="15949" xr:uid="{00000000-0005-0000-0000-00007C3A0000}"/>
    <cellStyle name="40 % - Markeringsfarve2 11 3 2 2" xfId="34109" xr:uid="{00000000-0005-0000-0000-00007D3A0000}"/>
    <cellStyle name="40 % - Markeringsfarve2 11 3 3" xfId="27108" xr:uid="{00000000-0005-0000-0000-00007E3A0000}"/>
    <cellStyle name="40 % - Markeringsfarve2 11 4" xfId="14215" xr:uid="{00000000-0005-0000-0000-00007F3A0000}"/>
    <cellStyle name="40 % - Markeringsfarve2 11 4 2" xfId="32381" xr:uid="{00000000-0005-0000-0000-0000803A0000}"/>
    <cellStyle name="40 % - Markeringsfarve2 11 5" xfId="25379" xr:uid="{00000000-0005-0000-0000-0000813A0000}"/>
    <cellStyle name="40 % - Markeringsfarve2 12" xfId="5663" xr:uid="{00000000-0005-0000-0000-0000823A0000}"/>
    <cellStyle name="40 % - Markeringsfarve2 12 2" xfId="8941" xr:uid="{00000000-0005-0000-0000-0000833A0000}"/>
    <cellStyle name="40 % - Markeringsfarve2 12 2 2" xfId="16854" xr:uid="{00000000-0005-0000-0000-0000843A0000}"/>
    <cellStyle name="40 % - Markeringsfarve2 12 2 2 2" xfId="35014" xr:uid="{00000000-0005-0000-0000-0000853A0000}"/>
    <cellStyle name="40 % - Markeringsfarve2 12 2 3" xfId="28013" xr:uid="{00000000-0005-0000-0000-0000863A0000}"/>
    <cellStyle name="40 % - Markeringsfarve2 12 3" xfId="14217" xr:uid="{00000000-0005-0000-0000-0000873A0000}"/>
    <cellStyle name="40 % - Markeringsfarve2 12 3 2" xfId="32383" xr:uid="{00000000-0005-0000-0000-0000883A0000}"/>
    <cellStyle name="40 % - Markeringsfarve2 12 4" xfId="25381" xr:uid="{00000000-0005-0000-0000-0000893A0000}"/>
    <cellStyle name="40 % - Markeringsfarve2 13" xfId="7617" xr:uid="{00000000-0005-0000-0000-00008A3A0000}"/>
    <cellStyle name="40 % - Markeringsfarve2 13 2" xfId="15543" xr:uid="{00000000-0005-0000-0000-00008B3A0000}"/>
    <cellStyle name="40 % - Markeringsfarve2 13 2 2" xfId="33703" xr:uid="{00000000-0005-0000-0000-00008C3A0000}"/>
    <cellStyle name="40 % - Markeringsfarve2 13 3" xfId="26702" xr:uid="{00000000-0005-0000-0000-00008D3A0000}"/>
    <cellStyle name="40 % - Markeringsfarve2 2" xfId="1882" xr:uid="{00000000-0005-0000-0000-00008E3A0000}"/>
    <cellStyle name="40 % - Markeringsfarve2 2 10" xfId="5665" xr:uid="{00000000-0005-0000-0000-00008F3A0000}"/>
    <cellStyle name="40 % - Markeringsfarve2 2 10 2" xfId="8973" xr:uid="{00000000-0005-0000-0000-0000903A0000}"/>
    <cellStyle name="40 % - Markeringsfarve2 2 10 2 2" xfId="16884" xr:uid="{00000000-0005-0000-0000-0000913A0000}"/>
    <cellStyle name="40 % - Markeringsfarve2 2 10 2 2 2" xfId="35044" xr:uid="{00000000-0005-0000-0000-0000923A0000}"/>
    <cellStyle name="40 % - Markeringsfarve2 2 10 2 3" xfId="28043" xr:uid="{00000000-0005-0000-0000-0000933A0000}"/>
    <cellStyle name="40 % - Markeringsfarve2 2 10 3" xfId="14219" xr:uid="{00000000-0005-0000-0000-0000943A0000}"/>
    <cellStyle name="40 % - Markeringsfarve2 2 10 3 2" xfId="32385" xr:uid="{00000000-0005-0000-0000-0000953A0000}"/>
    <cellStyle name="40 % - Markeringsfarve2 2 10 4" xfId="25383" xr:uid="{00000000-0005-0000-0000-0000963A0000}"/>
    <cellStyle name="40 % - Markeringsfarve2 2 11" xfId="8032" xr:uid="{00000000-0005-0000-0000-0000973A0000}"/>
    <cellStyle name="40 % - Markeringsfarve2 2 11 2" xfId="15950" xr:uid="{00000000-0005-0000-0000-0000983A0000}"/>
    <cellStyle name="40 % - Markeringsfarve2 2 11 2 2" xfId="34110" xr:uid="{00000000-0005-0000-0000-0000993A0000}"/>
    <cellStyle name="40 % - Markeringsfarve2 2 11 3" xfId="27109" xr:uid="{00000000-0005-0000-0000-00009A3A0000}"/>
    <cellStyle name="40 % - Markeringsfarve2 2 12" xfId="14218" xr:uid="{00000000-0005-0000-0000-00009B3A0000}"/>
    <cellStyle name="40 % - Markeringsfarve2 2 12 2" xfId="32384" xr:uid="{00000000-0005-0000-0000-00009C3A0000}"/>
    <cellStyle name="40 % - Markeringsfarve2 2 13" xfId="5664" xr:uid="{00000000-0005-0000-0000-00009D3A0000}"/>
    <cellStyle name="40 % - Markeringsfarve2 2 13 2" xfId="25382" xr:uid="{00000000-0005-0000-0000-00009E3A0000}"/>
    <cellStyle name="40 % - Markeringsfarve2 2 14" xfId="22000" xr:uid="{00000000-0005-0000-0000-00009F3A0000}"/>
    <cellStyle name="40 % - Markeringsfarve2 2 2" xfId="1883" xr:uid="{00000000-0005-0000-0000-0000A03A0000}"/>
    <cellStyle name="40 % - Markeringsfarve2 2 2 10" xfId="14220" xr:uid="{00000000-0005-0000-0000-0000A13A0000}"/>
    <cellStyle name="40 % - Markeringsfarve2 2 2 10 2" xfId="32386" xr:uid="{00000000-0005-0000-0000-0000A23A0000}"/>
    <cellStyle name="40 % - Markeringsfarve2 2 2 11" xfId="5666" xr:uid="{00000000-0005-0000-0000-0000A33A0000}"/>
    <cellStyle name="40 % - Markeringsfarve2 2 2 11 2" xfId="25384" xr:uid="{00000000-0005-0000-0000-0000A43A0000}"/>
    <cellStyle name="40 % - Markeringsfarve2 2 2 12" xfId="22001" xr:uid="{00000000-0005-0000-0000-0000A53A0000}"/>
    <cellStyle name="40 % - Markeringsfarve2 2 2 2" xfId="1884" xr:uid="{00000000-0005-0000-0000-0000A63A0000}"/>
    <cellStyle name="40 % - Markeringsfarve2 2 2 2 2" xfId="5668" xr:uid="{00000000-0005-0000-0000-0000A73A0000}"/>
    <cellStyle name="40 % - Markeringsfarve2 2 2 2 2 2" xfId="9904" xr:uid="{00000000-0005-0000-0000-0000A83A0000}"/>
    <cellStyle name="40 % - Markeringsfarve2 2 2 2 2 2 2" xfId="17805" xr:uid="{00000000-0005-0000-0000-0000A93A0000}"/>
    <cellStyle name="40 % - Markeringsfarve2 2 2 2 2 2 2 2" xfId="35965" xr:uid="{00000000-0005-0000-0000-0000AA3A0000}"/>
    <cellStyle name="40 % - Markeringsfarve2 2 2 2 2 2 3" xfId="28964" xr:uid="{00000000-0005-0000-0000-0000AB3A0000}"/>
    <cellStyle name="40 % - Markeringsfarve2 2 2 2 2 3" xfId="14222" xr:uid="{00000000-0005-0000-0000-0000AC3A0000}"/>
    <cellStyle name="40 % - Markeringsfarve2 2 2 2 2 3 2" xfId="32388" xr:uid="{00000000-0005-0000-0000-0000AD3A0000}"/>
    <cellStyle name="40 % - Markeringsfarve2 2 2 2 2 4" xfId="25386" xr:uid="{00000000-0005-0000-0000-0000AE3A0000}"/>
    <cellStyle name="40 % - Markeringsfarve2 2 2 2 3" xfId="5669" xr:uid="{00000000-0005-0000-0000-0000AF3A0000}"/>
    <cellStyle name="40 % - Markeringsfarve2 2 2 2 3 2" xfId="9134" xr:uid="{00000000-0005-0000-0000-0000B03A0000}"/>
    <cellStyle name="40 % - Markeringsfarve2 2 2 2 3 2 2" xfId="17045" xr:uid="{00000000-0005-0000-0000-0000B13A0000}"/>
    <cellStyle name="40 % - Markeringsfarve2 2 2 2 3 2 2 2" xfId="35205" xr:uid="{00000000-0005-0000-0000-0000B23A0000}"/>
    <cellStyle name="40 % - Markeringsfarve2 2 2 2 3 2 3" xfId="28204" xr:uid="{00000000-0005-0000-0000-0000B33A0000}"/>
    <cellStyle name="40 % - Markeringsfarve2 2 2 2 3 3" xfId="14223" xr:uid="{00000000-0005-0000-0000-0000B43A0000}"/>
    <cellStyle name="40 % - Markeringsfarve2 2 2 2 3 3 2" xfId="32389" xr:uid="{00000000-0005-0000-0000-0000B53A0000}"/>
    <cellStyle name="40 % - Markeringsfarve2 2 2 2 3 4" xfId="25387" xr:uid="{00000000-0005-0000-0000-0000B63A0000}"/>
    <cellStyle name="40 % - Markeringsfarve2 2 2 2 4" xfId="8034" xr:uid="{00000000-0005-0000-0000-0000B73A0000}"/>
    <cellStyle name="40 % - Markeringsfarve2 2 2 2 4 2" xfId="15952" xr:uid="{00000000-0005-0000-0000-0000B83A0000}"/>
    <cellStyle name="40 % - Markeringsfarve2 2 2 2 4 2 2" xfId="34112" xr:uid="{00000000-0005-0000-0000-0000B93A0000}"/>
    <cellStyle name="40 % - Markeringsfarve2 2 2 2 4 3" xfId="27111" xr:uid="{00000000-0005-0000-0000-0000BA3A0000}"/>
    <cellStyle name="40 % - Markeringsfarve2 2 2 2 5" xfId="14221" xr:uid="{00000000-0005-0000-0000-0000BB3A0000}"/>
    <cellStyle name="40 % - Markeringsfarve2 2 2 2 5 2" xfId="32387" xr:uid="{00000000-0005-0000-0000-0000BC3A0000}"/>
    <cellStyle name="40 % - Markeringsfarve2 2 2 2 6" xfId="5667" xr:uid="{00000000-0005-0000-0000-0000BD3A0000}"/>
    <cellStyle name="40 % - Markeringsfarve2 2 2 2 6 2" xfId="25385" xr:uid="{00000000-0005-0000-0000-0000BE3A0000}"/>
    <cellStyle name="40 % - Markeringsfarve2 2 2 2 7" xfId="22002" xr:uid="{00000000-0005-0000-0000-0000BF3A0000}"/>
    <cellStyle name="40 % - Markeringsfarve2 2 2 3" xfId="5670" xr:uid="{00000000-0005-0000-0000-0000C03A0000}"/>
    <cellStyle name="40 % - Markeringsfarve2 2 2 3 2" xfId="5671" xr:uid="{00000000-0005-0000-0000-0000C13A0000}"/>
    <cellStyle name="40 % - Markeringsfarve2 2 2 3 2 2" xfId="10019" xr:uid="{00000000-0005-0000-0000-0000C23A0000}"/>
    <cellStyle name="40 % - Markeringsfarve2 2 2 3 2 2 2" xfId="17920" xr:uid="{00000000-0005-0000-0000-0000C33A0000}"/>
    <cellStyle name="40 % - Markeringsfarve2 2 2 3 2 2 2 2" xfId="36080" xr:uid="{00000000-0005-0000-0000-0000C43A0000}"/>
    <cellStyle name="40 % - Markeringsfarve2 2 2 3 2 2 3" xfId="29079" xr:uid="{00000000-0005-0000-0000-0000C53A0000}"/>
    <cellStyle name="40 % - Markeringsfarve2 2 2 3 2 3" xfId="14225" xr:uid="{00000000-0005-0000-0000-0000C63A0000}"/>
    <cellStyle name="40 % - Markeringsfarve2 2 2 3 2 3 2" xfId="32391" xr:uid="{00000000-0005-0000-0000-0000C73A0000}"/>
    <cellStyle name="40 % - Markeringsfarve2 2 2 3 2 4" xfId="25389" xr:uid="{00000000-0005-0000-0000-0000C83A0000}"/>
    <cellStyle name="40 % - Markeringsfarve2 2 2 3 3" xfId="5672" xr:uid="{00000000-0005-0000-0000-0000C93A0000}"/>
    <cellStyle name="40 % - Markeringsfarve2 2 2 3 3 2" xfId="9249" xr:uid="{00000000-0005-0000-0000-0000CA3A0000}"/>
    <cellStyle name="40 % - Markeringsfarve2 2 2 3 3 2 2" xfId="17160" xr:uid="{00000000-0005-0000-0000-0000CB3A0000}"/>
    <cellStyle name="40 % - Markeringsfarve2 2 2 3 3 2 2 2" xfId="35320" xr:uid="{00000000-0005-0000-0000-0000CC3A0000}"/>
    <cellStyle name="40 % - Markeringsfarve2 2 2 3 3 2 3" xfId="28319" xr:uid="{00000000-0005-0000-0000-0000CD3A0000}"/>
    <cellStyle name="40 % - Markeringsfarve2 2 2 3 3 3" xfId="14226" xr:uid="{00000000-0005-0000-0000-0000CE3A0000}"/>
    <cellStyle name="40 % - Markeringsfarve2 2 2 3 3 3 2" xfId="32392" xr:uid="{00000000-0005-0000-0000-0000CF3A0000}"/>
    <cellStyle name="40 % - Markeringsfarve2 2 2 3 3 4" xfId="25390" xr:uid="{00000000-0005-0000-0000-0000D03A0000}"/>
    <cellStyle name="40 % - Markeringsfarve2 2 2 3 4" xfId="8035" xr:uid="{00000000-0005-0000-0000-0000D13A0000}"/>
    <cellStyle name="40 % - Markeringsfarve2 2 2 3 4 2" xfId="15953" xr:uid="{00000000-0005-0000-0000-0000D23A0000}"/>
    <cellStyle name="40 % - Markeringsfarve2 2 2 3 4 2 2" xfId="34113" xr:uid="{00000000-0005-0000-0000-0000D33A0000}"/>
    <cellStyle name="40 % - Markeringsfarve2 2 2 3 4 3" xfId="27112" xr:uid="{00000000-0005-0000-0000-0000D43A0000}"/>
    <cellStyle name="40 % - Markeringsfarve2 2 2 3 5" xfId="14224" xr:uid="{00000000-0005-0000-0000-0000D53A0000}"/>
    <cellStyle name="40 % - Markeringsfarve2 2 2 3 5 2" xfId="32390" xr:uid="{00000000-0005-0000-0000-0000D63A0000}"/>
    <cellStyle name="40 % - Markeringsfarve2 2 2 3 6" xfId="25388" xr:uid="{00000000-0005-0000-0000-0000D73A0000}"/>
    <cellStyle name="40 % - Markeringsfarve2 2 2 4" xfId="5673" xr:uid="{00000000-0005-0000-0000-0000D83A0000}"/>
    <cellStyle name="40 % - Markeringsfarve2 2 2 4 2" xfId="5674" xr:uid="{00000000-0005-0000-0000-0000D93A0000}"/>
    <cellStyle name="40 % - Markeringsfarve2 2 2 4 2 2" xfId="10142" xr:uid="{00000000-0005-0000-0000-0000DA3A0000}"/>
    <cellStyle name="40 % - Markeringsfarve2 2 2 4 2 2 2" xfId="18043" xr:uid="{00000000-0005-0000-0000-0000DB3A0000}"/>
    <cellStyle name="40 % - Markeringsfarve2 2 2 4 2 2 2 2" xfId="36203" xr:uid="{00000000-0005-0000-0000-0000DC3A0000}"/>
    <cellStyle name="40 % - Markeringsfarve2 2 2 4 2 2 3" xfId="29202" xr:uid="{00000000-0005-0000-0000-0000DD3A0000}"/>
    <cellStyle name="40 % - Markeringsfarve2 2 2 4 2 3" xfId="14228" xr:uid="{00000000-0005-0000-0000-0000DE3A0000}"/>
    <cellStyle name="40 % - Markeringsfarve2 2 2 4 2 3 2" xfId="32394" xr:uid="{00000000-0005-0000-0000-0000DF3A0000}"/>
    <cellStyle name="40 % - Markeringsfarve2 2 2 4 2 4" xfId="25392" xr:uid="{00000000-0005-0000-0000-0000E03A0000}"/>
    <cellStyle name="40 % - Markeringsfarve2 2 2 4 3" xfId="5675" xr:uid="{00000000-0005-0000-0000-0000E13A0000}"/>
    <cellStyle name="40 % - Markeringsfarve2 2 2 4 3 2" xfId="9418" xr:uid="{00000000-0005-0000-0000-0000E23A0000}"/>
    <cellStyle name="40 % - Markeringsfarve2 2 2 4 3 2 2" xfId="17328" xr:uid="{00000000-0005-0000-0000-0000E33A0000}"/>
    <cellStyle name="40 % - Markeringsfarve2 2 2 4 3 2 2 2" xfId="35488" xr:uid="{00000000-0005-0000-0000-0000E43A0000}"/>
    <cellStyle name="40 % - Markeringsfarve2 2 2 4 3 2 3" xfId="28487" xr:uid="{00000000-0005-0000-0000-0000E53A0000}"/>
    <cellStyle name="40 % - Markeringsfarve2 2 2 4 3 3" xfId="14229" xr:uid="{00000000-0005-0000-0000-0000E63A0000}"/>
    <cellStyle name="40 % - Markeringsfarve2 2 2 4 3 3 2" xfId="32395" xr:uid="{00000000-0005-0000-0000-0000E73A0000}"/>
    <cellStyle name="40 % - Markeringsfarve2 2 2 4 3 4" xfId="25393" xr:uid="{00000000-0005-0000-0000-0000E83A0000}"/>
    <cellStyle name="40 % - Markeringsfarve2 2 2 4 4" xfId="8036" xr:uid="{00000000-0005-0000-0000-0000E93A0000}"/>
    <cellStyle name="40 % - Markeringsfarve2 2 2 4 4 2" xfId="15954" xr:uid="{00000000-0005-0000-0000-0000EA3A0000}"/>
    <cellStyle name="40 % - Markeringsfarve2 2 2 4 4 2 2" xfId="34114" xr:uid="{00000000-0005-0000-0000-0000EB3A0000}"/>
    <cellStyle name="40 % - Markeringsfarve2 2 2 4 4 3" xfId="27113" xr:uid="{00000000-0005-0000-0000-0000EC3A0000}"/>
    <cellStyle name="40 % - Markeringsfarve2 2 2 4 5" xfId="14227" xr:uid="{00000000-0005-0000-0000-0000ED3A0000}"/>
    <cellStyle name="40 % - Markeringsfarve2 2 2 4 5 2" xfId="32393" xr:uid="{00000000-0005-0000-0000-0000EE3A0000}"/>
    <cellStyle name="40 % - Markeringsfarve2 2 2 4 6" xfId="25391" xr:uid="{00000000-0005-0000-0000-0000EF3A0000}"/>
    <cellStyle name="40 % - Markeringsfarve2 2 2 5" xfId="5676" xr:uid="{00000000-0005-0000-0000-0000F03A0000}"/>
    <cellStyle name="40 % - Markeringsfarve2 2 2 5 2" xfId="5677" xr:uid="{00000000-0005-0000-0000-0000F13A0000}"/>
    <cellStyle name="40 % - Markeringsfarve2 2 2 5 2 2" xfId="10259" xr:uid="{00000000-0005-0000-0000-0000F23A0000}"/>
    <cellStyle name="40 % - Markeringsfarve2 2 2 5 2 2 2" xfId="18160" xr:uid="{00000000-0005-0000-0000-0000F33A0000}"/>
    <cellStyle name="40 % - Markeringsfarve2 2 2 5 2 2 2 2" xfId="36320" xr:uid="{00000000-0005-0000-0000-0000F43A0000}"/>
    <cellStyle name="40 % - Markeringsfarve2 2 2 5 2 2 3" xfId="29319" xr:uid="{00000000-0005-0000-0000-0000F53A0000}"/>
    <cellStyle name="40 % - Markeringsfarve2 2 2 5 2 3" xfId="14231" xr:uid="{00000000-0005-0000-0000-0000F63A0000}"/>
    <cellStyle name="40 % - Markeringsfarve2 2 2 5 2 3 2" xfId="32397" xr:uid="{00000000-0005-0000-0000-0000F73A0000}"/>
    <cellStyle name="40 % - Markeringsfarve2 2 2 5 2 4" xfId="25395" xr:uid="{00000000-0005-0000-0000-0000F83A0000}"/>
    <cellStyle name="40 % - Markeringsfarve2 2 2 5 3" xfId="5678" xr:uid="{00000000-0005-0000-0000-0000F93A0000}"/>
    <cellStyle name="40 % - Markeringsfarve2 2 2 5 3 2" xfId="9535" xr:uid="{00000000-0005-0000-0000-0000FA3A0000}"/>
    <cellStyle name="40 % - Markeringsfarve2 2 2 5 3 2 2" xfId="17445" xr:uid="{00000000-0005-0000-0000-0000FB3A0000}"/>
    <cellStyle name="40 % - Markeringsfarve2 2 2 5 3 2 2 2" xfId="35605" xr:uid="{00000000-0005-0000-0000-0000FC3A0000}"/>
    <cellStyle name="40 % - Markeringsfarve2 2 2 5 3 2 3" xfId="28604" xr:uid="{00000000-0005-0000-0000-0000FD3A0000}"/>
    <cellStyle name="40 % - Markeringsfarve2 2 2 5 3 3" xfId="14232" xr:uid="{00000000-0005-0000-0000-0000FE3A0000}"/>
    <cellStyle name="40 % - Markeringsfarve2 2 2 5 3 3 2" xfId="32398" xr:uid="{00000000-0005-0000-0000-0000FF3A0000}"/>
    <cellStyle name="40 % - Markeringsfarve2 2 2 5 3 4" xfId="25396" xr:uid="{00000000-0005-0000-0000-0000003B0000}"/>
    <cellStyle name="40 % - Markeringsfarve2 2 2 5 4" xfId="8037" xr:uid="{00000000-0005-0000-0000-0000013B0000}"/>
    <cellStyle name="40 % - Markeringsfarve2 2 2 5 4 2" xfId="15955" xr:uid="{00000000-0005-0000-0000-0000023B0000}"/>
    <cellStyle name="40 % - Markeringsfarve2 2 2 5 4 2 2" xfId="34115" xr:uid="{00000000-0005-0000-0000-0000033B0000}"/>
    <cellStyle name="40 % - Markeringsfarve2 2 2 5 4 3" xfId="27114" xr:uid="{00000000-0005-0000-0000-0000043B0000}"/>
    <cellStyle name="40 % - Markeringsfarve2 2 2 5 5" xfId="14230" xr:uid="{00000000-0005-0000-0000-0000053B0000}"/>
    <cellStyle name="40 % - Markeringsfarve2 2 2 5 5 2" xfId="32396" xr:uid="{00000000-0005-0000-0000-0000063B0000}"/>
    <cellStyle name="40 % - Markeringsfarve2 2 2 5 6" xfId="25394" xr:uid="{00000000-0005-0000-0000-0000073B0000}"/>
    <cellStyle name="40 % - Markeringsfarve2 2 2 6" xfId="5679" xr:uid="{00000000-0005-0000-0000-0000083B0000}"/>
    <cellStyle name="40 % - Markeringsfarve2 2 2 6 2" xfId="5680" xr:uid="{00000000-0005-0000-0000-0000093B0000}"/>
    <cellStyle name="40 % - Markeringsfarve2 2 2 6 2 2" xfId="10373" xr:uid="{00000000-0005-0000-0000-00000A3B0000}"/>
    <cellStyle name="40 % - Markeringsfarve2 2 2 6 2 2 2" xfId="18274" xr:uid="{00000000-0005-0000-0000-00000B3B0000}"/>
    <cellStyle name="40 % - Markeringsfarve2 2 2 6 2 2 2 2" xfId="36434" xr:uid="{00000000-0005-0000-0000-00000C3B0000}"/>
    <cellStyle name="40 % - Markeringsfarve2 2 2 6 2 2 3" xfId="29433" xr:uid="{00000000-0005-0000-0000-00000D3B0000}"/>
    <cellStyle name="40 % - Markeringsfarve2 2 2 6 2 3" xfId="14234" xr:uid="{00000000-0005-0000-0000-00000E3B0000}"/>
    <cellStyle name="40 % - Markeringsfarve2 2 2 6 2 3 2" xfId="32400" xr:uid="{00000000-0005-0000-0000-00000F3B0000}"/>
    <cellStyle name="40 % - Markeringsfarve2 2 2 6 2 4" xfId="25398" xr:uid="{00000000-0005-0000-0000-0000103B0000}"/>
    <cellStyle name="40 % - Markeringsfarve2 2 2 6 3" xfId="5681" xr:uid="{00000000-0005-0000-0000-0000113B0000}"/>
    <cellStyle name="40 % - Markeringsfarve2 2 2 6 3 2" xfId="9650" xr:uid="{00000000-0005-0000-0000-0000123B0000}"/>
    <cellStyle name="40 % - Markeringsfarve2 2 2 6 3 2 2" xfId="17560" xr:uid="{00000000-0005-0000-0000-0000133B0000}"/>
    <cellStyle name="40 % - Markeringsfarve2 2 2 6 3 2 2 2" xfId="35720" xr:uid="{00000000-0005-0000-0000-0000143B0000}"/>
    <cellStyle name="40 % - Markeringsfarve2 2 2 6 3 2 3" xfId="28719" xr:uid="{00000000-0005-0000-0000-0000153B0000}"/>
    <cellStyle name="40 % - Markeringsfarve2 2 2 6 3 3" xfId="14235" xr:uid="{00000000-0005-0000-0000-0000163B0000}"/>
    <cellStyle name="40 % - Markeringsfarve2 2 2 6 3 3 2" xfId="32401" xr:uid="{00000000-0005-0000-0000-0000173B0000}"/>
    <cellStyle name="40 % - Markeringsfarve2 2 2 6 3 4" xfId="25399" xr:uid="{00000000-0005-0000-0000-0000183B0000}"/>
    <cellStyle name="40 % - Markeringsfarve2 2 2 6 4" xfId="8038" xr:uid="{00000000-0005-0000-0000-0000193B0000}"/>
    <cellStyle name="40 % - Markeringsfarve2 2 2 6 4 2" xfId="15956" xr:uid="{00000000-0005-0000-0000-00001A3B0000}"/>
    <cellStyle name="40 % - Markeringsfarve2 2 2 6 4 2 2" xfId="34116" xr:uid="{00000000-0005-0000-0000-00001B3B0000}"/>
    <cellStyle name="40 % - Markeringsfarve2 2 2 6 4 3" xfId="27115" xr:uid="{00000000-0005-0000-0000-00001C3B0000}"/>
    <cellStyle name="40 % - Markeringsfarve2 2 2 6 5" xfId="14233" xr:uid="{00000000-0005-0000-0000-00001D3B0000}"/>
    <cellStyle name="40 % - Markeringsfarve2 2 2 6 5 2" xfId="32399" xr:uid="{00000000-0005-0000-0000-00001E3B0000}"/>
    <cellStyle name="40 % - Markeringsfarve2 2 2 6 6" xfId="25397" xr:uid="{00000000-0005-0000-0000-00001F3B0000}"/>
    <cellStyle name="40 % - Markeringsfarve2 2 2 7" xfId="5682" xr:uid="{00000000-0005-0000-0000-0000203B0000}"/>
    <cellStyle name="40 % - Markeringsfarve2 2 2 7 2" xfId="9785" xr:uid="{00000000-0005-0000-0000-0000213B0000}"/>
    <cellStyle name="40 % - Markeringsfarve2 2 2 7 2 2" xfId="17686" xr:uid="{00000000-0005-0000-0000-0000223B0000}"/>
    <cellStyle name="40 % - Markeringsfarve2 2 2 7 2 2 2" xfId="35846" xr:uid="{00000000-0005-0000-0000-0000233B0000}"/>
    <cellStyle name="40 % - Markeringsfarve2 2 2 7 2 3" xfId="28845" xr:uid="{00000000-0005-0000-0000-0000243B0000}"/>
    <cellStyle name="40 % - Markeringsfarve2 2 2 7 3" xfId="14236" xr:uid="{00000000-0005-0000-0000-0000253B0000}"/>
    <cellStyle name="40 % - Markeringsfarve2 2 2 7 3 2" xfId="32402" xr:uid="{00000000-0005-0000-0000-0000263B0000}"/>
    <cellStyle name="40 % - Markeringsfarve2 2 2 7 4" xfId="25400" xr:uid="{00000000-0005-0000-0000-0000273B0000}"/>
    <cellStyle name="40 % - Markeringsfarve2 2 2 8" xfId="5683" xr:uid="{00000000-0005-0000-0000-0000283B0000}"/>
    <cellStyle name="40 % - Markeringsfarve2 2 2 8 2" xfId="9013" xr:uid="{00000000-0005-0000-0000-0000293B0000}"/>
    <cellStyle name="40 % - Markeringsfarve2 2 2 8 2 2" xfId="16924" xr:uid="{00000000-0005-0000-0000-00002A3B0000}"/>
    <cellStyle name="40 % - Markeringsfarve2 2 2 8 2 2 2" xfId="35084" xr:uid="{00000000-0005-0000-0000-00002B3B0000}"/>
    <cellStyle name="40 % - Markeringsfarve2 2 2 8 2 3" xfId="28083" xr:uid="{00000000-0005-0000-0000-00002C3B0000}"/>
    <cellStyle name="40 % - Markeringsfarve2 2 2 8 3" xfId="14237" xr:uid="{00000000-0005-0000-0000-00002D3B0000}"/>
    <cellStyle name="40 % - Markeringsfarve2 2 2 8 3 2" xfId="32403" xr:uid="{00000000-0005-0000-0000-00002E3B0000}"/>
    <cellStyle name="40 % - Markeringsfarve2 2 2 8 4" xfId="25401" xr:uid="{00000000-0005-0000-0000-00002F3B0000}"/>
    <cellStyle name="40 % - Markeringsfarve2 2 2 9" xfId="8033" xr:uid="{00000000-0005-0000-0000-0000303B0000}"/>
    <cellStyle name="40 % - Markeringsfarve2 2 2 9 2" xfId="15951" xr:uid="{00000000-0005-0000-0000-0000313B0000}"/>
    <cellStyle name="40 % - Markeringsfarve2 2 2 9 2 2" xfId="34111" xr:uid="{00000000-0005-0000-0000-0000323B0000}"/>
    <cellStyle name="40 % - Markeringsfarve2 2 2 9 3" xfId="27110" xr:uid="{00000000-0005-0000-0000-0000333B0000}"/>
    <cellStyle name="40 % - Markeringsfarve2 2 3" xfId="1885" xr:uid="{00000000-0005-0000-0000-0000343B0000}"/>
    <cellStyle name="40 % - Markeringsfarve2 2 3 10" xfId="14238" xr:uid="{00000000-0005-0000-0000-0000353B0000}"/>
    <cellStyle name="40 % - Markeringsfarve2 2 3 10 2" xfId="32404" xr:uid="{00000000-0005-0000-0000-0000363B0000}"/>
    <cellStyle name="40 % - Markeringsfarve2 2 3 11" xfId="5684" xr:uid="{00000000-0005-0000-0000-0000373B0000}"/>
    <cellStyle name="40 % - Markeringsfarve2 2 3 11 2" xfId="25402" xr:uid="{00000000-0005-0000-0000-0000383B0000}"/>
    <cellStyle name="40 % - Markeringsfarve2 2 3 12" xfId="22003" xr:uid="{00000000-0005-0000-0000-0000393B0000}"/>
    <cellStyle name="40 % - Markeringsfarve2 2 3 2" xfId="1886" xr:uid="{00000000-0005-0000-0000-00003A3B0000}"/>
    <cellStyle name="40 % - Markeringsfarve2 2 3 2 2" xfId="5686" xr:uid="{00000000-0005-0000-0000-00003B3B0000}"/>
    <cellStyle name="40 % - Markeringsfarve2 2 3 2 2 2" xfId="9943" xr:uid="{00000000-0005-0000-0000-00003C3B0000}"/>
    <cellStyle name="40 % - Markeringsfarve2 2 3 2 2 2 2" xfId="17844" xr:uid="{00000000-0005-0000-0000-00003D3B0000}"/>
    <cellStyle name="40 % - Markeringsfarve2 2 3 2 2 2 2 2" xfId="36004" xr:uid="{00000000-0005-0000-0000-00003E3B0000}"/>
    <cellStyle name="40 % - Markeringsfarve2 2 3 2 2 2 3" xfId="29003" xr:uid="{00000000-0005-0000-0000-00003F3B0000}"/>
    <cellStyle name="40 % - Markeringsfarve2 2 3 2 2 3" xfId="14240" xr:uid="{00000000-0005-0000-0000-0000403B0000}"/>
    <cellStyle name="40 % - Markeringsfarve2 2 3 2 2 3 2" xfId="32406" xr:uid="{00000000-0005-0000-0000-0000413B0000}"/>
    <cellStyle name="40 % - Markeringsfarve2 2 3 2 2 4" xfId="25404" xr:uid="{00000000-0005-0000-0000-0000423B0000}"/>
    <cellStyle name="40 % - Markeringsfarve2 2 3 2 3" xfId="5687" xr:uid="{00000000-0005-0000-0000-0000433B0000}"/>
    <cellStyle name="40 % - Markeringsfarve2 2 3 2 3 2" xfId="9173" xr:uid="{00000000-0005-0000-0000-0000443B0000}"/>
    <cellStyle name="40 % - Markeringsfarve2 2 3 2 3 2 2" xfId="17084" xr:uid="{00000000-0005-0000-0000-0000453B0000}"/>
    <cellStyle name="40 % - Markeringsfarve2 2 3 2 3 2 2 2" xfId="35244" xr:uid="{00000000-0005-0000-0000-0000463B0000}"/>
    <cellStyle name="40 % - Markeringsfarve2 2 3 2 3 2 3" xfId="28243" xr:uid="{00000000-0005-0000-0000-0000473B0000}"/>
    <cellStyle name="40 % - Markeringsfarve2 2 3 2 3 3" xfId="14241" xr:uid="{00000000-0005-0000-0000-0000483B0000}"/>
    <cellStyle name="40 % - Markeringsfarve2 2 3 2 3 3 2" xfId="32407" xr:uid="{00000000-0005-0000-0000-0000493B0000}"/>
    <cellStyle name="40 % - Markeringsfarve2 2 3 2 3 4" xfId="25405" xr:uid="{00000000-0005-0000-0000-00004A3B0000}"/>
    <cellStyle name="40 % - Markeringsfarve2 2 3 2 4" xfId="8040" xr:uid="{00000000-0005-0000-0000-00004B3B0000}"/>
    <cellStyle name="40 % - Markeringsfarve2 2 3 2 4 2" xfId="15958" xr:uid="{00000000-0005-0000-0000-00004C3B0000}"/>
    <cellStyle name="40 % - Markeringsfarve2 2 3 2 4 2 2" xfId="34118" xr:uid="{00000000-0005-0000-0000-00004D3B0000}"/>
    <cellStyle name="40 % - Markeringsfarve2 2 3 2 4 3" xfId="27117" xr:uid="{00000000-0005-0000-0000-00004E3B0000}"/>
    <cellStyle name="40 % - Markeringsfarve2 2 3 2 5" xfId="14239" xr:uid="{00000000-0005-0000-0000-00004F3B0000}"/>
    <cellStyle name="40 % - Markeringsfarve2 2 3 2 5 2" xfId="32405" xr:uid="{00000000-0005-0000-0000-0000503B0000}"/>
    <cellStyle name="40 % - Markeringsfarve2 2 3 2 6" xfId="5685" xr:uid="{00000000-0005-0000-0000-0000513B0000}"/>
    <cellStyle name="40 % - Markeringsfarve2 2 3 2 6 2" xfId="25403" xr:uid="{00000000-0005-0000-0000-0000523B0000}"/>
    <cellStyle name="40 % - Markeringsfarve2 2 3 2 7" xfId="22004" xr:uid="{00000000-0005-0000-0000-0000533B0000}"/>
    <cellStyle name="40 % - Markeringsfarve2 2 3 3" xfId="5688" xr:uid="{00000000-0005-0000-0000-0000543B0000}"/>
    <cellStyle name="40 % - Markeringsfarve2 2 3 3 2" xfId="5689" xr:uid="{00000000-0005-0000-0000-0000553B0000}"/>
    <cellStyle name="40 % - Markeringsfarve2 2 3 3 2 2" xfId="10020" xr:uid="{00000000-0005-0000-0000-0000563B0000}"/>
    <cellStyle name="40 % - Markeringsfarve2 2 3 3 2 2 2" xfId="17921" xr:uid="{00000000-0005-0000-0000-0000573B0000}"/>
    <cellStyle name="40 % - Markeringsfarve2 2 3 3 2 2 2 2" xfId="36081" xr:uid="{00000000-0005-0000-0000-0000583B0000}"/>
    <cellStyle name="40 % - Markeringsfarve2 2 3 3 2 2 3" xfId="29080" xr:uid="{00000000-0005-0000-0000-0000593B0000}"/>
    <cellStyle name="40 % - Markeringsfarve2 2 3 3 2 3" xfId="14243" xr:uid="{00000000-0005-0000-0000-00005A3B0000}"/>
    <cellStyle name="40 % - Markeringsfarve2 2 3 3 2 3 2" xfId="32409" xr:uid="{00000000-0005-0000-0000-00005B3B0000}"/>
    <cellStyle name="40 % - Markeringsfarve2 2 3 3 2 4" xfId="25407" xr:uid="{00000000-0005-0000-0000-00005C3B0000}"/>
    <cellStyle name="40 % - Markeringsfarve2 2 3 3 3" xfId="5690" xr:uid="{00000000-0005-0000-0000-00005D3B0000}"/>
    <cellStyle name="40 % - Markeringsfarve2 2 3 3 3 2" xfId="9250" xr:uid="{00000000-0005-0000-0000-00005E3B0000}"/>
    <cellStyle name="40 % - Markeringsfarve2 2 3 3 3 2 2" xfId="17161" xr:uid="{00000000-0005-0000-0000-00005F3B0000}"/>
    <cellStyle name="40 % - Markeringsfarve2 2 3 3 3 2 2 2" xfId="35321" xr:uid="{00000000-0005-0000-0000-0000603B0000}"/>
    <cellStyle name="40 % - Markeringsfarve2 2 3 3 3 2 3" xfId="28320" xr:uid="{00000000-0005-0000-0000-0000613B0000}"/>
    <cellStyle name="40 % - Markeringsfarve2 2 3 3 3 3" xfId="14244" xr:uid="{00000000-0005-0000-0000-0000623B0000}"/>
    <cellStyle name="40 % - Markeringsfarve2 2 3 3 3 3 2" xfId="32410" xr:uid="{00000000-0005-0000-0000-0000633B0000}"/>
    <cellStyle name="40 % - Markeringsfarve2 2 3 3 3 4" xfId="25408" xr:uid="{00000000-0005-0000-0000-0000643B0000}"/>
    <cellStyle name="40 % - Markeringsfarve2 2 3 3 4" xfId="8041" xr:uid="{00000000-0005-0000-0000-0000653B0000}"/>
    <cellStyle name="40 % - Markeringsfarve2 2 3 3 4 2" xfId="15959" xr:uid="{00000000-0005-0000-0000-0000663B0000}"/>
    <cellStyle name="40 % - Markeringsfarve2 2 3 3 4 2 2" xfId="34119" xr:uid="{00000000-0005-0000-0000-0000673B0000}"/>
    <cellStyle name="40 % - Markeringsfarve2 2 3 3 4 3" xfId="27118" xr:uid="{00000000-0005-0000-0000-0000683B0000}"/>
    <cellStyle name="40 % - Markeringsfarve2 2 3 3 5" xfId="14242" xr:uid="{00000000-0005-0000-0000-0000693B0000}"/>
    <cellStyle name="40 % - Markeringsfarve2 2 3 3 5 2" xfId="32408" xr:uid="{00000000-0005-0000-0000-00006A3B0000}"/>
    <cellStyle name="40 % - Markeringsfarve2 2 3 3 6" xfId="25406" xr:uid="{00000000-0005-0000-0000-00006B3B0000}"/>
    <cellStyle name="40 % - Markeringsfarve2 2 3 4" xfId="5691" xr:uid="{00000000-0005-0000-0000-00006C3B0000}"/>
    <cellStyle name="40 % - Markeringsfarve2 2 3 4 2" xfId="5692" xr:uid="{00000000-0005-0000-0000-00006D3B0000}"/>
    <cellStyle name="40 % - Markeringsfarve2 2 3 4 2 2" xfId="10181" xr:uid="{00000000-0005-0000-0000-00006E3B0000}"/>
    <cellStyle name="40 % - Markeringsfarve2 2 3 4 2 2 2" xfId="18082" xr:uid="{00000000-0005-0000-0000-00006F3B0000}"/>
    <cellStyle name="40 % - Markeringsfarve2 2 3 4 2 2 2 2" xfId="36242" xr:uid="{00000000-0005-0000-0000-0000703B0000}"/>
    <cellStyle name="40 % - Markeringsfarve2 2 3 4 2 2 3" xfId="29241" xr:uid="{00000000-0005-0000-0000-0000713B0000}"/>
    <cellStyle name="40 % - Markeringsfarve2 2 3 4 2 3" xfId="14246" xr:uid="{00000000-0005-0000-0000-0000723B0000}"/>
    <cellStyle name="40 % - Markeringsfarve2 2 3 4 2 3 2" xfId="32412" xr:uid="{00000000-0005-0000-0000-0000733B0000}"/>
    <cellStyle name="40 % - Markeringsfarve2 2 3 4 2 4" xfId="25410" xr:uid="{00000000-0005-0000-0000-0000743B0000}"/>
    <cellStyle name="40 % - Markeringsfarve2 2 3 4 3" xfId="5693" xr:uid="{00000000-0005-0000-0000-0000753B0000}"/>
    <cellStyle name="40 % - Markeringsfarve2 2 3 4 3 2" xfId="9457" xr:uid="{00000000-0005-0000-0000-0000763B0000}"/>
    <cellStyle name="40 % - Markeringsfarve2 2 3 4 3 2 2" xfId="17367" xr:uid="{00000000-0005-0000-0000-0000773B0000}"/>
    <cellStyle name="40 % - Markeringsfarve2 2 3 4 3 2 2 2" xfId="35527" xr:uid="{00000000-0005-0000-0000-0000783B0000}"/>
    <cellStyle name="40 % - Markeringsfarve2 2 3 4 3 2 3" xfId="28526" xr:uid="{00000000-0005-0000-0000-0000793B0000}"/>
    <cellStyle name="40 % - Markeringsfarve2 2 3 4 3 3" xfId="14247" xr:uid="{00000000-0005-0000-0000-00007A3B0000}"/>
    <cellStyle name="40 % - Markeringsfarve2 2 3 4 3 3 2" xfId="32413" xr:uid="{00000000-0005-0000-0000-00007B3B0000}"/>
    <cellStyle name="40 % - Markeringsfarve2 2 3 4 3 4" xfId="25411" xr:uid="{00000000-0005-0000-0000-00007C3B0000}"/>
    <cellStyle name="40 % - Markeringsfarve2 2 3 4 4" xfId="8042" xr:uid="{00000000-0005-0000-0000-00007D3B0000}"/>
    <cellStyle name="40 % - Markeringsfarve2 2 3 4 4 2" xfId="15960" xr:uid="{00000000-0005-0000-0000-00007E3B0000}"/>
    <cellStyle name="40 % - Markeringsfarve2 2 3 4 4 2 2" xfId="34120" xr:uid="{00000000-0005-0000-0000-00007F3B0000}"/>
    <cellStyle name="40 % - Markeringsfarve2 2 3 4 4 3" xfId="27119" xr:uid="{00000000-0005-0000-0000-0000803B0000}"/>
    <cellStyle name="40 % - Markeringsfarve2 2 3 4 5" xfId="14245" xr:uid="{00000000-0005-0000-0000-0000813B0000}"/>
    <cellStyle name="40 % - Markeringsfarve2 2 3 4 5 2" xfId="32411" xr:uid="{00000000-0005-0000-0000-0000823B0000}"/>
    <cellStyle name="40 % - Markeringsfarve2 2 3 4 6" xfId="25409" xr:uid="{00000000-0005-0000-0000-0000833B0000}"/>
    <cellStyle name="40 % - Markeringsfarve2 2 3 5" xfId="5694" xr:uid="{00000000-0005-0000-0000-0000843B0000}"/>
    <cellStyle name="40 % - Markeringsfarve2 2 3 5 2" xfId="5695" xr:uid="{00000000-0005-0000-0000-0000853B0000}"/>
    <cellStyle name="40 % - Markeringsfarve2 2 3 5 2 2" xfId="10298" xr:uid="{00000000-0005-0000-0000-0000863B0000}"/>
    <cellStyle name="40 % - Markeringsfarve2 2 3 5 2 2 2" xfId="18199" xr:uid="{00000000-0005-0000-0000-0000873B0000}"/>
    <cellStyle name="40 % - Markeringsfarve2 2 3 5 2 2 2 2" xfId="36359" xr:uid="{00000000-0005-0000-0000-0000883B0000}"/>
    <cellStyle name="40 % - Markeringsfarve2 2 3 5 2 2 3" xfId="29358" xr:uid="{00000000-0005-0000-0000-0000893B0000}"/>
    <cellStyle name="40 % - Markeringsfarve2 2 3 5 2 3" xfId="14249" xr:uid="{00000000-0005-0000-0000-00008A3B0000}"/>
    <cellStyle name="40 % - Markeringsfarve2 2 3 5 2 3 2" xfId="32415" xr:uid="{00000000-0005-0000-0000-00008B3B0000}"/>
    <cellStyle name="40 % - Markeringsfarve2 2 3 5 2 4" xfId="25413" xr:uid="{00000000-0005-0000-0000-00008C3B0000}"/>
    <cellStyle name="40 % - Markeringsfarve2 2 3 5 3" xfId="5696" xr:uid="{00000000-0005-0000-0000-00008D3B0000}"/>
    <cellStyle name="40 % - Markeringsfarve2 2 3 5 3 2" xfId="9574" xr:uid="{00000000-0005-0000-0000-00008E3B0000}"/>
    <cellStyle name="40 % - Markeringsfarve2 2 3 5 3 2 2" xfId="17484" xr:uid="{00000000-0005-0000-0000-00008F3B0000}"/>
    <cellStyle name="40 % - Markeringsfarve2 2 3 5 3 2 2 2" xfId="35644" xr:uid="{00000000-0005-0000-0000-0000903B0000}"/>
    <cellStyle name="40 % - Markeringsfarve2 2 3 5 3 2 3" xfId="28643" xr:uid="{00000000-0005-0000-0000-0000913B0000}"/>
    <cellStyle name="40 % - Markeringsfarve2 2 3 5 3 3" xfId="14250" xr:uid="{00000000-0005-0000-0000-0000923B0000}"/>
    <cellStyle name="40 % - Markeringsfarve2 2 3 5 3 3 2" xfId="32416" xr:uid="{00000000-0005-0000-0000-0000933B0000}"/>
    <cellStyle name="40 % - Markeringsfarve2 2 3 5 3 4" xfId="25414" xr:uid="{00000000-0005-0000-0000-0000943B0000}"/>
    <cellStyle name="40 % - Markeringsfarve2 2 3 5 4" xfId="8043" xr:uid="{00000000-0005-0000-0000-0000953B0000}"/>
    <cellStyle name="40 % - Markeringsfarve2 2 3 5 4 2" xfId="15961" xr:uid="{00000000-0005-0000-0000-0000963B0000}"/>
    <cellStyle name="40 % - Markeringsfarve2 2 3 5 4 2 2" xfId="34121" xr:uid="{00000000-0005-0000-0000-0000973B0000}"/>
    <cellStyle name="40 % - Markeringsfarve2 2 3 5 4 3" xfId="27120" xr:uid="{00000000-0005-0000-0000-0000983B0000}"/>
    <cellStyle name="40 % - Markeringsfarve2 2 3 5 5" xfId="14248" xr:uid="{00000000-0005-0000-0000-0000993B0000}"/>
    <cellStyle name="40 % - Markeringsfarve2 2 3 5 5 2" xfId="32414" xr:uid="{00000000-0005-0000-0000-00009A3B0000}"/>
    <cellStyle name="40 % - Markeringsfarve2 2 3 5 6" xfId="25412" xr:uid="{00000000-0005-0000-0000-00009B3B0000}"/>
    <cellStyle name="40 % - Markeringsfarve2 2 3 6" xfId="5697" xr:uid="{00000000-0005-0000-0000-00009C3B0000}"/>
    <cellStyle name="40 % - Markeringsfarve2 2 3 6 2" xfId="5698" xr:uid="{00000000-0005-0000-0000-00009D3B0000}"/>
    <cellStyle name="40 % - Markeringsfarve2 2 3 6 2 2" xfId="10374" xr:uid="{00000000-0005-0000-0000-00009E3B0000}"/>
    <cellStyle name="40 % - Markeringsfarve2 2 3 6 2 2 2" xfId="18275" xr:uid="{00000000-0005-0000-0000-00009F3B0000}"/>
    <cellStyle name="40 % - Markeringsfarve2 2 3 6 2 2 2 2" xfId="36435" xr:uid="{00000000-0005-0000-0000-0000A03B0000}"/>
    <cellStyle name="40 % - Markeringsfarve2 2 3 6 2 2 3" xfId="29434" xr:uid="{00000000-0005-0000-0000-0000A13B0000}"/>
    <cellStyle name="40 % - Markeringsfarve2 2 3 6 2 3" xfId="14252" xr:uid="{00000000-0005-0000-0000-0000A23B0000}"/>
    <cellStyle name="40 % - Markeringsfarve2 2 3 6 2 3 2" xfId="32418" xr:uid="{00000000-0005-0000-0000-0000A33B0000}"/>
    <cellStyle name="40 % - Markeringsfarve2 2 3 6 2 4" xfId="25416" xr:uid="{00000000-0005-0000-0000-0000A43B0000}"/>
    <cellStyle name="40 % - Markeringsfarve2 2 3 6 3" xfId="5699" xr:uid="{00000000-0005-0000-0000-0000A53B0000}"/>
    <cellStyle name="40 % - Markeringsfarve2 2 3 6 3 2" xfId="9651" xr:uid="{00000000-0005-0000-0000-0000A63B0000}"/>
    <cellStyle name="40 % - Markeringsfarve2 2 3 6 3 2 2" xfId="17561" xr:uid="{00000000-0005-0000-0000-0000A73B0000}"/>
    <cellStyle name="40 % - Markeringsfarve2 2 3 6 3 2 2 2" xfId="35721" xr:uid="{00000000-0005-0000-0000-0000A83B0000}"/>
    <cellStyle name="40 % - Markeringsfarve2 2 3 6 3 2 3" xfId="28720" xr:uid="{00000000-0005-0000-0000-0000A93B0000}"/>
    <cellStyle name="40 % - Markeringsfarve2 2 3 6 3 3" xfId="14253" xr:uid="{00000000-0005-0000-0000-0000AA3B0000}"/>
    <cellStyle name="40 % - Markeringsfarve2 2 3 6 3 3 2" xfId="32419" xr:uid="{00000000-0005-0000-0000-0000AB3B0000}"/>
    <cellStyle name="40 % - Markeringsfarve2 2 3 6 3 4" xfId="25417" xr:uid="{00000000-0005-0000-0000-0000AC3B0000}"/>
    <cellStyle name="40 % - Markeringsfarve2 2 3 6 4" xfId="8044" xr:uid="{00000000-0005-0000-0000-0000AD3B0000}"/>
    <cellStyle name="40 % - Markeringsfarve2 2 3 6 4 2" xfId="15962" xr:uid="{00000000-0005-0000-0000-0000AE3B0000}"/>
    <cellStyle name="40 % - Markeringsfarve2 2 3 6 4 2 2" xfId="34122" xr:uid="{00000000-0005-0000-0000-0000AF3B0000}"/>
    <cellStyle name="40 % - Markeringsfarve2 2 3 6 4 3" xfId="27121" xr:uid="{00000000-0005-0000-0000-0000B03B0000}"/>
    <cellStyle name="40 % - Markeringsfarve2 2 3 6 5" xfId="14251" xr:uid="{00000000-0005-0000-0000-0000B13B0000}"/>
    <cellStyle name="40 % - Markeringsfarve2 2 3 6 5 2" xfId="32417" xr:uid="{00000000-0005-0000-0000-0000B23B0000}"/>
    <cellStyle name="40 % - Markeringsfarve2 2 3 6 6" xfId="25415" xr:uid="{00000000-0005-0000-0000-0000B33B0000}"/>
    <cellStyle name="40 % - Markeringsfarve2 2 3 7" xfId="5700" xr:uid="{00000000-0005-0000-0000-0000B43B0000}"/>
    <cellStyle name="40 % - Markeringsfarve2 2 3 7 2" xfId="9824" xr:uid="{00000000-0005-0000-0000-0000B53B0000}"/>
    <cellStyle name="40 % - Markeringsfarve2 2 3 7 2 2" xfId="17725" xr:uid="{00000000-0005-0000-0000-0000B63B0000}"/>
    <cellStyle name="40 % - Markeringsfarve2 2 3 7 2 2 2" xfId="35885" xr:uid="{00000000-0005-0000-0000-0000B73B0000}"/>
    <cellStyle name="40 % - Markeringsfarve2 2 3 7 2 3" xfId="28884" xr:uid="{00000000-0005-0000-0000-0000B83B0000}"/>
    <cellStyle name="40 % - Markeringsfarve2 2 3 7 3" xfId="14254" xr:uid="{00000000-0005-0000-0000-0000B93B0000}"/>
    <cellStyle name="40 % - Markeringsfarve2 2 3 7 3 2" xfId="32420" xr:uid="{00000000-0005-0000-0000-0000BA3B0000}"/>
    <cellStyle name="40 % - Markeringsfarve2 2 3 7 4" xfId="25418" xr:uid="{00000000-0005-0000-0000-0000BB3B0000}"/>
    <cellStyle name="40 % - Markeringsfarve2 2 3 8" xfId="5701" xr:uid="{00000000-0005-0000-0000-0000BC3B0000}"/>
    <cellStyle name="40 % - Markeringsfarve2 2 3 8 2" xfId="9052" xr:uid="{00000000-0005-0000-0000-0000BD3B0000}"/>
    <cellStyle name="40 % - Markeringsfarve2 2 3 8 2 2" xfId="16963" xr:uid="{00000000-0005-0000-0000-0000BE3B0000}"/>
    <cellStyle name="40 % - Markeringsfarve2 2 3 8 2 2 2" xfId="35123" xr:uid="{00000000-0005-0000-0000-0000BF3B0000}"/>
    <cellStyle name="40 % - Markeringsfarve2 2 3 8 2 3" xfId="28122" xr:uid="{00000000-0005-0000-0000-0000C03B0000}"/>
    <cellStyle name="40 % - Markeringsfarve2 2 3 8 3" xfId="14255" xr:uid="{00000000-0005-0000-0000-0000C13B0000}"/>
    <cellStyle name="40 % - Markeringsfarve2 2 3 8 3 2" xfId="32421" xr:uid="{00000000-0005-0000-0000-0000C23B0000}"/>
    <cellStyle name="40 % - Markeringsfarve2 2 3 8 4" xfId="25419" xr:uid="{00000000-0005-0000-0000-0000C33B0000}"/>
    <cellStyle name="40 % - Markeringsfarve2 2 3 9" xfId="8039" xr:uid="{00000000-0005-0000-0000-0000C43B0000}"/>
    <cellStyle name="40 % - Markeringsfarve2 2 3 9 2" xfId="15957" xr:uid="{00000000-0005-0000-0000-0000C53B0000}"/>
    <cellStyle name="40 % - Markeringsfarve2 2 3 9 2 2" xfId="34117" xr:uid="{00000000-0005-0000-0000-0000C63B0000}"/>
    <cellStyle name="40 % - Markeringsfarve2 2 3 9 3" xfId="27116" xr:uid="{00000000-0005-0000-0000-0000C73B0000}"/>
    <cellStyle name="40 % - Markeringsfarve2 2 4" xfId="1887" xr:uid="{00000000-0005-0000-0000-0000C83B0000}"/>
    <cellStyle name="40 % - Markeringsfarve2 2 4 2" xfId="5703" xr:uid="{00000000-0005-0000-0000-0000C93B0000}"/>
    <cellStyle name="40 % - Markeringsfarve2 2 4 2 2" xfId="9865" xr:uid="{00000000-0005-0000-0000-0000CA3B0000}"/>
    <cellStyle name="40 % - Markeringsfarve2 2 4 2 2 2" xfId="17766" xr:uid="{00000000-0005-0000-0000-0000CB3B0000}"/>
    <cellStyle name="40 % - Markeringsfarve2 2 4 2 2 2 2" xfId="35926" xr:uid="{00000000-0005-0000-0000-0000CC3B0000}"/>
    <cellStyle name="40 % - Markeringsfarve2 2 4 2 2 3" xfId="28925" xr:uid="{00000000-0005-0000-0000-0000CD3B0000}"/>
    <cellStyle name="40 % - Markeringsfarve2 2 4 2 3" xfId="14257" xr:uid="{00000000-0005-0000-0000-0000CE3B0000}"/>
    <cellStyle name="40 % - Markeringsfarve2 2 4 2 3 2" xfId="32423" xr:uid="{00000000-0005-0000-0000-0000CF3B0000}"/>
    <cellStyle name="40 % - Markeringsfarve2 2 4 2 4" xfId="25421" xr:uid="{00000000-0005-0000-0000-0000D03B0000}"/>
    <cellStyle name="40 % - Markeringsfarve2 2 4 3" xfId="5704" xr:uid="{00000000-0005-0000-0000-0000D13B0000}"/>
    <cellStyle name="40 % - Markeringsfarve2 2 4 3 2" xfId="9095" xr:uid="{00000000-0005-0000-0000-0000D23B0000}"/>
    <cellStyle name="40 % - Markeringsfarve2 2 4 3 2 2" xfId="17006" xr:uid="{00000000-0005-0000-0000-0000D33B0000}"/>
    <cellStyle name="40 % - Markeringsfarve2 2 4 3 2 2 2" xfId="35166" xr:uid="{00000000-0005-0000-0000-0000D43B0000}"/>
    <cellStyle name="40 % - Markeringsfarve2 2 4 3 2 3" xfId="28165" xr:uid="{00000000-0005-0000-0000-0000D53B0000}"/>
    <cellStyle name="40 % - Markeringsfarve2 2 4 3 3" xfId="14258" xr:uid="{00000000-0005-0000-0000-0000D63B0000}"/>
    <cellStyle name="40 % - Markeringsfarve2 2 4 3 3 2" xfId="32424" xr:uid="{00000000-0005-0000-0000-0000D73B0000}"/>
    <cellStyle name="40 % - Markeringsfarve2 2 4 3 4" xfId="25422" xr:uid="{00000000-0005-0000-0000-0000D83B0000}"/>
    <cellStyle name="40 % - Markeringsfarve2 2 4 4" xfId="8045" xr:uid="{00000000-0005-0000-0000-0000D93B0000}"/>
    <cellStyle name="40 % - Markeringsfarve2 2 4 4 2" xfId="15963" xr:uid="{00000000-0005-0000-0000-0000DA3B0000}"/>
    <cellStyle name="40 % - Markeringsfarve2 2 4 4 2 2" xfId="34123" xr:uid="{00000000-0005-0000-0000-0000DB3B0000}"/>
    <cellStyle name="40 % - Markeringsfarve2 2 4 4 3" xfId="27122" xr:uid="{00000000-0005-0000-0000-0000DC3B0000}"/>
    <cellStyle name="40 % - Markeringsfarve2 2 4 5" xfId="14256" xr:uid="{00000000-0005-0000-0000-0000DD3B0000}"/>
    <cellStyle name="40 % - Markeringsfarve2 2 4 5 2" xfId="32422" xr:uid="{00000000-0005-0000-0000-0000DE3B0000}"/>
    <cellStyle name="40 % - Markeringsfarve2 2 4 6" xfId="5702" xr:uid="{00000000-0005-0000-0000-0000DF3B0000}"/>
    <cellStyle name="40 % - Markeringsfarve2 2 4 6 2" xfId="25420" xr:uid="{00000000-0005-0000-0000-0000E03B0000}"/>
    <cellStyle name="40 % - Markeringsfarve2 2 4 7" xfId="22005" xr:uid="{00000000-0005-0000-0000-0000E13B0000}"/>
    <cellStyle name="40 % - Markeringsfarve2 2 5" xfId="5705" xr:uid="{00000000-0005-0000-0000-0000E23B0000}"/>
    <cellStyle name="40 % - Markeringsfarve2 2 5 2" xfId="5706" xr:uid="{00000000-0005-0000-0000-0000E33B0000}"/>
    <cellStyle name="40 % - Markeringsfarve2 2 5 2 2" xfId="10018" xr:uid="{00000000-0005-0000-0000-0000E43B0000}"/>
    <cellStyle name="40 % - Markeringsfarve2 2 5 2 2 2" xfId="17919" xr:uid="{00000000-0005-0000-0000-0000E53B0000}"/>
    <cellStyle name="40 % - Markeringsfarve2 2 5 2 2 2 2" xfId="36079" xr:uid="{00000000-0005-0000-0000-0000E63B0000}"/>
    <cellStyle name="40 % - Markeringsfarve2 2 5 2 2 3" xfId="29078" xr:uid="{00000000-0005-0000-0000-0000E73B0000}"/>
    <cellStyle name="40 % - Markeringsfarve2 2 5 2 3" xfId="14260" xr:uid="{00000000-0005-0000-0000-0000E83B0000}"/>
    <cellStyle name="40 % - Markeringsfarve2 2 5 2 3 2" xfId="32426" xr:uid="{00000000-0005-0000-0000-0000E93B0000}"/>
    <cellStyle name="40 % - Markeringsfarve2 2 5 2 4" xfId="25424" xr:uid="{00000000-0005-0000-0000-0000EA3B0000}"/>
    <cellStyle name="40 % - Markeringsfarve2 2 5 3" xfId="5707" xr:uid="{00000000-0005-0000-0000-0000EB3B0000}"/>
    <cellStyle name="40 % - Markeringsfarve2 2 5 3 2" xfId="9248" xr:uid="{00000000-0005-0000-0000-0000EC3B0000}"/>
    <cellStyle name="40 % - Markeringsfarve2 2 5 3 2 2" xfId="17159" xr:uid="{00000000-0005-0000-0000-0000ED3B0000}"/>
    <cellStyle name="40 % - Markeringsfarve2 2 5 3 2 2 2" xfId="35319" xr:uid="{00000000-0005-0000-0000-0000EE3B0000}"/>
    <cellStyle name="40 % - Markeringsfarve2 2 5 3 2 3" xfId="28318" xr:uid="{00000000-0005-0000-0000-0000EF3B0000}"/>
    <cellStyle name="40 % - Markeringsfarve2 2 5 3 3" xfId="14261" xr:uid="{00000000-0005-0000-0000-0000F03B0000}"/>
    <cellStyle name="40 % - Markeringsfarve2 2 5 3 3 2" xfId="32427" xr:uid="{00000000-0005-0000-0000-0000F13B0000}"/>
    <cellStyle name="40 % - Markeringsfarve2 2 5 3 4" xfId="25425" xr:uid="{00000000-0005-0000-0000-0000F23B0000}"/>
    <cellStyle name="40 % - Markeringsfarve2 2 5 4" xfId="8046" xr:uid="{00000000-0005-0000-0000-0000F33B0000}"/>
    <cellStyle name="40 % - Markeringsfarve2 2 5 4 2" xfId="15964" xr:uid="{00000000-0005-0000-0000-0000F43B0000}"/>
    <cellStyle name="40 % - Markeringsfarve2 2 5 4 2 2" xfId="34124" xr:uid="{00000000-0005-0000-0000-0000F53B0000}"/>
    <cellStyle name="40 % - Markeringsfarve2 2 5 4 3" xfId="27123" xr:uid="{00000000-0005-0000-0000-0000F63B0000}"/>
    <cellStyle name="40 % - Markeringsfarve2 2 5 5" xfId="14259" xr:uid="{00000000-0005-0000-0000-0000F73B0000}"/>
    <cellStyle name="40 % - Markeringsfarve2 2 5 5 2" xfId="32425" xr:uid="{00000000-0005-0000-0000-0000F83B0000}"/>
    <cellStyle name="40 % - Markeringsfarve2 2 5 6" xfId="25423" xr:uid="{00000000-0005-0000-0000-0000F93B0000}"/>
    <cellStyle name="40 % - Markeringsfarve2 2 6" xfId="5708" xr:uid="{00000000-0005-0000-0000-0000FA3B0000}"/>
    <cellStyle name="40 % - Markeringsfarve2 2 6 2" xfId="5709" xr:uid="{00000000-0005-0000-0000-0000FB3B0000}"/>
    <cellStyle name="40 % - Markeringsfarve2 2 6 2 2" xfId="10103" xr:uid="{00000000-0005-0000-0000-0000FC3B0000}"/>
    <cellStyle name="40 % - Markeringsfarve2 2 6 2 2 2" xfId="18004" xr:uid="{00000000-0005-0000-0000-0000FD3B0000}"/>
    <cellStyle name="40 % - Markeringsfarve2 2 6 2 2 2 2" xfId="36164" xr:uid="{00000000-0005-0000-0000-0000FE3B0000}"/>
    <cellStyle name="40 % - Markeringsfarve2 2 6 2 2 3" xfId="29163" xr:uid="{00000000-0005-0000-0000-0000FF3B0000}"/>
    <cellStyle name="40 % - Markeringsfarve2 2 6 2 3" xfId="14263" xr:uid="{00000000-0005-0000-0000-0000003C0000}"/>
    <cellStyle name="40 % - Markeringsfarve2 2 6 2 3 2" xfId="32429" xr:uid="{00000000-0005-0000-0000-0000013C0000}"/>
    <cellStyle name="40 % - Markeringsfarve2 2 6 2 4" xfId="25427" xr:uid="{00000000-0005-0000-0000-0000023C0000}"/>
    <cellStyle name="40 % - Markeringsfarve2 2 6 3" xfId="5710" xr:uid="{00000000-0005-0000-0000-0000033C0000}"/>
    <cellStyle name="40 % - Markeringsfarve2 2 6 3 2" xfId="9379" xr:uid="{00000000-0005-0000-0000-0000043C0000}"/>
    <cellStyle name="40 % - Markeringsfarve2 2 6 3 2 2" xfId="17289" xr:uid="{00000000-0005-0000-0000-0000053C0000}"/>
    <cellStyle name="40 % - Markeringsfarve2 2 6 3 2 2 2" xfId="35449" xr:uid="{00000000-0005-0000-0000-0000063C0000}"/>
    <cellStyle name="40 % - Markeringsfarve2 2 6 3 2 3" xfId="28448" xr:uid="{00000000-0005-0000-0000-0000073C0000}"/>
    <cellStyle name="40 % - Markeringsfarve2 2 6 3 3" xfId="14264" xr:uid="{00000000-0005-0000-0000-0000083C0000}"/>
    <cellStyle name="40 % - Markeringsfarve2 2 6 3 3 2" xfId="32430" xr:uid="{00000000-0005-0000-0000-0000093C0000}"/>
    <cellStyle name="40 % - Markeringsfarve2 2 6 3 4" xfId="25428" xr:uid="{00000000-0005-0000-0000-00000A3C0000}"/>
    <cellStyle name="40 % - Markeringsfarve2 2 6 4" xfId="8047" xr:uid="{00000000-0005-0000-0000-00000B3C0000}"/>
    <cellStyle name="40 % - Markeringsfarve2 2 6 4 2" xfId="15965" xr:uid="{00000000-0005-0000-0000-00000C3C0000}"/>
    <cellStyle name="40 % - Markeringsfarve2 2 6 4 2 2" xfId="34125" xr:uid="{00000000-0005-0000-0000-00000D3C0000}"/>
    <cellStyle name="40 % - Markeringsfarve2 2 6 4 3" xfId="27124" xr:uid="{00000000-0005-0000-0000-00000E3C0000}"/>
    <cellStyle name="40 % - Markeringsfarve2 2 6 5" xfId="14262" xr:uid="{00000000-0005-0000-0000-00000F3C0000}"/>
    <cellStyle name="40 % - Markeringsfarve2 2 6 5 2" xfId="32428" xr:uid="{00000000-0005-0000-0000-0000103C0000}"/>
    <cellStyle name="40 % - Markeringsfarve2 2 6 6" xfId="25426" xr:uid="{00000000-0005-0000-0000-0000113C0000}"/>
    <cellStyle name="40 % - Markeringsfarve2 2 7" xfId="5711" xr:uid="{00000000-0005-0000-0000-0000123C0000}"/>
    <cellStyle name="40 % - Markeringsfarve2 2 7 2" xfId="5712" xr:uid="{00000000-0005-0000-0000-0000133C0000}"/>
    <cellStyle name="40 % - Markeringsfarve2 2 7 2 2" xfId="10220" xr:uid="{00000000-0005-0000-0000-0000143C0000}"/>
    <cellStyle name="40 % - Markeringsfarve2 2 7 2 2 2" xfId="18121" xr:uid="{00000000-0005-0000-0000-0000153C0000}"/>
    <cellStyle name="40 % - Markeringsfarve2 2 7 2 2 2 2" xfId="36281" xr:uid="{00000000-0005-0000-0000-0000163C0000}"/>
    <cellStyle name="40 % - Markeringsfarve2 2 7 2 2 3" xfId="29280" xr:uid="{00000000-0005-0000-0000-0000173C0000}"/>
    <cellStyle name="40 % - Markeringsfarve2 2 7 2 3" xfId="14266" xr:uid="{00000000-0005-0000-0000-0000183C0000}"/>
    <cellStyle name="40 % - Markeringsfarve2 2 7 2 3 2" xfId="32432" xr:uid="{00000000-0005-0000-0000-0000193C0000}"/>
    <cellStyle name="40 % - Markeringsfarve2 2 7 2 4" xfId="25430" xr:uid="{00000000-0005-0000-0000-00001A3C0000}"/>
    <cellStyle name="40 % - Markeringsfarve2 2 7 3" xfId="5713" xr:uid="{00000000-0005-0000-0000-00001B3C0000}"/>
    <cellStyle name="40 % - Markeringsfarve2 2 7 3 2" xfId="9496" xr:uid="{00000000-0005-0000-0000-00001C3C0000}"/>
    <cellStyle name="40 % - Markeringsfarve2 2 7 3 2 2" xfId="17406" xr:uid="{00000000-0005-0000-0000-00001D3C0000}"/>
    <cellStyle name="40 % - Markeringsfarve2 2 7 3 2 2 2" xfId="35566" xr:uid="{00000000-0005-0000-0000-00001E3C0000}"/>
    <cellStyle name="40 % - Markeringsfarve2 2 7 3 2 3" xfId="28565" xr:uid="{00000000-0005-0000-0000-00001F3C0000}"/>
    <cellStyle name="40 % - Markeringsfarve2 2 7 3 3" xfId="14267" xr:uid="{00000000-0005-0000-0000-0000203C0000}"/>
    <cellStyle name="40 % - Markeringsfarve2 2 7 3 3 2" xfId="32433" xr:uid="{00000000-0005-0000-0000-0000213C0000}"/>
    <cellStyle name="40 % - Markeringsfarve2 2 7 3 4" xfId="25431" xr:uid="{00000000-0005-0000-0000-0000223C0000}"/>
    <cellStyle name="40 % - Markeringsfarve2 2 7 4" xfId="8048" xr:uid="{00000000-0005-0000-0000-0000233C0000}"/>
    <cellStyle name="40 % - Markeringsfarve2 2 7 4 2" xfId="15966" xr:uid="{00000000-0005-0000-0000-0000243C0000}"/>
    <cellStyle name="40 % - Markeringsfarve2 2 7 4 2 2" xfId="34126" xr:uid="{00000000-0005-0000-0000-0000253C0000}"/>
    <cellStyle name="40 % - Markeringsfarve2 2 7 4 3" xfId="27125" xr:uid="{00000000-0005-0000-0000-0000263C0000}"/>
    <cellStyle name="40 % - Markeringsfarve2 2 7 5" xfId="14265" xr:uid="{00000000-0005-0000-0000-0000273C0000}"/>
    <cellStyle name="40 % - Markeringsfarve2 2 7 5 2" xfId="32431" xr:uid="{00000000-0005-0000-0000-0000283C0000}"/>
    <cellStyle name="40 % - Markeringsfarve2 2 7 6" xfId="25429" xr:uid="{00000000-0005-0000-0000-0000293C0000}"/>
    <cellStyle name="40 % - Markeringsfarve2 2 8" xfId="5714" xr:uid="{00000000-0005-0000-0000-00002A3C0000}"/>
    <cellStyle name="40 % - Markeringsfarve2 2 8 2" xfId="5715" xr:uid="{00000000-0005-0000-0000-00002B3C0000}"/>
    <cellStyle name="40 % - Markeringsfarve2 2 8 2 2" xfId="10372" xr:uid="{00000000-0005-0000-0000-00002C3C0000}"/>
    <cellStyle name="40 % - Markeringsfarve2 2 8 2 2 2" xfId="18273" xr:uid="{00000000-0005-0000-0000-00002D3C0000}"/>
    <cellStyle name="40 % - Markeringsfarve2 2 8 2 2 2 2" xfId="36433" xr:uid="{00000000-0005-0000-0000-00002E3C0000}"/>
    <cellStyle name="40 % - Markeringsfarve2 2 8 2 2 3" xfId="29432" xr:uid="{00000000-0005-0000-0000-00002F3C0000}"/>
    <cellStyle name="40 % - Markeringsfarve2 2 8 2 3" xfId="14269" xr:uid="{00000000-0005-0000-0000-0000303C0000}"/>
    <cellStyle name="40 % - Markeringsfarve2 2 8 2 3 2" xfId="32435" xr:uid="{00000000-0005-0000-0000-0000313C0000}"/>
    <cellStyle name="40 % - Markeringsfarve2 2 8 2 4" xfId="25433" xr:uid="{00000000-0005-0000-0000-0000323C0000}"/>
    <cellStyle name="40 % - Markeringsfarve2 2 8 3" xfId="5716" xr:uid="{00000000-0005-0000-0000-0000333C0000}"/>
    <cellStyle name="40 % - Markeringsfarve2 2 8 3 2" xfId="9649" xr:uid="{00000000-0005-0000-0000-0000343C0000}"/>
    <cellStyle name="40 % - Markeringsfarve2 2 8 3 2 2" xfId="17559" xr:uid="{00000000-0005-0000-0000-0000353C0000}"/>
    <cellStyle name="40 % - Markeringsfarve2 2 8 3 2 2 2" xfId="35719" xr:uid="{00000000-0005-0000-0000-0000363C0000}"/>
    <cellStyle name="40 % - Markeringsfarve2 2 8 3 2 3" xfId="28718" xr:uid="{00000000-0005-0000-0000-0000373C0000}"/>
    <cellStyle name="40 % - Markeringsfarve2 2 8 3 3" xfId="14270" xr:uid="{00000000-0005-0000-0000-0000383C0000}"/>
    <cellStyle name="40 % - Markeringsfarve2 2 8 3 3 2" xfId="32436" xr:uid="{00000000-0005-0000-0000-0000393C0000}"/>
    <cellStyle name="40 % - Markeringsfarve2 2 8 3 4" xfId="25434" xr:uid="{00000000-0005-0000-0000-00003A3C0000}"/>
    <cellStyle name="40 % - Markeringsfarve2 2 8 4" xfId="8049" xr:uid="{00000000-0005-0000-0000-00003B3C0000}"/>
    <cellStyle name="40 % - Markeringsfarve2 2 8 4 2" xfId="15967" xr:uid="{00000000-0005-0000-0000-00003C3C0000}"/>
    <cellStyle name="40 % - Markeringsfarve2 2 8 4 2 2" xfId="34127" xr:uid="{00000000-0005-0000-0000-00003D3C0000}"/>
    <cellStyle name="40 % - Markeringsfarve2 2 8 4 3" xfId="27126" xr:uid="{00000000-0005-0000-0000-00003E3C0000}"/>
    <cellStyle name="40 % - Markeringsfarve2 2 8 5" xfId="14268" xr:uid="{00000000-0005-0000-0000-00003F3C0000}"/>
    <cellStyle name="40 % - Markeringsfarve2 2 8 5 2" xfId="32434" xr:uid="{00000000-0005-0000-0000-0000403C0000}"/>
    <cellStyle name="40 % - Markeringsfarve2 2 8 6" xfId="25432" xr:uid="{00000000-0005-0000-0000-0000413C0000}"/>
    <cellStyle name="40 % - Markeringsfarve2 2 9" xfId="5717" xr:uid="{00000000-0005-0000-0000-0000423C0000}"/>
    <cellStyle name="40 % - Markeringsfarve2 2 9 2" xfId="9746" xr:uid="{00000000-0005-0000-0000-0000433C0000}"/>
    <cellStyle name="40 % - Markeringsfarve2 2 9 2 2" xfId="17647" xr:uid="{00000000-0005-0000-0000-0000443C0000}"/>
    <cellStyle name="40 % - Markeringsfarve2 2 9 2 2 2" xfId="35807" xr:uid="{00000000-0005-0000-0000-0000453C0000}"/>
    <cellStyle name="40 % - Markeringsfarve2 2 9 2 3" xfId="28806" xr:uid="{00000000-0005-0000-0000-0000463C0000}"/>
    <cellStyle name="40 % - Markeringsfarve2 2 9 3" xfId="14271" xr:uid="{00000000-0005-0000-0000-0000473C0000}"/>
    <cellStyle name="40 % - Markeringsfarve2 2 9 3 2" xfId="32437" xr:uid="{00000000-0005-0000-0000-0000483C0000}"/>
    <cellStyle name="40 % - Markeringsfarve2 2 9 4" xfId="25435" xr:uid="{00000000-0005-0000-0000-0000493C0000}"/>
    <cellStyle name="40 % - Markeringsfarve2 3" xfId="1888" xr:uid="{00000000-0005-0000-0000-00004A3C0000}"/>
    <cellStyle name="40 % - Markeringsfarve2 3 10" xfId="5719" xr:uid="{00000000-0005-0000-0000-00004B3C0000}"/>
    <cellStyle name="40 % - Markeringsfarve2 3 10 2" xfId="8959" xr:uid="{00000000-0005-0000-0000-00004C3C0000}"/>
    <cellStyle name="40 % - Markeringsfarve2 3 10 2 2" xfId="16871" xr:uid="{00000000-0005-0000-0000-00004D3C0000}"/>
    <cellStyle name="40 % - Markeringsfarve2 3 10 2 2 2" xfId="35031" xr:uid="{00000000-0005-0000-0000-00004E3C0000}"/>
    <cellStyle name="40 % - Markeringsfarve2 3 10 2 3" xfId="28030" xr:uid="{00000000-0005-0000-0000-00004F3C0000}"/>
    <cellStyle name="40 % - Markeringsfarve2 3 10 3" xfId="14273" xr:uid="{00000000-0005-0000-0000-0000503C0000}"/>
    <cellStyle name="40 % - Markeringsfarve2 3 10 3 2" xfId="32439" xr:uid="{00000000-0005-0000-0000-0000513C0000}"/>
    <cellStyle name="40 % - Markeringsfarve2 3 10 4" xfId="25437" xr:uid="{00000000-0005-0000-0000-0000523C0000}"/>
    <cellStyle name="40 % - Markeringsfarve2 3 11" xfId="8050" xr:uid="{00000000-0005-0000-0000-0000533C0000}"/>
    <cellStyle name="40 % - Markeringsfarve2 3 11 2" xfId="15968" xr:uid="{00000000-0005-0000-0000-0000543C0000}"/>
    <cellStyle name="40 % - Markeringsfarve2 3 11 2 2" xfId="34128" xr:uid="{00000000-0005-0000-0000-0000553C0000}"/>
    <cellStyle name="40 % - Markeringsfarve2 3 11 3" xfId="27127" xr:uid="{00000000-0005-0000-0000-0000563C0000}"/>
    <cellStyle name="40 % - Markeringsfarve2 3 12" xfId="14272" xr:uid="{00000000-0005-0000-0000-0000573C0000}"/>
    <cellStyle name="40 % - Markeringsfarve2 3 12 2" xfId="32438" xr:uid="{00000000-0005-0000-0000-0000583C0000}"/>
    <cellStyle name="40 % - Markeringsfarve2 3 13" xfId="5718" xr:uid="{00000000-0005-0000-0000-0000593C0000}"/>
    <cellStyle name="40 % - Markeringsfarve2 3 13 2" xfId="25436" xr:uid="{00000000-0005-0000-0000-00005A3C0000}"/>
    <cellStyle name="40 % - Markeringsfarve2 3 14" xfId="22006" xr:uid="{00000000-0005-0000-0000-00005B3C0000}"/>
    <cellStyle name="40 % - Markeringsfarve2 3 2" xfId="1889" xr:uid="{00000000-0005-0000-0000-00005C3C0000}"/>
    <cellStyle name="40 % - Markeringsfarve2 3 2 10" xfId="14274" xr:uid="{00000000-0005-0000-0000-00005D3C0000}"/>
    <cellStyle name="40 % - Markeringsfarve2 3 2 10 2" xfId="32440" xr:uid="{00000000-0005-0000-0000-00005E3C0000}"/>
    <cellStyle name="40 % - Markeringsfarve2 3 2 11" xfId="5720" xr:uid="{00000000-0005-0000-0000-00005F3C0000}"/>
    <cellStyle name="40 % - Markeringsfarve2 3 2 11 2" xfId="25438" xr:uid="{00000000-0005-0000-0000-0000603C0000}"/>
    <cellStyle name="40 % - Markeringsfarve2 3 2 12" xfId="22007" xr:uid="{00000000-0005-0000-0000-0000613C0000}"/>
    <cellStyle name="40 % - Markeringsfarve2 3 2 2" xfId="5721" xr:uid="{00000000-0005-0000-0000-0000623C0000}"/>
    <cellStyle name="40 % - Markeringsfarve2 3 2 2 2" xfId="5722" xr:uid="{00000000-0005-0000-0000-0000633C0000}"/>
    <cellStyle name="40 % - Markeringsfarve2 3 2 2 2 2" xfId="9892" xr:uid="{00000000-0005-0000-0000-0000643C0000}"/>
    <cellStyle name="40 % - Markeringsfarve2 3 2 2 2 2 2" xfId="17793" xr:uid="{00000000-0005-0000-0000-0000653C0000}"/>
    <cellStyle name="40 % - Markeringsfarve2 3 2 2 2 2 2 2" xfId="35953" xr:uid="{00000000-0005-0000-0000-0000663C0000}"/>
    <cellStyle name="40 % - Markeringsfarve2 3 2 2 2 2 3" xfId="28952" xr:uid="{00000000-0005-0000-0000-0000673C0000}"/>
    <cellStyle name="40 % - Markeringsfarve2 3 2 2 2 3" xfId="14276" xr:uid="{00000000-0005-0000-0000-0000683C0000}"/>
    <cellStyle name="40 % - Markeringsfarve2 3 2 2 2 3 2" xfId="32442" xr:uid="{00000000-0005-0000-0000-0000693C0000}"/>
    <cellStyle name="40 % - Markeringsfarve2 3 2 2 2 4" xfId="25440" xr:uid="{00000000-0005-0000-0000-00006A3C0000}"/>
    <cellStyle name="40 % - Markeringsfarve2 3 2 2 3" xfId="5723" xr:uid="{00000000-0005-0000-0000-00006B3C0000}"/>
    <cellStyle name="40 % - Markeringsfarve2 3 2 2 3 2" xfId="9122" xr:uid="{00000000-0005-0000-0000-00006C3C0000}"/>
    <cellStyle name="40 % - Markeringsfarve2 3 2 2 3 2 2" xfId="17033" xr:uid="{00000000-0005-0000-0000-00006D3C0000}"/>
    <cellStyle name="40 % - Markeringsfarve2 3 2 2 3 2 2 2" xfId="35193" xr:uid="{00000000-0005-0000-0000-00006E3C0000}"/>
    <cellStyle name="40 % - Markeringsfarve2 3 2 2 3 2 3" xfId="28192" xr:uid="{00000000-0005-0000-0000-00006F3C0000}"/>
    <cellStyle name="40 % - Markeringsfarve2 3 2 2 3 3" xfId="14277" xr:uid="{00000000-0005-0000-0000-0000703C0000}"/>
    <cellStyle name="40 % - Markeringsfarve2 3 2 2 3 3 2" xfId="32443" xr:uid="{00000000-0005-0000-0000-0000713C0000}"/>
    <cellStyle name="40 % - Markeringsfarve2 3 2 2 3 4" xfId="25441" xr:uid="{00000000-0005-0000-0000-0000723C0000}"/>
    <cellStyle name="40 % - Markeringsfarve2 3 2 2 4" xfId="8052" xr:uid="{00000000-0005-0000-0000-0000733C0000}"/>
    <cellStyle name="40 % - Markeringsfarve2 3 2 2 4 2" xfId="15970" xr:uid="{00000000-0005-0000-0000-0000743C0000}"/>
    <cellStyle name="40 % - Markeringsfarve2 3 2 2 4 2 2" xfId="34130" xr:uid="{00000000-0005-0000-0000-0000753C0000}"/>
    <cellStyle name="40 % - Markeringsfarve2 3 2 2 4 3" xfId="27129" xr:uid="{00000000-0005-0000-0000-0000763C0000}"/>
    <cellStyle name="40 % - Markeringsfarve2 3 2 2 5" xfId="14275" xr:uid="{00000000-0005-0000-0000-0000773C0000}"/>
    <cellStyle name="40 % - Markeringsfarve2 3 2 2 5 2" xfId="32441" xr:uid="{00000000-0005-0000-0000-0000783C0000}"/>
    <cellStyle name="40 % - Markeringsfarve2 3 2 2 6" xfId="25439" xr:uid="{00000000-0005-0000-0000-0000793C0000}"/>
    <cellStyle name="40 % - Markeringsfarve2 3 2 3" xfId="5724" xr:uid="{00000000-0005-0000-0000-00007A3C0000}"/>
    <cellStyle name="40 % - Markeringsfarve2 3 2 3 2" xfId="5725" xr:uid="{00000000-0005-0000-0000-00007B3C0000}"/>
    <cellStyle name="40 % - Markeringsfarve2 3 2 3 2 2" xfId="10022" xr:uid="{00000000-0005-0000-0000-00007C3C0000}"/>
    <cellStyle name="40 % - Markeringsfarve2 3 2 3 2 2 2" xfId="17923" xr:uid="{00000000-0005-0000-0000-00007D3C0000}"/>
    <cellStyle name="40 % - Markeringsfarve2 3 2 3 2 2 2 2" xfId="36083" xr:uid="{00000000-0005-0000-0000-00007E3C0000}"/>
    <cellStyle name="40 % - Markeringsfarve2 3 2 3 2 2 3" xfId="29082" xr:uid="{00000000-0005-0000-0000-00007F3C0000}"/>
    <cellStyle name="40 % - Markeringsfarve2 3 2 3 2 3" xfId="14279" xr:uid="{00000000-0005-0000-0000-0000803C0000}"/>
    <cellStyle name="40 % - Markeringsfarve2 3 2 3 2 3 2" xfId="32445" xr:uid="{00000000-0005-0000-0000-0000813C0000}"/>
    <cellStyle name="40 % - Markeringsfarve2 3 2 3 2 4" xfId="25443" xr:uid="{00000000-0005-0000-0000-0000823C0000}"/>
    <cellStyle name="40 % - Markeringsfarve2 3 2 3 3" xfId="5726" xr:uid="{00000000-0005-0000-0000-0000833C0000}"/>
    <cellStyle name="40 % - Markeringsfarve2 3 2 3 3 2" xfId="9252" xr:uid="{00000000-0005-0000-0000-0000843C0000}"/>
    <cellStyle name="40 % - Markeringsfarve2 3 2 3 3 2 2" xfId="17163" xr:uid="{00000000-0005-0000-0000-0000853C0000}"/>
    <cellStyle name="40 % - Markeringsfarve2 3 2 3 3 2 2 2" xfId="35323" xr:uid="{00000000-0005-0000-0000-0000863C0000}"/>
    <cellStyle name="40 % - Markeringsfarve2 3 2 3 3 2 3" xfId="28322" xr:uid="{00000000-0005-0000-0000-0000873C0000}"/>
    <cellStyle name="40 % - Markeringsfarve2 3 2 3 3 3" xfId="14280" xr:uid="{00000000-0005-0000-0000-0000883C0000}"/>
    <cellStyle name="40 % - Markeringsfarve2 3 2 3 3 3 2" xfId="32446" xr:uid="{00000000-0005-0000-0000-0000893C0000}"/>
    <cellStyle name="40 % - Markeringsfarve2 3 2 3 3 4" xfId="25444" xr:uid="{00000000-0005-0000-0000-00008A3C0000}"/>
    <cellStyle name="40 % - Markeringsfarve2 3 2 3 4" xfId="8053" xr:uid="{00000000-0005-0000-0000-00008B3C0000}"/>
    <cellStyle name="40 % - Markeringsfarve2 3 2 3 4 2" xfId="15971" xr:uid="{00000000-0005-0000-0000-00008C3C0000}"/>
    <cellStyle name="40 % - Markeringsfarve2 3 2 3 4 2 2" xfId="34131" xr:uid="{00000000-0005-0000-0000-00008D3C0000}"/>
    <cellStyle name="40 % - Markeringsfarve2 3 2 3 4 3" xfId="27130" xr:uid="{00000000-0005-0000-0000-00008E3C0000}"/>
    <cellStyle name="40 % - Markeringsfarve2 3 2 3 5" xfId="14278" xr:uid="{00000000-0005-0000-0000-00008F3C0000}"/>
    <cellStyle name="40 % - Markeringsfarve2 3 2 3 5 2" xfId="32444" xr:uid="{00000000-0005-0000-0000-0000903C0000}"/>
    <cellStyle name="40 % - Markeringsfarve2 3 2 3 6" xfId="25442" xr:uid="{00000000-0005-0000-0000-0000913C0000}"/>
    <cellStyle name="40 % - Markeringsfarve2 3 2 4" xfId="5727" xr:uid="{00000000-0005-0000-0000-0000923C0000}"/>
    <cellStyle name="40 % - Markeringsfarve2 3 2 4 2" xfId="5728" xr:uid="{00000000-0005-0000-0000-0000933C0000}"/>
    <cellStyle name="40 % - Markeringsfarve2 3 2 4 2 2" xfId="10130" xr:uid="{00000000-0005-0000-0000-0000943C0000}"/>
    <cellStyle name="40 % - Markeringsfarve2 3 2 4 2 2 2" xfId="18031" xr:uid="{00000000-0005-0000-0000-0000953C0000}"/>
    <cellStyle name="40 % - Markeringsfarve2 3 2 4 2 2 2 2" xfId="36191" xr:uid="{00000000-0005-0000-0000-0000963C0000}"/>
    <cellStyle name="40 % - Markeringsfarve2 3 2 4 2 2 3" xfId="29190" xr:uid="{00000000-0005-0000-0000-0000973C0000}"/>
    <cellStyle name="40 % - Markeringsfarve2 3 2 4 2 3" xfId="14282" xr:uid="{00000000-0005-0000-0000-0000983C0000}"/>
    <cellStyle name="40 % - Markeringsfarve2 3 2 4 2 3 2" xfId="32448" xr:uid="{00000000-0005-0000-0000-0000993C0000}"/>
    <cellStyle name="40 % - Markeringsfarve2 3 2 4 2 4" xfId="25446" xr:uid="{00000000-0005-0000-0000-00009A3C0000}"/>
    <cellStyle name="40 % - Markeringsfarve2 3 2 4 3" xfId="5729" xr:uid="{00000000-0005-0000-0000-00009B3C0000}"/>
    <cellStyle name="40 % - Markeringsfarve2 3 2 4 3 2" xfId="9406" xr:uid="{00000000-0005-0000-0000-00009C3C0000}"/>
    <cellStyle name="40 % - Markeringsfarve2 3 2 4 3 2 2" xfId="17316" xr:uid="{00000000-0005-0000-0000-00009D3C0000}"/>
    <cellStyle name="40 % - Markeringsfarve2 3 2 4 3 2 2 2" xfId="35476" xr:uid="{00000000-0005-0000-0000-00009E3C0000}"/>
    <cellStyle name="40 % - Markeringsfarve2 3 2 4 3 2 3" xfId="28475" xr:uid="{00000000-0005-0000-0000-00009F3C0000}"/>
    <cellStyle name="40 % - Markeringsfarve2 3 2 4 3 3" xfId="14283" xr:uid="{00000000-0005-0000-0000-0000A03C0000}"/>
    <cellStyle name="40 % - Markeringsfarve2 3 2 4 3 3 2" xfId="32449" xr:uid="{00000000-0005-0000-0000-0000A13C0000}"/>
    <cellStyle name="40 % - Markeringsfarve2 3 2 4 3 4" xfId="25447" xr:uid="{00000000-0005-0000-0000-0000A23C0000}"/>
    <cellStyle name="40 % - Markeringsfarve2 3 2 4 4" xfId="8054" xr:uid="{00000000-0005-0000-0000-0000A33C0000}"/>
    <cellStyle name="40 % - Markeringsfarve2 3 2 4 4 2" xfId="15972" xr:uid="{00000000-0005-0000-0000-0000A43C0000}"/>
    <cellStyle name="40 % - Markeringsfarve2 3 2 4 4 2 2" xfId="34132" xr:uid="{00000000-0005-0000-0000-0000A53C0000}"/>
    <cellStyle name="40 % - Markeringsfarve2 3 2 4 4 3" xfId="27131" xr:uid="{00000000-0005-0000-0000-0000A63C0000}"/>
    <cellStyle name="40 % - Markeringsfarve2 3 2 4 5" xfId="14281" xr:uid="{00000000-0005-0000-0000-0000A73C0000}"/>
    <cellStyle name="40 % - Markeringsfarve2 3 2 4 5 2" xfId="32447" xr:uid="{00000000-0005-0000-0000-0000A83C0000}"/>
    <cellStyle name="40 % - Markeringsfarve2 3 2 4 6" xfId="25445" xr:uid="{00000000-0005-0000-0000-0000A93C0000}"/>
    <cellStyle name="40 % - Markeringsfarve2 3 2 5" xfId="5730" xr:uid="{00000000-0005-0000-0000-0000AA3C0000}"/>
    <cellStyle name="40 % - Markeringsfarve2 3 2 5 2" xfId="5731" xr:uid="{00000000-0005-0000-0000-0000AB3C0000}"/>
    <cellStyle name="40 % - Markeringsfarve2 3 2 5 2 2" xfId="10247" xr:uid="{00000000-0005-0000-0000-0000AC3C0000}"/>
    <cellStyle name="40 % - Markeringsfarve2 3 2 5 2 2 2" xfId="18148" xr:uid="{00000000-0005-0000-0000-0000AD3C0000}"/>
    <cellStyle name="40 % - Markeringsfarve2 3 2 5 2 2 2 2" xfId="36308" xr:uid="{00000000-0005-0000-0000-0000AE3C0000}"/>
    <cellStyle name="40 % - Markeringsfarve2 3 2 5 2 2 3" xfId="29307" xr:uid="{00000000-0005-0000-0000-0000AF3C0000}"/>
    <cellStyle name="40 % - Markeringsfarve2 3 2 5 2 3" xfId="14285" xr:uid="{00000000-0005-0000-0000-0000B03C0000}"/>
    <cellStyle name="40 % - Markeringsfarve2 3 2 5 2 3 2" xfId="32451" xr:uid="{00000000-0005-0000-0000-0000B13C0000}"/>
    <cellStyle name="40 % - Markeringsfarve2 3 2 5 2 4" xfId="25449" xr:uid="{00000000-0005-0000-0000-0000B23C0000}"/>
    <cellStyle name="40 % - Markeringsfarve2 3 2 5 3" xfId="5732" xr:uid="{00000000-0005-0000-0000-0000B33C0000}"/>
    <cellStyle name="40 % - Markeringsfarve2 3 2 5 3 2" xfId="9523" xr:uid="{00000000-0005-0000-0000-0000B43C0000}"/>
    <cellStyle name="40 % - Markeringsfarve2 3 2 5 3 2 2" xfId="17433" xr:uid="{00000000-0005-0000-0000-0000B53C0000}"/>
    <cellStyle name="40 % - Markeringsfarve2 3 2 5 3 2 2 2" xfId="35593" xr:uid="{00000000-0005-0000-0000-0000B63C0000}"/>
    <cellStyle name="40 % - Markeringsfarve2 3 2 5 3 2 3" xfId="28592" xr:uid="{00000000-0005-0000-0000-0000B73C0000}"/>
    <cellStyle name="40 % - Markeringsfarve2 3 2 5 3 3" xfId="14286" xr:uid="{00000000-0005-0000-0000-0000B83C0000}"/>
    <cellStyle name="40 % - Markeringsfarve2 3 2 5 3 3 2" xfId="32452" xr:uid="{00000000-0005-0000-0000-0000B93C0000}"/>
    <cellStyle name="40 % - Markeringsfarve2 3 2 5 3 4" xfId="25450" xr:uid="{00000000-0005-0000-0000-0000BA3C0000}"/>
    <cellStyle name="40 % - Markeringsfarve2 3 2 5 4" xfId="8055" xr:uid="{00000000-0005-0000-0000-0000BB3C0000}"/>
    <cellStyle name="40 % - Markeringsfarve2 3 2 5 4 2" xfId="15973" xr:uid="{00000000-0005-0000-0000-0000BC3C0000}"/>
    <cellStyle name="40 % - Markeringsfarve2 3 2 5 4 2 2" xfId="34133" xr:uid="{00000000-0005-0000-0000-0000BD3C0000}"/>
    <cellStyle name="40 % - Markeringsfarve2 3 2 5 4 3" xfId="27132" xr:uid="{00000000-0005-0000-0000-0000BE3C0000}"/>
    <cellStyle name="40 % - Markeringsfarve2 3 2 5 5" xfId="14284" xr:uid="{00000000-0005-0000-0000-0000BF3C0000}"/>
    <cellStyle name="40 % - Markeringsfarve2 3 2 5 5 2" xfId="32450" xr:uid="{00000000-0005-0000-0000-0000C03C0000}"/>
    <cellStyle name="40 % - Markeringsfarve2 3 2 5 6" xfId="25448" xr:uid="{00000000-0005-0000-0000-0000C13C0000}"/>
    <cellStyle name="40 % - Markeringsfarve2 3 2 6" xfId="5733" xr:uid="{00000000-0005-0000-0000-0000C23C0000}"/>
    <cellStyle name="40 % - Markeringsfarve2 3 2 6 2" xfId="5734" xr:uid="{00000000-0005-0000-0000-0000C33C0000}"/>
    <cellStyle name="40 % - Markeringsfarve2 3 2 6 2 2" xfId="10376" xr:uid="{00000000-0005-0000-0000-0000C43C0000}"/>
    <cellStyle name="40 % - Markeringsfarve2 3 2 6 2 2 2" xfId="18277" xr:uid="{00000000-0005-0000-0000-0000C53C0000}"/>
    <cellStyle name="40 % - Markeringsfarve2 3 2 6 2 2 2 2" xfId="36437" xr:uid="{00000000-0005-0000-0000-0000C63C0000}"/>
    <cellStyle name="40 % - Markeringsfarve2 3 2 6 2 2 3" xfId="29436" xr:uid="{00000000-0005-0000-0000-0000C73C0000}"/>
    <cellStyle name="40 % - Markeringsfarve2 3 2 6 2 3" xfId="14288" xr:uid="{00000000-0005-0000-0000-0000C83C0000}"/>
    <cellStyle name="40 % - Markeringsfarve2 3 2 6 2 3 2" xfId="32454" xr:uid="{00000000-0005-0000-0000-0000C93C0000}"/>
    <cellStyle name="40 % - Markeringsfarve2 3 2 6 2 4" xfId="25452" xr:uid="{00000000-0005-0000-0000-0000CA3C0000}"/>
    <cellStyle name="40 % - Markeringsfarve2 3 2 6 3" xfId="5735" xr:uid="{00000000-0005-0000-0000-0000CB3C0000}"/>
    <cellStyle name="40 % - Markeringsfarve2 3 2 6 3 2" xfId="9653" xr:uid="{00000000-0005-0000-0000-0000CC3C0000}"/>
    <cellStyle name="40 % - Markeringsfarve2 3 2 6 3 2 2" xfId="17563" xr:uid="{00000000-0005-0000-0000-0000CD3C0000}"/>
    <cellStyle name="40 % - Markeringsfarve2 3 2 6 3 2 2 2" xfId="35723" xr:uid="{00000000-0005-0000-0000-0000CE3C0000}"/>
    <cellStyle name="40 % - Markeringsfarve2 3 2 6 3 2 3" xfId="28722" xr:uid="{00000000-0005-0000-0000-0000CF3C0000}"/>
    <cellStyle name="40 % - Markeringsfarve2 3 2 6 3 3" xfId="14289" xr:uid="{00000000-0005-0000-0000-0000D03C0000}"/>
    <cellStyle name="40 % - Markeringsfarve2 3 2 6 3 3 2" xfId="32455" xr:uid="{00000000-0005-0000-0000-0000D13C0000}"/>
    <cellStyle name="40 % - Markeringsfarve2 3 2 6 3 4" xfId="25453" xr:uid="{00000000-0005-0000-0000-0000D23C0000}"/>
    <cellStyle name="40 % - Markeringsfarve2 3 2 6 4" xfId="8056" xr:uid="{00000000-0005-0000-0000-0000D33C0000}"/>
    <cellStyle name="40 % - Markeringsfarve2 3 2 6 4 2" xfId="15974" xr:uid="{00000000-0005-0000-0000-0000D43C0000}"/>
    <cellStyle name="40 % - Markeringsfarve2 3 2 6 4 2 2" xfId="34134" xr:uid="{00000000-0005-0000-0000-0000D53C0000}"/>
    <cellStyle name="40 % - Markeringsfarve2 3 2 6 4 3" xfId="27133" xr:uid="{00000000-0005-0000-0000-0000D63C0000}"/>
    <cellStyle name="40 % - Markeringsfarve2 3 2 6 5" xfId="14287" xr:uid="{00000000-0005-0000-0000-0000D73C0000}"/>
    <cellStyle name="40 % - Markeringsfarve2 3 2 6 5 2" xfId="32453" xr:uid="{00000000-0005-0000-0000-0000D83C0000}"/>
    <cellStyle name="40 % - Markeringsfarve2 3 2 6 6" xfId="25451" xr:uid="{00000000-0005-0000-0000-0000D93C0000}"/>
    <cellStyle name="40 % - Markeringsfarve2 3 2 7" xfId="5736" xr:uid="{00000000-0005-0000-0000-0000DA3C0000}"/>
    <cellStyle name="40 % - Markeringsfarve2 3 2 7 2" xfId="9773" xr:uid="{00000000-0005-0000-0000-0000DB3C0000}"/>
    <cellStyle name="40 % - Markeringsfarve2 3 2 7 2 2" xfId="17674" xr:uid="{00000000-0005-0000-0000-0000DC3C0000}"/>
    <cellStyle name="40 % - Markeringsfarve2 3 2 7 2 2 2" xfId="35834" xr:uid="{00000000-0005-0000-0000-0000DD3C0000}"/>
    <cellStyle name="40 % - Markeringsfarve2 3 2 7 2 3" xfId="28833" xr:uid="{00000000-0005-0000-0000-0000DE3C0000}"/>
    <cellStyle name="40 % - Markeringsfarve2 3 2 7 3" xfId="14290" xr:uid="{00000000-0005-0000-0000-0000DF3C0000}"/>
    <cellStyle name="40 % - Markeringsfarve2 3 2 7 3 2" xfId="32456" xr:uid="{00000000-0005-0000-0000-0000E03C0000}"/>
    <cellStyle name="40 % - Markeringsfarve2 3 2 7 4" xfId="25454" xr:uid="{00000000-0005-0000-0000-0000E13C0000}"/>
    <cellStyle name="40 % - Markeringsfarve2 3 2 8" xfId="5737" xr:uid="{00000000-0005-0000-0000-0000E23C0000}"/>
    <cellStyle name="40 % - Markeringsfarve2 3 2 8 2" xfId="9001" xr:uid="{00000000-0005-0000-0000-0000E33C0000}"/>
    <cellStyle name="40 % - Markeringsfarve2 3 2 8 2 2" xfId="16912" xr:uid="{00000000-0005-0000-0000-0000E43C0000}"/>
    <cellStyle name="40 % - Markeringsfarve2 3 2 8 2 2 2" xfId="35072" xr:uid="{00000000-0005-0000-0000-0000E53C0000}"/>
    <cellStyle name="40 % - Markeringsfarve2 3 2 8 2 3" xfId="28071" xr:uid="{00000000-0005-0000-0000-0000E63C0000}"/>
    <cellStyle name="40 % - Markeringsfarve2 3 2 8 3" xfId="14291" xr:uid="{00000000-0005-0000-0000-0000E73C0000}"/>
    <cellStyle name="40 % - Markeringsfarve2 3 2 8 3 2" xfId="32457" xr:uid="{00000000-0005-0000-0000-0000E83C0000}"/>
    <cellStyle name="40 % - Markeringsfarve2 3 2 8 4" xfId="25455" xr:uid="{00000000-0005-0000-0000-0000E93C0000}"/>
    <cellStyle name="40 % - Markeringsfarve2 3 2 9" xfId="8051" xr:uid="{00000000-0005-0000-0000-0000EA3C0000}"/>
    <cellStyle name="40 % - Markeringsfarve2 3 2 9 2" xfId="15969" xr:uid="{00000000-0005-0000-0000-0000EB3C0000}"/>
    <cellStyle name="40 % - Markeringsfarve2 3 2 9 2 2" xfId="34129" xr:uid="{00000000-0005-0000-0000-0000EC3C0000}"/>
    <cellStyle name="40 % - Markeringsfarve2 3 2 9 3" xfId="27128" xr:uid="{00000000-0005-0000-0000-0000ED3C0000}"/>
    <cellStyle name="40 % - Markeringsfarve2 3 3" xfId="5738" xr:uid="{00000000-0005-0000-0000-0000EE3C0000}"/>
    <cellStyle name="40 % - Markeringsfarve2 3 3 10" xfId="14292" xr:uid="{00000000-0005-0000-0000-0000EF3C0000}"/>
    <cellStyle name="40 % - Markeringsfarve2 3 3 10 2" xfId="32458" xr:uid="{00000000-0005-0000-0000-0000F03C0000}"/>
    <cellStyle name="40 % - Markeringsfarve2 3 3 11" xfId="25456" xr:uid="{00000000-0005-0000-0000-0000F13C0000}"/>
    <cellStyle name="40 % - Markeringsfarve2 3 3 2" xfId="5739" xr:uid="{00000000-0005-0000-0000-0000F23C0000}"/>
    <cellStyle name="40 % - Markeringsfarve2 3 3 2 2" xfId="5740" xr:uid="{00000000-0005-0000-0000-0000F33C0000}"/>
    <cellStyle name="40 % - Markeringsfarve2 3 3 2 2 2" xfId="9931" xr:uid="{00000000-0005-0000-0000-0000F43C0000}"/>
    <cellStyle name="40 % - Markeringsfarve2 3 3 2 2 2 2" xfId="17832" xr:uid="{00000000-0005-0000-0000-0000F53C0000}"/>
    <cellStyle name="40 % - Markeringsfarve2 3 3 2 2 2 2 2" xfId="35992" xr:uid="{00000000-0005-0000-0000-0000F63C0000}"/>
    <cellStyle name="40 % - Markeringsfarve2 3 3 2 2 2 3" xfId="28991" xr:uid="{00000000-0005-0000-0000-0000F73C0000}"/>
    <cellStyle name="40 % - Markeringsfarve2 3 3 2 2 3" xfId="14294" xr:uid="{00000000-0005-0000-0000-0000F83C0000}"/>
    <cellStyle name="40 % - Markeringsfarve2 3 3 2 2 3 2" xfId="32460" xr:uid="{00000000-0005-0000-0000-0000F93C0000}"/>
    <cellStyle name="40 % - Markeringsfarve2 3 3 2 2 4" xfId="25458" xr:uid="{00000000-0005-0000-0000-0000FA3C0000}"/>
    <cellStyle name="40 % - Markeringsfarve2 3 3 2 3" xfId="5741" xr:uid="{00000000-0005-0000-0000-0000FB3C0000}"/>
    <cellStyle name="40 % - Markeringsfarve2 3 3 2 3 2" xfId="9161" xr:uid="{00000000-0005-0000-0000-0000FC3C0000}"/>
    <cellStyle name="40 % - Markeringsfarve2 3 3 2 3 2 2" xfId="17072" xr:uid="{00000000-0005-0000-0000-0000FD3C0000}"/>
    <cellStyle name="40 % - Markeringsfarve2 3 3 2 3 2 2 2" xfId="35232" xr:uid="{00000000-0005-0000-0000-0000FE3C0000}"/>
    <cellStyle name="40 % - Markeringsfarve2 3 3 2 3 2 3" xfId="28231" xr:uid="{00000000-0005-0000-0000-0000FF3C0000}"/>
    <cellStyle name="40 % - Markeringsfarve2 3 3 2 3 3" xfId="14295" xr:uid="{00000000-0005-0000-0000-0000003D0000}"/>
    <cellStyle name="40 % - Markeringsfarve2 3 3 2 3 3 2" xfId="32461" xr:uid="{00000000-0005-0000-0000-0000013D0000}"/>
    <cellStyle name="40 % - Markeringsfarve2 3 3 2 3 4" xfId="25459" xr:uid="{00000000-0005-0000-0000-0000023D0000}"/>
    <cellStyle name="40 % - Markeringsfarve2 3 3 2 4" xfId="8058" xr:uid="{00000000-0005-0000-0000-0000033D0000}"/>
    <cellStyle name="40 % - Markeringsfarve2 3 3 2 4 2" xfId="15976" xr:uid="{00000000-0005-0000-0000-0000043D0000}"/>
    <cellStyle name="40 % - Markeringsfarve2 3 3 2 4 2 2" xfId="34136" xr:uid="{00000000-0005-0000-0000-0000053D0000}"/>
    <cellStyle name="40 % - Markeringsfarve2 3 3 2 4 3" xfId="27135" xr:uid="{00000000-0005-0000-0000-0000063D0000}"/>
    <cellStyle name="40 % - Markeringsfarve2 3 3 2 5" xfId="14293" xr:uid="{00000000-0005-0000-0000-0000073D0000}"/>
    <cellStyle name="40 % - Markeringsfarve2 3 3 2 5 2" xfId="32459" xr:uid="{00000000-0005-0000-0000-0000083D0000}"/>
    <cellStyle name="40 % - Markeringsfarve2 3 3 2 6" xfId="25457" xr:uid="{00000000-0005-0000-0000-0000093D0000}"/>
    <cellStyle name="40 % - Markeringsfarve2 3 3 3" xfId="5742" xr:uid="{00000000-0005-0000-0000-00000A3D0000}"/>
    <cellStyle name="40 % - Markeringsfarve2 3 3 3 2" xfId="5743" xr:uid="{00000000-0005-0000-0000-00000B3D0000}"/>
    <cellStyle name="40 % - Markeringsfarve2 3 3 3 2 2" xfId="10023" xr:uid="{00000000-0005-0000-0000-00000C3D0000}"/>
    <cellStyle name="40 % - Markeringsfarve2 3 3 3 2 2 2" xfId="17924" xr:uid="{00000000-0005-0000-0000-00000D3D0000}"/>
    <cellStyle name="40 % - Markeringsfarve2 3 3 3 2 2 2 2" xfId="36084" xr:uid="{00000000-0005-0000-0000-00000E3D0000}"/>
    <cellStyle name="40 % - Markeringsfarve2 3 3 3 2 2 3" xfId="29083" xr:uid="{00000000-0005-0000-0000-00000F3D0000}"/>
    <cellStyle name="40 % - Markeringsfarve2 3 3 3 2 3" xfId="14297" xr:uid="{00000000-0005-0000-0000-0000103D0000}"/>
    <cellStyle name="40 % - Markeringsfarve2 3 3 3 2 3 2" xfId="32463" xr:uid="{00000000-0005-0000-0000-0000113D0000}"/>
    <cellStyle name="40 % - Markeringsfarve2 3 3 3 2 4" xfId="25461" xr:uid="{00000000-0005-0000-0000-0000123D0000}"/>
    <cellStyle name="40 % - Markeringsfarve2 3 3 3 3" xfId="5744" xr:uid="{00000000-0005-0000-0000-0000133D0000}"/>
    <cellStyle name="40 % - Markeringsfarve2 3 3 3 3 2" xfId="9253" xr:uid="{00000000-0005-0000-0000-0000143D0000}"/>
    <cellStyle name="40 % - Markeringsfarve2 3 3 3 3 2 2" xfId="17164" xr:uid="{00000000-0005-0000-0000-0000153D0000}"/>
    <cellStyle name="40 % - Markeringsfarve2 3 3 3 3 2 2 2" xfId="35324" xr:uid="{00000000-0005-0000-0000-0000163D0000}"/>
    <cellStyle name="40 % - Markeringsfarve2 3 3 3 3 2 3" xfId="28323" xr:uid="{00000000-0005-0000-0000-0000173D0000}"/>
    <cellStyle name="40 % - Markeringsfarve2 3 3 3 3 3" xfId="14298" xr:uid="{00000000-0005-0000-0000-0000183D0000}"/>
    <cellStyle name="40 % - Markeringsfarve2 3 3 3 3 3 2" xfId="32464" xr:uid="{00000000-0005-0000-0000-0000193D0000}"/>
    <cellStyle name="40 % - Markeringsfarve2 3 3 3 3 4" xfId="25462" xr:uid="{00000000-0005-0000-0000-00001A3D0000}"/>
    <cellStyle name="40 % - Markeringsfarve2 3 3 3 4" xfId="8059" xr:uid="{00000000-0005-0000-0000-00001B3D0000}"/>
    <cellStyle name="40 % - Markeringsfarve2 3 3 3 4 2" xfId="15977" xr:uid="{00000000-0005-0000-0000-00001C3D0000}"/>
    <cellStyle name="40 % - Markeringsfarve2 3 3 3 4 2 2" xfId="34137" xr:uid="{00000000-0005-0000-0000-00001D3D0000}"/>
    <cellStyle name="40 % - Markeringsfarve2 3 3 3 4 3" xfId="27136" xr:uid="{00000000-0005-0000-0000-00001E3D0000}"/>
    <cellStyle name="40 % - Markeringsfarve2 3 3 3 5" xfId="14296" xr:uid="{00000000-0005-0000-0000-00001F3D0000}"/>
    <cellStyle name="40 % - Markeringsfarve2 3 3 3 5 2" xfId="32462" xr:uid="{00000000-0005-0000-0000-0000203D0000}"/>
    <cellStyle name="40 % - Markeringsfarve2 3 3 3 6" xfId="25460" xr:uid="{00000000-0005-0000-0000-0000213D0000}"/>
    <cellStyle name="40 % - Markeringsfarve2 3 3 4" xfId="5745" xr:uid="{00000000-0005-0000-0000-0000223D0000}"/>
    <cellStyle name="40 % - Markeringsfarve2 3 3 4 2" xfId="5746" xr:uid="{00000000-0005-0000-0000-0000233D0000}"/>
    <cellStyle name="40 % - Markeringsfarve2 3 3 4 2 2" xfId="10169" xr:uid="{00000000-0005-0000-0000-0000243D0000}"/>
    <cellStyle name="40 % - Markeringsfarve2 3 3 4 2 2 2" xfId="18070" xr:uid="{00000000-0005-0000-0000-0000253D0000}"/>
    <cellStyle name="40 % - Markeringsfarve2 3 3 4 2 2 2 2" xfId="36230" xr:uid="{00000000-0005-0000-0000-0000263D0000}"/>
    <cellStyle name="40 % - Markeringsfarve2 3 3 4 2 2 3" xfId="29229" xr:uid="{00000000-0005-0000-0000-0000273D0000}"/>
    <cellStyle name="40 % - Markeringsfarve2 3 3 4 2 3" xfId="14300" xr:uid="{00000000-0005-0000-0000-0000283D0000}"/>
    <cellStyle name="40 % - Markeringsfarve2 3 3 4 2 3 2" xfId="32466" xr:uid="{00000000-0005-0000-0000-0000293D0000}"/>
    <cellStyle name="40 % - Markeringsfarve2 3 3 4 2 4" xfId="25464" xr:uid="{00000000-0005-0000-0000-00002A3D0000}"/>
    <cellStyle name="40 % - Markeringsfarve2 3 3 4 3" xfId="5747" xr:uid="{00000000-0005-0000-0000-00002B3D0000}"/>
    <cellStyle name="40 % - Markeringsfarve2 3 3 4 3 2" xfId="9445" xr:uid="{00000000-0005-0000-0000-00002C3D0000}"/>
    <cellStyle name="40 % - Markeringsfarve2 3 3 4 3 2 2" xfId="17355" xr:uid="{00000000-0005-0000-0000-00002D3D0000}"/>
    <cellStyle name="40 % - Markeringsfarve2 3 3 4 3 2 2 2" xfId="35515" xr:uid="{00000000-0005-0000-0000-00002E3D0000}"/>
    <cellStyle name="40 % - Markeringsfarve2 3 3 4 3 2 3" xfId="28514" xr:uid="{00000000-0005-0000-0000-00002F3D0000}"/>
    <cellStyle name="40 % - Markeringsfarve2 3 3 4 3 3" xfId="14301" xr:uid="{00000000-0005-0000-0000-0000303D0000}"/>
    <cellStyle name="40 % - Markeringsfarve2 3 3 4 3 3 2" xfId="32467" xr:uid="{00000000-0005-0000-0000-0000313D0000}"/>
    <cellStyle name="40 % - Markeringsfarve2 3 3 4 3 4" xfId="25465" xr:uid="{00000000-0005-0000-0000-0000323D0000}"/>
    <cellStyle name="40 % - Markeringsfarve2 3 3 4 4" xfId="8060" xr:uid="{00000000-0005-0000-0000-0000333D0000}"/>
    <cellStyle name="40 % - Markeringsfarve2 3 3 4 4 2" xfId="15978" xr:uid="{00000000-0005-0000-0000-0000343D0000}"/>
    <cellStyle name="40 % - Markeringsfarve2 3 3 4 4 2 2" xfId="34138" xr:uid="{00000000-0005-0000-0000-0000353D0000}"/>
    <cellStyle name="40 % - Markeringsfarve2 3 3 4 4 3" xfId="27137" xr:uid="{00000000-0005-0000-0000-0000363D0000}"/>
    <cellStyle name="40 % - Markeringsfarve2 3 3 4 5" xfId="14299" xr:uid="{00000000-0005-0000-0000-0000373D0000}"/>
    <cellStyle name="40 % - Markeringsfarve2 3 3 4 5 2" xfId="32465" xr:uid="{00000000-0005-0000-0000-0000383D0000}"/>
    <cellStyle name="40 % - Markeringsfarve2 3 3 4 6" xfId="25463" xr:uid="{00000000-0005-0000-0000-0000393D0000}"/>
    <cellStyle name="40 % - Markeringsfarve2 3 3 5" xfId="5748" xr:uid="{00000000-0005-0000-0000-00003A3D0000}"/>
    <cellStyle name="40 % - Markeringsfarve2 3 3 5 2" xfId="5749" xr:uid="{00000000-0005-0000-0000-00003B3D0000}"/>
    <cellStyle name="40 % - Markeringsfarve2 3 3 5 2 2" xfId="10286" xr:uid="{00000000-0005-0000-0000-00003C3D0000}"/>
    <cellStyle name="40 % - Markeringsfarve2 3 3 5 2 2 2" xfId="18187" xr:uid="{00000000-0005-0000-0000-00003D3D0000}"/>
    <cellStyle name="40 % - Markeringsfarve2 3 3 5 2 2 2 2" xfId="36347" xr:uid="{00000000-0005-0000-0000-00003E3D0000}"/>
    <cellStyle name="40 % - Markeringsfarve2 3 3 5 2 2 3" xfId="29346" xr:uid="{00000000-0005-0000-0000-00003F3D0000}"/>
    <cellStyle name="40 % - Markeringsfarve2 3 3 5 2 3" xfId="14303" xr:uid="{00000000-0005-0000-0000-0000403D0000}"/>
    <cellStyle name="40 % - Markeringsfarve2 3 3 5 2 3 2" xfId="32469" xr:uid="{00000000-0005-0000-0000-0000413D0000}"/>
    <cellStyle name="40 % - Markeringsfarve2 3 3 5 2 4" xfId="25467" xr:uid="{00000000-0005-0000-0000-0000423D0000}"/>
    <cellStyle name="40 % - Markeringsfarve2 3 3 5 3" xfId="5750" xr:uid="{00000000-0005-0000-0000-0000433D0000}"/>
    <cellStyle name="40 % - Markeringsfarve2 3 3 5 3 2" xfId="9562" xr:uid="{00000000-0005-0000-0000-0000443D0000}"/>
    <cellStyle name="40 % - Markeringsfarve2 3 3 5 3 2 2" xfId="17472" xr:uid="{00000000-0005-0000-0000-0000453D0000}"/>
    <cellStyle name="40 % - Markeringsfarve2 3 3 5 3 2 2 2" xfId="35632" xr:uid="{00000000-0005-0000-0000-0000463D0000}"/>
    <cellStyle name="40 % - Markeringsfarve2 3 3 5 3 2 3" xfId="28631" xr:uid="{00000000-0005-0000-0000-0000473D0000}"/>
    <cellStyle name="40 % - Markeringsfarve2 3 3 5 3 3" xfId="14304" xr:uid="{00000000-0005-0000-0000-0000483D0000}"/>
    <cellStyle name="40 % - Markeringsfarve2 3 3 5 3 3 2" xfId="32470" xr:uid="{00000000-0005-0000-0000-0000493D0000}"/>
    <cellStyle name="40 % - Markeringsfarve2 3 3 5 3 4" xfId="25468" xr:uid="{00000000-0005-0000-0000-00004A3D0000}"/>
    <cellStyle name="40 % - Markeringsfarve2 3 3 5 4" xfId="8061" xr:uid="{00000000-0005-0000-0000-00004B3D0000}"/>
    <cellStyle name="40 % - Markeringsfarve2 3 3 5 4 2" xfId="15979" xr:uid="{00000000-0005-0000-0000-00004C3D0000}"/>
    <cellStyle name="40 % - Markeringsfarve2 3 3 5 4 2 2" xfId="34139" xr:uid="{00000000-0005-0000-0000-00004D3D0000}"/>
    <cellStyle name="40 % - Markeringsfarve2 3 3 5 4 3" xfId="27138" xr:uid="{00000000-0005-0000-0000-00004E3D0000}"/>
    <cellStyle name="40 % - Markeringsfarve2 3 3 5 5" xfId="14302" xr:uid="{00000000-0005-0000-0000-00004F3D0000}"/>
    <cellStyle name="40 % - Markeringsfarve2 3 3 5 5 2" xfId="32468" xr:uid="{00000000-0005-0000-0000-0000503D0000}"/>
    <cellStyle name="40 % - Markeringsfarve2 3 3 5 6" xfId="25466" xr:uid="{00000000-0005-0000-0000-0000513D0000}"/>
    <cellStyle name="40 % - Markeringsfarve2 3 3 6" xfId="5751" xr:uid="{00000000-0005-0000-0000-0000523D0000}"/>
    <cellStyle name="40 % - Markeringsfarve2 3 3 6 2" xfId="5752" xr:uid="{00000000-0005-0000-0000-0000533D0000}"/>
    <cellStyle name="40 % - Markeringsfarve2 3 3 6 2 2" xfId="10377" xr:uid="{00000000-0005-0000-0000-0000543D0000}"/>
    <cellStyle name="40 % - Markeringsfarve2 3 3 6 2 2 2" xfId="18278" xr:uid="{00000000-0005-0000-0000-0000553D0000}"/>
    <cellStyle name="40 % - Markeringsfarve2 3 3 6 2 2 2 2" xfId="36438" xr:uid="{00000000-0005-0000-0000-0000563D0000}"/>
    <cellStyle name="40 % - Markeringsfarve2 3 3 6 2 2 3" xfId="29437" xr:uid="{00000000-0005-0000-0000-0000573D0000}"/>
    <cellStyle name="40 % - Markeringsfarve2 3 3 6 2 3" xfId="14306" xr:uid="{00000000-0005-0000-0000-0000583D0000}"/>
    <cellStyle name="40 % - Markeringsfarve2 3 3 6 2 3 2" xfId="32472" xr:uid="{00000000-0005-0000-0000-0000593D0000}"/>
    <cellStyle name="40 % - Markeringsfarve2 3 3 6 2 4" xfId="25470" xr:uid="{00000000-0005-0000-0000-00005A3D0000}"/>
    <cellStyle name="40 % - Markeringsfarve2 3 3 6 3" xfId="5753" xr:uid="{00000000-0005-0000-0000-00005B3D0000}"/>
    <cellStyle name="40 % - Markeringsfarve2 3 3 6 3 2" xfId="9654" xr:uid="{00000000-0005-0000-0000-00005C3D0000}"/>
    <cellStyle name="40 % - Markeringsfarve2 3 3 6 3 2 2" xfId="17564" xr:uid="{00000000-0005-0000-0000-00005D3D0000}"/>
    <cellStyle name="40 % - Markeringsfarve2 3 3 6 3 2 2 2" xfId="35724" xr:uid="{00000000-0005-0000-0000-00005E3D0000}"/>
    <cellStyle name="40 % - Markeringsfarve2 3 3 6 3 2 3" xfId="28723" xr:uid="{00000000-0005-0000-0000-00005F3D0000}"/>
    <cellStyle name="40 % - Markeringsfarve2 3 3 6 3 3" xfId="14307" xr:uid="{00000000-0005-0000-0000-0000603D0000}"/>
    <cellStyle name="40 % - Markeringsfarve2 3 3 6 3 3 2" xfId="32473" xr:uid="{00000000-0005-0000-0000-0000613D0000}"/>
    <cellStyle name="40 % - Markeringsfarve2 3 3 6 3 4" xfId="25471" xr:uid="{00000000-0005-0000-0000-0000623D0000}"/>
    <cellStyle name="40 % - Markeringsfarve2 3 3 6 4" xfId="8062" xr:uid="{00000000-0005-0000-0000-0000633D0000}"/>
    <cellStyle name="40 % - Markeringsfarve2 3 3 6 4 2" xfId="15980" xr:uid="{00000000-0005-0000-0000-0000643D0000}"/>
    <cellStyle name="40 % - Markeringsfarve2 3 3 6 4 2 2" xfId="34140" xr:uid="{00000000-0005-0000-0000-0000653D0000}"/>
    <cellStyle name="40 % - Markeringsfarve2 3 3 6 4 3" xfId="27139" xr:uid="{00000000-0005-0000-0000-0000663D0000}"/>
    <cellStyle name="40 % - Markeringsfarve2 3 3 6 5" xfId="14305" xr:uid="{00000000-0005-0000-0000-0000673D0000}"/>
    <cellStyle name="40 % - Markeringsfarve2 3 3 6 5 2" xfId="32471" xr:uid="{00000000-0005-0000-0000-0000683D0000}"/>
    <cellStyle name="40 % - Markeringsfarve2 3 3 6 6" xfId="25469" xr:uid="{00000000-0005-0000-0000-0000693D0000}"/>
    <cellStyle name="40 % - Markeringsfarve2 3 3 7" xfId="5754" xr:uid="{00000000-0005-0000-0000-00006A3D0000}"/>
    <cellStyle name="40 % - Markeringsfarve2 3 3 7 2" xfId="9812" xr:uid="{00000000-0005-0000-0000-00006B3D0000}"/>
    <cellStyle name="40 % - Markeringsfarve2 3 3 7 2 2" xfId="17713" xr:uid="{00000000-0005-0000-0000-00006C3D0000}"/>
    <cellStyle name="40 % - Markeringsfarve2 3 3 7 2 2 2" xfId="35873" xr:uid="{00000000-0005-0000-0000-00006D3D0000}"/>
    <cellStyle name="40 % - Markeringsfarve2 3 3 7 2 3" xfId="28872" xr:uid="{00000000-0005-0000-0000-00006E3D0000}"/>
    <cellStyle name="40 % - Markeringsfarve2 3 3 7 3" xfId="14308" xr:uid="{00000000-0005-0000-0000-00006F3D0000}"/>
    <cellStyle name="40 % - Markeringsfarve2 3 3 7 3 2" xfId="32474" xr:uid="{00000000-0005-0000-0000-0000703D0000}"/>
    <cellStyle name="40 % - Markeringsfarve2 3 3 7 4" xfId="25472" xr:uid="{00000000-0005-0000-0000-0000713D0000}"/>
    <cellStyle name="40 % - Markeringsfarve2 3 3 8" xfId="5755" xr:uid="{00000000-0005-0000-0000-0000723D0000}"/>
    <cellStyle name="40 % - Markeringsfarve2 3 3 8 2" xfId="9040" xr:uid="{00000000-0005-0000-0000-0000733D0000}"/>
    <cellStyle name="40 % - Markeringsfarve2 3 3 8 2 2" xfId="16951" xr:uid="{00000000-0005-0000-0000-0000743D0000}"/>
    <cellStyle name="40 % - Markeringsfarve2 3 3 8 2 2 2" xfId="35111" xr:uid="{00000000-0005-0000-0000-0000753D0000}"/>
    <cellStyle name="40 % - Markeringsfarve2 3 3 8 2 3" xfId="28110" xr:uid="{00000000-0005-0000-0000-0000763D0000}"/>
    <cellStyle name="40 % - Markeringsfarve2 3 3 8 3" xfId="14309" xr:uid="{00000000-0005-0000-0000-0000773D0000}"/>
    <cellStyle name="40 % - Markeringsfarve2 3 3 8 3 2" xfId="32475" xr:uid="{00000000-0005-0000-0000-0000783D0000}"/>
    <cellStyle name="40 % - Markeringsfarve2 3 3 8 4" xfId="25473" xr:uid="{00000000-0005-0000-0000-0000793D0000}"/>
    <cellStyle name="40 % - Markeringsfarve2 3 3 9" xfId="8057" xr:uid="{00000000-0005-0000-0000-00007A3D0000}"/>
    <cellStyle name="40 % - Markeringsfarve2 3 3 9 2" xfId="15975" xr:uid="{00000000-0005-0000-0000-00007B3D0000}"/>
    <cellStyle name="40 % - Markeringsfarve2 3 3 9 2 2" xfId="34135" xr:uid="{00000000-0005-0000-0000-00007C3D0000}"/>
    <cellStyle name="40 % - Markeringsfarve2 3 3 9 3" xfId="27134" xr:uid="{00000000-0005-0000-0000-00007D3D0000}"/>
    <cellStyle name="40 % - Markeringsfarve2 3 4" xfId="5756" xr:uid="{00000000-0005-0000-0000-00007E3D0000}"/>
    <cellStyle name="40 % - Markeringsfarve2 3 4 2" xfId="5757" xr:uid="{00000000-0005-0000-0000-00007F3D0000}"/>
    <cellStyle name="40 % - Markeringsfarve2 3 4 2 2" xfId="9853" xr:uid="{00000000-0005-0000-0000-0000803D0000}"/>
    <cellStyle name="40 % - Markeringsfarve2 3 4 2 2 2" xfId="17754" xr:uid="{00000000-0005-0000-0000-0000813D0000}"/>
    <cellStyle name="40 % - Markeringsfarve2 3 4 2 2 2 2" xfId="35914" xr:uid="{00000000-0005-0000-0000-0000823D0000}"/>
    <cellStyle name="40 % - Markeringsfarve2 3 4 2 2 3" xfId="28913" xr:uid="{00000000-0005-0000-0000-0000833D0000}"/>
    <cellStyle name="40 % - Markeringsfarve2 3 4 2 3" xfId="14311" xr:uid="{00000000-0005-0000-0000-0000843D0000}"/>
    <cellStyle name="40 % - Markeringsfarve2 3 4 2 3 2" xfId="32477" xr:uid="{00000000-0005-0000-0000-0000853D0000}"/>
    <cellStyle name="40 % - Markeringsfarve2 3 4 2 4" xfId="25475" xr:uid="{00000000-0005-0000-0000-0000863D0000}"/>
    <cellStyle name="40 % - Markeringsfarve2 3 4 3" xfId="5758" xr:uid="{00000000-0005-0000-0000-0000873D0000}"/>
    <cellStyle name="40 % - Markeringsfarve2 3 4 3 2" xfId="9083" xr:uid="{00000000-0005-0000-0000-0000883D0000}"/>
    <cellStyle name="40 % - Markeringsfarve2 3 4 3 2 2" xfId="16994" xr:uid="{00000000-0005-0000-0000-0000893D0000}"/>
    <cellStyle name="40 % - Markeringsfarve2 3 4 3 2 2 2" xfId="35154" xr:uid="{00000000-0005-0000-0000-00008A3D0000}"/>
    <cellStyle name="40 % - Markeringsfarve2 3 4 3 2 3" xfId="28153" xr:uid="{00000000-0005-0000-0000-00008B3D0000}"/>
    <cellStyle name="40 % - Markeringsfarve2 3 4 3 3" xfId="14312" xr:uid="{00000000-0005-0000-0000-00008C3D0000}"/>
    <cellStyle name="40 % - Markeringsfarve2 3 4 3 3 2" xfId="32478" xr:uid="{00000000-0005-0000-0000-00008D3D0000}"/>
    <cellStyle name="40 % - Markeringsfarve2 3 4 3 4" xfId="25476" xr:uid="{00000000-0005-0000-0000-00008E3D0000}"/>
    <cellStyle name="40 % - Markeringsfarve2 3 4 4" xfId="8063" xr:uid="{00000000-0005-0000-0000-00008F3D0000}"/>
    <cellStyle name="40 % - Markeringsfarve2 3 4 4 2" xfId="15981" xr:uid="{00000000-0005-0000-0000-0000903D0000}"/>
    <cellStyle name="40 % - Markeringsfarve2 3 4 4 2 2" xfId="34141" xr:uid="{00000000-0005-0000-0000-0000913D0000}"/>
    <cellStyle name="40 % - Markeringsfarve2 3 4 4 3" xfId="27140" xr:uid="{00000000-0005-0000-0000-0000923D0000}"/>
    <cellStyle name="40 % - Markeringsfarve2 3 4 5" xfId="14310" xr:uid="{00000000-0005-0000-0000-0000933D0000}"/>
    <cellStyle name="40 % - Markeringsfarve2 3 4 5 2" xfId="32476" xr:uid="{00000000-0005-0000-0000-0000943D0000}"/>
    <cellStyle name="40 % - Markeringsfarve2 3 4 6" xfId="25474" xr:uid="{00000000-0005-0000-0000-0000953D0000}"/>
    <cellStyle name="40 % - Markeringsfarve2 3 5" xfId="5759" xr:uid="{00000000-0005-0000-0000-0000963D0000}"/>
    <cellStyle name="40 % - Markeringsfarve2 3 5 2" xfId="5760" xr:uid="{00000000-0005-0000-0000-0000973D0000}"/>
    <cellStyle name="40 % - Markeringsfarve2 3 5 2 2" xfId="10021" xr:uid="{00000000-0005-0000-0000-0000983D0000}"/>
    <cellStyle name="40 % - Markeringsfarve2 3 5 2 2 2" xfId="17922" xr:uid="{00000000-0005-0000-0000-0000993D0000}"/>
    <cellStyle name="40 % - Markeringsfarve2 3 5 2 2 2 2" xfId="36082" xr:uid="{00000000-0005-0000-0000-00009A3D0000}"/>
    <cellStyle name="40 % - Markeringsfarve2 3 5 2 2 3" xfId="29081" xr:uid="{00000000-0005-0000-0000-00009B3D0000}"/>
    <cellStyle name="40 % - Markeringsfarve2 3 5 2 3" xfId="14314" xr:uid="{00000000-0005-0000-0000-00009C3D0000}"/>
    <cellStyle name="40 % - Markeringsfarve2 3 5 2 3 2" xfId="32480" xr:uid="{00000000-0005-0000-0000-00009D3D0000}"/>
    <cellStyle name="40 % - Markeringsfarve2 3 5 2 4" xfId="25478" xr:uid="{00000000-0005-0000-0000-00009E3D0000}"/>
    <cellStyle name="40 % - Markeringsfarve2 3 5 3" xfId="5761" xr:uid="{00000000-0005-0000-0000-00009F3D0000}"/>
    <cellStyle name="40 % - Markeringsfarve2 3 5 3 2" xfId="9251" xr:uid="{00000000-0005-0000-0000-0000A03D0000}"/>
    <cellStyle name="40 % - Markeringsfarve2 3 5 3 2 2" xfId="17162" xr:uid="{00000000-0005-0000-0000-0000A13D0000}"/>
    <cellStyle name="40 % - Markeringsfarve2 3 5 3 2 2 2" xfId="35322" xr:uid="{00000000-0005-0000-0000-0000A23D0000}"/>
    <cellStyle name="40 % - Markeringsfarve2 3 5 3 2 3" xfId="28321" xr:uid="{00000000-0005-0000-0000-0000A33D0000}"/>
    <cellStyle name="40 % - Markeringsfarve2 3 5 3 3" xfId="14315" xr:uid="{00000000-0005-0000-0000-0000A43D0000}"/>
    <cellStyle name="40 % - Markeringsfarve2 3 5 3 3 2" xfId="32481" xr:uid="{00000000-0005-0000-0000-0000A53D0000}"/>
    <cellStyle name="40 % - Markeringsfarve2 3 5 3 4" xfId="25479" xr:uid="{00000000-0005-0000-0000-0000A63D0000}"/>
    <cellStyle name="40 % - Markeringsfarve2 3 5 4" xfId="8064" xr:uid="{00000000-0005-0000-0000-0000A73D0000}"/>
    <cellStyle name="40 % - Markeringsfarve2 3 5 4 2" xfId="15982" xr:uid="{00000000-0005-0000-0000-0000A83D0000}"/>
    <cellStyle name="40 % - Markeringsfarve2 3 5 4 2 2" xfId="34142" xr:uid="{00000000-0005-0000-0000-0000A93D0000}"/>
    <cellStyle name="40 % - Markeringsfarve2 3 5 4 3" xfId="27141" xr:uid="{00000000-0005-0000-0000-0000AA3D0000}"/>
    <cellStyle name="40 % - Markeringsfarve2 3 5 5" xfId="14313" xr:uid="{00000000-0005-0000-0000-0000AB3D0000}"/>
    <cellStyle name="40 % - Markeringsfarve2 3 5 5 2" xfId="32479" xr:uid="{00000000-0005-0000-0000-0000AC3D0000}"/>
    <cellStyle name="40 % - Markeringsfarve2 3 5 6" xfId="25477" xr:uid="{00000000-0005-0000-0000-0000AD3D0000}"/>
    <cellStyle name="40 % - Markeringsfarve2 3 6" xfId="5762" xr:uid="{00000000-0005-0000-0000-0000AE3D0000}"/>
    <cellStyle name="40 % - Markeringsfarve2 3 6 2" xfId="5763" xr:uid="{00000000-0005-0000-0000-0000AF3D0000}"/>
    <cellStyle name="40 % - Markeringsfarve2 3 6 2 2" xfId="10091" xr:uid="{00000000-0005-0000-0000-0000B03D0000}"/>
    <cellStyle name="40 % - Markeringsfarve2 3 6 2 2 2" xfId="17992" xr:uid="{00000000-0005-0000-0000-0000B13D0000}"/>
    <cellStyle name="40 % - Markeringsfarve2 3 6 2 2 2 2" xfId="36152" xr:uid="{00000000-0005-0000-0000-0000B23D0000}"/>
    <cellStyle name="40 % - Markeringsfarve2 3 6 2 2 3" xfId="29151" xr:uid="{00000000-0005-0000-0000-0000B33D0000}"/>
    <cellStyle name="40 % - Markeringsfarve2 3 6 2 3" xfId="14317" xr:uid="{00000000-0005-0000-0000-0000B43D0000}"/>
    <cellStyle name="40 % - Markeringsfarve2 3 6 2 3 2" xfId="32483" xr:uid="{00000000-0005-0000-0000-0000B53D0000}"/>
    <cellStyle name="40 % - Markeringsfarve2 3 6 2 4" xfId="25481" xr:uid="{00000000-0005-0000-0000-0000B63D0000}"/>
    <cellStyle name="40 % - Markeringsfarve2 3 6 3" xfId="5764" xr:uid="{00000000-0005-0000-0000-0000B73D0000}"/>
    <cellStyle name="40 % - Markeringsfarve2 3 6 3 2" xfId="9367" xr:uid="{00000000-0005-0000-0000-0000B83D0000}"/>
    <cellStyle name="40 % - Markeringsfarve2 3 6 3 2 2" xfId="17277" xr:uid="{00000000-0005-0000-0000-0000B93D0000}"/>
    <cellStyle name="40 % - Markeringsfarve2 3 6 3 2 2 2" xfId="35437" xr:uid="{00000000-0005-0000-0000-0000BA3D0000}"/>
    <cellStyle name="40 % - Markeringsfarve2 3 6 3 2 3" xfId="28436" xr:uid="{00000000-0005-0000-0000-0000BB3D0000}"/>
    <cellStyle name="40 % - Markeringsfarve2 3 6 3 3" xfId="14318" xr:uid="{00000000-0005-0000-0000-0000BC3D0000}"/>
    <cellStyle name="40 % - Markeringsfarve2 3 6 3 3 2" xfId="32484" xr:uid="{00000000-0005-0000-0000-0000BD3D0000}"/>
    <cellStyle name="40 % - Markeringsfarve2 3 6 3 4" xfId="25482" xr:uid="{00000000-0005-0000-0000-0000BE3D0000}"/>
    <cellStyle name="40 % - Markeringsfarve2 3 6 4" xfId="8065" xr:uid="{00000000-0005-0000-0000-0000BF3D0000}"/>
    <cellStyle name="40 % - Markeringsfarve2 3 6 4 2" xfId="15983" xr:uid="{00000000-0005-0000-0000-0000C03D0000}"/>
    <cellStyle name="40 % - Markeringsfarve2 3 6 4 2 2" xfId="34143" xr:uid="{00000000-0005-0000-0000-0000C13D0000}"/>
    <cellStyle name="40 % - Markeringsfarve2 3 6 4 3" xfId="27142" xr:uid="{00000000-0005-0000-0000-0000C23D0000}"/>
    <cellStyle name="40 % - Markeringsfarve2 3 6 5" xfId="14316" xr:uid="{00000000-0005-0000-0000-0000C33D0000}"/>
    <cellStyle name="40 % - Markeringsfarve2 3 6 5 2" xfId="32482" xr:uid="{00000000-0005-0000-0000-0000C43D0000}"/>
    <cellStyle name="40 % - Markeringsfarve2 3 6 6" xfId="25480" xr:uid="{00000000-0005-0000-0000-0000C53D0000}"/>
    <cellStyle name="40 % - Markeringsfarve2 3 7" xfId="5765" xr:uid="{00000000-0005-0000-0000-0000C63D0000}"/>
    <cellStyle name="40 % - Markeringsfarve2 3 7 2" xfId="5766" xr:uid="{00000000-0005-0000-0000-0000C73D0000}"/>
    <cellStyle name="40 % - Markeringsfarve2 3 7 2 2" xfId="10208" xr:uid="{00000000-0005-0000-0000-0000C83D0000}"/>
    <cellStyle name="40 % - Markeringsfarve2 3 7 2 2 2" xfId="18109" xr:uid="{00000000-0005-0000-0000-0000C93D0000}"/>
    <cellStyle name="40 % - Markeringsfarve2 3 7 2 2 2 2" xfId="36269" xr:uid="{00000000-0005-0000-0000-0000CA3D0000}"/>
    <cellStyle name="40 % - Markeringsfarve2 3 7 2 2 3" xfId="29268" xr:uid="{00000000-0005-0000-0000-0000CB3D0000}"/>
    <cellStyle name="40 % - Markeringsfarve2 3 7 2 3" xfId="14320" xr:uid="{00000000-0005-0000-0000-0000CC3D0000}"/>
    <cellStyle name="40 % - Markeringsfarve2 3 7 2 3 2" xfId="32486" xr:uid="{00000000-0005-0000-0000-0000CD3D0000}"/>
    <cellStyle name="40 % - Markeringsfarve2 3 7 2 4" xfId="25484" xr:uid="{00000000-0005-0000-0000-0000CE3D0000}"/>
    <cellStyle name="40 % - Markeringsfarve2 3 7 3" xfId="5767" xr:uid="{00000000-0005-0000-0000-0000CF3D0000}"/>
    <cellStyle name="40 % - Markeringsfarve2 3 7 3 2" xfId="9484" xr:uid="{00000000-0005-0000-0000-0000D03D0000}"/>
    <cellStyle name="40 % - Markeringsfarve2 3 7 3 2 2" xfId="17394" xr:uid="{00000000-0005-0000-0000-0000D13D0000}"/>
    <cellStyle name="40 % - Markeringsfarve2 3 7 3 2 2 2" xfId="35554" xr:uid="{00000000-0005-0000-0000-0000D23D0000}"/>
    <cellStyle name="40 % - Markeringsfarve2 3 7 3 2 3" xfId="28553" xr:uid="{00000000-0005-0000-0000-0000D33D0000}"/>
    <cellStyle name="40 % - Markeringsfarve2 3 7 3 3" xfId="14321" xr:uid="{00000000-0005-0000-0000-0000D43D0000}"/>
    <cellStyle name="40 % - Markeringsfarve2 3 7 3 3 2" xfId="32487" xr:uid="{00000000-0005-0000-0000-0000D53D0000}"/>
    <cellStyle name="40 % - Markeringsfarve2 3 7 3 4" xfId="25485" xr:uid="{00000000-0005-0000-0000-0000D63D0000}"/>
    <cellStyle name="40 % - Markeringsfarve2 3 7 4" xfId="8066" xr:uid="{00000000-0005-0000-0000-0000D73D0000}"/>
    <cellStyle name="40 % - Markeringsfarve2 3 7 4 2" xfId="15984" xr:uid="{00000000-0005-0000-0000-0000D83D0000}"/>
    <cellStyle name="40 % - Markeringsfarve2 3 7 4 2 2" xfId="34144" xr:uid="{00000000-0005-0000-0000-0000D93D0000}"/>
    <cellStyle name="40 % - Markeringsfarve2 3 7 4 3" xfId="27143" xr:uid="{00000000-0005-0000-0000-0000DA3D0000}"/>
    <cellStyle name="40 % - Markeringsfarve2 3 7 5" xfId="14319" xr:uid="{00000000-0005-0000-0000-0000DB3D0000}"/>
    <cellStyle name="40 % - Markeringsfarve2 3 7 5 2" xfId="32485" xr:uid="{00000000-0005-0000-0000-0000DC3D0000}"/>
    <cellStyle name="40 % - Markeringsfarve2 3 7 6" xfId="25483" xr:uid="{00000000-0005-0000-0000-0000DD3D0000}"/>
    <cellStyle name="40 % - Markeringsfarve2 3 8" xfId="5768" xr:uid="{00000000-0005-0000-0000-0000DE3D0000}"/>
    <cellStyle name="40 % - Markeringsfarve2 3 8 2" xfId="5769" xr:uid="{00000000-0005-0000-0000-0000DF3D0000}"/>
    <cellStyle name="40 % - Markeringsfarve2 3 8 2 2" xfId="10375" xr:uid="{00000000-0005-0000-0000-0000E03D0000}"/>
    <cellStyle name="40 % - Markeringsfarve2 3 8 2 2 2" xfId="18276" xr:uid="{00000000-0005-0000-0000-0000E13D0000}"/>
    <cellStyle name="40 % - Markeringsfarve2 3 8 2 2 2 2" xfId="36436" xr:uid="{00000000-0005-0000-0000-0000E23D0000}"/>
    <cellStyle name="40 % - Markeringsfarve2 3 8 2 2 3" xfId="29435" xr:uid="{00000000-0005-0000-0000-0000E33D0000}"/>
    <cellStyle name="40 % - Markeringsfarve2 3 8 2 3" xfId="14323" xr:uid="{00000000-0005-0000-0000-0000E43D0000}"/>
    <cellStyle name="40 % - Markeringsfarve2 3 8 2 3 2" xfId="32489" xr:uid="{00000000-0005-0000-0000-0000E53D0000}"/>
    <cellStyle name="40 % - Markeringsfarve2 3 8 2 4" xfId="25487" xr:uid="{00000000-0005-0000-0000-0000E63D0000}"/>
    <cellStyle name="40 % - Markeringsfarve2 3 8 3" xfId="5770" xr:uid="{00000000-0005-0000-0000-0000E73D0000}"/>
    <cellStyle name="40 % - Markeringsfarve2 3 8 3 2" xfId="9652" xr:uid="{00000000-0005-0000-0000-0000E83D0000}"/>
    <cellStyle name="40 % - Markeringsfarve2 3 8 3 2 2" xfId="17562" xr:uid="{00000000-0005-0000-0000-0000E93D0000}"/>
    <cellStyle name="40 % - Markeringsfarve2 3 8 3 2 2 2" xfId="35722" xr:uid="{00000000-0005-0000-0000-0000EA3D0000}"/>
    <cellStyle name="40 % - Markeringsfarve2 3 8 3 2 3" xfId="28721" xr:uid="{00000000-0005-0000-0000-0000EB3D0000}"/>
    <cellStyle name="40 % - Markeringsfarve2 3 8 3 3" xfId="14324" xr:uid="{00000000-0005-0000-0000-0000EC3D0000}"/>
    <cellStyle name="40 % - Markeringsfarve2 3 8 3 3 2" xfId="32490" xr:uid="{00000000-0005-0000-0000-0000ED3D0000}"/>
    <cellStyle name="40 % - Markeringsfarve2 3 8 3 4" xfId="25488" xr:uid="{00000000-0005-0000-0000-0000EE3D0000}"/>
    <cellStyle name="40 % - Markeringsfarve2 3 8 4" xfId="8067" xr:uid="{00000000-0005-0000-0000-0000EF3D0000}"/>
    <cellStyle name="40 % - Markeringsfarve2 3 8 4 2" xfId="15985" xr:uid="{00000000-0005-0000-0000-0000F03D0000}"/>
    <cellStyle name="40 % - Markeringsfarve2 3 8 4 2 2" xfId="34145" xr:uid="{00000000-0005-0000-0000-0000F13D0000}"/>
    <cellStyle name="40 % - Markeringsfarve2 3 8 4 3" xfId="27144" xr:uid="{00000000-0005-0000-0000-0000F23D0000}"/>
    <cellStyle name="40 % - Markeringsfarve2 3 8 5" xfId="14322" xr:uid="{00000000-0005-0000-0000-0000F33D0000}"/>
    <cellStyle name="40 % - Markeringsfarve2 3 8 5 2" xfId="32488" xr:uid="{00000000-0005-0000-0000-0000F43D0000}"/>
    <cellStyle name="40 % - Markeringsfarve2 3 8 6" xfId="25486" xr:uid="{00000000-0005-0000-0000-0000F53D0000}"/>
    <cellStyle name="40 % - Markeringsfarve2 3 9" xfId="5771" xr:uid="{00000000-0005-0000-0000-0000F63D0000}"/>
    <cellStyle name="40 % - Markeringsfarve2 3 9 2" xfId="9734" xr:uid="{00000000-0005-0000-0000-0000F73D0000}"/>
    <cellStyle name="40 % - Markeringsfarve2 3 9 2 2" xfId="17635" xr:uid="{00000000-0005-0000-0000-0000F83D0000}"/>
    <cellStyle name="40 % - Markeringsfarve2 3 9 2 2 2" xfId="35795" xr:uid="{00000000-0005-0000-0000-0000F93D0000}"/>
    <cellStyle name="40 % - Markeringsfarve2 3 9 2 3" xfId="28794" xr:uid="{00000000-0005-0000-0000-0000FA3D0000}"/>
    <cellStyle name="40 % - Markeringsfarve2 3 9 3" xfId="14325" xr:uid="{00000000-0005-0000-0000-0000FB3D0000}"/>
    <cellStyle name="40 % - Markeringsfarve2 3 9 3 2" xfId="32491" xr:uid="{00000000-0005-0000-0000-0000FC3D0000}"/>
    <cellStyle name="40 % - Markeringsfarve2 3 9 4" xfId="25489" xr:uid="{00000000-0005-0000-0000-0000FD3D0000}"/>
    <cellStyle name="40 % - Markeringsfarve2 4" xfId="1890" xr:uid="{00000000-0005-0000-0000-0000FE3D0000}"/>
    <cellStyle name="40 % - Markeringsfarve2 4 10" xfId="14326" xr:uid="{00000000-0005-0000-0000-0000FF3D0000}"/>
    <cellStyle name="40 % - Markeringsfarve2 4 10 2" xfId="32492" xr:uid="{00000000-0005-0000-0000-0000003E0000}"/>
    <cellStyle name="40 % - Markeringsfarve2 4 11" xfId="5772" xr:uid="{00000000-0005-0000-0000-0000013E0000}"/>
    <cellStyle name="40 % - Markeringsfarve2 4 11 2" xfId="25490" xr:uid="{00000000-0005-0000-0000-0000023E0000}"/>
    <cellStyle name="40 % - Markeringsfarve2 4 12" xfId="22008" xr:uid="{00000000-0005-0000-0000-0000033E0000}"/>
    <cellStyle name="40 % - Markeringsfarve2 4 2" xfId="1891" xr:uid="{00000000-0005-0000-0000-0000043E0000}"/>
    <cellStyle name="40 % - Markeringsfarve2 4 2 2" xfId="5774" xr:uid="{00000000-0005-0000-0000-0000053E0000}"/>
    <cellStyle name="40 % - Markeringsfarve2 4 2 2 2" xfId="9878" xr:uid="{00000000-0005-0000-0000-0000063E0000}"/>
    <cellStyle name="40 % - Markeringsfarve2 4 2 2 2 2" xfId="17779" xr:uid="{00000000-0005-0000-0000-0000073E0000}"/>
    <cellStyle name="40 % - Markeringsfarve2 4 2 2 2 2 2" xfId="35939" xr:uid="{00000000-0005-0000-0000-0000083E0000}"/>
    <cellStyle name="40 % - Markeringsfarve2 4 2 2 2 3" xfId="28938" xr:uid="{00000000-0005-0000-0000-0000093E0000}"/>
    <cellStyle name="40 % - Markeringsfarve2 4 2 2 3" xfId="14328" xr:uid="{00000000-0005-0000-0000-00000A3E0000}"/>
    <cellStyle name="40 % - Markeringsfarve2 4 2 2 3 2" xfId="32494" xr:uid="{00000000-0005-0000-0000-00000B3E0000}"/>
    <cellStyle name="40 % - Markeringsfarve2 4 2 2 4" xfId="25492" xr:uid="{00000000-0005-0000-0000-00000C3E0000}"/>
    <cellStyle name="40 % - Markeringsfarve2 4 2 3" xfId="5775" xr:uid="{00000000-0005-0000-0000-00000D3E0000}"/>
    <cellStyle name="40 % - Markeringsfarve2 4 2 3 2" xfId="9108" xr:uid="{00000000-0005-0000-0000-00000E3E0000}"/>
    <cellStyle name="40 % - Markeringsfarve2 4 2 3 2 2" xfId="17019" xr:uid="{00000000-0005-0000-0000-00000F3E0000}"/>
    <cellStyle name="40 % - Markeringsfarve2 4 2 3 2 2 2" xfId="35179" xr:uid="{00000000-0005-0000-0000-0000103E0000}"/>
    <cellStyle name="40 % - Markeringsfarve2 4 2 3 2 3" xfId="28178" xr:uid="{00000000-0005-0000-0000-0000113E0000}"/>
    <cellStyle name="40 % - Markeringsfarve2 4 2 3 3" xfId="14329" xr:uid="{00000000-0005-0000-0000-0000123E0000}"/>
    <cellStyle name="40 % - Markeringsfarve2 4 2 3 3 2" xfId="32495" xr:uid="{00000000-0005-0000-0000-0000133E0000}"/>
    <cellStyle name="40 % - Markeringsfarve2 4 2 3 4" xfId="25493" xr:uid="{00000000-0005-0000-0000-0000143E0000}"/>
    <cellStyle name="40 % - Markeringsfarve2 4 2 4" xfId="8069" xr:uid="{00000000-0005-0000-0000-0000153E0000}"/>
    <cellStyle name="40 % - Markeringsfarve2 4 2 4 2" xfId="15987" xr:uid="{00000000-0005-0000-0000-0000163E0000}"/>
    <cellStyle name="40 % - Markeringsfarve2 4 2 4 2 2" xfId="34147" xr:uid="{00000000-0005-0000-0000-0000173E0000}"/>
    <cellStyle name="40 % - Markeringsfarve2 4 2 4 3" xfId="27146" xr:uid="{00000000-0005-0000-0000-0000183E0000}"/>
    <cellStyle name="40 % - Markeringsfarve2 4 2 5" xfId="14327" xr:uid="{00000000-0005-0000-0000-0000193E0000}"/>
    <cellStyle name="40 % - Markeringsfarve2 4 2 5 2" xfId="32493" xr:uid="{00000000-0005-0000-0000-00001A3E0000}"/>
    <cellStyle name="40 % - Markeringsfarve2 4 2 6" xfId="5773" xr:uid="{00000000-0005-0000-0000-00001B3E0000}"/>
    <cellStyle name="40 % - Markeringsfarve2 4 2 6 2" xfId="25491" xr:uid="{00000000-0005-0000-0000-00001C3E0000}"/>
    <cellStyle name="40 % - Markeringsfarve2 4 2 7" xfId="22009" xr:uid="{00000000-0005-0000-0000-00001D3E0000}"/>
    <cellStyle name="40 % - Markeringsfarve2 4 3" xfId="5776" xr:uid="{00000000-0005-0000-0000-00001E3E0000}"/>
    <cellStyle name="40 % - Markeringsfarve2 4 3 2" xfId="5777" xr:uid="{00000000-0005-0000-0000-00001F3E0000}"/>
    <cellStyle name="40 % - Markeringsfarve2 4 3 2 2" xfId="10024" xr:uid="{00000000-0005-0000-0000-0000203E0000}"/>
    <cellStyle name="40 % - Markeringsfarve2 4 3 2 2 2" xfId="17925" xr:uid="{00000000-0005-0000-0000-0000213E0000}"/>
    <cellStyle name="40 % - Markeringsfarve2 4 3 2 2 2 2" xfId="36085" xr:uid="{00000000-0005-0000-0000-0000223E0000}"/>
    <cellStyle name="40 % - Markeringsfarve2 4 3 2 2 3" xfId="29084" xr:uid="{00000000-0005-0000-0000-0000233E0000}"/>
    <cellStyle name="40 % - Markeringsfarve2 4 3 2 3" xfId="14331" xr:uid="{00000000-0005-0000-0000-0000243E0000}"/>
    <cellStyle name="40 % - Markeringsfarve2 4 3 2 3 2" xfId="32497" xr:uid="{00000000-0005-0000-0000-0000253E0000}"/>
    <cellStyle name="40 % - Markeringsfarve2 4 3 2 4" xfId="25495" xr:uid="{00000000-0005-0000-0000-0000263E0000}"/>
    <cellStyle name="40 % - Markeringsfarve2 4 3 3" xfId="5778" xr:uid="{00000000-0005-0000-0000-0000273E0000}"/>
    <cellStyle name="40 % - Markeringsfarve2 4 3 3 2" xfId="9254" xr:uid="{00000000-0005-0000-0000-0000283E0000}"/>
    <cellStyle name="40 % - Markeringsfarve2 4 3 3 2 2" xfId="17165" xr:uid="{00000000-0005-0000-0000-0000293E0000}"/>
    <cellStyle name="40 % - Markeringsfarve2 4 3 3 2 2 2" xfId="35325" xr:uid="{00000000-0005-0000-0000-00002A3E0000}"/>
    <cellStyle name="40 % - Markeringsfarve2 4 3 3 2 3" xfId="28324" xr:uid="{00000000-0005-0000-0000-00002B3E0000}"/>
    <cellStyle name="40 % - Markeringsfarve2 4 3 3 3" xfId="14332" xr:uid="{00000000-0005-0000-0000-00002C3E0000}"/>
    <cellStyle name="40 % - Markeringsfarve2 4 3 3 3 2" xfId="32498" xr:uid="{00000000-0005-0000-0000-00002D3E0000}"/>
    <cellStyle name="40 % - Markeringsfarve2 4 3 3 4" xfId="25496" xr:uid="{00000000-0005-0000-0000-00002E3E0000}"/>
    <cellStyle name="40 % - Markeringsfarve2 4 3 4" xfId="8070" xr:uid="{00000000-0005-0000-0000-00002F3E0000}"/>
    <cellStyle name="40 % - Markeringsfarve2 4 3 4 2" xfId="15988" xr:uid="{00000000-0005-0000-0000-0000303E0000}"/>
    <cellStyle name="40 % - Markeringsfarve2 4 3 4 2 2" xfId="34148" xr:uid="{00000000-0005-0000-0000-0000313E0000}"/>
    <cellStyle name="40 % - Markeringsfarve2 4 3 4 3" xfId="27147" xr:uid="{00000000-0005-0000-0000-0000323E0000}"/>
    <cellStyle name="40 % - Markeringsfarve2 4 3 5" xfId="14330" xr:uid="{00000000-0005-0000-0000-0000333E0000}"/>
    <cellStyle name="40 % - Markeringsfarve2 4 3 5 2" xfId="32496" xr:uid="{00000000-0005-0000-0000-0000343E0000}"/>
    <cellStyle name="40 % - Markeringsfarve2 4 3 6" xfId="25494" xr:uid="{00000000-0005-0000-0000-0000353E0000}"/>
    <cellStyle name="40 % - Markeringsfarve2 4 4" xfId="5779" xr:uid="{00000000-0005-0000-0000-0000363E0000}"/>
    <cellStyle name="40 % - Markeringsfarve2 4 4 2" xfId="5780" xr:uid="{00000000-0005-0000-0000-0000373E0000}"/>
    <cellStyle name="40 % - Markeringsfarve2 4 4 2 2" xfId="10116" xr:uid="{00000000-0005-0000-0000-0000383E0000}"/>
    <cellStyle name="40 % - Markeringsfarve2 4 4 2 2 2" xfId="18017" xr:uid="{00000000-0005-0000-0000-0000393E0000}"/>
    <cellStyle name="40 % - Markeringsfarve2 4 4 2 2 2 2" xfId="36177" xr:uid="{00000000-0005-0000-0000-00003A3E0000}"/>
    <cellStyle name="40 % - Markeringsfarve2 4 4 2 2 3" xfId="29176" xr:uid="{00000000-0005-0000-0000-00003B3E0000}"/>
    <cellStyle name="40 % - Markeringsfarve2 4 4 2 3" xfId="14334" xr:uid="{00000000-0005-0000-0000-00003C3E0000}"/>
    <cellStyle name="40 % - Markeringsfarve2 4 4 2 3 2" xfId="32500" xr:uid="{00000000-0005-0000-0000-00003D3E0000}"/>
    <cellStyle name="40 % - Markeringsfarve2 4 4 2 4" xfId="25498" xr:uid="{00000000-0005-0000-0000-00003E3E0000}"/>
    <cellStyle name="40 % - Markeringsfarve2 4 4 3" xfId="5781" xr:uid="{00000000-0005-0000-0000-00003F3E0000}"/>
    <cellStyle name="40 % - Markeringsfarve2 4 4 3 2" xfId="9392" xr:uid="{00000000-0005-0000-0000-0000403E0000}"/>
    <cellStyle name="40 % - Markeringsfarve2 4 4 3 2 2" xfId="17302" xr:uid="{00000000-0005-0000-0000-0000413E0000}"/>
    <cellStyle name="40 % - Markeringsfarve2 4 4 3 2 2 2" xfId="35462" xr:uid="{00000000-0005-0000-0000-0000423E0000}"/>
    <cellStyle name="40 % - Markeringsfarve2 4 4 3 2 3" xfId="28461" xr:uid="{00000000-0005-0000-0000-0000433E0000}"/>
    <cellStyle name="40 % - Markeringsfarve2 4 4 3 3" xfId="14335" xr:uid="{00000000-0005-0000-0000-0000443E0000}"/>
    <cellStyle name="40 % - Markeringsfarve2 4 4 3 3 2" xfId="32501" xr:uid="{00000000-0005-0000-0000-0000453E0000}"/>
    <cellStyle name="40 % - Markeringsfarve2 4 4 3 4" xfId="25499" xr:uid="{00000000-0005-0000-0000-0000463E0000}"/>
    <cellStyle name="40 % - Markeringsfarve2 4 4 4" xfId="8071" xr:uid="{00000000-0005-0000-0000-0000473E0000}"/>
    <cellStyle name="40 % - Markeringsfarve2 4 4 4 2" xfId="15989" xr:uid="{00000000-0005-0000-0000-0000483E0000}"/>
    <cellStyle name="40 % - Markeringsfarve2 4 4 4 2 2" xfId="34149" xr:uid="{00000000-0005-0000-0000-0000493E0000}"/>
    <cellStyle name="40 % - Markeringsfarve2 4 4 4 3" xfId="27148" xr:uid="{00000000-0005-0000-0000-00004A3E0000}"/>
    <cellStyle name="40 % - Markeringsfarve2 4 4 5" xfId="14333" xr:uid="{00000000-0005-0000-0000-00004B3E0000}"/>
    <cellStyle name="40 % - Markeringsfarve2 4 4 5 2" xfId="32499" xr:uid="{00000000-0005-0000-0000-00004C3E0000}"/>
    <cellStyle name="40 % - Markeringsfarve2 4 4 6" xfId="25497" xr:uid="{00000000-0005-0000-0000-00004D3E0000}"/>
    <cellStyle name="40 % - Markeringsfarve2 4 5" xfId="5782" xr:uid="{00000000-0005-0000-0000-00004E3E0000}"/>
    <cellStyle name="40 % - Markeringsfarve2 4 5 2" xfId="5783" xr:uid="{00000000-0005-0000-0000-00004F3E0000}"/>
    <cellStyle name="40 % - Markeringsfarve2 4 5 2 2" xfId="10233" xr:uid="{00000000-0005-0000-0000-0000503E0000}"/>
    <cellStyle name="40 % - Markeringsfarve2 4 5 2 2 2" xfId="18134" xr:uid="{00000000-0005-0000-0000-0000513E0000}"/>
    <cellStyle name="40 % - Markeringsfarve2 4 5 2 2 2 2" xfId="36294" xr:uid="{00000000-0005-0000-0000-0000523E0000}"/>
    <cellStyle name="40 % - Markeringsfarve2 4 5 2 2 3" xfId="29293" xr:uid="{00000000-0005-0000-0000-0000533E0000}"/>
    <cellStyle name="40 % - Markeringsfarve2 4 5 2 3" xfId="14337" xr:uid="{00000000-0005-0000-0000-0000543E0000}"/>
    <cellStyle name="40 % - Markeringsfarve2 4 5 2 3 2" xfId="32503" xr:uid="{00000000-0005-0000-0000-0000553E0000}"/>
    <cellStyle name="40 % - Markeringsfarve2 4 5 2 4" xfId="25501" xr:uid="{00000000-0005-0000-0000-0000563E0000}"/>
    <cellStyle name="40 % - Markeringsfarve2 4 5 3" xfId="5784" xr:uid="{00000000-0005-0000-0000-0000573E0000}"/>
    <cellStyle name="40 % - Markeringsfarve2 4 5 3 2" xfId="9509" xr:uid="{00000000-0005-0000-0000-0000583E0000}"/>
    <cellStyle name="40 % - Markeringsfarve2 4 5 3 2 2" xfId="17419" xr:uid="{00000000-0005-0000-0000-0000593E0000}"/>
    <cellStyle name="40 % - Markeringsfarve2 4 5 3 2 2 2" xfId="35579" xr:uid="{00000000-0005-0000-0000-00005A3E0000}"/>
    <cellStyle name="40 % - Markeringsfarve2 4 5 3 2 3" xfId="28578" xr:uid="{00000000-0005-0000-0000-00005B3E0000}"/>
    <cellStyle name="40 % - Markeringsfarve2 4 5 3 3" xfId="14338" xr:uid="{00000000-0005-0000-0000-00005C3E0000}"/>
    <cellStyle name="40 % - Markeringsfarve2 4 5 3 3 2" xfId="32504" xr:uid="{00000000-0005-0000-0000-00005D3E0000}"/>
    <cellStyle name="40 % - Markeringsfarve2 4 5 3 4" xfId="25502" xr:uid="{00000000-0005-0000-0000-00005E3E0000}"/>
    <cellStyle name="40 % - Markeringsfarve2 4 5 4" xfId="8072" xr:uid="{00000000-0005-0000-0000-00005F3E0000}"/>
    <cellStyle name="40 % - Markeringsfarve2 4 5 4 2" xfId="15990" xr:uid="{00000000-0005-0000-0000-0000603E0000}"/>
    <cellStyle name="40 % - Markeringsfarve2 4 5 4 2 2" xfId="34150" xr:uid="{00000000-0005-0000-0000-0000613E0000}"/>
    <cellStyle name="40 % - Markeringsfarve2 4 5 4 3" xfId="27149" xr:uid="{00000000-0005-0000-0000-0000623E0000}"/>
    <cellStyle name="40 % - Markeringsfarve2 4 5 5" xfId="14336" xr:uid="{00000000-0005-0000-0000-0000633E0000}"/>
    <cellStyle name="40 % - Markeringsfarve2 4 5 5 2" xfId="32502" xr:uid="{00000000-0005-0000-0000-0000643E0000}"/>
    <cellStyle name="40 % - Markeringsfarve2 4 5 6" xfId="25500" xr:uid="{00000000-0005-0000-0000-0000653E0000}"/>
    <cellStyle name="40 % - Markeringsfarve2 4 6" xfId="5785" xr:uid="{00000000-0005-0000-0000-0000663E0000}"/>
    <cellStyle name="40 % - Markeringsfarve2 4 6 2" xfId="5786" xr:uid="{00000000-0005-0000-0000-0000673E0000}"/>
    <cellStyle name="40 % - Markeringsfarve2 4 6 2 2" xfId="10378" xr:uid="{00000000-0005-0000-0000-0000683E0000}"/>
    <cellStyle name="40 % - Markeringsfarve2 4 6 2 2 2" xfId="18279" xr:uid="{00000000-0005-0000-0000-0000693E0000}"/>
    <cellStyle name="40 % - Markeringsfarve2 4 6 2 2 2 2" xfId="36439" xr:uid="{00000000-0005-0000-0000-00006A3E0000}"/>
    <cellStyle name="40 % - Markeringsfarve2 4 6 2 2 3" xfId="29438" xr:uid="{00000000-0005-0000-0000-00006B3E0000}"/>
    <cellStyle name="40 % - Markeringsfarve2 4 6 2 3" xfId="14340" xr:uid="{00000000-0005-0000-0000-00006C3E0000}"/>
    <cellStyle name="40 % - Markeringsfarve2 4 6 2 3 2" xfId="32506" xr:uid="{00000000-0005-0000-0000-00006D3E0000}"/>
    <cellStyle name="40 % - Markeringsfarve2 4 6 2 4" xfId="25504" xr:uid="{00000000-0005-0000-0000-00006E3E0000}"/>
    <cellStyle name="40 % - Markeringsfarve2 4 6 3" xfId="5787" xr:uid="{00000000-0005-0000-0000-00006F3E0000}"/>
    <cellStyle name="40 % - Markeringsfarve2 4 6 3 2" xfId="9655" xr:uid="{00000000-0005-0000-0000-0000703E0000}"/>
    <cellStyle name="40 % - Markeringsfarve2 4 6 3 2 2" xfId="17565" xr:uid="{00000000-0005-0000-0000-0000713E0000}"/>
    <cellStyle name="40 % - Markeringsfarve2 4 6 3 2 2 2" xfId="35725" xr:uid="{00000000-0005-0000-0000-0000723E0000}"/>
    <cellStyle name="40 % - Markeringsfarve2 4 6 3 2 3" xfId="28724" xr:uid="{00000000-0005-0000-0000-0000733E0000}"/>
    <cellStyle name="40 % - Markeringsfarve2 4 6 3 3" xfId="14341" xr:uid="{00000000-0005-0000-0000-0000743E0000}"/>
    <cellStyle name="40 % - Markeringsfarve2 4 6 3 3 2" xfId="32507" xr:uid="{00000000-0005-0000-0000-0000753E0000}"/>
    <cellStyle name="40 % - Markeringsfarve2 4 6 3 4" xfId="25505" xr:uid="{00000000-0005-0000-0000-0000763E0000}"/>
    <cellStyle name="40 % - Markeringsfarve2 4 6 4" xfId="8073" xr:uid="{00000000-0005-0000-0000-0000773E0000}"/>
    <cellStyle name="40 % - Markeringsfarve2 4 6 4 2" xfId="15991" xr:uid="{00000000-0005-0000-0000-0000783E0000}"/>
    <cellStyle name="40 % - Markeringsfarve2 4 6 4 2 2" xfId="34151" xr:uid="{00000000-0005-0000-0000-0000793E0000}"/>
    <cellStyle name="40 % - Markeringsfarve2 4 6 4 3" xfId="27150" xr:uid="{00000000-0005-0000-0000-00007A3E0000}"/>
    <cellStyle name="40 % - Markeringsfarve2 4 6 5" xfId="14339" xr:uid="{00000000-0005-0000-0000-00007B3E0000}"/>
    <cellStyle name="40 % - Markeringsfarve2 4 6 5 2" xfId="32505" xr:uid="{00000000-0005-0000-0000-00007C3E0000}"/>
    <cellStyle name="40 % - Markeringsfarve2 4 6 6" xfId="25503" xr:uid="{00000000-0005-0000-0000-00007D3E0000}"/>
    <cellStyle name="40 % - Markeringsfarve2 4 7" xfId="5788" xr:uid="{00000000-0005-0000-0000-00007E3E0000}"/>
    <cellStyle name="40 % - Markeringsfarve2 4 7 2" xfId="9759" xr:uid="{00000000-0005-0000-0000-00007F3E0000}"/>
    <cellStyle name="40 % - Markeringsfarve2 4 7 2 2" xfId="17660" xr:uid="{00000000-0005-0000-0000-0000803E0000}"/>
    <cellStyle name="40 % - Markeringsfarve2 4 7 2 2 2" xfId="35820" xr:uid="{00000000-0005-0000-0000-0000813E0000}"/>
    <cellStyle name="40 % - Markeringsfarve2 4 7 2 3" xfId="28819" xr:uid="{00000000-0005-0000-0000-0000823E0000}"/>
    <cellStyle name="40 % - Markeringsfarve2 4 7 3" xfId="14342" xr:uid="{00000000-0005-0000-0000-0000833E0000}"/>
    <cellStyle name="40 % - Markeringsfarve2 4 7 3 2" xfId="32508" xr:uid="{00000000-0005-0000-0000-0000843E0000}"/>
    <cellStyle name="40 % - Markeringsfarve2 4 7 4" xfId="25506" xr:uid="{00000000-0005-0000-0000-0000853E0000}"/>
    <cellStyle name="40 % - Markeringsfarve2 4 8" xfId="5789" xr:uid="{00000000-0005-0000-0000-0000863E0000}"/>
    <cellStyle name="40 % - Markeringsfarve2 4 8 2" xfId="8987" xr:uid="{00000000-0005-0000-0000-0000873E0000}"/>
    <cellStyle name="40 % - Markeringsfarve2 4 8 2 2" xfId="16898" xr:uid="{00000000-0005-0000-0000-0000883E0000}"/>
    <cellStyle name="40 % - Markeringsfarve2 4 8 2 2 2" xfId="35058" xr:uid="{00000000-0005-0000-0000-0000893E0000}"/>
    <cellStyle name="40 % - Markeringsfarve2 4 8 2 3" xfId="28057" xr:uid="{00000000-0005-0000-0000-00008A3E0000}"/>
    <cellStyle name="40 % - Markeringsfarve2 4 8 3" xfId="14343" xr:uid="{00000000-0005-0000-0000-00008B3E0000}"/>
    <cellStyle name="40 % - Markeringsfarve2 4 8 3 2" xfId="32509" xr:uid="{00000000-0005-0000-0000-00008C3E0000}"/>
    <cellStyle name="40 % - Markeringsfarve2 4 8 4" xfId="25507" xr:uid="{00000000-0005-0000-0000-00008D3E0000}"/>
    <cellStyle name="40 % - Markeringsfarve2 4 9" xfId="8068" xr:uid="{00000000-0005-0000-0000-00008E3E0000}"/>
    <cellStyle name="40 % - Markeringsfarve2 4 9 2" xfId="15986" xr:uid="{00000000-0005-0000-0000-00008F3E0000}"/>
    <cellStyle name="40 % - Markeringsfarve2 4 9 2 2" xfId="34146" xr:uid="{00000000-0005-0000-0000-0000903E0000}"/>
    <cellStyle name="40 % - Markeringsfarve2 4 9 3" xfId="27145" xr:uid="{00000000-0005-0000-0000-0000913E0000}"/>
    <cellStyle name="40 % - Markeringsfarve2 5" xfId="1892" xr:uid="{00000000-0005-0000-0000-0000923E0000}"/>
    <cellStyle name="40 % - Markeringsfarve2 5 10" xfId="14344" xr:uid="{00000000-0005-0000-0000-0000933E0000}"/>
    <cellStyle name="40 % - Markeringsfarve2 5 10 2" xfId="32510" xr:uid="{00000000-0005-0000-0000-0000943E0000}"/>
    <cellStyle name="40 % - Markeringsfarve2 5 11" xfId="5790" xr:uid="{00000000-0005-0000-0000-0000953E0000}"/>
    <cellStyle name="40 % - Markeringsfarve2 5 11 2" xfId="25508" xr:uid="{00000000-0005-0000-0000-0000963E0000}"/>
    <cellStyle name="40 % - Markeringsfarve2 5 12" xfId="22010" xr:uid="{00000000-0005-0000-0000-0000973E0000}"/>
    <cellStyle name="40 % - Markeringsfarve2 5 2" xfId="1893" xr:uid="{00000000-0005-0000-0000-0000983E0000}"/>
    <cellStyle name="40 % - Markeringsfarve2 5 2 2" xfId="5792" xr:uid="{00000000-0005-0000-0000-0000993E0000}"/>
    <cellStyle name="40 % - Markeringsfarve2 5 2 2 2" xfId="9917" xr:uid="{00000000-0005-0000-0000-00009A3E0000}"/>
    <cellStyle name="40 % - Markeringsfarve2 5 2 2 2 2" xfId="17818" xr:uid="{00000000-0005-0000-0000-00009B3E0000}"/>
    <cellStyle name="40 % - Markeringsfarve2 5 2 2 2 2 2" xfId="35978" xr:uid="{00000000-0005-0000-0000-00009C3E0000}"/>
    <cellStyle name="40 % - Markeringsfarve2 5 2 2 2 3" xfId="28977" xr:uid="{00000000-0005-0000-0000-00009D3E0000}"/>
    <cellStyle name="40 % - Markeringsfarve2 5 2 2 3" xfId="14346" xr:uid="{00000000-0005-0000-0000-00009E3E0000}"/>
    <cellStyle name="40 % - Markeringsfarve2 5 2 2 3 2" xfId="32512" xr:uid="{00000000-0005-0000-0000-00009F3E0000}"/>
    <cellStyle name="40 % - Markeringsfarve2 5 2 2 4" xfId="25510" xr:uid="{00000000-0005-0000-0000-0000A03E0000}"/>
    <cellStyle name="40 % - Markeringsfarve2 5 2 3" xfId="5793" xr:uid="{00000000-0005-0000-0000-0000A13E0000}"/>
    <cellStyle name="40 % - Markeringsfarve2 5 2 3 2" xfId="9147" xr:uid="{00000000-0005-0000-0000-0000A23E0000}"/>
    <cellStyle name="40 % - Markeringsfarve2 5 2 3 2 2" xfId="17058" xr:uid="{00000000-0005-0000-0000-0000A33E0000}"/>
    <cellStyle name="40 % - Markeringsfarve2 5 2 3 2 2 2" xfId="35218" xr:uid="{00000000-0005-0000-0000-0000A43E0000}"/>
    <cellStyle name="40 % - Markeringsfarve2 5 2 3 2 3" xfId="28217" xr:uid="{00000000-0005-0000-0000-0000A53E0000}"/>
    <cellStyle name="40 % - Markeringsfarve2 5 2 3 3" xfId="14347" xr:uid="{00000000-0005-0000-0000-0000A63E0000}"/>
    <cellStyle name="40 % - Markeringsfarve2 5 2 3 3 2" xfId="32513" xr:uid="{00000000-0005-0000-0000-0000A73E0000}"/>
    <cellStyle name="40 % - Markeringsfarve2 5 2 3 4" xfId="25511" xr:uid="{00000000-0005-0000-0000-0000A83E0000}"/>
    <cellStyle name="40 % - Markeringsfarve2 5 2 4" xfId="8075" xr:uid="{00000000-0005-0000-0000-0000A93E0000}"/>
    <cellStyle name="40 % - Markeringsfarve2 5 2 4 2" xfId="15993" xr:uid="{00000000-0005-0000-0000-0000AA3E0000}"/>
    <cellStyle name="40 % - Markeringsfarve2 5 2 4 2 2" xfId="34153" xr:uid="{00000000-0005-0000-0000-0000AB3E0000}"/>
    <cellStyle name="40 % - Markeringsfarve2 5 2 4 3" xfId="27152" xr:uid="{00000000-0005-0000-0000-0000AC3E0000}"/>
    <cellStyle name="40 % - Markeringsfarve2 5 2 5" xfId="14345" xr:uid="{00000000-0005-0000-0000-0000AD3E0000}"/>
    <cellStyle name="40 % - Markeringsfarve2 5 2 5 2" xfId="32511" xr:uid="{00000000-0005-0000-0000-0000AE3E0000}"/>
    <cellStyle name="40 % - Markeringsfarve2 5 2 6" xfId="5791" xr:uid="{00000000-0005-0000-0000-0000AF3E0000}"/>
    <cellStyle name="40 % - Markeringsfarve2 5 2 6 2" xfId="25509" xr:uid="{00000000-0005-0000-0000-0000B03E0000}"/>
    <cellStyle name="40 % - Markeringsfarve2 5 2 7" xfId="22011" xr:uid="{00000000-0005-0000-0000-0000B13E0000}"/>
    <cellStyle name="40 % - Markeringsfarve2 5 3" xfId="5794" xr:uid="{00000000-0005-0000-0000-0000B23E0000}"/>
    <cellStyle name="40 % - Markeringsfarve2 5 3 2" xfId="5795" xr:uid="{00000000-0005-0000-0000-0000B33E0000}"/>
    <cellStyle name="40 % - Markeringsfarve2 5 3 2 2" xfId="10025" xr:uid="{00000000-0005-0000-0000-0000B43E0000}"/>
    <cellStyle name="40 % - Markeringsfarve2 5 3 2 2 2" xfId="17926" xr:uid="{00000000-0005-0000-0000-0000B53E0000}"/>
    <cellStyle name="40 % - Markeringsfarve2 5 3 2 2 2 2" xfId="36086" xr:uid="{00000000-0005-0000-0000-0000B63E0000}"/>
    <cellStyle name="40 % - Markeringsfarve2 5 3 2 2 3" xfId="29085" xr:uid="{00000000-0005-0000-0000-0000B73E0000}"/>
    <cellStyle name="40 % - Markeringsfarve2 5 3 2 3" xfId="14349" xr:uid="{00000000-0005-0000-0000-0000B83E0000}"/>
    <cellStyle name="40 % - Markeringsfarve2 5 3 2 3 2" xfId="32515" xr:uid="{00000000-0005-0000-0000-0000B93E0000}"/>
    <cellStyle name="40 % - Markeringsfarve2 5 3 2 4" xfId="25513" xr:uid="{00000000-0005-0000-0000-0000BA3E0000}"/>
    <cellStyle name="40 % - Markeringsfarve2 5 3 3" xfId="5796" xr:uid="{00000000-0005-0000-0000-0000BB3E0000}"/>
    <cellStyle name="40 % - Markeringsfarve2 5 3 3 2" xfId="9255" xr:uid="{00000000-0005-0000-0000-0000BC3E0000}"/>
    <cellStyle name="40 % - Markeringsfarve2 5 3 3 2 2" xfId="17166" xr:uid="{00000000-0005-0000-0000-0000BD3E0000}"/>
    <cellStyle name="40 % - Markeringsfarve2 5 3 3 2 2 2" xfId="35326" xr:uid="{00000000-0005-0000-0000-0000BE3E0000}"/>
    <cellStyle name="40 % - Markeringsfarve2 5 3 3 2 3" xfId="28325" xr:uid="{00000000-0005-0000-0000-0000BF3E0000}"/>
    <cellStyle name="40 % - Markeringsfarve2 5 3 3 3" xfId="14350" xr:uid="{00000000-0005-0000-0000-0000C03E0000}"/>
    <cellStyle name="40 % - Markeringsfarve2 5 3 3 3 2" xfId="32516" xr:uid="{00000000-0005-0000-0000-0000C13E0000}"/>
    <cellStyle name="40 % - Markeringsfarve2 5 3 3 4" xfId="25514" xr:uid="{00000000-0005-0000-0000-0000C23E0000}"/>
    <cellStyle name="40 % - Markeringsfarve2 5 3 4" xfId="8076" xr:uid="{00000000-0005-0000-0000-0000C33E0000}"/>
    <cellStyle name="40 % - Markeringsfarve2 5 3 4 2" xfId="15994" xr:uid="{00000000-0005-0000-0000-0000C43E0000}"/>
    <cellStyle name="40 % - Markeringsfarve2 5 3 4 2 2" xfId="34154" xr:uid="{00000000-0005-0000-0000-0000C53E0000}"/>
    <cellStyle name="40 % - Markeringsfarve2 5 3 4 3" xfId="27153" xr:uid="{00000000-0005-0000-0000-0000C63E0000}"/>
    <cellStyle name="40 % - Markeringsfarve2 5 3 5" xfId="14348" xr:uid="{00000000-0005-0000-0000-0000C73E0000}"/>
    <cellStyle name="40 % - Markeringsfarve2 5 3 5 2" xfId="32514" xr:uid="{00000000-0005-0000-0000-0000C83E0000}"/>
    <cellStyle name="40 % - Markeringsfarve2 5 3 6" xfId="25512" xr:uid="{00000000-0005-0000-0000-0000C93E0000}"/>
    <cellStyle name="40 % - Markeringsfarve2 5 4" xfId="5797" xr:uid="{00000000-0005-0000-0000-0000CA3E0000}"/>
    <cellStyle name="40 % - Markeringsfarve2 5 4 2" xfId="5798" xr:uid="{00000000-0005-0000-0000-0000CB3E0000}"/>
    <cellStyle name="40 % - Markeringsfarve2 5 4 2 2" xfId="10155" xr:uid="{00000000-0005-0000-0000-0000CC3E0000}"/>
    <cellStyle name="40 % - Markeringsfarve2 5 4 2 2 2" xfId="18056" xr:uid="{00000000-0005-0000-0000-0000CD3E0000}"/>
    <cellStyle name="40 % - Markeringsfarve2 5 4 2 2 2 2" xfId="36216" xr:uid="{00000000-0005-0000-0000-0000CE3E0000}"/>
    <cellStyle name="40 % - Markeringsfarve2 5 4 2 2 3" xfId="29215" xr:uid="{00000000-0005-0000-0000-0000CF3E0000}"/>
    <cellStyle name="40 % - Markeringsfarve2 5 4 2 3" xfId="14352" xr:uid="{00000000-0005-0000-0000-0000D03E0000}"/>
    <cellStyle name="40 % - Markeringsfarve2 5 4 2 3 2" xfId="32518" xr:uid="{00000000-0005-0000-0000-0000D13E0000}"/>
    <cellStyle name="40 % - Markeringsfarve2 5 4 2 4" xfId="25516" xr:uid="{00000000-0005-0000-0000-0000D23E0000}"/>
    <cellStyle name="40 % - Markeringsfarve2 5 4 3" xfId="5799" xr:uid="{00000000-0005-0000-0000-0000D33E0000}"/>
    <cellStyle name="40 % - Markeringsfarve2 5 4 3 2" xfId="9431" xr:uid="{00000000-0005-0000-0000-0000D43E0000}"/>
    <cellStyle name="40 % - Markeringsfarve2 5 4 3 2 2" xfId="17341" xr:uid="{00000000-0005-0000-0000-0000D53E0000}"/>
    <cellStyle name="40 % - Markeringsfarve2 5 4 3 2 2 2" xfId="35501" xr:uid="{00000000-0005-0000-0000-0000D63E0000}"/>
    <cellStyle name="40 % - Markeringsfarve2 5 4 3 2 3" xfId="28500" xr:uid="{00000000-0005-0000-0000-0000D73E0000}"/>
    <cellStyle name="40 % - Markeringsfarve2 5 4 3 3" xfId="14353" xr:uid="{00000000-0005-0000-0000-0000D83E0000}"/>
    <cellStyle name="40 % - Markeringsfarve2 5 4 3 3 2" xfId="32519" xr:uid="{00000000-0005-0000-0000-0000D93E0000}"/>
    <cellStyle name="40 % - Markeringsfarve2 5 4 3 4" xfId="25517" xr:uid="{00000000-0005-0000-0000-0000DA3E0000}"/>
    <cellStyle name="40 % - Markeringsfarve2 5 4 4" xfId="8077" xr:uid="{00000000-0005-0000-0000-0000DB3E0000}"/>
    <cellStyle name="40 % - Markeringsfarve2 5 4 4 2" xfId="15995" xr:uid="{00000000-0005-0000-0000-0000DC3E0000}"/>
    <cellStyle name="40 % - Markeringsfarve2 5 4 4 2 2" xfId="34155" xr:uid="{00000000-0005-0000-0000-0000DD3E0000}"/>
    <cellStyle name="40 % - Markeringsfarve2 5 4 4 3" xfId="27154" xr:uid="{00000000-0005-0000-0000-0000DE3E0000}"/>
    <cellStyle name="40 % - Markeringsfarve2 5 4 5" xfId="14351" xr:uid="{00000000-0005-0000-0000-0000DF3E0000}"/>
    <cellStyle name="40 % - Markeringsfarve2 5 4 5 2" xfId="32517" xr:uid="{00000000-0005-0000-0000-0000E03E0000}"/>
    <cellStyle name="40 % - Markeringsfarve2 5 4 6" xfId="25515" xr:uid="{00000000-0005-0000-0000-0000E13E0000}"/>
    <cellStyle name="40 % - Markeringsfarve2 5 5" xfId="5800" xr:uid="{00000000-0005-0000-0000-0000E23E0000}"/>
    <cellStyle name="40 % - Markeringsfarve2 5 5 2" xfId="5801" xr:uid="{00000000-0005-0000-0000-0000E33E0000}"/>
    <cellStyle name="40 % - Markeringsfarve2 5 5 2 2" xfId="10272" xr:uid="{00000000-0005-0000-0000-0000E43E0000}"/>
    <cellStyle name="40 % - Markeringsfarve2 5 5 2 2 2" xfId="18173" xr:uid="{00000000-0005-0000-0000-0000E53E0000}"/>
    <cellStyle name="40 % - Markeringsfarve2 5 5 2 2 2 2" xfId="36333" xr:uid="{00000000-0005-0000-0000-0000E63E0000}"/>
    <cellStyle name="40 % - Markeringsfarve2 5 5 2 2 3" xfId="29332" xr:uid="{00000000-0005-0000-0000-0000E73E0000}"/>
    <cellStyle name="40 % - Markeringsfarve2 5 5 2 3" xfId="14355" xr:uid="{00000000-0005-0000-0000-0000E83E0000}"/>
    <cellStyle name="40 % - Markeringsfarve2 5 5 2 3 2" xfId="32521" xr:uid="{00000000-0005-0000-0000-0000E93E0000}"/>
    <cellStyle name="40 % - Markeringsfarve2 5 5 2 4" xfId="25519" xr:uid="{00000000-0005-0000-0000-0000EA3E0000}"/>
    <cellStyle name="40 % - Markeringsfarve2 5 5 3" xfId="5802" xr:uid="{00000000-0005-0000-0000-0000EB3E0000}"/>
    <cellStyle name="40 % - Markeringsfarve2 5 5 3 2" xfId="9548" xr:uid="{00000000-0005-0000-0000-0000EC3E0000}"/>
    <cellStyle name="40 % - Markeringsfarve2 5 5 3 2 2" xfId="17458" xr:uid="{00000000-0005-0000-0000-0000ED3E0000}"/>
    <cellStyle name="40 % - Markeringsfarve2 5 5 3 2 2 2" xfId="35618" xr:uid="{00000000-0005-0000-0000-0000EE3E0000}"/>
    <cellStyle name="40 % - Markeringsfarve2 5 5 3 2 3" xfId="28617" xr:uid="{00000000-0005-0000-0000-0000EF3E0000}"/>
    <cellStyle name="40 % - Markeringsfarve2 5 5 3 3" xfId="14356" xr:uid="{00000000-0005-0000-0000-0000F03E0000}"/>
    <cellStyle name="40 % - Markeringsfarve2 5 5 3 3 2" xfId="32522" xr:uid="{00000000-0005-0000-0000-0000F13E0000}"/>
    <cellStyle name="40 % - Markeringsfarve2 5 5 3 4" xfId="25520" xr:uid="{00000000-0005-0000-0000-0000F23E0000}"/>
    <cellStyle name="40 % - Markeringsfarve2 5 5 4" xfId="8078" xr:uid="{00000000-0005-0000-0000-0000F33E0000}"/>
    <cellStyle name="40 % - Markeringsfarve2 5 5 4 2" xfId="15996" xr:uid="{00000000-0005-0000-0000-0000F43E0000}"/>
    <cellStyle name="40 % - Markeringsfarve2 5 5 4 2 2" xfId="34156" xr:uid="{00000000-0005-0000-0000-0000F53E0000}"/>
    <cellStyle name="40 % - Markeringsfarve2 5 5 4 3" xfId="27155" xr:uid="{00000000-0005-0000-0000-0000F63E0000}"/>
    <cellStyle name="40 % - Markeringsfarve2 5 5 5" xfId="14354" xr:uid="{00000000-0005-0000-0000-0000F73E0000}"/>
    <cellStyle name="40 % - Markeringsfarve2 5 5 5 2" xfId="32520" xr:uid="{00000000-0005-0000-0000-0000F83E0000}"/>
    <cellStyle name="40 % - Markeringsfarve2 5 5 6" xfId="25518" xr:uid="{00000000-0005-0000-0000-0000F93E0000}"/>
    <cellStyle name="40 % - Markeringsfarve2 5 6" xfId="5803" xr:uid="{00000000-0005-0000-0000-0000FA3E0000}"/>
    <cellStyle name="40 % - Markeringsfarve2 5 6 2" xfId="5804" xr:uid="{00000000-0005-0000-0000-0000FB3E0000}"/>
    <cellStyle name="40 % - Markeringsfarve2 5 6 2 2" xfId="10379" xr:uid="{00000000-0005-0000-0000-0000FC3E0000}"/>
    <cellStyle name="40 % - Markeringsfarve2 5 6 2 2 2" xfId="18280" xr:uid="{00000000-0005-0000-0000-0000FD3E0000}"/>
    <cellStyle name="40 % - Markeringsfarve2 5 6 2 2 2 2" xfId="36440" xr:uid="{00000000-0005-0000-0000-0000FE3E0000}"/>
    <cellStyle name="40 % - Markeringsfarve2 5 6 2 2 3" xfId="29439" xr:uid="{00000000-0005-0000-0000-0000FF3E0000}"/>
    <cellStyle name="40 % - Markeringsfarve2 5 6 2 3" xfId="14358" xr:uid="{00000000-0005-0000-0000-0000003F0000}"/>
    <cellStyle name="40 % - Markeringsfarve2 5 6 2 3 2" xfId="32524" xr:uid="{00000000-0005-0000-0000-0000013F0000}"/>
    <cellStyle name="40 % - Markeringsfarve2 5 6 2 4" xfId="25522" xr:uid="{00000000-0005-0000-0000-0000023F0000}"/>
    <cellStyle name="40 % - Markeringsfarve2 5 6 3" xfId="5805" xr:uid="{00000000-0005-0000-0000-0000033F0000}"/>
    <cellStyle name="40 % - Markeringsfarve2 5 6 3 2" xfId="9656" xr:uid="{00000000-0005-0000-0000-0000043F0000}"/>
    <cellStyle name="40 % - Markeringsfarve2 5 6 3 2 2" xfId="17566" xr:uid="{00000000-0005-0000-0000-0000053F0000}"/>
    <cellStyle name="40 % - Markeringsfarve2 5 6 3 2 2 2" xfId="35726" xr:uid="{00000000-0005-0000-0000-0000063F0000}"/>
    <cellStyle name="40 % - Markeringsfarve2 5 6 3 2 3" xfId="28725" xr:uid="{00000000-0005-0000-0000-0000073F0000}"/>
    <cellStyle name="40 % - Markeringsfarve2 5 6 3 3" xfId="14359" xr:uid="{00000000-0005-0000-0000-0000083F0000}"/>
    <cellStyle name="40 % - Markeringsfarve2 5 6 3 3 2" xfId="32525" xr:uid="{00000000-0005-0000-0000-0000093F0000}"/>
    <cellStyle name="40 % - Markeringsfarve2 5 6 3 4" xfId="25523" xr:uid="{00000000-0005-0000-0000-00000A3F0000}"/>
    <cellStyle name="40 % - Markeringsfarve2 5 6 4" xfId="8079" xr:uid="{00000000-0005-0000-0000-00000B3F0000}"/>
    <cellStyle name="40 % - Markeringsfarve2 5 6 4 2" xfId="15997" xr:uid="{00000000-0005-0000-0000-00000C3F0000}"/>
    <cellStyle name="40 % - Markeringsfarve2 5 6 4 2 2" xfId="34157" xr:uid="{00000000-0005-0000-0000-00000D3F0000}"/>
    <cellStyle name="40 % - Markeringsfarve2 5 6 4 3" xfId="27156" xr:uid="{00000000-0005-0000-0000-00000E3F0000}"/>
    <cellStyle name="40 % - Markeringsfarve2 5 6 5" xfId="14357" xr:uid="{00000000-0005-0000-0000-00000F3F0000}"/>
    <cellStyle name="40 % - Markeringsfarve2 5 6 5 2" xfId="32523" xr:uid="{00000000-0005-0000-0000-0000103F0000}"/>
    <cellStyle name="40 % - Markeringsfarve2 5 6 6" xfId="25521" xr:uid="{00000000-0005-0000-0000-0000113F0000}"/>
    <cellStyle name="40 % - Markeringsfarve2 5 7" xfId="5806" xr:uid="{00000000-0005-0000-0000-0000123F0000}"/>
    <cellStyle name="40 % - Markeringsfarve2 5 7 2" xfId="9798" xr:uid="{00000000-0005-0000-0000-0000133F0000}"/>
    <cellStyle name="40 % - Markeringsfarve2 5 7 2 2" xfId="17699" xr:uid="{00000000-0005-0000-0000-0000143F0000}"/>
    <cellStyle name="40 % - Markeringsfarve2 5 7 2 2 2" xfId="35859" xr:uid="{00000000-0005-0000-0000-0000153F0000}"/>
    <cellStyle name="40 % - Markeringsfarve2 5 7 2 3" xfId="28858" xr:uid="{00000000-0005-0000-0000-0000163F0000}"/>
    <cellStyle name="40 % - Markeringsfarve2 5 7 3" xfId="14360" xr:uid="{00000000-0005-0000-0000-0000173F0000}"/>
    <cellStyle name="40 % - Markeringsfarve2 5 7 3 2" xfId="32526" xr:uid="{00000000-0005-0000-0000-0000183F0000}"/>
    <cellStyle name="40 % - Markeringsfarve2 5 7 4" xfId="25524" xr:uid="{00000000-0005-0000-0000-0000193F0000}"/>
    <cellStyle name="40 % - Markeringsfarve2 5 8" xfId="5807" xr:uid="{00000000-0005-0000-0000-00001A3F0000}"/>
    <cellStyle name="40 % - Markeringsfarve2 5 8 2" xfId="9026" xr:uid="{00000000-0005-0000-0000-00001B3F0000}"/>
    <cellStyle name="40 % - Markeringsfarve2 5 8 2 2" xfId="16937" xr:uid="{00000000-0005-0000-0000-00001C3F0000}"/>
    <cellStyle name="40 % - Markeringsfarve2 5 8 2 2 2" xfId="35097" xr:uid="{00000000-0005-0000-0000-00001D3F0000}"/>
    <cellStyle name="40 % - Markeringsfarve2 5 8 2 3" xfId="28096" xr:uid="{00000000-0005-0000-0000-00001E3F0000}"/>
    <cellStyle name="40 % - Markeringsfarve2 5 8 3" xfId="14361" xr:uid="{00000000-0005-0000-0000-00001F3F0000}"/>
    <cellStyle name="40 % - Markeringsfarve2 5 8 3 2" xfId="32527" xr:uid="{00000000-0005-0000-0000-0000203F0000}"/>
    <cellStyle name="40 % - Markeringsfarve2 5 8 4" xfId="25525" xr:uid="{00000000-0005-0000-0000-0000213F0000}"/>
    <cellStyle name="40 % - Markeringsfarve2 5 9" xfId="8074" xr:uid="{00000000-0005-0000-0000-0000223F0000}"/>
    <cellStyle name="40 % - Markeringsfarve2 5 9 2" xfId="15992" xr:uid="{00000000-0005-0000-0000-0000233F0000}"/>
    <cellStyle name="40 % - Markeringsfarve2 5 9 2 2" xfId="34152" xr:uid="{00000000-0005-0000-0000-0000243F0000}"/>
    <cellStyle name="40 % - Markeringsfarve2 5 9 3" xfId="27151" xr:uid="{00000000-0005-0000-0000-0000253F0000}"/>
    <cellStyle name="40 % - Markeringsfarve2 6" xfId="1894" xr:uid="{00000000-0005-0000-0000-0000263F0000}"/>
    <cellStyle name="40 % - Markeringsfarve2 6 2" xfId="1895" xr:uid="{00000000-0005-0000-0000-0000273F0000}"/>
    <cellStyle name="40 % - Markeringsfarve2 6 2 2" xfId="9839" xr:uid="{00000000-0005-0000-0000-0000283F0000}"/>
    <cellStyle name="40 % - Markeringsfarve2 6 2 2 2" xfId="17740" xr:uid="{00000000-0005-0000-0000-0000293F0000}"/>
    <cellStyle name="40 % - Markeringsfarve2 6 2 2 2 2" xfId="35900" xr:uid="{00000000-0005-0000-0000-00002A3F0000}"/>
    <cellStyle name="40 % - Markeringsfarve2 6 2 2 3" xfId="28899" xr:uid="{00000000-0005-0000-0000-00002B3F0000}"/>
    <cellStyle name="40 % - Markeringsfarve2 6 2 3" xfId="14363" xr:uid="{00000000-0005-0000-0000-00002C3F0000}"/>
    <cellStyle name="40 % - Markeringsfarve2 6 2 3 2" xfId="32529" xr:uid="{00000000-0005-0000-0000-00002D3F0000}"/>
    <cellStyle name="40 % - Markeringsfarve2 6 2 4" xfId="5809" xr:uid="{00000000-0005-0000-0000-00002E3F0000}"/>
    <cellStyle name="40 % - Markeringsfarve2 6 2 4 2" xfId="25527" xr:uid="{00000000-0005-0000-0000-00002F3F0000}"/>
    <cellStyle name="40 % - Markeringsfarve2 6 2 5" xfId="22013" xr:uid="{00000000-0005-0000-0000-0000303F0000}"/>
    <cellStyle name="40 % - Markeringsfarve2 6 3" xfId="5810" xr:uid="{00000000-0005-0000-0000-0000313F0000}"/>
    <cellStyle name="40 % - Markeringsfarve2 6 3 2" xfId="9069" xr:uid="{00000000-0005-0000-0000-0000323F0000}"/>
    <cellStyle name="40 % - Markeringsfarve2 6 3 2 2" xfId="16980" xr:uid="{00000000-0005-0000-0000-0000333F0000}"/>
    <cellStyle name="40 % - Markeringsfarve2 6 3 2 2 2" xfId="35140" xr:uid="{00000000-0005-0000-0000-0000343F0000}"/>
    <cellStyle name="40 % - Markeringsfarve2 6 3 2 3" xfId="28139" xr:uid="{00000000-0005-0000-0000-0000353F0000}"/>
    <cellStyle name="40 % - Markeringsfarve2 6 3 3" xfId="14364" xr:uid="{00000000-0005-0000-0000-0000363F0000}"/>
    <cellStyle name="40 % - Markeringsfarve2 6 3 3 2" xfId="32530" xr:uid="{00000000-0005-0000-0000-0000373F0000}"/>
    <cellStyle name="40 % - Markeringsfarve2 6 3 4" xfId="25528" xr:uid="{00000000-0005-0000-0000-0000383F0000}"/>
    <cellStyle name="40 % - Markeringsfarve2 6 4" xfId="8080" xr:uid="{00000000-0005-0000-0000-0000393F0000}"/>
    <cellStyle name="40 % - Markeringsfarve2 6 4 2" xfId="15998" xr:uid="{00000000-0005-0000-0000-00003A3F0000}"/>
    <cellStyle name="40 % - Markeringsfarve2 6 4 2 2" xfId="34158" xr:uid="{00000000-0005-0000-0000-00003B3F0000}"/>
    <cellStyle name="40 % - Markeringsfarve2 6 4 3" xfId="27157" xr:uid="{00000000-0005-0000-0000-00003C3F0000}"/>
    <cellStyle name="40 % - Markeringsfarve2 6 5" xfId="14362" xr:uid="{00000000-0005-0000-0000-00003D3F0000}"/>
    <cellStyle name="40 % - Markeringsfarve2 6 5 2" xfId="32528" xr:uid="{00000000-0005-0000-0000-00003E3F0000}"/>
    <cellStyle name="40 % - Markeringsfarve2 6 6" xfId="5808" xr:uid="{00000000-0005-0000-0000-00003F3F0000}"/>
    <cellStyle name="40 % - Markeringsfarve2 6 6 2" xfId="25526" xr:uid="{00000000-0005-0000-0000-0000403F0000}"/>
    <cellStyle name="40 % - Markeringsfarve2 6 7" xfId="22012" xr:uid="{00000000-0005-0000-0000-0000413F0000}"/>
    <cellStyle name="40 % - Markeringsfarve2 7" xfId="1896" xr:uid="{00000000-0005-0000-0000-0000423F0000}"/>
    <cellStyle name="40 % - Markeringsfarve2 7 2" xfId="5812" xr:uid="{00000000-0005-0000-0000-0000433F0000}"/>
    <cellStyle name="40 % - Markeringsfarve2 7 2 2" xfId="10017" xr:uid="{00000000-0005-0000-0000-0000443F0000}"/>
    <cellStyle name="40 % - Markeringsfarve2 7 2 2 2" xfId="17918" xr:uid="{00000000-0005-0000-0000-0000453F0000}"/>
    <cellStyle name="40 % - Markeringsfarve2 7 2 2 2 2" xfId="36078" xr:uid="{00000000-0005-0000-0000-0000463F0000}"/>
    <cellStyle name="40 % - Markeringsfarve2 7 2 2 3" xfId="29077" xr:uid="{00000000-0005-0000-0000-0000473F0000}"/>
    <cellStyle name="40 % - Markeringsfarve2 7 2 3" xfId="14366" xr:uid="{00000000-0005-0000-0000-0000483F0000}"/>
    <cellStyle name="40 % - Markeringsfarve2 7 2 3 2" xfId="32532" xr:uid="{00000000-0005-0000-0000-0000493F0000}"/>
    <cellStyle name="40 % - Markeringsfarve2 7 2 4" xfId="25530" xr:uid="{00000000-0005-0000-0000-00004A3F0000}"/>
    <cellStyle name="40 % - Markeringsfarve2 7 3" xfId="5813" xr:uid="{00000000-0005-0000-0000-00004B3F0000}"/>
    <cellStyle name="40 % - Markeringsfarve2 7 3 2" xfId="9247" xr:uid="{00000000-0005-0000-0000-00004C3F0000}"/>
    <cellStyle name="40 % - Markeringsfarve2 7 3 2 2" xfId="17158" xr:uid="{00000000-0005-0000-0000-00004D3F0000}"/>
    <cellStyle name="40 % - Markeringsfarve2 7 3 2 2 2" xfId="35318" xr:uid="{00000000-0005-0000-0000-00004E3F0000}"/>
    <cellStyle name="40 % - Markeringsfarve2 7 3 2 3" xfId="28317" xr:uid="{00000000-0005-0000-0000-00004F3F0000}"/>
    <cellStyle name="40 % - Markeringsfarve2 7 3 3" xfId="14367" xr:uid="{00000000-0005-0000-0000-0000503F0000}"/>
    <cellStyle name="40 % - Markeringsfarve2 7 3 3 2" xfId="32533" xr:uid="{00000000-0005-0000-0000-0000513F0000}"/>
    <cellStyle name="40 % - Markeringsfarve2 7 3 4" xfId="25531" xr:uid="{00000000-0005-0000-0000-0000523F0000}"/>
    <cellStyle name="40 % - Markeringsfarve2 7 4" xfId="8081" xr:uid="{00000000-0005-0000-0000-0000533F0000}"/>
    <cellStyle name="40 % - Markeringsfarve2 7 4 2" xfId="15999" xr:uid="{00000000-0005-0000-0000-0000543F0000}"/>
    <cellStyle name="40 % - Markeringsfarve2 7 4 2 2" xfId="34159" xr:uid="{00000000-0005-0000-0000-0000553F0000}"/>
    <cellStyle name="40 % - Markeringsfarve2 7 4 3" xfId="27158" xr:uid="{00000000-0005-0000-0000-0000563F0000}"/>
    <cellStyle name="40 % - Markeringsfarve2 7 5" xfId="14365" xr:uid="{00000000-0005-0000-0000-0000573F0000}"/>
    <cellStyle name="40 % - Markeringsfarve2 7 5 2" xfId="32531" xr:uid="{00000000-0005-0000-0000-0000583F0000}"/>
    <cellStyle name="40 % - Markeringsfarve2 7 6" xfId="5811" xr:uid="{00000000-0005-0000-0000-0000593F0000}"/>
    <cellStyle name="40 % - Markeringsfarve2 7 6 2" xfId="25529" xr:uid="{00000000-0005-0000-0000-00005A3F0000}"/>
    <cellStyle name="40 % - Markeringsfarve2 7 7" xfId="22014" xr:uid="{00000000-0005-0000-0000-00005B3F0000}"/>
    <cellStyle name="40 % - Markeringsfarve2 8" xfId="5814" xr:uid="{00000000-0005-0000-0000-00005C3F0000}"/>
    <cellStyle name="40 % - Markeringsfarve2 8 2" xfId="5815" xr:uid="{00000000-0005-0000-0000-00005D3F0000}"/>
    <cellStyle name="40 % - Markeringsfarve2 8 2 2" xfId="10077" xr:uid="{00000000-0005-0000-0000-00005E3F0000}"/>
    <cellStyle name="40 % - Markeringsfarve2 8 2 2 2" xfId="17978" xr:uid="{00000000-0005-0000-0000-00005F3F0000}"/>
    <cellStyle name="40 % - Markeringsfarve2 8 2 2 2 2" xfId="36138" xr:uid="{00000000-0005-0000-0000-0000603F0000}"/>
    <cellStyle name="40 % - Markeringsfarve2 8 2 2 3" xfId="29137" xr:uid="{00000000-0005-0000-0000-0000613F0000}"/>
    <cellStyle name="40 % - Markeringsfarve2 8 2 3" xfId="14369" xr:uid="{00000000-0005-0000-0000-0000623F0000}"/>
    <cellStyle name="40 % - Markeringsfarve2 8 2 3 2" xfId="32535" xr:uid="{00000000-0005-0000-0000-0000633F0000}"/>
    <cellStyle name="40 % - Markeringsfarve2 8 2 4" xfId="25533" xr:uid="{00000000-0005-0000-0000-0000643F0000}"/>
    <cellStyle name="40 % - Markeringsfarve2 8 3" xfId="5816" xr:uid="{00000000-0005-0000-0000-0000653F0000}"/>
    <cellStyle name="40 % - Markeringsfarve2 8 3 2" xfId="9353" xr:uid="{00000000-0005-0000-0000-0000663F0000}"/>
    <cellStyle name="40 % - Markeringsfarve2 8 3 2 2" xfId="17263" xr:uid="{00000000-0005-0000-0000-0000673F0000}"/>
    <cellStyle name="40 % - Markeringsfarve2 8 3 2 2 2" xfId="35423" xr:uid="{00000000-0005-0000-0000-0000683F0000}"/>
    <cellStyle name="40 % - Markeringsfarve2 8 3 2 3" xfId="28422" xr:uid="{00000000-0005-0000-0000-0000693F0000}"/>
    <cellStyle name="40 % - Markeringsfarve2 8 3 3" xfId="14370" xr:uid="{00000000-0005-0000-0000-00006A3F0000}"/>
    <cellStyle name="40 % - Markeringsfarve2 8 3 3 2" xfId="32536" xr:uid="{00000000-0005-0000-0000-00006B3F0000}"/>
    <cellStyle name="40 % - Markeringsfarve2 8 3 4" xfId="25534" xr:uid="{00000000-0005-0000-0000-00006C3F0000}"/>
    <cellStyle name="40 % - Markeringsfarve2 8 4" xfId="8082" xr:uid="{00000000-0005-0000-0000-00006D3F0000}"/>
    <cellStyle name="40 % - Markeringsfarve2 8 4 2" xfId="16000" xr:uid="{00000000-0005-0000-0000-00006E3F0000}"/>
    <cellStyle name="40 % - Markeringsfarve2 8 4 2 2" xfId="34160" xr:uid="{00000000-0005-0000-0000-00006F3F0000}"/>
    <cellStyle name="40 % - Markeringsfarve2 8 4 3" xfId="27159" xr:uid="{00000000-0005-0000-0000-0000703F0000}"/>
    <cellStyle name="40 % - Markeringsfarve2 8 5" xfId="14368" xr:uid="{00000000-0005-0000-0000-0000713F0000}"/>
    <cellStyle name="40 % - Markeringsfarve2 8 5 2" xfId="32534" xr:uid="{00000000-0005-0000-0000-0000723F0000}"/>
    <cellStyle name="40 % - Markeringsfarve2 8 6" xfId="25532" xr:uid="{00000000-0005-0000-0000-0000733F0000}"/>
    <cellStyle name="40 % - Markeringsfarve2 9" xfId="5817" xr:uid="{00000000-0005-0000-0000-0000743F0000}"/>
    <cellStyle name="40 % - Markeringsfarve2 9 2" xfId="5818" xr:uid="{00000000-0005-0000-0000-0000753F0000}"/>
    <cellStyle name="40 % - Markeringsfarve2 9 2 2" xfId="10194" xr:uid="{00000000-0005-0000-0000-0000763F0000}"/>
    <cellStyle name="40 % - Markeringsfarve2 9 2 2 2" xfId="18095" xr:uid="{00000000-0005-0000-0000-0000773F0000}"/>
    <cellStyle name="40 % - Markeringsfarve2 9 2 2 2 2" xfId="36255" xr:uid="{00000000-0005-0000-0000-0000783F0000}"/>
    <cellStyle name="40 % - Markeringsfarve2 9 2 2 3" xfId="29254" xr:uid="{00000000-0005-0000-0000-0000793F0000}"/>
    <cellStyle name="40 % - Markeringsfarve2 9 2 3" xfId="14372" xr:uid="{00000000-0005-0000-0000-00007A3F0000}"/>
    <cellStyle name="40 % - Markeringsfarve2 9 2 3 2" xfId="32538" xr:uid="{00000000-0005-0000-0000-00007B3F0000}"/>
    <cellStyle name="40 % - Markeringsfarve2 9 2 4" xfId="25536" xr:uid="{00000000-0005-0000-0000-00007C3F0000}"/>
    <cellStyle name="40 % - Markeringsfarve2 9 3" xfId="5819" xr:uid="{00000000-0005-0000-0000-00007D3F0000}"/>
    <cellStyle name="40 % - Markeringsfarve2 9 3 2" xfId="9470" xr:uid="{00000000-0005-0000-0000-00007E3F0000}"/>
    <cellStyle name="40 % - Markeringsfarve2 9 3 2 2" xfId="17380" xr:uid="{00000000-0005-0000-0000-00007F3F0000}"/>
    <cellStyle name="40 % - Markeringsfarve2 9 3 2 2 2" xfId="35540" xr:uid="{00000000-0005-0000-0000-0000803F0000}"/>
    <cellStyle name="40 % - Markeringsfarve2 9 3 2 3" xfId="28539" xr:uid="{00000000-0005-0000-0000-0000813F0000}"/>
    <cellStyle name="40 % - Markeringsfarve2 9 3 3" xfId="14373" xr:uid="{00000000-0005-0000-0000-0000823F0000}"/>
    <cellStyle name="40 % - Markeringsfarve2 9 3 3 2" xfId="32539" xr:uid="{00000000-0005-0000-0000-0000833F0000}"/>
    <cellStyle name="40 % - Markeringsfarve2 9 3 4" xfId="25537" xr:uid="{00000000-0005-0000-0000-0000843F0000}"/>
    <cellStyle name="40 % - Markeringsfarve2 9 4" xfId="8083" xr:uid="{00000000-0005-0000-0000-0000853F0000}"/>
    <cellStyle name="40 % - Markeringsfarve2 9 4 2" xfId="16001" xr:uid="{00000000-0005-0000-0000-0000863F0000}"/>
    <cellStyle name="40 % - Markeringsfarve2 9 4 2 2" xfId="34161" xr:uid="{00000000-0005-0000-0000-0000873F0000}"/>
    <cellStyle name="40 % - Markeringsfarve2 9 4 3" xfId="27160" xr:uid="{00000000-0005-0000-0000-0000883F0000}"/>
    <cellStyle name="40 % - Markeringsfarve2 9 5" xfId="14371" xr:uid="{00000000-0005-0000-0000-0000893F0000}"/>
    <cellStyle name="40 % - Markeringsfarve2 9 5 2" xfId="32537" xr:uid="{00000000-0005-0000-0000-00008A3F0000}"/>
    <cellStyle name="40 % - Markeringsfarve2 9 6" xfId="25535" xr:uid="{00000000-0005-0000-0000-00008B3F0000}"/>
    <cellStyle name="40 % - Markeringsfarve3 10" xfId="5821" xr:uid="{00000000-0005-0000-0000-00008C3F0000}"/>
    <cellStyle name="40 % - Markeringsfarve3 10 2" xfId="5822" xr:uid="{00000000-0005-0000-0000-00008D3F0000}"/>
    <cellStyle name="40 % - Markeringsfarve3 10 2 2" xfId="9721" xr:uid="{00000000-0005-0000-0000-00008E3F0000}"/>
    <cellStyle name="40 % - Markeringsfarve3 10 2 2 2" xfId="17622" xr:uid="{00000000-0005-0000-0000-00008F3F0000}"/>
    <cellStyle name="40 % - Markeringsfarve3 10 2 2 2 2" xfId="35782" xr:uid="{00000000-0005-0000-0000-0000903F0000}"/>
    <cellStyle name="40 % - Markeringsfarve3 10 2 2 3" xfId="28781" xr:uid="{00000000-0005-0000-0000-0000913F0000}"/>
    <cellStyle name="40 % - Markeringsfarve3 10 2 3" xfId="14376" xr:uid="{00000000-0005-0000-0000-0000923F0000}"/>
    <cellStyle name="40 % - Markeringsfarve3 10 2 3 2" xfId="32542" xr:uid="{00000000-0005-0000-0000-0000933F0000}"/>
    <cellStyle name="40 % - Markeringsfarve3 10 2 4" xfId="25540" xr:uid="{00000000-0005-0000-0000-0000943F0000}"/>
    <cellStyle name="40 % - Markeringsfarve3 10 3" xfId="5823" xr:uid="{00000000-0005-0000-0000-0000953F0000}"/>
    <cellStyle name="40 % - Markeringsfarve3 10 3 2" xfId="10637" xr:uid="{00000000-0005-0000-0000-0000963F0000}"/>
    <cellStyle name="40 % - Markeringsfarve3 10 3 2 2" xfId="18530" xr:uid="{00000000-0005-0000-0000-0000973F0000}"/>
    <cellStyle name="40 % - Markeringsfarve3 10 3 2 2 2" xfId="36690" xr:uid="{00000000-0005-0000-0000-0000983F0000}"/>
    <cellStyle name="40 % - Markeringsfarve3 10 3 2 3" xfId="29689" xr:uid="{00000000-0005-0000-0000-0000993F0000}"/>
    <cellStyle name="40 % - Markeringsfarve3 10 3 3" xfId="14377" xr:uid="{00000000-0005-0000-0000-00009A3F0000}"/>
    <cellStyle name="40 % - Markeringsfarve3 10 3 3 2" xfId="32543" xr:uid="{00000000-0005-0000-0000-00009B3F0000}"/>
    <cellStyle name="40 % - Markeringsfarve3 10 3 4" xfId="25541" xr:uid="{00000000-0005-0000-0000-00009C3F0000}"/>
    <cellStyle name="40 % - Markeringsfarve3 10 4" xfId="8085" xr:uid="{00000000-0005-0000-0000-00009D3F0000}"/>
    <cellStyle name="40 % - Markeringsfarve3 10 4 2" xfId="16003" xr:uid="{00000000-0005-0000-0000-00009E3F0000}"/>
    <cellStyle name="40 % - Markeringsfarve3 10 4 2 2" xfId="34163" xr:uid="{00000000-0005-0000-0000-00009F3F0000}"/>
    <cellStyle name="40 % - Markeringsfarve3 10 4 3" xfId="27162" xr:uid="{00000000-0005-0000-0000-0000A03F0000}"/>
    <cellStyle name="40 % - Markeringsfarve3 10 5" xfId="14375" xr:uid="{00000000-0005-0000-0000-0000A13F0000}"/>
    <cellStyle name="40 % - Markeringsfarve3 10 5 2" xfId="32541" xr:uid="{00000000-0005-0000-0000-0000A23F0000}"/>
    <cellStyle name="40 % - Markeringsfarve3 10 6" xfId="25539" xr:uid="{00000000-0005-0000-0000-0000A33F0000}"/>
    <cellStyle name="40 % - Markeringsfarve3 11" xfId="5824" xr:uid="{00000000-0005-0000-0000-0000A43F0000}"/>
    <cellStyle name="40 % - Markeringsfarve3 11 2" xfId="5825" xr:uid="{00000000-0005-0000-0000-0000A53F0000}"/>
    <cellStyle name="40 % - Markeringsfarve3 11 2 2" xfId="10869" xr:uid="{00000000-0005-0000-0000-0000A63F0000}"/>
    <cellStyle name="40 % - Markeringsfarve3 11 2 2 2" xfId="18752" xr:uid="{00000000-0005-0000-0000-0000A73F0000}"/>
    <cellStyle name="40 % - Markeringsfarve3 11 2 2 2 2" xfId="36912" xr:uid="{00000000-0005-0000-0000-0000A83F0000}"/>
    <cellStyle name="40 % - Markeringsfarve3 11 2 2 3" xfId="29911" xr:uid="{00000000-0005-0000-0000-0000A93F0000}"/>
    <cellStyle name="40 % - Markeringsfarve3 11 2 3" xfId="14379" xr:uid="{00000000-0005-0000-0000-0000AA3F0000}"/>
    <cellStyle name="40 % - Markeringsfarve3 11 2 3 2" xfId="32545" xr:uid="{00000000-0005-0000-0000-0000AB3F0000}"/>
    <cellStyle name="40 % - Markeringsfarve3 11 2 4" xfId="25543" xr:uid="{00000000-0005-0000-0000-0000AC3F0000}"/>
    <cellStyle name="40 % - Markeringsfarve3 11 3" xfId="8086" xr:uid="{00000000-0005-0000-0000-0000AD3F0000}"/>
    <cellStyle name="40 % - Markeringsfarve3 11 3 2" xfId="16004" xr:uid="{00000000-0005-0000-0000-0000AE3F0000}"/>
    <cellStyle name="40 % - Markeringsfarve3 11 3 2 2" xfId="34164" xr:uid="{00000000-0005-0000-0000-0000AF3F0000}"/>
    <cellStyle name="40 % - Markeringsfarve3 11 3 3" xfId="27163" xr:uid="{00000000-0005-0000-0000-0000B03F0000}"/>
    <cellStyle name="40 % - Markeringsfarve3 11 4" xfId="14378" xr:uid="{00000000-0005-0000-0000-0000B13F0000}"/>
    <cellStyle name="40 % - Markeringsfarve3 11 4 2" xfId="32544" xr:uid="{00000000-0005-0000-0000-0000B23F0000}"/>
    <cellStyle name="40 % - Markeringsfarve3 11 5" xfId="25542" xr:uid="{00000000-0005-0000-0000-0000B33F0000}"/>
    <cellStyle name="40 % - Markeringsfarve3 12" xfId="5826" xr:uid="{00000000-0005-0000-0000-0000B43F0000}"/>
    <cellStyle name="40 % - Markeringsfarve3 12 2" xfId="5827" xr:uid="{00000000-0005-0000-0000-0000B53F0000}"/>
    <cellStyle name="40 % - Markeringsfarve3 12 2 2" xfId="10518" xr:uid="{00000000-0005-0000-0000-0000B63F0000}"/>
    <cellStyle name="40 % - Markeringsfarve3 12 2 2 2" xfId="18412" xr:uid="{00000000-0005-0000-0000-0000B73F0000}"/>
    <cellStyle name="40 % - Markeringsfarve3 12 2 2 2 2" xfId="36572" xr:uid="{00000000-0005-0000-0000-0000B83F0000}"/>
    <cellStyle name="40 % - Markeringsfarve3 12 2 2 3" xfId="29571" xr:uid="{00000000-0005-0000-0000-0000B93F0000}"/>
    <cellStyle name="40 % - Markeringsfarve3 12 2 3" xfId="14381" xr:uid="{00000000-0005-0000-0000-0000BA3F0000}"/>
    <cellStyle name="40 % - Markeringsfarve3 12 2 3 2" xfId="32547" xr:uid="{00000000-0005-0000-0000-0000BB3F0000}"/>
    <cellStyle name="40 % - Markeringsfarve3 12 2 4" xfId="25545" xr:uid="{00000000-0005-0000-0000-0000BC3F0000}"/>
    <cellStyle name="40 % - Markeringsfarve3 12 3" xfId="8087" xr:uid="{00000000-0005-0000-0000-0000BD3F0000}"/>
    <cellStyle name="40 % - Markeringsfarve3 12 3 2" xfId="16005" xr:uid="{00000000-0005-0000-0000-0000BE3F0000}"/>
    <cellStyle name="40 % - Markeringsfarve3 12 3 2 2" xfId="34165" xr:uid="{00000000-0005-0000-0000-0000BF3F0000}"/>
    <cellStyle name="40 % - Markeringsfarve3 12 3 3" xfId="27164" xr:uid="{00000000-0005-0000-0000-0000C03F0000}"/>
    <cellStyle name="40 % - Markeringsfarve3 12 4" xfId="14380" xr:uid="{00000000-0005-0000-0000-0000C13F0000}"/>
    <cellStyle name="40 % - Markeringsfarve3 12 4 2" xfId="32546" xr:uid="{00000000-0005-0000-0000-0000C23F0000}"/>
    <cellStyle name="40 % - Markeringsfarve3 12 5" xfId="25544" xr:uid="{00000000-0005-0000-0000-0000C33F0000}"/>
    <cellStyle name="40 % - Markeringsfarve3 13" xfId="5828" xr:uid="{00000000-0005-0000-0000-0000C43F0000}"/>
    <cellStyle name="40 % - Markeringsfarve3 13 2" xfId="5829" xr:uid="{00000000-0005-0000-0000-0000C53F0000}"/>
    <cellStyle name="40 % - Markeringsfarve3 13 2 2" xfId="10766" xr:uid="{00000000-0005-0000-0000-0000C63F0000}"/>
    <cellStyle name="40 % - Markeringsfarve3 13 2 2 2" xfId="18654" xr:uid="{00000000-0005-0000-0000-0000C73F0000}"/>
    <cellStyle name="40 % - Markeringsfarve3 13 2 2 2 2" xfId="36814" xr:uid="{00000000-0005-0000-0000-0000C83F0000}"/>
    <cellStyle name="40 % - Markeringsfarve3 13 2 2 3" xfId="29813" xr:uid="{00000000-0005-0000-0000-0000C93F0000}"/>
    <cellStyle name="40 % - Markeringsfarve3 13 2 3" xfId="14383" xr:uid="{00000000-0005-0000-0000-0000CA3F0000}"/>
    <cellStyle name="40 % - Markeringsfarve3 13 2 3 2" xfId="32549" xr:uid="{00000000-0005-0000-0000-0000CB3F0000}"/>
    <cellStyle name="40 % - Markeringsfarve3 13 2 4" xfId="25547" xr:uid="{00000000-0005-0000-0000-0000CC3F0000}"/>
    <cellStyle name="40 % - Markeringsfarve3 13 3" xfId="8084" xr:uid="{00000000-0005-0000-0000-0000CD3F0000}"/>
    <cellStyle name="40 % - Markeringsfarve3 13 3 2" xfId="16002" xr:uid="{00000000-0005-0000-0000-0000CE3F0000}"/>
    <cellStyle name="40 % - Markeringsfarve3 13 3 2 2" xfId="34162" xr:uid="{00000000-0005-0000-0000-0000CF3F0000}"/>
    <cellStyle name="40 % - Markeringsfarve3 13 3 3" xfId="27161" xr:uid="{00000000-0005-0000-0000-0000D03F0000}"/>
    <cellStyle name="40 % - Markeringsfarve3 13 4" xfId="14382" xr:uid="{00000000-0005-0000-0000-0000D13F0000}"/>
    <cellStyle name="40 % - Markeringsfarve3 13 4 2" xfId="32548" xr:uid="{00000000-0005-0000-0000-0000D23F0000}"/>
    <cellStyle name="40 % - Markeringsfarve3 13 5" xfId="25546" xr:uid="{00000000-0005-0000-0000-0000D33F0000}"/>
    <cellStyle name="40 % - Markeringsfarve3 14" xfId="5830" xr:uid="{00000000-0005-0000-0000-0000D43F0000}"/>
    <cellStyle name="40 % - Markeringsfarve3 14 2" xfId="8943" xr:uid="{00000000-0005-0000-0000-0000D53F0000}"/>
    <cellStyle name="40 % - Markeringsfarve3 14 2 2" xfId="16856" xr:uid="{00000000-0005-0000-0000-0000D63F0000}"/>
    <cellStyle name="40 % - Markeringsfarve3 14 2 2 2" xfId="35016" xr:uid="{00000000-0005-0000-0000-0000D73F0000}"/>
    <cellStyle name="40 % - Markeringsfarve3 14 2 3" xfId="28015" xr:uid="{00000000-0005-0000-0000-0000D83F0000}"/>
    <cellStyle name="40 % - Markeringsfarve3 14 3" xfId="14384" xr:uid="{00000000-0005-0000-0000-0000D93F0000}"/>
    <cellStyle name="40 % - Markeringsfarve3 14 3 2" xfId="32550" xr:uid="{00000000-0005-0000-0000-0000DA3F0000}"/>
    <cellStyle name="40 % - Markeringsfarve3 14 4" xfId="25548" xr:uid="{00000000-0005-0000-0000-0000DB3F0000}"/>
    <cellStyle name="40 % - Markeringsfarve3 15" xfId="5831" xr:uid="{00000000-0005-0000-0000-0000DC3F0000}"/>
    <cellStyle name="40 % - Markeringsfarve3 15 2" xfId="10645" xr:uid="{00000000-0005-0000-0000-0000DD3F0000}"/>
    <cellStyle name="40 % - Markeringsfarve3 15 2 2" xfId="18538" xr:uid="{00000000-0005-0000-0000-0000DE3F0000}"/>
    <cellStyle name="40 % - Markeringsfarve3 15 2 2 2" xfId="36698" xr:uid="{00000000-0005-0000-0000-0000DF3F0000}"/>
    <cellStyle name="40 % - Markeringsfarve3 15 2 3" xfId="29697" xr:uid="{00000000-0005-0000-0000-0000E03F0000}"/>
    <cellStyle name="40 % - Markeringsfarve3 15 3" xfId="14385" xr:uid="{00000000-0005-0000-0000-0000E13F0000}"/>
    <cellStyle name="40 % - Markeringsfarve3 15 3 2" xfId="32551" xr:uid="{00000000-0005-0000-0000-0000E23F0000}"/>
    <cellStyle name="40 % - Markeringsfarve3 15 4" xfId="25549" xr:uid="{00000000-0005-0000-0000-0000E33F0000}"/>
    <cellStyle name="40 % - Markeringsfarve3 16" xfId="5832" xr:uid="{00000000-0005-0000-0000-0000E43F0000}"/>
    <cellStyle name="40 % - Markeringsfarve3 16 2" xfId="10913" xr:uid="{00000000-0005-0000-0000-0000E53F0000}"/>
    <cellStyle name="40 % - Markeringsfarve3 16 2 2" xfId="18794" xr:uid="{00000000-0005-0000-0000-0000E63F0000}"/>
    <cellStyle name="40 % - Markeringsfarve3 16 2 2 2" xfId="36954" xr:uid="{00000000-0005-0000-0000-0000E73F0000}"/>
    <cellStyle name="40 % - Markeringsfarve3 16 2 3" xfId="29953" xr:uid="{00000000-0005-0000-0000-0000E83F0000}"/>
    <cellStyle name="40 % - Markeringsfarve3 16 3" xfId="14386" xr:uid="{00000000-0005-0000-0000-0000E93F0000}"/>
    <cellStyle name="40 % - Markeringsfarve3 16 3 2" xfId="32552" xr:uid="{00000000-0005-0000-0000-0000EA3F0000}"/>
    <cellStyle name="40 % - Markeringsfarve3 16 4" xfId="25550" xr:uid="{00000000-0005-0000-0000-0000EB3F0000}"/>
    <cellStyle name="40 % - Markeringsfarve3 17" xfId="7621" xr:uid="{00000000-0005-0000-0000-0000EC3F0000}"/>
    <cellStyle name="40 % - Markeringsfarve3 17 2" xfId="15545" xr:uid="{00000000-0005-0000-0000-0000ED3F0000}"/>
    <cellStyle name="40 % - Markeringsfarve3 17 2 2" xfId="33705" xr:uid="{00000000-0005-0000-0000-0000EE3F0000}"/>
    <cellStyle name="40 % - Markeringsfarve3 17 3" xfId="26704" xr:uid="{00000000-0005-0000-0000-0000EF3F0000}"/>
    <cellStyle name="40 % - Markeringsfarve3 18" xfId="5820" xr:uid="{00000000-0005-0000-0000-0000F03F0000}"/>
    <cellStyle name="40 % - Markeringsfarve3 18 2" xfId="14374" xr:uid="{00000000-0005-0000-0000-0000F13F0000}"/>
    <cellStyle name="40 % - Markeringsfarve3 18 2 2" xfId="32540" xr:uid="{00000000-0005-0000-0000-0000F23F0000}"/>
    <cellStyle name="40 % - Markeringsfarve3 18 3" xfId="25538" xr:uid="{00000000-0005-0000-0000-0000F33F0000}"/>
    <cellStyle name="40 % - Markeringsfarve3 2" xfId="1897" xr:uid="{00000000-0005-0000-0000-0000F43F0000}"/>
    <cellStyle name="40 % - Markeringsfarve3 2 10" xfId="5834" xr:uid="{00000000-0005-0000-0000-0000F53F0000}"/>
    <cellStyle name="40 % - Markeringsfarve3 2 10 2" xfId="8975" xr:uid="{00000000-0005-0000-0000-0000F63F0000}"/>
    <cellStyle name="40 % - Markeringsfarve3 2 10 2 2" xfId="16886" xr:uid="{00000000-0005-0000-0000-0000F73F0000}"/>
    <cellStyle name="40 % - Markeringsfarve3 2 10 2 2 2" xfId="35046" xr:uid="{00000000-0005-0000-0000-0000F83F0000}"/>
    <cellStyle name="40 % - Markeringsfarve3 2 10 2 3" xfId="28045" xr:uid="{00000000-0005-0000-0000-0000F93F0000}"/>
    <cellStyle name="40 % - Markeringsfarve3 2 10 3" xfId="14388" xr:uid="{00000000-0005-0000-0000-0000FA3F0000}"/>
    <cellStyle name="40 % - Markeringsfarve3 2 10 3 2" xfId="32554" xr:uid="{00000000-0005-0000-0000-0000FB3F0000}"/>
    <cellStyle name="40 % - Markeringsfarve3 2 10 4" xfId="25552" xr:uid="{00000000-0005-0000-0000-0000FC3F0000}"/>
    <cellStyle name="40 % - Markeringsfarve3 2 11" xfId="5835" xr:uid="{00000000-0005-0000-0000-0000FD3F0000}"/>
    <cellStyle name="40 % - Markeringsfarve3 2 11 2" xfId="10821" xr:uid="{00000000-0005-0000-0000-0000FE3F0000}"/>
    <cellStyle name="40 % - Markeringsfarve3 2 11 2 2" xfId="18708" xr:uid="{00000000-0005-0000-0000-0000FF3F0000}"/>
    <cellStyle name="40 % - Markeringsfarve3 2 11 2 2 2" xfId="36868" xr:uid="{00000000-0005-0000-0000-000000400000}"/>
    <cellStyle name="40 % - Markeringsfarve3 2 11 2 3" xfId="29867" xr:uid="{00000000-0005-0000-0000-000001400000}"/>
    <cellStyle name="40 % - Markeringsfarve3 2 11 3" xfId="14389" xr:uid="{00000000-0005-0000-0000-000002400000}"/>
    <cellStyle name="40 % - Markeringsfarve3 2 11 3 2" xfId="32555" xr:uid="{00000000-0005-0000-0000-000003400000}"/>
    <cellStyle name="40 % - Markeringsfarve3 2 11 4" xfId="25553" xr:uid="{00000000-0005-0000-0000-000004400000}"/>
    <cellStyle name="40 % - Markeringsfarve3 2 12" xfId="8088" xr:uid="{00000000-0005-0000-0000-000005400000}"/>
    <cellStyle name="40 % - Markeringsfarve3 2 12 2" xfId="16006" xr:uid="{00000000-0005-0000-0000-000006400000}"/>
    <cellStyle name="40 % - Markeringsfarve3 2 12 2 2" xfId="34166" xr:uid="{00000000-0005-0000-0000-000007400000}"/>
    <cellStyle name="40 % - Markeringsfarve3 2 12 3" xfId="27165" xr:uid="{00000000-0005-0000-0000-000008400000}"/>
    <cellStyle name="40 % - Markeringsfarve3 2 13" xfId="14387" xr:uid="{00000000-0005-0000-0000-000009400000}"/>
    <cellStyle name="40 % - Markeringsfarve3 2 13 2" xfId="32553" xr:uid="{00000000-0005-0000-0000-00000A400000}"/>
    <cellStyle name="40 % - Markeringsfarve3 2 14" xfId="5833" xr:uid="{00000000-0005-0000-0000-00000B400000}"/>
    <cellStyle name="40 % - Markeringsfarve3 2 14 2" xfId="25551" xr:uid="{00000000-0005-0000-0000-00000C400000}"/>
    <cellStyle name="40 % - Markeringsfarve3 2 15" xfId="22015" xr:uid="{00000000-0005-0000-0000-00000D400000}"/>
    <cellStyle name="40 % - Markeringsfarve3 2 2" xfId="1898" xr:uid="{00000000-0005-0000-0000-00000E400000}"/>
    <cellStyle name="40 % - Markeringsfarve3 2 2 10" xfId="8089" xr:uid="{00000000-0005-0000-0000-00000F400000}"/>
    <cellStyle name="40 % - Markeringsfarve3 2 2 10 2" xfId="16007" xr:uid="{00000000-0005-0000-0000-000010400000}"/>
    <cellStyle name="40 % - Markeringsfarve3 2 2 10 2 2" xfId="34167" xr:uid="{00000000-0005-0000-0000-000011400000}"/>
    <cellStyle name="40 % - Markeringsfarve3 2 2 10 3" xfId="27166" xr:uid="{00000000-0005-0000-0000-000012400000}"/>
    <cellStyle name="40 % - Markeringsfarve3 2 2 11" xfId="14390" xr:uid="{00000000-0005-0000-0000-000013400000}"/>
    <cellStyle name="40 % - Markeringsfarve3 2 2 11 2" xfId="32556" xr:uid="{00000000-0005-0000-0000-000014400000}"/>
    <cellStyle name="40 % - Markeringsfarve3 2 2 12" xfId="5836" xr:uid="{00000000-0005-0000-0000-000015400000}"/>
    <cellStyle name="40 % - Markeringsfarve3 2 2 12 2" xfId="25554" xr:uid="{00000000-0005-0000-0000-000016400000}"/>
    <cellStyle name="40 % - Markeringsfarve3 2 2 13" xfId="22016" xr:uid="{00000000-0005-0000-0000-000017400000}"/>
    <cellStyle name="40 % - Markeringsfarve3 2 2 2" xfId="1899" xr:uid="{00000000-0005-0000-0000-000018400000}"/>
    <cellStyle name="40 % - Markeringsfarve3 2 2 2 2" xfId="5838" xr:uid="{00000000-0005-0000-0000-000019400000}"/>
    <cellStyle name="40 % - Markeringsfarve3 2 2 2 2 2" xfId="5839" xr:uid="{00000000-0005-0000-0000-00001A400000}"/>
    <cellStyle name="40 % - Markeringsfarve3 2 2 2 2 2 2" xfId="9906" xr:uid="{00000000-0005-0000-0000-00001B400000}"/>
    <cellStyle name="40 % - Markeringsfarve3 2 2 2 2 2 2 2" xfId="17807" xr:uid="{00000000-0005-0000-0000-00001C400000}"/>
    <cellStyle name="40 % - Markeringsfarve3 2 2 2 2 2 2 2 2" xfId="35967" xr:uid="{00000000-0005-0000-0000-00001D400000}"/>
    <cellStyle name="40 % - Markeringsfarve3 2 2 2 2 2 2 3" xfId="28966" xr:uid="{00000000-0005-0000-0000-00001E400000}"/>
    <cellStyle name="40 % - Markeringsfarve3 2 2 2 2 2 3" xfId="14393" xr:uid="{00000000-0005-0000-0000-00001F400000}"/>
    <cellStyle name="40 % - Markeringsfarve3 2 2 2 2 2 3 2" xfId="32559" xr:uid="{00000000-0005-0000-0000-000020400000}"/>
    <cellStyle name="40 % - Markeringsfarve3 2 2 2 2 2 4" xfId="25557" xr:uid="{00000000-0005-0000-0000-000021400000}"/>
    <cellStyle name="40 % - Markeringsfarve3 2 2 2 2 3" xfId="8478" xr:uid="{00000000-0005-0000-0000-000022400000}"/>
    <cellStyle name="40 % - Markeringsfarve3 2 2 2 2 3 2" xfId="16395" xr:uid="{00000000-0005-0000-0000-000023400000}"/>
    <cellStyle name="40 % - Markeringsfarve3 2 2 2 2 3 2 2" xfId="34555" xr:uid="{00000000-0005-0000-0000-000024400000}"/>
    <cellStyle name="40 % - Markeringsfarve3 2 2 2 2 3 3" xfId="27554" xr:uid="{00000000-0005-0000-0000-000025400000}"/>
    <cellStyle name="40 % - Markeringsfarve3 2 2 2 2 4" xfId="14392" xr:uid="{00000000-0005-0000-0000-000026400000}"/>
    <cellStyle name="40 % - Markeringsfarve3 2 2 2 2 4 2" xfId="32558" xr:uid="{00000000-0005-0000-0000-000027400000}"/>
    <cellStyle name="40 % - Markeringsfarve3 2 2 2 2 5" xfId="25556" xr:uid="{00000000-0005-0000-0000-000028400000}"/>
    <cellStyle name="40 % - Markeringsfarve3 2 2 2 3" xfId="5840" xr:uid="{00000000-0005-0000-0000-000029400000}"/>
    <cellStyle name="40 % - Markeringsfarve3 2 2 2 3 2" xfId="9136" xr:uid="{00000000-0005-0000-0000-00002A400000}"/>
    <cellStyle name="40 % - Markeringsfarve3 2 2 2 3 2 2" xfId="17047" xr:uid="{00000000-0005-0000-0000-00002B400000}"/>
    <cellStyle name="40 % - Markeringsfarve3 2 2 2 3 2 2 2" xfId="35207" xr:uid="{00000000-0005-0000-0000-00002C400000}"/>
    <cellStyle name="40 % - Markeringsfarve3 2 2 2 3 2 3" xfId="28206" xr:uid="{00000000-0005-0000-0000-00002D400000}"/>
    <cellStyle name="40 % - Markeringsfarve3 2 2 2 3 3" xfId="14394" xr:uid="{00000000-0005-0000-0000-00002E400000}"/>
    <cellStyle name="40 % - Markeringsfarve3 2 2 2 3 3 2" xfId="32560" xr:uid="{00000000-0005-0000-0000-00002F400000}"/>
    <cellStyle name="40 % - Markeringsfarve3 2 2 2 3 4" xfId="25558" xr:uid="{00000000-0005-0000-0000-000030400000}"/>
    <cellStyle name="40 % - Markeringsfarve3 2 2 2 4" xfId="5841" xr:uid="{00000000-0005-0000-0000-000031400000}"/>
    <cellStyle name="40 % - Markeringsfarve3 2 2 2 4 2" xfId="8929" xr:uid="{00000000-0005-0000-0000-000032400000}"/>
    <cellStyle name="40 % - Markeringsfarve3 2 2 2 4 2 2" xfId="16842" xr:uid="{00000000-0005-0000-0000-000033400000}"/>
    <cellStyle name="40 % - Markeringsfarve3 2 2 2 4 2 2 2" xfId="35002" xr:uid="{00000000-0005-0000-0000-000034400000}"/>
    <cellStyle name="40 % - Markeringsfarve3 2 2 2 4 2 3" xfId="28001" xr:uid="{00000000-0005-0000-0000-000035400000}"/>
    <cellStyle name="40 % - Markeringsfarve3 2 2 2 4 3" xfId="14395" xr:uid="{00000000-0005-0000-0000-000036400000}"/>
    <cellStyle name="40 % - Markeringsfarve3 2 2 2 4 3 2" xfId="32561" xr:uid="{00000000-0005-0000-0000-000037400000}"/>
    <cellStyle name="40 % - Markeringsfarve3 2 2 2 4 4" xfId="25559" xr:uid="{00000000-0005-0000-0000-000038400000}"/>
    <cellStyle name="40 % - Markeringsfarve3 2 2 2 5" xfId="8090" xr:uid="{00000000-0005-0000-0000-000039400000}"/>
    <cellStyle name="40 % - Markeringsfarve3 2 2 2 5 2" xfId="16008" xr:uid="{00000000-0005-0000-0000-00003A400000}"/>
    <cellStyle name="40 % - Markeringsfarve3 2 2 2 5 2 2" xfId="34168" xr:uid="{00000000-0005-0000-0000-00003B400000}"/>
    <cellStyle name="40 % - Markeringsfarve3 2 2 2 5 3" xfId="27167" xr:uid="{00000000-0005-0000-0000-00003C400000}"/>
    <cellStyle name="40 % - Markeringsfarve3 2 2 2 6" xfId="14391" xr:uid="{00000000-0005-0000-0000-00003D400000}"/>
    <cellStyle name="40 % - Markeringsfarve3 2 2 2 6 2" xfId="32557" xr:uid="{00000000-0005-0000-0000-00003E400000}"/>
    <cellStyle name="40 % - Markeringsfarve3 2 2 2 7" xfId="5837" xr:uid="{00000000-0005-0000-0000-00003F400000}"/>
    <cellStyle name="40 % - Markeringsfarve3 2 2 2 7 2" xfId="25555" xr:uid="{00000000-0005-0000-0000-000040400000}"/>
    <cellStyle name="40 % - Markeringsfarve3 2 2 2 8" xfId="22017" xr:uid="{00000000-0005-0000-0000-000041400000}"/>
    <cellStyle name="40 % - Markeringsfarve3 2 2 3" xfId="5842" xr:uid="{00000000-0005-0000-0000-000042400000}"/>
    <cellStyle name="40 % - Markeringsfarve3 2 2 3 2" xfId="5843" xr:uid="{00000000-0005-0000-0000-000043400000}"/>
    <cellStyle name="40 % - Markeringsfarve3 2 2 3 2 2" xfId="5844" xr:uid="{00000000-0005-0000-0000-000044400000}"/>
    <cellStyle name="40 % - Markeringsfarve3 2 2 3 2 2 2" xfId="10027" xr:uid="{00000000-0005-0000-0000-000045400000}"/>
    <cellStyle name="40 % - Markeringsfarve3 2 2 3 2 2 2 2" xfId="17928" xr:uid="{00000000-0005-0000-0000-000046400000}"/>
    <cellStyle name="40 % - Markeringsfarve3 2 2 3 2 2 2 2 2" xfId="36088" xr:uid="{00000000-0005-0000-0000-000047400000}"/>
    <cellStyle name="40 % - Markeringsfarve3 2 2 3 2 2 2 3" xfId="29087" xr:uid="{00000000-0005-0000-0000-000048400000}"/>
    <cellStyle name="40 % - Markeringsfarve3 2 2 3 2 2 3" xfId="14398" xr:uid="{00000000-0005-0000-0000-000049400000}"/>
    <cellStyle name="40 % - Markeringsfarve3 2 2 3 2 2 3 2" xfId="32564" xr:uid="{00000000-0005-0000-0000-00004A400000}"/>
    <cellStyle name="40 % - Markeringsfarve3 2 2 3 2 2 4" xfId="25562" xr:uid="{00000000-0005-0000-0000-00004B400000}"/>
    <cellStyle name="40 % - Markeringsfarve3 2 2 3 2 3" xfId="8573" xr:uid="{00000000-0005-0000-0000-00004C400000}"/>
    <cellStyle name="40 % - Markeringsfarve3 2 2 3 2 3 2" xfId="16490" xr:uid="{00000000-0005-0000-0000-00004D400000}"/>
    <cellStyle name="40 % - Markeringsfarve3 2 2 3 2 3 2 2" xfId="34650" xr:uid="{00000000-0005-0000-0000-00004E400000}"/>
    <cellStyle name="40 % - Markeringsfarve3 2 2 3 2 3 3" xfId="27649" xr:uid="{00000000-0005-0000-0000-00004F400000}"/>
    <cellStyle name="40 % - Markeringsfarve3 2 2 3 2 4" xfId="14397" xr:uid="{00000000-0005-0000-0000-000050400000}"/>
    <cellStyle name="40 % - Markeringsfarve3 2 2 3 2 4 2" xfId="32563" xr:uid="{00000000-0005-0000-0000-000051400000}"/>
    <cellStyle name="40 % - Markeringsfarve3 2 2 3 2 5" xfId="25561" xr:uid="{00000000-0005-0000-0000-000052400000}"/>
    <cellStyle name="40 % - Markeringsfarve3 2 2 3 3" xfId="5845" xr:uid="{00000000-0005-0000-0000-000053400000}"/>
    <cellStyle name="40 % - Markeringsfarve3 2 2 3 3 2" xfId="9257" xr:uid="{00000000-0005-0000-0000-000054400000}"/>
    <cellStyle name="40 % - Markeringsfarve3 2 2 3 3 2 2" xfId="17168" xr:uid="{00000000-0005-0000-0000-000055400000}"/>
    <cellStyle name="40 % - Markeringsfarve3 2 2 3 3 2 2 2" xfId="35328" xr:uid="{00000000-0005-0000-0000-000056400000}"/>
    <cellStyle name="40 % - Markeringsfarve3 2 2 3 3 2 3" xfId="28327" xr:uid="{00000000-0005-0000-0000-000057400000}"/>
    <cellStyle name="40 % - Markeringsfarve3 2 2 3 3 3" xfId="14399" xr:uid="{00000000-0005-0000-0000-000058400000}"/>
    <cellStyle name="40 % - Markeringsfarve3 2 2 3 3 3 2" xfId="32565" xr:uid="{00000000-0005-0000-0000-000059400000}"/>
    <cellStyle name="40 % - Markeringsfarve3 2 2 3 3 4" xfId="25563" xr:uid="{00000000-0005-0000-0000-00005A400000}"/>
    <cellStyle name="40 % - Markeringsfarve3 2 2 3 4" xfId="5846" xr:uid="{00000000-0005-0000-0000-00005B400000}"/>
    <cellStyle name="40 % - Markeringsfarve3 2 2 3 4 2" xfId="8930" xr:uid="{00000000-0005-0000-0000-00005C400000}"/>
    <cellStyle name="40 % - Markeringsfarve3 2 2 3 4 2 2" xfId="16843" xr:uid="{00000000-0005-0000-0000-00005D400000}"/>
    <cellStyle name="40 % - Markeringsfarve3 2 2 3 4 2 2 2" xfId="35003" xr:uid="{00000000-0005-0000-0000-00005E400000}"/>
    <cellStyle name="40 % - Markeringsfarve3 2 2 3 4 2 3" xfId="28002" xr:uid="{00000000-0005-0000-0000-00005F400000}"/>
    <cellStyle name="40 % - Markeringsfarve3 2 2 3 4 3" xfId="14400" xr:uid="{00000000-0005-0000-0000-000060400000}"/>
    <cellStyle name="40 % - Markeringsfarve3 2 2 3 4 3 2" xfId="32566" xr:uid="{00000000-0005-0000-0000-000061400000}"/>
    <cellStyle name="40 % - Markeringsfarve3 2 2 3 4 4" xfId="25564" xr:uid="{00000000-0005-0000-0000-000062400000}"/>
    <cellStyle name="40 % - Markeringsfarve3 2 2 3 5" xfId="8091" xr:uid="{00000000-0005-0000-0000-000063400000}"/>
    <cellStyle name="40 % - Markeringsfarve3 2 2 3 5 2" xfId="16009" xr:uid="{00000000-0005-0000-0000-000064400000}"/>
    <cellStyle name="40 % - Markeringsfarve3 2 2 3 5 2 2" xfId="34169" xr:uid="{00000000-0005-0000-0000-000065400000}"/>
    <cellStyle name="40 % - Markeringsfarve3 2 2 3 5 3" xfId="27168" xr:uid="{00000000-0005-0000-0000-000066400000}"/>
    <cellStyle name="40 % - Markeringsfarve3 2 2 3 6" xfId="14396" xr:uid="{00000000-0005-0000-0000-000067400000}"/>
    <cellStyle name="40 % - Markeringsfarve3 2 2 3 6 2" xfId="32562" xr:uid="{00000000-0005-0000-0000-000068400000}"/>
    <cellStyle name="40 % - Markeringsfarve3 2 2 3 7" xfId="25560" xr:uid="{00000000-0005-0000-0000-000069400000}"/>
    <cellStyle name="40 % - Markeringsfarve3 2 2 4" xfId="5847" xr:uid="{00000000-0005-0000-0000-00006A400000}"/>
    <cellStyle name="40 % - Markeringsfarve3 2 2 4 2" xfId="5848" xr:uid="{00000000-0005-0000-0000-00006B400000}"/>
    <cellStyle name="40 % - Markeringsfarve3 2 2 4 2 2" xfId="5849" xr:uid="{00000000-0005-0000-0000-00006C400000}"/>
    <cellStyle name="40 % - Markeringsfarve3 2 2 4 2 2 2" xfId="10144" xr:uid="{00000000-0005-0000-0000-00006D400000}"/>
    <cellStyle name="40 % - Markeringsfarve3 2 2 4 2 2 2 2" xfId="18045" xr:uid="{00000000-0005-0000-0000-00006E400000}"/>
    <cellStyle name="40 % - Markeringsfarve3 2 2 4 2 2 2 2 2" xfId="36205" xr:uid="{00000000-0005-0000-0000-00006F400000}"/>
    <cellStyle name="40 % - Markeringsfarve3 2 2 4 2 2 2 3" xfId="29204" xr:uid="{00000000-0005-0000-0000-000070400000}"/>
    <cellStyle name="40 % - Markeringsfarve3 2 2 4 2 2 3" xfId="14403" xr:uid="{00000000-0005-0000-0000-000071400000}"/>
    <cellStyle name="40 % - Markeringsfarve3 2 2 4 2 2 3 2" xfId="32569" xr:uid="{00000000-0005-0000-0000-000072400000}"/>
    <cellStyle name="40 % - Markeringsfarve3 2 2 4 2 2 4" xfId="25567" xr:uid="{00000000-0005-0000-0000-000073400000}"/>
    <cellStyle name="40 % - Markeringsfarve3 2 2 4 2 3" xfId="8680" xr:uid="{00000000-0005-0000-0000-000074400000}"/>
    <cellStyle name="40 % - Markeringsfarve3 2 2 4 2 3 2" xfId="16594" xr:uid="{00000000-0005-0000-0000-000075400000}"/>
    <cellStyle name="40 % - Markeringsfarve3 2 2 4 2 3 2 2" xfId="34754" xr:uid="{00000000-0005-0000-0000-000076400000}"/>
    <cellStyle name="40 % - Markeringsfarve3 2 2 4 2 3 3" xfId="27753" xr:uid="{00000000-0005-0000-0000-000077400000}"/>
    <cellStyle name="40 % - Markeringsfarve3 2 2 4 2 4" xfId="14402" xr:uid="{00000000-0005-0000-0000-000078400000}"/>
    <cellStyle name="40 % - Markeringsfarve3 2 2 4 2 4 2" xfId="32568" xr:uid="{00000000-0005-0000-0000-000079400000}"/>
    <cellStyle name="40 % - Markeringsfarve3 2 2 4 2 5" xfId="25566" xr:uid="{00000000-0005-0000-0000-00007A400000}"/>
    <cellStyle name="40 % - Markeringsfarve3 2 2 4 3" xfId="5850" xr:uid="{00000000-0005-0000-0000-00007B400000}"/>
    <cellStyle name="40 % - Markeringsfarve3 2 2 4 3 2" xfId="9420" xr:uid="{00000000-0005-0000-0000-00007C400000}"/>
    <cellStyle name="40 % - Markeringsfarve3 2 2 4 3 2 2" xfId="17330" xr:uid="{00000000-0005-0000-0000-00007D400000}"/>
    <cellStyle name="40 % - Markeringsfarve3 2 2 4 3 2 2 2" xfId="35490" xr:uid="{00000000-0005-0000-0000-00007E400000}"/>
    <cellStyle name="40 % - Markeringsfarve3 2 2 4 3 2 3" xfId="28489" xr:uid="{00000000-0005-0000-0000-00007F400000}"/>
    <cellStyle name="40 % - Markeringsfarve3 2 2 4 3 3" xfId="14404" xr:uid="{00000000-0005-0000-0000-000080400000}"/>
    <cellStyle name="40 % - Markeringsfarve3 2 2 4 3 3 2" xfId="32570" xr:uid="{00000000-0005-0000-0000-000081400000}"/>
    <cellStyle name="40 % - Markeringsfarve3 2 2 4 3 4" xfId="25568" xr:uid="{00000000-0005-0000-0000-000082400000}"/>
    <cellStyle name="40 % - Markeringsfarve3 2 2 4 4" xfId="5851" xr:uid="{00000000-0005-0000-0000-000083400000}"/>
    <cellStyle name="40 % - Markeringsfarve3 2 2 4 4 2" xfId="10771" xr:uid="{00000000-0005-0000-0000-000084400000}"/>
    <cellStyle name="40 % - Markeringsfarve3 2 2 4 4 2 2" xfId="18659" xr:uid="{00000000-0005-0000-0000-000085400000}"/>
    <cellStyle name="40 % - Markeringsfarve3 2 2 4 4 2 2 2" xfId="36819" xr:uid="{00000000-0005-0000-0000-000086400000}"/>
    <cellStyle name="40 % - Markeringsfarve3 2 2 4 4 2 3" xfId="29818" xr:uid="{00000000-0005-0000-0000-000087400000}"/>
    <cellStyle name="40 % - Markeringsfarve3 2 2 4 4 3" xfId="14405" xr:uid="{00000000-0005-0000-0000-000088400000}"/>
    <cellStyle name="40 % - Markeringsfarve3 2 2 4 4 3 2" xfId="32571" xr:uid="{00000000-0005-0000-0000-000089400000}"/>
    <cellStyle name="40 % - Markeringsfarve3 2 2 4 4 4" xfId="25569" xr:uid="{00000000-0005-0000-0000-00008A400000}"/>
    <cellStyle name="40 % - Markeringsfarve3 2 2 4 5" xfId="8092" xr:uid="{00000000-0005-0000-0000-00008B400000}"/>
    <cellStyle name="40 % - Markeringsfarve3 2 2 4 5 2" xfId="16010" xr:uid="{00000000-0005-0000-0000-00008C400000}"/>
    <cellStyle name="40 % - Markeringsfarve3 2 2 4 5 2 2" xfId="34170" xr:uid="{00000000-0005-0000-0000-00008D400000}"/>
    <cellStyle name="40 % - Markeringsfarve3 2 2 4 5 3" xfId="27169" xr:uid="{00000000-0005-0000-0000-00008E400000}"/>
    <cellStyle name="40 % - Markeringsfarve3 2 2 4 6" xfId="14401" xr:uid="{00000000-0005-0000-0000-00008F400000}"/>
    <cellStyle name="40 % - Markeringsfarve3 2 2 4 6 2" xfId="32567" xr:uid="{00000000-0005-0000-0000-000090400000}"/>
    <cellStyle name="40 % - Markeringsfarve3 2 2 4 7" xfId="25565" xr:uid="{00000000-0005-0000-0000-000091400000}"/>
    <cellStyle name="40 % - Markeringsfarve3 2 2 5" xfId="5852" xr:uid="{00000000-0005-0000-0000-000092400000}"/>
    <cellStyle name="40 % - Markeringsfarve3 2 2 5 2" xfId="5853" xr:uid="{00000000-0005-0000-0000-000093400000}"/>
    <cellStyle name="40 % - Markeringsfarve3 2 2 5 2 2" xfId="5854" xr:uid="{00000000-0005-0000-0000-000094400000}"/>
    <cellStyle name="40 % - Markeringsfarve3 2 2 5 2 2 2" xfId="10261" xr:uid="{00000000-0005-0000-0000-000095400000}"/>
    <cellStyle name="40 % - Markeringsfarve3 2 2 5 2 2 2 2" xfId="18162" xr:uid="{00000000-0005-0000-0000-000096400000}"/>
    <cellStyle name="40 % - Markeringsfarve3 2 2 5 2 2 2 2 2" xfId="36322" xr:uid="{00000000-0005-0000-0000-000097400000}"/>
    <cellStyle name="40 % - Markeringsfarve3 2 2 5 2 2 2 3" xfId="29321" xr:uid="{00000000-0005-0000-0000-000098400000}"/>
    <cellStyle name="40 % - Markeringsfarve3 2 2 5 2 2 3" xfId="14408" xr:uid="{00000000-0005-0000-0000-000099400000}"/>
    <cellStyle name="40 % - Markeringsfarve3 2 2 5 2 2 3 2" xfId="32574" xr:uid="{00000000-0005-0000-0000-00009A400000}"/>
    <cellStyle name="40 % - Markeringsfarve3 2 2 5 2 2 4" xfId="25572" xr:uid="{00000000-0005-0000-0000-00009B400000}"/>
    <cellStyle name="40 % - Markeringsfarve3 2 2 5 2 3" xfId="8779" xr:uid="{00000000-0005-0000-0000-00009C400000}"/>
    <cellStyle name="40 % - Markeringsfarve3 2 2 5 2 3 2" xfId="16693" xr:uid="{00000000-0005-0000-0000-00009D400000}"/>
    <cellStyle name="40 % - Markeringsfarve3 2 2 5 2 3 2 2" xfId="34853" xr:uid="{00000000-0005-0000-0000-00009E400000}"/>
    <cellStyle name="40 % - Markeringsfarve3 2 2 5 2 3 3" xfId="27852" xr:uid="{00000000-0005-0000-0000-00009F400000}"/>
    <cellStyle name="40 % - Markeringsfarve3 2 2 5 2 4" xfId="14407" xr:uid="{00000000-0005-0000-0000-0000A0400000}"/>
    <cellStyle name="40 % - Markeringsfarve3 2 2 5 2 4 2" xfId="32573" xr:uid="{00000000-0005-0000-0000-0000A1400000}"/>
    <cellStyle name="40 % - Markeringsfarve3 2 2 5 2 5" xfId="25571" xr:uid="{00000000-0005-0000-0000-0000A2400000}"/>
    <cellStyle name="40 % - Markeringsfarve3 2 2 5 3" xfId="5855" xr:uid="{00000000-0005-0000-0000-0000A3400000}"/>
    <cellStyle name="40 % - Markeringsfarve3 2 2 5 3 2" xfId="9537" xr:uid="{00000000-0005-0000-0000-0000A4400000}"/>
    <cellStyle name="40 % - Markeringsfarve3 2 2 5 3 2 2" xfId="17447" xr:uid="{00000000-0005-0000-0000-0000A5400000}"/>
    <cellStyle name="40 % - Markeringsfarve3 2 2 5 3 2 2 2" xfId="35607" xr:uid="{00000000-0005-0000-0000-0000A6400000}"/>
    <cellStyle name="40 % - Markeringsfarve3 2 2 5 3 2 3" xfId="28606" xr:uid="{00000000-0005-0000-0000-0000A7400000}"/>
    <cellStyle name="40 % - Markeringsfarve3 2 2 5 3 3" xfId="14409" xr:uid="{00000000-0005-0000-0000-0000A8400000}"/>
    <cellStyle name="40 % - Markeringsfarve3 2 2 5 3 3 2" xfId="32575" xr:uid="{00000000-0005-0000-0000-0000A9400000}"/>
    <cellStyle name="40 % - Markeringsfarve3 2 2 5 3 4" xfId="25573" xr:uid="{00000000-0005-0000-0000-0000AA400000}"/>
    <cellStyle name="40 % - Markeringsfarve3 2 2 5 4" xfId="5856" xr:uid="{00000000-0005-0000-0000-0000AB400000}"/>
    <cellStyle name="40 % - Markeringsfarve3 2 2 5 4 2" xfId="11000" xr:uid="{00000000-0005-0000-0000-0000AC400000}"/>
    <cellStyle name="40 % - Markeringsfarve3 2 2 5 4 2 2" xfId="18876" xr:uid="{00000000-0005-0000-0000-0000AD400000}"/>
    <cellStyle name="40 % - Markeringsfarve3 2 2 5 4 2 2 2" xfId="37036" xr:uid="{00000000-0005-0000-0000-0000AE400000}"/>
    <cellStyle name="40 % - Markeringsfarve3 2 2 5 4 2 3" xfId="30035" xr:uid="{00000000-0005-0000-0000-0000AF400000}"/>
    <cellStyle name="40 % - Markeringsfarve3 2 2 5 4 3" xfId="14410" xr:uid="{00000000-0005-0000-0000-0000B0400000}"/>
    <cellStyle name="40 % - Markeringsfarve3 2 2 5 4 3 2" xfId="32576" xr:uid="{00000000-0005-0000-0000-0000B1400000}"/>
    <cellStyle name="40 % - Markeringsfarve3 2 2 5 4 4" xfId="25574" xr:uid="{00000000-0005-0000-0000-0000B2400000}"/>
    <cellStyle name="40 % - Markeringsfarve3 2 2 5 5" xfId="8093" xr:uid="{00000000-0005-0000-0000-0000B3400000}"/>
    <cellStyle name="40 % - Markeringsfarve3 2 2 5 5 2" xfId="16011" xr:uid="{00000000-0005-0000-0000-0000B4400000}"/>
    <cellStyle name="40 % - Markeringsfarve3 2 2 5 5 2 2" xfId="34171" xr:uid="{00000000-0005-0000-0000-0000B5400000}"/>
    <cellStyle name="40 % - Markeringsfarve3 2 2 5 5 3" xfId="27170" xr:uid="{00000000-0005-0000-0000-0000B6400000}"/>
    <cellStyle name="40 % - Markeringsfarve3 2 2 5 6" xfId="14406" xr:uid="{00000000-0005-0000-0000-0000B7400000}"/>
    <cellStyle name="40 % - Markeringsfarve3 2 2 5 6 2" xfId="32572" xr:uid="{00000000-0005-0000-0000-0000B8400000}"/>
    <cellStyle name="40 % - Markeringsfarve3 2 2 5 7" xfId="25570" xr:uid="{00000000-0005-0000-0000-0000B9400000}"/>
    <cellStyle name="40 % - Markeringsfarve3 2 2 6" xfId="5857" xr:uid="{00000000-0005-0000-0000-0000BA400000}"/>
    <cellStyle name="40 % - Markeringsfarve3 2 2 6 2" xfId="5858" xr:uid="{00000000-0005-0000-0000-0000BB400000}"/>
    <cellStyle name="40 % - Markeringsfarve3 2 2 6 2 2" xfId="5859" xr:uid="{00000000-0005-0000-0000-0000BC400000}"/>
    <cellStyle name="40 % - Markeringsfarve3 2 2 6 2 2 2" xfId="10382" xr:uid="{00000000-0005-0000-0000-0000BD400000}"/>
    <cellStyle name="40 % - Markeringsfarve3 2 2 6 2 2 2 2" xfId="18283" xr:uid="{00000000-0005-0000-0000-0000BE400000}"/>
    <cellStyle name="40 % - Markeringsfarve3 2 2 6 2 2 2 2 2" xfId="36443" xr:uid="{00000000-0005-0000-0000-0000BF400000}"/>
    <cellStyle name="40 % - Markeringsfarve3 2 2 6 2 2 2 3" xfId="29442" xr:uid="{00000000-0005-0000-0000-0000C0400000}"/>
    <cellStyle name="40 % - Markeringsfarve3 2 2 6 2 2 3" xfId="14413" xr:uid="{00000000-0005-0000-0000-0000C1400000}"/>
    <cellStyle name="40 % - Markeringsfarve3 2 2 6 2 2 3 2" xfId="32579" xr:uid="{00000000-0005-0000-0000-0000C2400000}"/>
    <cellStyle name="40 % - Markeringsfarve3 2 2 6 2 2 4" xfId="25577" xr:uid="{00000000-0005-0000-0000-0000C3400000}"/>
    <cellStyle name="40 % - Markeringsfarve3 2 2 6 2 3" xfId="8875" xr:uid="{00000000-0005-0000-0000-0000C4400000}"/>
    <cellStyle name="40 % - Markeringsfarve3 2 2 6 2 3 2" xfId="16789" xr:uid="{00000000-0005-0000-0000-0000C5400000}"/>
    <cellStyle name="40 % - Markeringsfarve3 2 2 6 2 3 2 2" xfId="34949" xr:uid="{00000000-0005-0000-0000-0000C6400000}"/>
    <cellStyle name="40 % - Markeringsfarve3 2 2 6 2 3 3" xfId="27948" xr:uid="{00000000-0005-0000-0000-0000C7400000}"/>
    <cellStyle name="40 % - Markeringsfarve3 2 2 6 2 4" xfId="14412" xr:uid="{00000000-0005-0000-0000-0000C8400000}"/>
    <cellStyle name="40 % - Markeringsfarve3 2 2 6 2 4 2" xfId="32578" xr:uid="{00000000-0005-0000-0000-0000C9400000}"/>
    <cellStyle name="40 % - Markeringsfarve3 2 2 6 2 5" xfId="25576" xr:uid="{00000000-0005-0000-0000-0000CA400000}"/>
    <cellStyle name="40 % - Markeringsfarve3 2 2 6 3" xfId="5860" xr:uid="{00000000-0005-0000-0000-0000CB400000}"/>
    <cellStyle name="40 % - Markeringsfarve3 2 2 6 3 2" xfId="9659" xr:uid="{00000000-0005-0000-0000-0000CC400000}"/>
    <cellStyle name="40 % - Markeringsfarve3 2 2 6 3 2 2" xfId="17569" xr:uid="{00000000-0005-0000-0000-0000CD400000}"/>
    <cellStyle name="40 % - Markeringsfarve3 2 2 6 3 2 2 2" xfId="35729" xr:uid="{00000000-0005-0000-0000-0000CE400000}"/>
    <cellStyle name="40 % - Markeringsfarve3 2 2 6 3 2 3" xfId="28728" xr:uid="{00000000-0005-0000-0000-0000CF400000}"/>
    <cellStyle name="40 % - Markeringsfarve3 2 2 6 3 3" xfId="14414" xr:uid="{00000000-0005-0000-0000-0000D0400000}"/>
    <cellStyle name="40 % - Markeringsfarve3 2 2 6 3 3 2" xfId="32580" xr:uid="{00000000-0005-0000-0000-0000D1400000}"/>
    <cellStyle name="40 % - Markeringsfarve3 2 2 6 3 4" xfId="25578" xr:uid="{00000000-0005-0000-0000-0000D2400000}"/>
    <cellStyle name="40 % - Markeringsfarve3 2 2 6 4" xfId="5861" xr:uid="{00000000-0005-0000-0000-0000D3400000}"/>
    <cellStyle name="40 % - Markeringsfarve3 2 2 6 4 2" xfId="10720" xr:uid="{00000000-0005-0000-0000-0000D4400000}"/>
    <cellStyle name="40 % - Markeringsfarve3 2 2 6 4 2 2" xfId="18609" xr:uid="{00000000-0005-0000-0000-0000D5400000}"/>
    <cellStyle name="40 % - Markeringsfarve3 2 2 6 4 2 2 2" xfId="36769" xr:uid="{00000000-0005-0000-0000-0000D6400000}"/>
    <cellStyle name="40 % - Markeringsfarve3 2 2 6 4 2 3" xfId="29768" xr:uid="{00000000-0005-0000-0000-0000D7400000}"/>
    <cellStyle name="40 % - Markeringsfarve3 2 2 6 4 3" xfId="14415" xr:uid="{00000000-0005-0000-0000-0000D8400000}"/>
    <cellStyle name="40 % - Markeringsfarve3 2 2 6 4 3 2" xfId="32581" xr:uid="{00000000-0005-0000-0000-0000D9400000}"/>
    <cellStyle name="40 % - Markeringsfarve3 2 2 6 4 4" xfId="25579" xr:uid="{00000000-0005-0000-0000-0000DA400000}"/>
    <cellStyle name="40 % - Markeringsfarve3 2 2 6 5" xfId="8094" xr:uid="{00000000-0005-0000-0000-0000DB400000}"/>
    <cellStyle name="40 % - Markeringsfarve3 2 2 6 5 2" xfId="16012" xr:uid="{00000000-0005-0000-0000-0000DC400000}"/>
    <cellStyle name="40 % - Markeringsfarve3 2 2 6 5 2 2" xfId="34172" xr:uid="{00000000-0005-0000-0000-0000DD400000}"/>
    <cellStyle name="40 % - Markeringsfarve3 2 2 6 5 3" xfId="27171" xr:uid="{00000000-0005-0000-0000-0000DE400000}"/>
    <cellStyle name="40 % - Markeringsfarve3 2 2 6 6" xfId="14411" xr:uid="{00000000-0005-0000-0000-0000DF400000}"/>
    <cellStyle name="40 % - Markeringsfarve3 2 2 6 6 2" xfId="32577" xr:uid="{00000000-0005-0000-0000-0000E0400000}"/>
    <cellStyle name="40 % - Markeringsfarve3 2 2 6 7" xfId="25575" xr:uid="{00000000-0005-0000-0000-0000E1400000}"/>
    <cellStyle name="40 % - Markeringsfarve3 2 2 7" xfId="5862" xr:uid="{00000000-0005-0000-0000-0000E2400000}"/>
    <cellStyle name="40 % - Markeringsfarve3 2 2 7 2" xfId="5863" xr:uid="{00000000-0005-0000-0000-0000E3400000}"/>
    <cellStyle name="40 % - Markeringsfarve3 2 2 7 2 2" xfId="9787" xr:uid="{00000000-0005-0000-0000-0000E4400000}"/>
    <cellStyle name="40 % - Markeringsfarve3 2 2 7 2 2 2" xfId="17688" xr:uid="{00000000-0005-0000-0000-0000E5400000}"/>
    <cellStyle name="40 % - Markeringsfarve3 2 2 7 2 2 2 2" xfId="35848" xr:uid="{00000000-0005-0000-0000-0000E6400000}"/>
    <cellStyle name="40 % - Markeringsfarve3 2 2 7 2 2 3" xfId="28847" xr:uid="{00000000-0005-0000-0000-0000E7400000}"/>
    <cellStyle name="40 % - Markeringsfarve3 2 2 7 2 3" xfId="14417" xr:uid="{00000000-0005-0000-0000-0000E8400000}"/>
    <cellStyle name="40 % - Markeringsfarve3 2 2 7 2 3 2" xfId="32583" xr:uid="{00000000-0005-0000-0000-0000E9400000}"/>
    <cellStyle name="40 % - Markeringsfarve3 2 2 7 2 4" xfId="25581" xr:uid="{00000000-0005-0000-0000-0000EA400000}"/>
    <cellStyle name="40 % - Markeringsfarve3 2 2 7 3" xfId="8379" xr:uid="{00000000-0005-0000-0000-0000EB400000}"/>
    <cellStyle name="40 % - Markeringsfarve3 2 2 7 3 2" xfId="16296" xr:uid="{00000000-0005-0000-0000-0000EC400000}"/>
    <cellStyle name="40 % - Markeringsfarve3 2 2 7 3 2 2" xfId="34456" xr:uid="{00000000-0005-0000-0000-0000ED400000}"/>
    <cellStyle name="40 % - Markeringsfarve3 2 2 7 3 3" xfId="27455" xr:uid="{00000000-0005-0000-0000-0000EE400000}"/>
    <cellStyle name="40 % - Markeringsfarve3 2 2 7 4" xfId="14416" xr:uid="{00000000-0005-0000-0000-0000EF400000}"/>
    <cellStyle name="40 % - Markeringsfarve3 2 2 7 4 2" xfId="32582" xr:uid="{00000000-0005-0000-0000-0000F0400000}"/>
    <cellStyle name="40 % - Markeringsfarve3 2 2 7 5" xfId="25580" xr:uid="{00000000-0005-0000-0000-0000F1400000}"/>
    <cellStyle name="40 % - Markeringsfarve3 2 2 8" xfId="5864" xr:uid="{00000000-0005-0000-0000-0000F2400000}"/>
    <cellStyle name="40 % - Markeringsfarve3 2 2 8 2" xfId="9015" xr:uid="{00000000-0005-0000-0000-0000F3400000}"/>
    <cellStyle name="40 % - Markeringsfarve3 2 2 8 2 2" xfId="16926" xr:uid="{00000000-0005-0000-0000-0000F4400000}"/>
    <cellStyle name="40 % - Markeringsfarve3 2 2 8 2 2 2" xfId="35086" xr:uid="{00000000-0005-0000-0000-0000F5400000}"/>
    <cellStyle name="40 % - Markeringsfarve3 2 2 8 2 3" xfId="28085" xr:uid="{00000000-0005-0000-0000-0000F6400000}"/>
    <cellStyle name="40 % - Markeringsfarve3 2 2 8 3" xfId="14418" xr:uid="{00000000-0005-0000-0000-0000F7400000}"/>
    <cellStyle name="40 % - Markeringsfarve3 2 2 8 3 2" xfId="32584" xr:uid="{00000000-0005-0000-0000-0000F8400000}"/>
    <cellStyle name="40 % - Markeringsfarve3 2 2 8 4" xfId="25582" xr:uid="{00000000-0005-0000-0000-0000F9400000}"/>
    <cellStyle name="40 % - Markeringsfarve3 2 2 9" xfId="5865" xr:uid="{00000000-0005-0000-0000-0000FA400000}"/>
    <cellStyle name="40 % - Markeringsfarve3 2 2 9 2" xfId="10472" xr:uid="{00000000-0005-0000-0000-0000FB400000}"/>
    <cellStyle name="40 % - Markeringsfarve3 2 2 9 2 2" xfId="18369" xr:uid="{00000000-0005-0000-0000-0000FC400000}"/>
    <cellStyle name="40 % - Markeringsfarve3 2 2 9 2 2 2" xfId="36529" xr:uid="{00000000-0005-0000-0000-0000FD400000}"/>
    <cellStyle name="40 % - Markeringsfarve3 2 2 9 2 3" xfId="29528" xr:uid="{00000000-0005-0000-0000-0000FE400000}"/>
    <cellStyle name="40 % - Markeringsfarve3 2 2 9 3" xfId="14419" xr:uid="{00000000-0005-0000-0000-0000FF400000}"/>
    <cellStyle name="40 % - Markeringsfarve3 2 2 9 3 2" xfId="32585" xr:uid="{00000000-0005-0000-0000-000000410000}"/>
    <cellStyle name="40 % - Markeringsfarve3 2 2 9 4" xfId="25583" xr:uid="{00000000-0005-0000-0000-000001410000}"/>
    <cellStyle name="40 % - Markeringsfarve3 2 3" xfId="1900" xr:uid="{00000000-0005-0000-0000-000002410000}"/>
    <cellStyle name="40 % - Markeringsfarve3 2 3 10" xfId="8095" xr:uid="{00000000-0005-0000-0000-000003410000}"/>
    <cellStyle name="40 % - Markeringsfarve3 2 3 10 2" xfId="16013" xr:uid="{00000000-0005-0000-0000-000004410000}"/>
    <cellStyle name="40 % - Markeringsfarve3 2 3 10 2 2" xfId="34173" xr:uid="{00000000-0005-0000-0000-000005410000}"/>
    <cellStyle name="40 % - Markeringsfarve3 2 3 10 3" xfId="27172" xr:uid="{00000000-0005-0000-0000-000006410000}"/>
    <cellStyle name="40 % - Markeringsfarve3 2 3 11" xfId="14420" xr:uid="{00000000-0005-0000-0000-000007410000}"/>
    <cellStyle name="40 % - Markeringsfarve3 2 3 11 2" xfId="32586" xr:uid="{00000000-0005-0000-0000-000008410000}"/>
    <cellStyle name="40 % - Markeringsfarve3 2 3 12" xfId="5866" xr:uid="{00000000-0005-0000-0000-000009410000}"/>
    <cellStyle name="40 % - Markeringsfarve3 2 3 12 2" xfId="25584" xr:uid="{00000000-0005-0000-0000-00000A410000}"/>
    <cellStyle name="40 % - Markeringsfarve3 2 3 13" xfId="22018" xr:uid="{00000000-0005-0000-0000-00000B410000}"/>
    <cellStyle name="40 % - Markeringsfarve3 2 3 2" xfId="1901" xr:uid="{00000000-0005-0000-0000-00000C410000}"/>
    <cellStyle name="40 % - Markeringsfarve3 2 3 2 2" xfId="5868" xr:uid="{00000000-0005-0000-0000-00000D410000}"/>
    <cellStyle name="40 % - Markeringsfarve3 2 3 2 2 2" xfId="5869" xr:uid="{00000000-0005-0000-0000-00000E410000}"/>
    <cellStyle name="40 % - Markeringsfarve3 2 3 2 2 2 2" xfId="9945" xr:uid="{00000000-0005-0000-0000-00000F410000}"/>
    <cellStyle name="40 % - Markeringsfarve3 2 3 2 2 2 2 2" xfId="17846" xr:uid="{00000000-0005-0000-0000-000010410000}"/>
    <cellStyle name="40 % - Markeringsfarve3 2 3 2 2 2 2 2 2" xfId="36006" xr:uid="{00000000-0005-0000-0000-000011410000}"/>
    <cellStyle name="40 % - Markeringsfarve3 2 3 2 2 2 2 3" xfId="29005" xr:uid="{00000000-0005-0000-0000-000012410000}"/>
    <cellStyle name="40 % - Markeringsfarve3 2 3 2 2 2 3" xfId="14423" xr:uid="{00000000-0005-0000-0000-000013410000}"/>
    <cellStyle name="40 % - Markeringsfarve3 2 3 2 2 2 3 2" xfId="32589" xr:uid="{00000000-0005-0000-0000-000014410000}"/>
    <cellStyle name="40 % - Markeringsfarve3 2 3 2 2 2 4" xfId="25587" xr:uid="{00000000-0005-0000-0000-000015410000}"/>
    <cellStyle name="40 % - Markeringsfarve3 2 3 2 2 3" xfId="8511" xr:uid="{00000000-0005-0000-0000-000016410000}"/>
    <cellStyle name="40 % - Markeringsfarve3 2 3 2 2 3 2" xfId="16428" xr:uid="{00000000-0005-0000-0000-000017410000}"/>
    <cellStyle name="40 % - Markeringsfarve3 2 3 2 2 3 2 2" xfId="34588" xr:uid="{00000000-0005-0000-0000-000018410000}"/>
    <cellStyle name="40 % - Markeringsfarve3 2 3 2 2 3 3" xfId="27587" xr:uid="{00000000-0005-0000-0000-000019410000}"/>
    <cellStyle name="40 % - Markeringsfarve3 2 3 2 2 4" xfId="14422" xr:uid="{00000000-0005-0000-0000-00001A410000}"/>
    <cellStyle name="40 % - Markeringsfarve3 2 3 2 2 4 2" xfId="32588" xr:uid="{00000000-0005-0000-0000-00001B410000}"/>
    <cellStyle name="40 % - Markeringsfarve3 2 3 2 2 5" xfId="25586" xr:uid="{00000000-0005-0000-0000-00001C410000}"/>
    <cellStyle name="40 % - Markeringsfarve3 2 3 2 3" xfId="5870" xr:uid="{00000000-0005-0000-0000-00001D410000}"/>
    <cellStyle name="40 % - Markeringsfarve3 2 3 2 3 2" xfId="9175" xr:uid="{00000000-0005-0000-0000-00001E410000}"/>
    <cellStyle name="40 % - Markeringsfarve3 2 3 2 3 2 2" xfId="17086" xr:uid="{00000000-0005-0000-0000-00001F410000}"/>
    <cellStyle name="40 % - Markeringsfarve3 2 3 2 3 2 2 2" xfId="35246" xr:uid="{00000000-0005-0000-0000-000020410000}"/>
    <cellStyle name="40 % - Markeringsfarve3 2 3 2 3 2 3" xfId="28245" xr:uid="{00000000-0005-0000-0000-000021410000}"/>
    <cellStyle name="40 % - Markeringsfarve3 2 3 2 3 3" xfId="14424" xr:uid="{00000000-0005-0000-0000-000022410000}"/>
    <cellStyle name="40 % - Markeringsfarve3 2 3 2 3 3 2" xfId="32590" xr:uid="{00000000-0005-0000-0000-000023410000}"/>
    <cellStyle name="40 % - Markeringsfarve3 2 3 2 3 4" xfId="25588" xr:uid="{00000000-0005-0000-0000-000024410000}"/>
    <cellStyle name="40 % - Markeringsfarve3 2 3 2 4" xfId="5871" xr:uid="{00000000-0005-0000-0000-000025410000}"/>
    <cellStyle name="40 % - Markeringsfarve3 2 3 2 4 2" xfId="10667" xr:uid="{00000000-0005-0000-0000-000026410000}"/>
    <cellStyle name="40 % - Markeringsfarve3 2 3 2 4 2 2" xfId="18559" xr:uid="{00000000-0005-0000-0000-000027410000}"/>
    <cellStyle name="40 % - Markeringsfarve3 2 3 2 4 2 2 2" xfId="36719" xr:uid="{00000000-0005-0000-0000-000028410000}"/>
    <cellStyle name="40 % - Markeringsfarve3 2 3 2 4 2 3" xfId="29718" xr:uid="{00000000-0005-0000-0000-000029410000}"/>
    <cellStyle name="40 % - Markeringsfarve3 2 3 2 4 3" xfId="14425" xr:uid="{00000000-0005-0000-0000-00002A410000}"/>
    <cellStyle name="40 % - Markeringsfarve3 2 3 2 4 3 2" xfId="32591" xr:uid="{00000000-0005-0000-0000-00002B410000}"/>
    <cellStyle name="40 % - Markeringsfarve3 2 3 2 4 4" xfId="25589" xr:uid="{00000000-0005-0000-0000-00002C410000}"/>
    <cellStyle name="40 % - Markeringsfarve3 2 3 2 5" xfId="8096" xr:uid="{00000000-0005-0000-0000-00002D410000}"/>
    <cellStyle name="40 % - Markeringsfarve3 2 3 2 5 2" xfId="16014" xr:uid="{00000000-0005-0000-0000-00002E410000}"/>
    <cellStyle name="40 % - Markeringsfarve3 2 3 2 5 2 2" xfId="34174" xr:uid="{00000000-0005-0000-0000-00002F410000}"/>
    <cellStyle name="40 % - Markeringsfarve3 2 3 2 5 3" xfId="27173" xr:uid="{00000000-0005-0000-0000-000030410000}"/>
    <cellStyle name="40 % - Markeringsfarve3 2 3 2 6" xfId="14421" xr:uid="{00000000-0005-0000-0000-000031410000}"/>
    <cellStyle name="40 % - Markeringsfarve3 2 3 2 6 2" xfId="32587" xr:uid="{00000000-0005-0000-0000-000032410000}"/>
    <cellStyle name="40 % - Markeringsfarve3 2 3 2 7" xfId="5867" xr:uid="{00000000-0005-0000-0000-000033410000}"/>
    <cellStyle name="40 % - Markeringsfarve3 2 3 2 7 2" xfId="25585" xr:uid="{00000000-0005-0000-0000-000034410000}"/>
    <cellStyle name="40 % - Markeringsfarve3 2 3 2 8" xfId="22019" xr:uid="{00000000-0005-0000-0000-000035410000}"/>
    <cellStyle name="40 % - Markeringsfarve3 2 3 3" xfId="5872" xr:uid="{00000000-0005-0000-0000-000036410000}"/>
    <cellStyle name="40 % - Markeringsfarve3 2 3 3 2" xfId="5873" xr:uid="{00000000-0005-0000-0000-000037410000}"/>
    <cellStyle name="40 % - Markeringsfarve3 2 3 3 2 2" xfId="5874" xr:uid="{00000000-0005-0000-0000-000038410000}"/>
    <cellStyle name="40 % - Markeringsfarve3 2 3 3 2 2 2" xfId="10028" xr:uid="{00000000-0005-0000-0000-000039410000}"/>
    <cellStyle name="40 % - Markeringsfarve3 2 3 3 2 2 2 2" xfId="17929" xr:uid="{00000000-0005-0000-0000-00003A410000}"/>
    <cellStyle name="40 % - Markeringsfarve3 2 3 3 2 2 2 2 2" xfId="36089" xr:uid="{00000000-0005-0000-0000-00003B410000}"/>
    <cellStyle name="40 % - Markeringsfarve3 2 3 3 2 2 2 3" xfId="29088" xr:uid="{00000000-0005-0000-0000-00003C410000}"/>
    <cellStyle name="40 % - Markeringsfarve3 2 3 3 2 2 3" xfId="14428" xr:uid="{00000000-0005-0000-0000-00003D410000}"/>
    <cellStyle name="40 % - Markeringsfarve3 2 3 3 2 2 3 2" xfId="32594" xr:uid="{00000000-0005-0000-0000-00003E410000}"/>
    <cellStyle name="40 % - Markeringsfarve3 2 3 3 2 2 4" xfId="25592" xr:uid="{00000000-0005-0000-0000-00003F410000}"/>
    <cellStyle name="40 % - Markeringsfarve3 2 3 3 2 3" xfId="8574" xr:uid="{00000000-0005-0000-0000-000040410000}"/>
    <cellStyle name="40 % - Markeringsfarve3 2 3 3 2 3 2" xfId="16491" xr:uid="{00000000-0005-0000-0000-000041410000}"/>
    <cellStyle name="40 % - Markeringsfarve3 2 3 3 2 3 2 2" xfId="34651" xr:uid="{00000000-0005-0000-0000-000042410000}"/>
    <cellStyle name="40 % - Markeringsfarve3 2 3 3 2 3 3" xfId="27650" xr:uid="{00000000-0005-0000-0000-000043410000}"/>
    <cellStyle name="40 % - Markeringsfarve3 2 3 3 2 4" xfId="14427" xr:uid="{00000000-0005-0000-0000-000044410000}"/>
    <cellStyle name="40 % - Markeringsfarve3 2 3 3 2 4 2" xfId="32593" xr:uid="{00000000-0005-0000-0000-000045410000}"/>
    <cellStyle name="40 % - Markeringsfarve3 2 3 3 2 5" xfId="25591" xr:uid="{00000000-0005-0000-0000-000046410000}"/>
    <cellStyle name="40 % - Markeringsfarve3 2 3 3 3" xfId="5875" xr:uid="{00000000-0005-0000-0000-000047410000}"/>
    <cellStyle name="40 % - Markeringsfarve3 2 3 3 3 2" xfId="9258" xr:uid="{00000000-0005-0000-0000-000048410000}"/>
    <cellStyle name="40 % - Markeringsfarve3 2 3 3 3 2 2" xfId="17169" xr:uid="{00000000-0005-0000-0000-000049410000}"/>
    <cellStyle name="40 % - Markeringsfarve3 2 3 3 3 2 2 2" xfId="35329" xr:uid="{00000000-0005-0000-0000-00004A410000}"/>
    <cellStyle name="40 % - Markeringsfarve3 2 3 3 3 2 3" xfId="28328" xr:uid="{00000000-0005-0000-0000-00004B410000}"/>
    <cellStyle name="40 % - Markeringsfarve3 2 3 3 3 3" xfId="14429" xr:uid="{00000000-0005-0000-0000-00004C410000}"/>
    <cellStyle name="40 % - Markeringsfarve3 2 3 3 3 3 2" xfId="32595" xr:uid="{00000000-0005-0000-0000-00004D410000}"/>
    <cellStyle name="40 % - Markeringsfarve3 2 3 3 3 4" xfId="25593" xr:uid="{00000000-0005-0000-0000-00004E410000}"/>
    <cellStyle name="40 % - Markeringsfarve3 2 3 3 4" xfId="5876" xr:uid="{00000000-0005-0000-0000-00004F410000}"/>
    <cellStyle name="40 % - Markeringsfarve3 2 3 3 4 2" xfId="10902" xr:uid="{00000000-0005-0000-0000-000050410000}"/>
    <cellStyle name="40 % - Markeringsfarve3 2 3 3 4 2 2" xfId="18784" xr:uid="{00000000-0005-0000-0000-000051410000}"/>
    <cellStyle name="40 % - Markeringsfarve3 2 3 3 4 2 2 2" xfId="36944" xr:uid="{00000000-0005-0000-0000-000052410000}"/>
    <cellStyle name="40 % - Markeringsfarve3 2 3 3 4 2 3" xfId="29943" xr:uid="{00000000-0005-0000-0000-000053410000}"/>
    <cellStyle name="40 % - Markeringsfarve3 2 3 3 4 3" xfId="14430" xr:uid="{00000000-0005-0000-0000-000054410000}"/>
    <cellStyle name="40 % - Markeringsfarve3 2 3 3 4 3 2" xfId="32596" xr:uid="{00000000-0005-0000-0000-000055410000}"/>
    <cellStyle name="40 % - Markeringsfarve3 2 3 3 4 4" xfId="25594" xr:uid="{00000000-0005-0000-0000-000056410000}"/>
    <cellStyle name="40 % - Markeringsfarve3 2 3 3 5" xfId="8097" xr:uid="{00000000-0005-0000-0000-000057410000}"/>
    <cellStyle name="40 % - Markeringsfarve3 2 3 3 5 2" xfId="16015" xr:uid="{00000000-0005-0000-0000-000058410000}"/>
    <cellStyle name="40 % - Markeringsfarve3 2 3 3 5 2 2" xfId="34175" xr:uid="{00000000-0005-0000-0000-000059410000}"/>
    <cellStyle name="40 % - Markeringsfarve3 2 3 3 5 3" xfId="27174" xr:uid="{00000000-0005-0000-0000-00005A410000}"/>
    <cellStyle name="40 % - Markeringsfarve3 2 3 3 6" xfId="14426" xr:uid="{00000000-0005-0000-0000-00005B410000}"/>
    <cellStyle name="40 % - Markeringsfarve3 2 3 3 6 2" xfId="32592" xr:uid="{00000000-0005-0000-0000-00005C410000}"/>
    <cellStyle name="40 % - Markeringsfarve3 2 3 3 7" xfId="25590" xr:uid="{00000000-0005-0000-0000-00005D410000}"/>
    <cellStyle name="40 % - Markeringsfarve3 2 3 4" xfId="5877" xr:uid="{00000000-0005-0000-0000-00005E410000}"/>
    <cellStyle name="40 % - Markeringsfarve3 2 3 4 2" xfId="5878" xr:uid="{00000000-0005-0000-0000-00005F410000}"/>
    <cellStyle name="40 % - Markeringsfarve3 2 3 4 2 2" xfId="5879" xr:uid="{00000000-0005-0000-0000-000060410000}"/>
    <cellStyle name="40 % - Markeringsfarve3 2 3 4 2 2 2" xfId="10183" xr:uid="{00000000-0005-0000-0000-000061410000}"/>
    <cellStyle name="40 % - Markeringsfarve3 2 3 4 2 2 2 2" xfId="18084" xr:uid="{00000000-0005-0000-0000-000062410000}"/>
    <cellStyle name="40 % - Markeringsfarve3 2 3 4 2 2 2 2 2" xfId="36244" xr:uid="{00000000-0005-0000-0000-000063410000}"/>
    <cellStyle name="40 % - Markeringsfarve3 2 3 4 2 2 2 3" xfId="29243" xr:uid="{00000000-0005-0000-0000-000064410000}"/>
    <cellStyle name="40 % - Markeringsfarve3 2 3 4 2 2 3" xfId="14433" xr:uid="{00000000-0005-0000-0000-000065410000}"/>
    <cellStyle name="40 % - Markeringsfarve3 2 3 4 2 2 3 2" xfId="32599" xr:uid="{00000000-0005-0000-0000-000066410000}"/>
    <cellStyle name="40 % - Markeringsfarve3 2 3 4 2 2 4" xfId="25597" xr:uid="{00000000-0005-0000-0000-000067410000}"/>
    <cellStyle name="40 % - Markeringsfarve3 2 3 4 2 3" xfId="8713" xr:uid="{00000000-0005-0000-0000-000068410000}"/>
    <cellStyle name="40 % - Markeringsfarve3 2 3 4 2 3 2" xfId="16627" xr:uid="{00000000-0005-0000-0000-000069410000}"/>
    <cellStyle name="40 % - Markeringsfarve3 2 3 4 2 3 2 2" xfId="34787" xr:uid="{00000000-0005-0000-0000-00006A410000}"/>
    <cellStyle name="40 % - Markeringsfarve3 2 3 4 2 3 3" xfId="27786" xr:uid="{00000000-0005-0000-0000-00006B410000}"/>
    <cellStyle name="40 % - Markeringsfarve3 2 3 4 2 4" xfId="14432" xr:uid="{00000000-0005-0000-0000-00006C410000}"/>
    <cellStyle name="40 % - Markeringsfarve3 2 3 4 2 4 2" xfId="32598" xr:uid="{00000000-0005-0000-0000-00006D410000}"/>
    <cellStyle name="40 % - Markeringsfarve3 2 3 4 2 5" xfId="25596" xr:uid="{00000000-0005-0000-0000-00006E410000}"/>
    <cellStyle name="40 % - Markeringsfarve3 2 3 4 3" xfId="5880" xr:uid="{00000000-0005-0000-0000-00006F410000}"/>
    <cellStyle name="40 % - Markeringsfarve3 2 3 4 3 2" xfId="9459" xr:uid="{00000000-0005-0000-0000-000070410000}"/>
    <cellStyle name="40 % - Markeringsfarve3 2 3 4 3 2 2" xfId="17369" xr:uid="{00000000-0005-0000-0000-000071410000}"/>
    <cellStyle name="40 % - Markeringsfarve3 2 3 4 3 2 2 2" xfId="35529" xr:uid="{00000000-0005-0000-0000-000072410000}"/>
    <cellStyle name="40 % - Markeringsfarve3 2 3 4 3 2 3" xfId="28528" xr:uid="{00000000-0005-0000-0000-000073410000}"/>
    <cellStyle name="40 % - Markeringsfarve3 2 3 4 3 3" xfId="14434" xr:uid="{00000000-0005-0000-0000-000074410000}"/>
    <cellStyle name="40 % - Markeringsfarve3 2 3 4 3 3 2" xfId="32600" xr:uid="{00000000-0005-0000-0000-000075410000}"/>
    <cellStyle name="40 % - Markeringsfarve3 2 3 4 3 4" xfId="25598" xr:uid="{00000000-0005-0000-0000-000076410000}"/>
    <cellStyle name="40 % - Markeringsfarve3 2 3 4 4" xfId="5881" xr:uid="{00000000-0005-0000-0000-000077410000}"/>
    <cellStyle name="40 % - Markeringsfarve3 2 3 4 4 2" xfId="10626" xr:uid="{00000000-0005-0000-0000-000078410000}"/>
    <cellStyle name="40 % - Markeringsfarve3 2 3 4 4 2 2" xfId="18519" xr:uid="{00000000-0005-0000-0000-000079410000}"/>
    <cellStyle name="40 % - Markeringsfarve3 2 3 4 4 2 2 2" xfId="36679" xr:uid="{00000000-0005-0000-0000-00007A410000}"/>
    <cellStyle name="40 % - Markeringsfarve3 2 3 4 4 2 3" xfId="29678" xr:uid="{00000000-0005-0000-0000-00007B410000}"/>
    <cellStyle name="40 % - Markeringsfarve3 2 3 4 4 3" xfId="14435" xr:uid="{00000000-0005-0000-0000-00007C410000}"/>
    <cellStyle name="40 % - Markeringsfarve3 2 3 4 4 3 2" xfId="32601" xr:uid="{00000000-0005-0000-0000-00007D410000}"/>
    <cellStyle name="40 % - Markeringsfarve3 2 3 4 4 4" xfId="25599" xr:uid="{00000000-0005-0000-0000-00007E410000}"/>
    <cellStyle name="40 % - Markeringsfarve3 2 3 4 5" xfId="8098" xr:uid="{00000000-0005-0000-0000-00007F410000}"/>
    <cellStyle name="40 % - Markeringsfarve3 2 3 4 5 2" xfId="16016" xr:uid="{00000000-0005-0000-0000-000080410000}"/>
    <cellStyle name="40 % - Markeringsfarve3 2 3 4 5 2 2" xfId="34176" xr:uid="{00000000-0005-0000-0000-000081410000}"/>
    <cellStyle name="40 % - Markeringsfarve3 2 3 4 5 3" xfId="27175" xr:uid="{00000000-0005-0000-0000-000082410000}"/>
    <cellStyle name="40 % - Markeringsfarve3 2 3 4 6" xfId="14431" xr:uid="{00000000-0005-0000-0000-000083410000}"/>
    <cellStyle name="40 % - Markeringsfarve3 2 3 4 6 2" xfId="32597" xr:uid="{00000000-0005-0000-0000-000084410000}"/>
    <cellStyle name="40 % - Markeringsfarve3 2 3 4 7" xfId="25595" xr:uid="{00000000-0005-0000-0000-000085410000}"/>
    <cellStyle name="40 % - Markeringsfarve3 2 3 5" xfId="5882" xr:uid="{00000000-0005-0000-0000-000086410000}"/>
    <cellStyle name="40 % - Markeringsfarve3 2 3 5 2" xfId="5883" xr:uid="{00000000-0005-0000-0000-000087410000}"/>
    <cellStyle name="40 % - Markeringsfarve3 2 3 5 2 2" xfId="5884" xr:uid="{00000000-0005-0000-0000-000088410000}"/>
    <cellStyle name="40 % - Markeringsfarve3 2 3 5 2 2 2" xfId="10300" xr:uid="{00000000-0005-0000-0000-000089410000}"/>
    <cellStyle name="40 % - Markeringsfarve3 2 3 5 2 2 2 2" xfId="18201" xr:uid="{00000000-0005-0000-0000-00008A410000}"/>
    <cellStyle name="40 % - Markeringsfarve3 2 3 5 2 2 2 2 2" xfId="36361" xr:uid="{00000000-0005-0000-0000-00008B410000}"/>
    <cellStyle name="40 % - Markeringsfarve3 2 3 5 2 2 2 3" xfId="29360" xr:uid="{00000000-0005-0000-0000-00008C410000}"/>
    <cellStyle name="40 % - Markeringsfarve3 2 3 5 2 2 3" xfId="14438" xr:uid="{00000000-0005-0000-0000-00008D410000}"/>
    <cellStyle name="40 % - Markeringsfarve3 2 3 5 2 2 3 2" xfId="32604" xr:uid="{00000000-0005-0000-0000-00008E410000}"/>
    <cellStyle name="40 % - Markeringsfarve3 2 3 5 2 2 4" xfId="25602" xr:uid="{00000000-0005-0000-0000-00008F410000}"/>
    <cellStyle name="40 % - Markeringsfarve3 2 3 5 2 3" xfId="8812" xr:uid="{00000000-0005-0000-0000-000090410000}"/>
    <cellStyle name="40 % - Markeringsfarve3 2 3 5 2 3 2" xfId="16726" xr:uid="{00000000-0005-0000-0000-000091410000}"/>
    <cellStyle name="40 % - Markeringsfarve3 2 3 5 2 3 2 2" xfId="34886" xr:uid="{00000000-0005-0000-0000-000092410000}"/>
    <cellStyle name="40 % - Markeringsfarve3 2 3 5 2 3 3" xfId="27885" xr:uid="{00000000-0005-0000-0000-000093410000}"/>
    <cellStyle name="40 % - Markeringsfarve3 2 3 5 2 4" xfId="14437" xr:uid="{00000000-0005-0000-0000-000094410000}"/>
    <cellStyle name="40 % - Markeringsfarve3 2 3 5 2 4 2" xfId="32603" xr:uid="{00000000-0005-0000-0000-000095410000}"/>
    <cellStyle name="40 % - Markeringsfarve3 2 3 5 2 5" xfId="25601" xr:uid="{00000000-0005-0000-0000-000096410000}"/>
    <cellStyle name="40 % - Markeringsfarve3 2 3 5 3" xfId="5885" xr:uid="{00000000-0005-0000-0000-000097410000}"/>
    <cellStyle name="40 % - Markeringsfarve3 2 3 5 3 2" xfId="9576" xr:uid="{00000000-0005-0000-0000-000098410000}"/>
    <cellStyle name="40 % - Markeringsfarve3 2 3 5 3 2 2" xfId="17486" xr:uid="{00000000-0005-0000-0000-000099410000}"/>
    <cellStyle name="40 % - Markeringsfarve3 2 3 5 3 2 2 2" xfId="35646" xr:uid="{00000000-0005-0000-0000-00009A410000}"/>
    <cellStyle name="40 % - Markeringsfarve3 2 3 5 3 2 3" xfId="28645" xr:uid="{00000000-0005-0000-0000-00009B410000}"/>
    <cellStyle name="40 % - Markeringsfarve3 2 3 5 3 3" xfId="14439" xr:uid="{00000000-0005-0000-0000-00009C410000}"/>
    <cellStyle name="40 % - Markeringsfarve3 2 3 5 3 3 2" xfId="32605" xr:uid="{00000000-0005-0000-0000-00009D410000}"/>
    <cellStyle name="40 % - Markeringsfarve3 2 3 5 3 4" xfId="25603" xr:uid="{00000000-0005-0000-0000-00009E410000}"/>
    <cellStyle name="40 % - Markeringsfarve3 2 3 5 4" xfId="5886" xr:uid="{00000000-0005-0000-0000-00009F410000}"/>
    <cellStyle name="40 % - Markeringsfarve3 2 3 5 4 2" xfId="10866" xr:uid="{00000000-0005-0000-0000-0000A0410000}"/>
    <cellStyle name="40 % - Markeringsfarve3 2 3 5 4 2 2" xfId="18749" xr:uid="{00000000-0005-0000-0000-0000A1410000}"/>
    <cellStyle name="40 % - Markeringsfarve3 2 3 5 4 2 2 2" xfId="36909" xr:uid="{00000000-0005-0000-0000-0000A2410000}"/>
    <cellStyle name="40 % - Markeringsfarve3 2 3 5 4 2 3" xfId="29908" xr:uid="{00000000-0005-0000-0000-0000A3410000}"/>
    <cellStyle name="40 % - Markeringsfarve3 2 3 5 4 3" xfId="14440" xr:uid="{00000000-0005-0000-0000-0000A4410000}"/>
    <cellStyle name="40 % - Markeringsfarve3 2 3 5 4 3 2" xfId="32606" xr:uid="{00000000-0005-0000-0000-0000A5410000}"/>
    <cellStyle name="40 % - Markeringsfarve3 2 3 5 4 4" xfId="25604" xr:uid="{00000000-0005-0000-0000-0000A6410000}"/>
    <cellStyle name="40 % - Markeringsfarve3 2 3 5 5" xfId="8099" xr:uid="{00000000-0005-0000-0000-0000A7410000}"/>
    <cellStyle name="40 % - Markeringsfarve3 2 3 5 5 2" xfId="16017" xr:uid="{00000000-0005-0000-0000-0000A8410000}"/>
    <cellStyle name="40 % - Markeringsfarve3 2 3 5 5 2 2" xfId="34177" xr:uid="{00000000-0005-0000-0000-0000A9410000}"/>
    <cellStyle name="40 % - Markeringsfarve3 2 3 5 5 3" xfId="27176" xr:uid="{00000000-0005-0000-0000-0000AA410000}"/>
    <cellStyle name="40 % - Markeringsfarve3 2 3 5 6" xfId="14436" xr:uid="{00000000-0005-0000-0000-0000AB410000}"/>
    <cellStyle name="40 % - Markeringsfarve3 2 3 5 6 2" xfId="32602" xr:uid="{00000000-0005-0000-0000-0000AC410000}"/>
    <cellStyle name="40 % - Markeringsfarve3 2 3 5 7" xfId="25600" xr:uid="{00000000-0005-0000-0000-0000AD410000}"/>
    <cellStyle name="40 % - Markeringsfarve3 2 3 6" xfId="5887" xr:uid="{00000000-0005-0000-0000-0000AE410000}"/>
    <cellStyle name="40 % - Markeringsfarve3 2 3 6 2" xfId="5888" xr:uid="{00000000-0005-0000-0000-0000AF410000}"/>
    <cellStyle name="40 % - Markeringsfarve3 2 3 6 2 2" xfId="5889" xr:uid="{00000000-0005-0000-0000-0000B0410000}"/>
    <cellStyle name="40 % - Markeringsfarve3 2 3 6 2 2 2" xfId="10383" xr:uid="{00000000-0005-0000-0000-0000B1410000}"/>
    <cellStyle name="40 % - Markeringsfarve3 2 3 6 2 2 2 2" xfId="18284" xr:uid="{00000000-0005-0000-0000-0000B2410000}"/>
    <cellStyle name="40 % - Markeringsfarve3 2 3 6 2 2 2 2 2" xfId="36444" xr:uid="{00000000-0005-0000-0000-0000B3410000}"/>
    <cellStyle name="40 % - Markeringsfarve3 2 3 6 2 2 2 3" xfId="29443" xr:uid="{00000000-0005-0000-0000-0000B4410000}"/>
    <cellStyle name="40 % - Markeringsfarve3 2 3 6 2 2 3" xfId="14443" xr:uid="{00000000-0005-0000-0000-0000B5410000}"/>
    <cellStyle name="40 % - Markeringsfarve3 2 3 6 2 2 3 2" xfId="32609" xr:uid="{00000000-0005-0000-0000-0000B6410000}"/>
    <cellStyle name="40 % - Markeringsfarve3 2 3 6 2 2 4" xfId="25607" xr:uid="{00000000-0005-0000-0000-0000B7410000}"/>
    <cellStyle name="40 % - Markeringsfarve3 2 3 6 2 3" xfId="8876" xr:uid="{00000000-0005-0000-0000-0000B8410000}"/>
    <cellStyle name="40 % - Markeringsfarve3 2 3 6 2 3 2" xfId="16790" xr:uid="{00000000-0005-0000-0000-0000B9410000}"/>
    <cellStyle name="40 % - Markeringsfarve3 2 3 6 2 3 2 2" xfId="34950" xr:uid="{00000000-0005-0000-0000-0000BA410000}"/>
    <cellStyle name="40 % - Markeringsfarve3 2 3 6 2 3 3" xfId="27949" xr:uid="{00000000-0005-0000-0000-0000BB410000}"/>
    <cellStyle name="40 % - Markeringsfarve3 2 3 6 2 4" xfId="14442" xr:uid="{00000000-0005-0000-0000-0000BC410000}"/>
    <cellStyle name="40 % - Markeringsfarve3 2 3 6 2 4 2" xfId="32608" xr:uid="{00000000-0005-0000-0000-0000BD410000}"/>
    <cellStyle name="40 % - Markeringsfarve3 2 3 6 2 5" xfId="25606" xr:uid="{00000000-0005-0000-0000-0000BE410000}"/>
    <cellStyle name="40 % - Markeringsfarve3 2 3 6 3" xfId="5890" xr:uid="{00000000-0005-0000-0000-0000BF410000}"/>
    <cellStyle name="40 % - Markeringsfarve3 2 3 6 3 2" xfId="9660" xr:uid="{00000000-0005-0000-0000-0000C0410000}"/>
    <cellStyle name="40 % - Markeringsfarve3 2 3 6 3 2 2" xfId="17570" xr:uid="{00000000-0005-0000-0000-0000C1410000}"/>
    <cellStyle name="40 % - Markeringsfarve3 2 3 6 3 2 2 2" xfId="35730" xr:uid="{00000000-0005-0000-0000-0000C2410000}"/>
    <cellStyle name="40 % - Markeringsfarve3 2 3 6 3 2 3" xfId="28729" xr:uid="{00000000-0005-0000-0000-0000C3410000}"/>
    <cellStyle name="40 % - Markeringsfarve3 2 3 6 3 3" xfId="14444" xr:uid="{00000000-0005-0000-0000-0000C4410000}"/>
    <cellStyle name="40 % - Markeringsfarve3 2 3 6 3 3 2" xfId="32610" xr:uid="{00000000-0005-0000-0000-0000C5410000}"/>
    <cellStyle name="40 % - Markeringsfarve3 2 3 6 3 4" xfId="25608" xr:uid="{00000000-0005-0000-0000-0000C6410000}"/>
    <cellStyle name="40 % - Markeringsfarve3 2 3 6 4" xfId="5891" xr:uid="{00000000-0005-0000-0000-0000C7410000}"/>
    <cellStyle name="40 % - Markeringsfarve3 2 3 6 4 2" xfId="10515" xr:uid="{00000000-0005-0000-0000-0000C8410000}"/>
    <cellStyle name="40 % - Markeringsfarve3 2 3 6 4 2 2" xfId="18409" xr:uid="{00000000-0005-0000-0000-0000C9410000}"/>
    <cellStyle name="40 % - Markeringsfarve3 2 3 6 4 2 2 2" xfId="36569" xr:uid="{00000000-0005-0000-0000-0000CA410000}"/>
    <cellStyle name="40 % - Markeringsfarve3 2 3 6 4 2 3" xfId="29568" xr:uid="{00000000-0005-0000-0000-0000CB410000}"/>
    <cellStyle name="40 % - Markeringsfarve3 2 3 6 4 3" xfId="14445" xr:uid="{00000000-0005-0000-0000-0000CC410000}"/>
    <cellStyle name="40 % - Markeringsfarve3 2 3 6 4 3 2" xfId="32611" xr:uid="{00000000-0005-0000-0000-0000CD410000}"/>
    <cellStyle name="40 % - Markeringsfarve3 2 3 6 4 4" xfId="25609" xr:uid="{00000000-0005-0000-0000-0000CE410000}"/>
    <cellStyle name="40 % - Markeringsfarve3 2 3 6 5" xfId="8100" xr:uid="{00000000-0005-0000-0000-0000CF410000}"/>
    <cellStyle name="40 % - Markeringsfarve3 2 3 6 5 2" xfId="16018" xr:uid="{00000000-0005-0000-0000-0000D0410000}"/>
    <cellStyle name="40 % - Markeringsfarve3 2 3 6 5 2 2" xfId="34178" xr:uid="{00000000-0005-0000-0000-0000D1410000}"/>
    <cellStyle name="40 % - Markeringsfarve3 2 3 6 5 3" xfId="27177" xr:uid="{00000000-0005-0000-0000-0000D2410000}"/>
    <cellStyle name="40 % - Markeringsfarve3 2 3 6 6" xfId="14441" xr:uid="{00000000-0005-0000-0000-0000D3410000}"/>
    <cellStyle name="40 % - Markeringsfarve3 2 3 6 6 2" xfId="32607" xr:uid="{00000000-0005-0000-0000-0000D4410000}"/>
    <cellStyle name="40 % - Markeringsfarve3 2 3 6 7" xfId="25605" xr:uid="{00000000-0005-0000-0000-0000D5410000}"/>
    <cellStyle name="40 % - Markeringsfarve3 2 3 7" xfId="5892" xr:uid="{00000000-0005-0000-0000-0000D6410000}"/>
    <cellStyle name="40 % - Markeringsfarve3 2 3 7 2" xfId="5893" xr:uid="{00000000-0005-0000-0000-0000D7410000}"/>
    <cellStyle name="40 % - Markeringsfarve3 2 3 7 2 2" xfId="9826" xr:uid="{00000000-0005-0000-0000-0000D8410000}"/>
    <cellStyle name="40 % - Markeringsfarve3 2 3 7 2 2 2" xfId="17727" xr:uid="{00000000-0005-0000-0000-0000D9410000}"/>
    <cellStyle name="40 % - Markeringsfarve3 2 3 7 2 2 2 2" xfId="35887" xr:uid="{00000000-0005-0000-0000-0000DA410000}"/>
    <cellStyle name="40 % - Markeringsfarve3 2 3 7 2 2 3" xfId="28886" xr:uid="{00000000-0005-0000-0000-0000DB410000}"/>
    <cellStyle name="40 % - Markeringsfarve3 2 3 7 2 3" xfId="14447" xr:uid="{00000000-0005-0000-0000-0000DC410000}"/>
    <cellStyle name="40 % - Markeringsfarve3 2 3 7 2 3 2" xfId="32613" xr:uid="{00000000-0005-0000-0000-0000DD410000}"/>
    <cellStyle name="40 % - Markeringsfarve3 2 3 7 2 4" xfId="25611" xr:uid="{00000000-0005-0000-0000-0000DE410000}"/>
    <cellStyle name="40 % - Markeringsfarve3 2 3 7 3" xfId="8412" xr:uid="{00000000-0005-0000-0000-0000DF410000}"/>
    <cellStyle name="40 % - Markeringsfarve3 2 3 7 3 2" xfId="16329" xr:uid="{00000000-0005-0000-0000-0000E0410000}"/>
    <cellStyle name="40 % - Markeringsfarve3 2 3 7 3 2 2" xfId="34489" xr:uid="{00000000-0005-0000-0000-0000E1410000}"/>
    <cellStyle name="40 % - Markeringsfarve3 2 3 7 3 3" xfId="27488" xr:uid="{00000000-0005-0000-0000-0000E2410000}"/>
    <cellStyle name="40 % - Markeringsfarve3 2 3 7 4" xfId="14446" xr:uid="{00000000-0005-0000-0000-0000E3410000}"/>
    <cellStyle name="40 % - Markeringsfarve3 2 3 7 4 2" xfId="32612" xr:uid="{00000000-0005-0000-0000-0000E4410000}"/>
    <cellStyle name="40 % - Markeringsfarve3 2 3 7 5" xfId="25610" xr:uid="{00000000-0005-0000-0000-0000E5410000}"/>
    <cellStyle name="40 % - Markeringsfarve3 2 3 8" xfId="5894" xr:uid="{00000000-0005-0000-0000-0000E6410000}"/>
    <cellStyle name="40 % - Markeringsfarve3 2 3 8 2" xfId="9054" xr:uid="{00000000-0005-0000-0000-0000E7410000}"/>
    <cellStyle name="40 % - Markeringsfarve3 2 3 8 2 2" xfId="16965" xr:uid="{00000000-0005-0000-0000-0000E8410000}"/>
    <cellStyle name="40 % - Markeringsfarve3 2 3 8 2 2 2" xfId="35125" xr:uid="{00000000-0005-0000-0000-0000E9410000}"/>
    <cellStyle name="40 % - Markeringsfarve3 2 3 8 2 3" xfId="28124" xr:uid="{00000000-0005-0000-0000-0000EA410000}"/>
    <cellStyle name="40 % - Markeringsfarve3 2 3 8 3" xfId="14448" xr:uid="{00000000-0005-0000-0000-0000EB410000}"/>
    <cellStyle name="40 % - Markeringsfarve3 2 3 8 3 2" xfId="32614" xr:uid="{00000000-0005-0000-0000-0000EC410000}"/>
    <cellStyle name="40 % - Markeringsfarve3 2 3 8 4" xfId="25612" xr:uid="{00000000-0005-0000-0000-0000ED410000}"/>
    <cellStyle name="40 % - Markeringsfarve3 2 3 9" xfId="5895" xr:uid="{00000000-0005-0000-0000-0000EE410000}"/>
    <cellStyle name="40 % - Markeringsfarve3 2 3 9 2" xfId="10944" xr:uid="{00000000-0005-0000-0000-0000EF410000}"/>
    <cellStyle name="40 % - Markeringsfarve3 2 3 9 2 2" xfId="18824" xr:uid="{00000000-0005-0000-0000-0000F0410000}"/>
    <cellStyle name="40 % - Markeringsfarve3 2 3 9 2 2 2" xfId="36984" xr:uid="{00000000-0005-0000-0000-0000F1410000}"/>
    <cellStyle name="40 % - Markeringsfarve3 2 3 9 2 3" xfId="29983" xr:uid="{00000000-0005-0000-0000-0000F2410000}"/>
    <cellStyle name="40 % - Markeringsfarve3 2 3 9 3" xfId="14449" xr:uid="{00000000-0005-0000-0000-0000F3410000}"/>
    <cellStyle name="40 % - Markeringsfarve3 2 3 9 3 2" xfId="32615" xr:uid="{00000000-0005-0000-0000-0000F4410000}"/>
    <cellStyle name="40 % - Markeringsfarve3 2 3 9 4" xfId="25613" xr:uid="{00000000-0005-0000-0000-0000F5410000}"/>
    <cellStyle name="40 % - Markeringsfarve3 2 4" xfId="1902" xr:uid="{00000000-0005-0000-0000-0000F6410000}"/>
    <cellStyle name="40 % - Markeringsfarve3 2 4 2" xfId="5897" xr:uid="{00000000-0005-0000-0000-0000F7410000}"/>
    <cellStyle name="40 % - Markeringsfarve3 2 4 2 2" xfId="5898" xr:uid="{00000000-0005-0000-0000-0000F8410000}"/>
    <cellStyle name="40 % - Markeringsfarve3 2 4 2 2 2" xfId="9867" xr:uid="{00000000-0005-0000-0000-0000F9410000}"/>
    <cellStyle name="40 % - Markeringsfarve3 2 4 2 2 2 2" xfId="17768" xr:uid="{00000000-0005-0000-0000-0000FA410000}"/>
    <cellStyle name="40 % - Markeringsfarve3 2 4 2 2 2 2 2" xfId="35928" xr:uid="{00000000-0005-0000-0000-0000FB410000}"/>
    <cellStyle name="40 % - Markeringsfarve3 2 4 2 2 2 3" xfId="28927" xr:uid="{00000000-0005-0000-0000-0000FC410000}"/>
    <cellStyle name="40 % - Markeringsfarve3 2 4 2 2 3" xfId="14452" xr:uid="{00000000-0005-0000-0000-0000FD410000}"/>
    <cellStyle name="40 % - Markeringsfarve3 2 4 2 2 3 2" xfId="32618" xr:uid="{00000000-0005-0000-0000-0000FE410000}"/>
    <cellStyle name="40 % - Markeringsfarve3 2 4 2 2 4" xfId="25616" xr:uid="{00000000-0005-0000-0000-0000FF410000}"/>
    <cellStyle name="40 % - Markeringsfarve3 2 4 2 3" xfId="8445" xr:uid="{00000000-0005-0000-0000-000000420000}"/>
    <cellStyle name="40 % - Markeringsfarve3 2 4 2 3 2" xfId="16362" xr:uid="{00000000-0005-0000-0000-000001420000}"/>
    <cellStyle name="40 % - Markeringsfarve3 2 4 2 3 2 2" xfId="34522" xr:uid="{00000000-0005-0000-0000-000002420000}"/>
    <cellStyle name="40 % - Markeringsfarve3 2 4 2 3 3" xfId="27521" xr:uid="{00000000-0005-0000-0000-000003420000}"/>
    <cellStyle name="40 % - Markeringsfarve3 2 4 2 4" xfId="14451" xr:uid="{00000000-0005-0000-0000-000004420000}"/>
    <cellStyle name="40 % - Markeringsfarve3 2 4 2 4 2" xfId="32617" xr:uid="{00000000-0005-0000-0000-000005420000}"/>
    <cellStyle name="40 % - Markeringsfarve3 2 4 2 5" xfId="25615" xr:uid="{00000000-0005-0000-0000-000006420000}"/>
    <cellStyle name="40 % - Markeringsfarve3 2 4 3" xfId="5899" xr:uid="{00000000-0005-0000-0000-000007420000}"/>
    <cellStyle name="40 % - Markeringsfarve3 2 4 3 2" xfId="9097" xr:uid="{00000000-0005-0000-0000-000008420000}"/>
    <cellStyle name="40 % - Markeringsfarve3 2 4 3 2 2" xfId="17008" xr:uid="{00000000-0005-0000-0000-000009420000}"/>
    <cellStyle name="40 % - Markeringsfarve3 2 4 3 2 2 2" xfId="35168" xr:uid="{00000000-0005-0000-0000-00000A420000}"/>
    <cellStyle name="40 % - Markeringsfarve3 2 4 3 2 3" xfId="28167" xr:uid="{00000000-0005-0000-0000-00000B420000}"/>
    <cellStyle name="40 % - Markeringsfarve3 2 4 3 3" xfId="14453" xr:uid="{00000000-0005-0000-0000-00000C420000}"/>
    <cellStyle name="40 % - Markeringsfarve3 2 4 3 3 2" xfId="32619" xr:uid="{00000000-0005-0000-0000-00000D420000}"/>
    <cellStyle name="40 % - Markeringsfarve3 2 4 3 4" xfId="25617" xr:uid="{00000000-0005-0000-0000-00000E420000}"/>
    <cellStyle name="40 % - Markeringsfarve3 2 4 4" xfId="5900" xr:uid="{00000000-0005-0000-0000-00000F420000}"/>
    <cellStyle name="40 % - Markeringsfarve3 2 4 4 2" xfId="10811" xr:uid="{00000000-0005-0000-0000-000010420000}"/>
    <cellStyle name="40 % - Markeringsfarve3 2 4 4 2 2" xfId="18698" xr:uid="{00000000-0005-0000-0000-000011420000}"/>
    <cellStyle name="40 % - Markeringsfarve3 2 4 4 2 2 2" xfId="36858" xr:uid="{00000000-0005-0000-0000-000012420000}"/>
    <cellStyle name="40 % - Markeringsfarve3 2 4 4 2 3" xfId="29857" xr:uid="{00000000-0005-0000-0000-000013420000}"/>
    <cellStyle name="40 % - Markeringsfarve3 2 4 4 3" xfId="14454" xr:uid="{00000000-0005-0000-0000-000014420000}"/>
    <cellStyle name="40 % - Markeringsfarve3 2 4 4 3 2" xfId="32620" xr:uid="{00000000-0005-0000-0000-000015420000}"/>
    <cellStyle name="40 % - Markeringsfarve3 2 4 4 4" xfId="25618" xr:uid="{00000000-0005-0000-0000-000016420000}"/>
    <cellStyle name="40 % - Markeringsfarve3 2 4 5" xfId="8101" xr:uid="{00000000-0005-0000-0000-000017420000}"/>
    <cellStyle name="40 % - Markeringsfarve3 2 4 5 2" xfId="16019" xr:uid="{00000000-0005-0000-0000-000018420000}"/>
    <cellStyle name="40 % - Markeringsfarve3 2 4 5 2 2" xfId="34179" xr:uid="{00000000-0005-0000-0000-000019420000}"/>
    <cellStyle name="40 % - Markeringsfarve3 2 4 5 3" xfId="27178" xr:uid="{00000000-0005-0000-0000-00001A420000}"/>
    <cellStyle name="40 % - Markeringsfarve3 2 4 6" xfId="14450" xr:uid="{00000000-0005-0000-0000-00001B420000}"/>
    <cellStyle name="40 % - Markeringsfarve3 2 4 6 2" xfId="32616" xr:uid="{00000000-0005-0000-0000-00001C420000}"/>
    <cellStyle name="40 % - Markeringsfarve3 2 4 7" xfId="5896" xr:uid="{00000000-0005-0000-0000-00001D420000}"/>
    <cellStyle name="40 % - Markeringsfarve3 2 4 7 2" xfId="25614" xr:uid="{00000000-0005-0000-0000-00001E420000}"/>
    <cellStyle name="40 % - Markeringsfarve3 2 4 8" xfId="22020" xr:uid="{00000000-0005-0000-0000-00001F420000}"/>
    <cellStyle name="40 % - Markeringsfarve3 2 5" xfId="5901" xr:uid="{00000000-0005-0000-0000-000020420000}"/>
    <cellStyle name="40 % - Markeringsfarve3 2 5 2" xfId="5902" xr:uid="{00000000-0005-0000-0000-000021420000}"/>
    <cellStyle name="40 % - Markeringsfarve3 2 5 2 2" xfId="5903" xr:uid="{00000000-0005-0000-0000-000022420000}"/>
    <cellStyle name="40 % - Markeringsfarve3 2 5 2 2 2" xfId="10026" xr:uid="{00000000-0005-0000-0000-000023420000}"/>
    <cellStyle name="40 % - Markeringsfarve3 2 5 2 2 2 2" xfId="17927" xr:uid="{00000000-0005-0000-0000-000024420000}"/>
    <cellStyle name="40 % - Markeringsfarve3 2 5 2 2 2 2 2" xfId="36087" xr:uid="{00000000-0005-0000-0000-000025420000}"/>
    <cellStyle name="40 % - Markeringsfarve3 2 5 2 2 2 3" xfId="29086" xr:uid="{00000000-0005-0000-0000-000026420000}"/>
    <cellStyle name="40 % - Markeringsfarve3 2 5 2 2 3" xfId="14457" xr:uid="{00000000-0005-0000-0000-000027420000}"/>
    <cellStyle name="40 % - Markeringsfarve3 2 5 2 2 3 2" xfId="32623" xr:uid="{00000000-0005-0000-0000-000028420000}"/>
    <cellStyle name="40 % - Markeringsfarve3 2 5 2 2 4" xfId="25621" xr:uid="{00000000-0005-0000-0000-000029420000}"/>
    <cellStyle name="40 % - Markeringsfarve3 2 5 2 3" xfId="8572" xr:uid="{00000000-0005-0000-0000-00002A420000}"/>
    <cellStyle name="40 % - Markeringsfarve3 2 5 2 3 2" xfId="16489" xr:uid="{00000000-0005-0000-0000-00002B420000}"/>
    <cellStyle name="40 % - Markeringsfarve3 2 5 2 3 2 2" xfId="34649" xr:uid="{00000000-0005-0000-0000-00002C420000}"/>
    <cellStyle name="40 % - Markeringsfarve3 2 5 2 3 3" xfId="27648" xr:uid="{00000000-0005-0000-0000-00002D420000}"/>
    <cellStyle name="40 % - Markeringsfarve3 2 5 2 4" xfId="14456" xr:uid="{00000000-0005-0000-0000-00002E420000}"/>
    <cellStyle name="40 % - Markeringsfarve3 2 5 2 4 2" xfId="32622" xr:uid="{00000000-0005-0000-0000-00002F420000}"/>
    <cellStyle name="40 % - Markeringsfarve3 2 5 2 5" xfId="25620" xr:uid="{00000000-0005-0000-0000-000030420000}"/>
    <cellStyle name="40 % - Markeringsfarve3 2 5 3" xfId="5904" xr:uid="{00000000-0005-0000-0000-000031420000}"/>
    <cellStyle name="40 % - Markeringsfarve3 2 5 3 2" xfId="9256" xr:uid="{00000000-0005-0000-0000-000032420000}"/>
    <cellStyle name="40 % - Markeringsfarve3 2 5 3 2 2" xfId="17167" xr:uid="{00000000-0005-0000-0000-000033420000}"/>
    <cellStyle name="40 % - Markeringsfarve3 2 5 3 2 2 2" xfId="35327" xr:uid="{00000000-0005-0000-0000-000034420000}"/>
    <cellStyle name="40 % - Markeringsfarve3 2 5 3 2 3" xfId="28326" xr:uid="{00000000-0005-0000-0000-000035420000}"/>
    <cellStyle name="40 % - Markeringsfarve3 2 5 3 3" xfId="14458" xr:uid="{00000000-0005-0000-0000-000036420000}"/>
    <cellStyle name="40 % - Markeringsfarve3 2 5 3 3 2" xfId="32624" xr:uid="{00000000-0005-0000-0000-000037420000}"/>
    <cellStyle name="40 % - Markeringsfarve3 2 5 3 4" xfId="25622" xr:uid="{00000000-0005-0000-0000-000038420000}"/>
    <cellStyle name="40 % - Markeringsfarve3 2 5 4" xfId="5905" xr:uid="{00000000-0005-0000-0000-000039420000}"/>
    <cellStyle name="40 % - Markeringsfarve3 2 5 4 2" xfId="10461" xr:uid="{00000000-0005-0000-0000-00003A420000}"/>
    <cellStyle name="40 % - Markeringsfarve3 2 5 4 2 2" xfId="18358" xr:uid="{00000000-0005-0000-0000-00003B420000}"/>
    <cellStyle name="40 % - Markeringsfarve3 2 5 4 2 2 2" xfId="36518" xr:uid="{00000000-0005-0000-0000-00003C420000}"/>
    <cellStyle name="40 % - Markeringsfarve3 2 5 4 2 3" xfId="29517" xr:uid="{00000000-0005-0000-0000-00003D420000}"/>
    <cellStyle name="40 % - Markeringsfarve3 2 5 4 3" xfId="14459" xr:uid="{00000000-0005-0000-0000-00003E420000}"/>
    <cellStyle name="40 % - Markeringsfarve3 2 5 4 3 2" xfId="32625" xr:uid="{00000000-0005-0000-0000-00003F420000}"/>
    <cellStyle name="40 % - Markeringsfarve3 2 5 4 4" xfId="25623" xr:uid="{00000000-0005-0000-0000-000040420000}"/>
    <cellStyle name="40 % - Markeringsfarve3 2 5 5" xfId="8102" xr:uid="{00000000-0005-0000-0000-000041420000}"/>
    <cellStyle name="40 % - Markeringsfarve3 2 5 5 2" xfId="16020" xr:uid="{00000000-0005-0000-0000-000042420000}"/>
    <cellStyle name="40 % - Markeringsfarve3 2 5 5 2 2" xfId="34180" xr:uid="{00000000-0005-0000-0000-000043420000}"/>
    <cellStyle name="40 % - Markeringsfarve3 2 5 5 3" xfId="27179" xr:uid="{00000000-0005-0000-0000-000044420000}"/>
    <cellStyle name="40 % - Markeringsfarve3 2 5 6" xfId="14455" xr:uid="{00000000-0005-0000-0000-000045420000}"/>
    <cellStyle name="40 % - Markeringsfarve3 2 5 6 2" xfId="32621" xr:uid="{00000000-0005-0000-0000-000046420000}"/>
    <cellStyle name="40 % - Markeringsfarve3 2 5 7" xfId="25619" xr:uid="{00000000-0005-0000-0000-000047420000}"/>
    <cellStyle name="40 % - Markeringsfarve3 2 6" xfId="5906" xr:uid="{00000000-0005-0000-0000-000048420000}"/>
    <cellStyle name="40 % - Markeringsfarve3 2 6 2" xfId="5907" xr:uid="{00000000-0005-0000-0000-000049420000}"/>
    <cellStyle name="40 % - Markeringsfarve3 2 6 2 2" xfId="5908" xr:uid="{00000000-0005-0000-0000-00004A420000}"/>
    <cellStyle name="40 % - Markeringsfarve3 2 6 2 2 2" xfId="10105" xr:uid="{00000000-0005-0000-0000-00004B420000}"/>
    <cellStyle name="40 % - Markeringsfarve3 2 6 2 2 2 2" xfId="18006" xr:uid="{00000000-0005-0000-0000-00004C420000}"/>
    <cellStyle name="40 % - Markeringsfarve3 2 6 2 2 2 2 2" xfId="36166" xr:uid="{00000000-0005-0000-0000-00004D420000}"/>
    <cellStyle name="40 % - Markeringsfarve3 2 6 2 2 2 3" xfId="29165" xr:uid="{00000000-0005-0000-0000-00004E420000}"/>
    <cellStyle name="40 % - Markeringsfarve3 2 6 2 2 3" xfId="14462" xr:uid="{00000000-0005-0000-0000-00004F420000}"/>
    <cellStyle name="40 % - Markeringsfarve3 2 6 2 2 3 2" xfId="32628" xr:uid="{00000000-0005-0000-0000-000050420000}"/>
    <cellStyle name="40 % - Markeringsfarve3 2 6 2 2 4" xfId="25626" xr:uid="{00000000-0005-0000-0000-000051420000}"/>
    <cellStyle name="40 % - Markeringsfarve3 2 6 2 3" xfId="8647" xr:uid="{00000000-0005-0000-0000-000052420000}"/>
    <cellStyle name="40 % - Markeringsfarve3 2 6 2 3 2" xfId="16561" xr:uid="{00000000-0005-0000-0000-000053420000}"/>
    <cellStyle name="40 % - Markeringsfarve3 2 6 2 3 2 2" xfId="34721" xr:uid="{00000000-0005-0000-0000-000054420000}"/>
    <cellStyle name="40 % - Markeringsfarve3 2 6 2 3 3" xfId="27720" xr:uid="{00000000-0005-0000-0000-000055420000}"/>
    <cellStyle name="40 % - Markeringsfarve3 2 6 2 4" xfId="14461" xr:uid="{00000000-0005-0000-0000-000056420000}"/>
    <cellStyle name="40 % - Markeringsfarve3 2 6 2 4 2" xfId="32627" xr:uid="{00000000-0005-0000-0000-000057420000}"/>
    <cellStyle name="40 % - Markeringsfarve3 2 6 2 5" xfId="25625" xr:uid="{00000000-0005-0000-0000-000058420000}"/>
    <cellStyle name="40 % - Markeringsfarve3 2 6 3" xfId="5909" xr:uid="{00000000-0005-0000-0000-000059420000}"/>
    <cellStyle name="40 % - Markeringsfarve3 2 6 3 2" xfId="9381" xr:uid="{00000000-0005-0000-0000-00005A420000}"/>
    <cellStyle name="40 % - Markeringsfarve3 2 6 3 2 2" xfId="17291" xr:uid="{00000000-0005-0000-0000-00005B420000}"/>
    <cellStyle name="40 % - Markeringsfarve3 2 6 3 2 2 2" xfId="35451" xr:uid="{00000000-0005-0000-0000-00005C420000}"/>
    <cellStyle name="40 % - Markeringsfarve3 2 6 3 2 3" xfId="28450" xr:uid="{00000000-0005-0000-0000-00005D420000}"/>
    <cellStyle name="40 % - Markeringsfarve3 2 6 3 3" xfId="14463" xr:uid="{00000000-0005-0000-0000-00005E420000}"/>
    <cellStyle name="40 % - Markeringsfarve3 2 6 3 3 2" xfId="32629" xr:uid="{00000000-0005-0000-0000-00005F420000}"/>
    <cellStyle name="40 % - Markeringsfarve3 2 6 3 4" xfId="25627" xr:uid="{00000000-0005-0000-0000-000060420000}"/>
    <cellStyle name="40 % - Markeringsfarve3 2 6 4" xfId="5910" xr:uid="{00000000-0005-0000-0000-000061420000}"/>
    <cellStyle name="40 % - Markeringsfarve3 2 6 4 2" xfId="10796" xr:uid="{00000000-0005-0000-0000-000062420000}"/>
    <cellStyle name="40 % - Markeringsfarve3 2 6 4 2 2" xfId="18683" xr:uid="{00000000-0005-0000-0000-000063420000}"/>
    <cellStyle name="40 % - Markeringsfarve3 2 6 4 2 2 2" xfId="36843" xr:uid="{00000000-0005-0000-0000-000064420000}"/>
    <cellStyle name="40 % - Markeringsfarve3 2 6 4 2 3" xfId="29842" xr:uid="{00000000-0005-0000-0000-000065420000}"/>
    <cellStyle name="40 % - Markeringsfarve3 2 6 4 3" xfId="14464" xr:uid="{00000000-0005-0000-0000-000066420000}"/>
    <cellStyle name="40 % - Markeringsfarve3 2 6 4 3 2" xfId="32630" xr:uid="{00000000-0005-0000-0000-000067420000}"/>
    <cellStyle name="40 % - Markeringsfarve3 2 6 4 4" xfId="25628" xr:uid="{00000000-0005-0000-0000-000068420000}"/>
    <cellStyle name="40 % - Markeringsfarve3 2 6 5" xfId="8103" xr:uid="{00000000-0005-0000-0000-000069420000}"/>
    <cellStyle name="40 % - Markeringsfarve3 2 6 5 2" xfId="16021" xr:uid="{00000000-0005-0000-0000-00006A420000}"/>
    <cellStyle name="40 % - Markeringsfarve3 2 6 5 2 2" xfId="34181" xr:uid="{00000000-0005-0000-0000-00006B420000}"/>
    <cellStyle name="40 % - Markeringsfarve3 2 6 5 3" xfId="27180" xr:uid="{00000000-0005-0000-0000-00006C420000}"/>
    <cellStyle name="40 % - Markeringsfarve3 2 6 6" xfId="14460" xr:uid="{00000000-0005-0000-0000-00006D420000}"/>
    <cellStyle name="40 % - Markeringsfarve3 2 6 6 2" xfId="32626" xr:uid="{00000000-0005-0000-0000-00006E420000}"/>
    <cellStyle name="40 % - Markeringsfarve3 2 6 7" xfId="25624" xr:uid="{00000000-0005-0000-0000-00006F420000}"/>
    <cellStyle name="40 % - Markeringsfarve3 2 7" xfId="5911" xr:uid="{00000000-0005-0000-0000-000070420000}"/>
    <cellStyle name="40 % - Markeringsfarve3 2 7 2" xfId="5912" xr:uid="{00000000-0005-0000-0000-000071420000}"/>
    <cellStyle name="40 % - Markeringsfarve3 2 7 2 2" xfId="5913" xr:uid="{00000000-0005-0000-0000-000072420000}"/>
    <cellStyle name="40 % - Markeringsfarve3 2 7 2 2 2" xfId="10222" xr:uid="{00000000-0005-0000-0000-000073420000}"/>
    <cellStyle name="40 % - Markeringsfarve3 2 7 2 2 2 2" xfId="18123" xr:uid="{00000000-0005-0000-0000-000074420000}"/>
    <cellStyle name="40 % - Markeringsfarve3 2 7 2 2 2 2 2" xfId="36283" xr:uid="{00000000-0005-0000-0000-000075420000}"/>
    <cellStyle name="40 % - Markeringsfarve3 2 7 2 2 2 3" xfId="29282" xr:uid="{00000000-0005-0000-0000-000076420000}"/>
    <cellStyle name="40 % - Markeringsfarve3 2 7 2 2 3" xfId="14467" xr:uid="{00000000-0005-0000-0000-000077420000}"/>
    <cellStyle name="40 % - Markeringsfarve3 2 7 2 2 3 2" xfId="32633" xr:uid="{00000000-0005-0000-0000-000078420000}"/>
    <cellStyle name="40 % - Markeringsfarve3 2 7 2 2 4" xfId="25631" xr:uid="{00000000-0005-0000-0000-000079420000}"/>
    <cellStyle name="40 % - Markeringsfarve3 2 7 2 3" xfId="8746" xr:uid="{00000000-0005-0000-0000-00007A420000}"/>
    <cellStyle name="40 % - Markeringsfarve3 2 7 2 3 2" xfId="16660" xr:uid="{00000000-0005-0000-0000-00007B420000}"/>
    <cellStyle name="40 % - Markeringsfarve3 2 7 2 3 2 2" xfId="34820" xr:uid="{00000000-0005-0000-0000-00007C420000}"/>
    <cellStyle name="40 % - Markeringsfarve3 2 7 2 3 3" xfId="27819" xr:uid="{00000000-0005-0000-0000-00007D420000}"/>
    <cellStyle name="40 % - Markeringsfarve3 2 7 2 4" xfId="14466" xr:uid="{00000000-0005-0000-0000-00007E420000}"/>
    <cellStyle name="40 % - Markeringsfarve3 2 7 2 4 2" xfId="32632" xr:uid="{00000000-0005-0000-0000-00007F420000}"/>
    <cellStyle name="40 % - Markeringsfarve3 2 7 2 5" xfId="25630" xr:uid="{00000000-0005-0000-0000-000080420000}"/>
    <cellStyle name="40 % - Markeringsfarve3 2 7 3" xfId="5914" xr:uid="{00000000-0005-0000-0000-000081420000}"/>
    <cellStyle name="40 % - Markeringsfarve3 2 7 3 2" xfId="9498" xr:uid="{00000000-0005-0000-0000-000082420000}"/>
    <cellStyle name="40 % - Markeringsfarve3 2 7 3 2 2" xfId="17408" xr:uid="{00000000-0005-0000-0000-000083420000}"/>
    <cellStyle name="40 % - Markeringsfarve3 2 7 3 2 2 2" xfId="35568" xr:uid="{00000000-0005-0000-0000-000084420000}"/>
    <cellStyle name="40 % - Markeringsfarve3 2 7 3 2 3" xfId="28567" xr:uid="{00000000-0005-0000-0000-000085420000}"/>
    <cellStyle name="40 % - Markeringsfarve3 2 7 3 3" xfId="14468" xr:uid="{00000000-0005-0000-0000-000086420000}"/>
    <cellStyle name="40 % - Markeringsfarve3 2 7 3 3 2" xfId="32634" xr:uid="{00000000-0005-0000-0000-000087420000}"/>
    <cellStyle name="40 % - Markeringsfarve3 2 7 3 4" xfId="25632" xr:uid="{00000000-0005-0000-0000-000088420000}"/>
    <cellStyle name="40 % - Markeringsfarve3 2 7 4" xfId="5915" xr:uid="{00000000-0005-0000-0000-000089420000}"/>
    <cellStyle name="40 % - Markeringsfarve3 2 7 4 2" xfId="11002" xr:uid="{00000000-0005-0000-0000-00008A420000}"/>
    <cellStyle name="40 % - Markeringsfarve3 2 7 4 2 2" xfId="18878" xr:uid="{00000000-0005-0000-0000-00008B420000}"/>
    <cellStyle name="40 % - Markeringsfarve3 2 7 4 2 2 2" xfId="37038" xr:uid="{00000000-0005-0000-0000-00008C420000}"/>
    <cellStyle name="40 % - Markeringsfarve3 2 7 4 2 3" xfId="30037" xr:uid="{00000000-0005-0000-0000-00008D420000}"/>
    <cellStyle name="40 % - Markeringsfarve3 2 7 4 3" xfId="14469" xr:uid="{00000000-0005-0000-0000-00008E420000}"/>
    <cellStyle name="40 % - Markeringsfarve3 2 7 4 3 2" xfId="32635" xr:uid="{00000000-0005-0000-0000-00008F420000}"/>
    <cellStyle name="40 % - Markeringsfarve3 2 7 4 4" xfId="25633" xr:uid="{00000000-0005-0000-0000-000090420000}"/>
    <cellStyle name="40 % - Markeringsfarve3 2 7 5" xfId="8104" xr:uid="{00000000-0005-0000-0000-000091420000}"/>
    <cellStyle name="40 % - Markeringsfarve3 2 7 5 2" xfId="16022" xr:uid="{00000000-0005-0000-0000-000092420000}"/>
    <cellStyle name="40 % - Markeringsfarve3 2 7 5 2 2" xfId="34182" xr:uid="{00000000-0005-0000-0000-000093420000}"/>
    <cellStyle name="40 % - Markeringsfarve3 2 7 5 3" xfId="27181" xr:uid="{00000000-0005-0000-0000-000094420000}"/>
    <cellStyle name="40 % - Markeringsfarve3 2 7 6" xfId="14465" xr:uid="{00000000-0005-0000-0000-000095420000}"/>
    <cellStyle name="40 % - Markeringsfarve3 2 7 6 2" xfId="32631" xr:uid="{00000000-0005-0000-0000-000096420000}"/>
    <cellStyle name="40 % - Markeringsfarve3 2 7 7" xfId="25629" xr:uid="{00000000-0005-0000-0000-000097420000}"/>
    <cellStyle name="40 % - Markeringsfarve3 2 8" xfId="5916" xr:uid="{00000000-0005-0000-0000-000098420000}"/>
    <cellStyle name="40 % - Markeringsfarve3 2 8 2" xfId="5917" xr:uid="{00000000-0005-0000-0000-000099420000}"/>
    <cellStyle name="40 % - Markeringsfarve3 2 8 2 2" xfId="5918" xr:uid="{00000000-0005-0000-0000-00009A420000}"/>
    <cellStyle name="40 % - Markeringsfarve3 2 8 2 2 2" xfId="10381" xr:uid="{00000000-0005-0000-0000-00009B420000}"/>
    <cellStyle name="40 % - Markeringsfarve3 2 8 2 2 2 2" xfId="18282" xr:uid="{00000000-0005-0000-0000-00009C420000}"/>
    <cellStyle name="40 % - Markeringsfarve3 2 8 2 2 2 2 2" xfId="36442" xr:uid="{00000000-0005-0000-0000-00009D420000}"/>
    <cellStyle name="40 % - Markeringsfarve3 2 8 2 2 2 3" xfId="29441" xr:uid="{00000000-0005-0000-0000-00009E420000}"/>
    <cellStyle name="40 % - Markeringsfarve3 2 8 2 2 3" xfId="14472" xr:uid="{00000000-0005-0000-0000-00009F420000}"/>
    <cellStyle name="40 % - Markeringsfarve3 2 8 2 2 3 2" xfId="32638" xr:uid="{00000000-0005-0000-0000-0000A0420000}"/>
    <cellStyle name="40 % - Markeringsfarve3 2 8 2 2 4" xfId="25636" xr:uid="{00000000-0005-0000-0000-0000A1420000}"/>
    <cellStyle name="40 % - Markeringsfarve3 2 8 2 3" xfId="8874" xr:uid="{00000000-0005-0000-0000-0000A2420000}"/>
    <cellStyle name="40 % - Markeringsfarve3 2 8 2 3 2" xfId="16788" xr:uid="{00000000-0005-0000-0000-0000A3420000}"/>
    <cellStyle name="40 % - Markeringsfarve3 2 8 2 3 2 2" xfId="34948" xr:uid="{00000000-0005-0000-0000-0000A4420000}"/>
    <cellStyle name="40 % - Markeringsfarve3 2 8 2 3 3" xfId="27947" xr:uid="{00000000-0005-0000-0000-0000A5420000}"/>
    <cellStyle name="40 % - Markeringsfarve3 2 8 2 4" xfId="14471" xr:uid="{00000000-0005-0000-0000-0000A6420000}"/>
    <cellStyle name="40 % - Markeringsfarve3 2 8 2 4 2" xfId="32637" xr:uid="{00000000-0005-0000-0000-0000A7420000}"/>
    <cellStyle name="40 % - Markeringsfarve3 2 8 2 5" xfId="25635" xr:uid="{00000000-0005-0000-0000-0000A8420000}"/>
    <cellStyle name="40 % - Markeringsfarve3 2 8 3" xfId="5919" xr:uid="{00000000-0005-0000-0000-0000A9420000}"/>
    <cellStyle name="40 % - Markeringsfarve3 2 8 3 2" xfId="9658" xr:uid="{00000000-0005-0000-0000-0000AA420000}"/>
    <cellStyle name="40 % - Markeringsfarve3 2 8 3 2 2" xfId="17568" xr:uid="{00000000-0005-0000-0000-0000AB420000}"/>
    <cellStyle name="40 % - Markeringsfarve3 2 8 3 2 2 2" xfId="35728" xr:uid="{00000000-0005-0000-0000-0000AC420000}"/>
    <cellStyle name="40 % - Markeringsfarve3 2 8 3 2 3" xfId="28727" xr:uid="{00000000-0005-0000-0000-0000AD420000}"/>
    <cellStyle name="40 % - Markeringsfarve3 2 8 3 3" xfId="14473" xr:uid="{00000000-0005-0000-0000-0000AE420000}"/>
    <cellStyle name="40 % - Markeringsfarve3 2 8 3 3 2" xfId="32639" xr:uid="{00000000-0005-0000-0000-0000AF420000}"/>
    <cellStyle name="40 % - Markeringsfarve3 2 8 3 4" xfId="25637" xr:uid="{00000000-0005-0000-0000-0000B0420000}"/>
    <cellStyle name="40 % - Markeringsfarve3 2 8 4" xfId="5920" xr:uid="{00000000-0005-0000-0000-0000B1420000}"/>
    <cellStyle name="40 % - Markeringsfarve3 2 8 4 2" xfId="10722" xr:uid="{00000000-0005-0000-0000-0000B2420000}"/>
    <cellStyle name="40 % - Markeringsfarve3 2 8 4 2 2" xfId="18611" xr:uid="{00000000-0005-0000-0000-0000B3420000}"/>
    <cellStyle name="40 % - Markeringsfarve3 2 8 4 2 2 2" xfId="36771" xr:uid="{00000000-0005-0000-0000-0000B4420000}"/>
    <cellStyle name="40 % - Markeringsfarve3 2 8 4 2 3" xfId="29770" xr:uid="{00000000-0005-0000-0000-0000B5420000}"/>
    <cellStyle name="40 % - Markeringsfarve3 2 8 4 3" xfId="14474" xr:uid="{00000000-0005-0000-0000-0000B6420000}"/>
    <cellStyle name="40 % - Markeringsfarve3 2 8 4 3 2" xfId="32640" xr:uid="{00000000-0005-0000-0000-0000B7420000}"/>
    <cellStyle name="40 % - Markeringsfarve3 2 8 4 4" xfId="25638" xr:uid="{00000000-0005-0000-0000-0000B8420000}"/>
    <cellStyle name="40 % - Markeringsfarve3 2 8 5" xfId="8105" xr:uid="{00000000-0005-0000-0000-0000B9420000}"/>
    <cellStyle name="40 % - Markeringsfarve3 2 8 5 2" xfId="16023" xr:uid="{00000000-0005-0000-0000-0000BA420000}"/>
    <cellStyle name="40 % - Markeringsfarve3 2 8 5 2 2" xfId="34183" xr:uid="{00000000-0005-0000-0000-0000BB420000}"/>
    <cellStyle name="40 % - Markeringsfarve3 2 8 5 3" xfId="27182" xr:uid="{00000000-0005-0000-0000-0000BC420000}"/>
    <cellStyle name="40 % - Markeringsfarve3 2 8 6" xfId="14470" xr:uid="{00000000-0005-0000-0000-0000BD420000}"/>
    <cellStyle name="40 % - Markeringsfarve3 2 8 6 2" xfId="32636" xr:uid="{00000000-0005-0000-0000-0000BE420000}"/>
    <cellStyle name="40 % - Markeringsfarve3 2 8 7" xfId="25634" xr:uid="{00000000-0005-0000-0000-0000BF420000}"/>
    <cellStyle name="40 % - Markeringsfarve3 2 9" xfId="5921" xr:uid="{00000000-0005-0000-0000-0000C0420000}"/>
    <cellStyle name="40 % - Markeringsfarve3 2 9 2" xfId="5922" xr:uid="{00000000-0005-0000-0000-0000C1420000}"/>
    <cellStyle name="40 % - Markeringsfarve3 2 9 2 2" xfId="9748" xr:uid="{00000000-0005-0000-0000-0000C2420000}"/>
    <cellStyle name="40 % - Markeringsfarve3 2 9 2 2 2" xfId="17649" xr:uid="{00000000-0005-0000-0000-0000C3420000}"/>
    <cellStyle name="40 % - Markeringsfarve3 2 9 2 2 2 2" xfId="35809" xr:uid="{00000000-0005-0000-0000-0000C4420000}"/>
    <cellStyle name="40 % - Markeringsfarve3 2 9 2 2 3" xfId="28808" xr:uid="{00000000-0005-0000-0000-0000C5420000}"/>
    <cellStyle name="40 % - Markeringsfarve3 2 9 2 3" xfId="14476" xr:uid="{00000000-0005-0000-0000-0000C6420000}"/>
    <cellStyle name="40 % - Markeringsfarve3 2 9 2 3 2" xfId="32642" xr:uid="{00000000-0005-0000-0000-0000C7420000}"/>
    <cellStyle name="40 % - Markeringsfarve3 2 9 2 4" xfId="25640" xr:uid="{00000000-0005-0000-0000-0000C8420000}"/>
    <cellStyle name="40 % - Markeringsfarve3 2 9 3" xfId="8346" xr:uid="{00000000-0005-0000-0000-0000C9420000}"/>
    <cellStyle name="40 % - Markeringsfarve3 2 9 3 2" xfId="16263" xr:uid="{00000000-0005-0000-0000-0000CA420000}"/>
    <cellStyle name="40 % - Markeringsfarve3 2 9 3 2 2" xfId="34423" xr:uid="{00000000-0005-0000-0000-0000CB420000}"/>
    <cellStyle name="40 % - Markeringsfarve3 2 9 3 3" xfId="27422" xr:uid="{00000000-0005-0000-0000-0000CC420000}"/>
    <cellStyle name="40 % - Markeringsfarve3 2 9 4" xfId="14475" xr:uid="{00000000-0005-0000-0000-0000CD420000}"/>
    <cellStyle name="40 % - Markeringsfarve3 2 9 4 2" xfId="32641" xr:uid="{00000000-0005-0000-0000-0000CE420000}"/>
    <cellStyle name="40 % - Markeringsfarve3 2 9 5" xfId="25639" xr:uid="{00000000-0005-0000-0000-0000CF420000}"/>
    <cellStyle name="40 % - Markeringsfarve3 3" xfId="1903" xr:uid="{00000000-0005-0000-0000-0000D0420000}"/>
    <cellStyle name="40 % - Markeringsfarve3 3 10" xfId="5924" xr:uid="{00000000-0005-0000-0000-0000D1420000}"/>
    <cellStyle name="40 % - Markeringsfarve3 3 10 2" xfId="8961" xr:uid="{00000000-0005-0000-0000-0000D2420000}"/>
    <cellStyle name="40 % - Markeringsfarve3 3 10 2 2" xfId="16873" xr:uid="{00000000-0005-0000-0000-0000D3420000}"/>
    <cellStyle name="40 % - Markeringsfarve3 3 10 2 2 2" xfId="35033" xr:uid="{00000000-0005-0000-0000-0000D4420000}"/>
    <cellStyle name="40 % - Markeringsfarve3 3 10 2 3" xfId="28032" xr:uid="{00000000-0005-0000-0000-0000D5420000}"/>
    <cellStyle name="40 % - Markeringsfarve3 3 10 3" xfId="14478" xr:uid="{00000000-0005-0000-0000-0000D6420000}"/>
    <cellStyle name="40 % - Markeringsfarve3 3 10 3 2" xfId="32644" xr:uid="{00000000-0005-0000-0000-0000D7420000}"/>
    <cellStyle name="40 % - Markeringsfarve3 3 10 4" xfId="25642" xr:uid="{00000000-0005-0000-0000-0000D8420000}"/>
    <cellStyle name="40 % - Markeringsfarve3 3 11" xfId="5925" xr:uid="{00000000-0005-0000-0000-0000D9420000}"/>
    <cellStyle name="40 % - Markeringsfarve3 3 11 2" xfId="10970" xr:uid="{00000000-0005-0000-0000-0000DA420000}"/>
    <cellStyle name="40 % - Markeringsfarve3 3 11 2 2" xfId="18849" xr:uid="{00000000-0005-0000-0000-0000DB420000}"/>
    <cellStyle name="40 % - Markeringsfarve3 3 11 2 2 2" xfId="37009" xr:uid="{00000000-0005-0000-0000-0000DC420000}"/>
    <cellStyle name="40 % - Markeringsfarve3 3 11 2 3" xfId="30008" xr:uid="{00000000-0005-0000-0000-0000DD420000}"/>
    <cellStyle name="40 % - Markeringsfarve3 3 11 3" xfId="14479" xr:uid="{00000000-0005-0000-0000-0000DE420000}"/>
    <cellStyle name="40 % - Markeringsfarve3 3 11 3 2" xfId="32645" xr:uid="{00000000-0005-0000-0000-0000DF420000}"/>
    <cellStyle name="40 % - Markeringsfarve3 3 11 4" xfId="25643" xr:uid="{00000000-0005-0000-0000-0000E0420000}"/>
    <cellStyle name="40 % - Markeringsfarve3 3 12" xfId="8106" xr:uid="{00000000-0005-0000-0000-0000E1420000}"/>
    <cellStyle name="40 % - Markeringsfarve3 3 12 2" xfId="16024" xr:uid="{00000000-0005-0000-0000-0000E2420000}"/>
    <cellStyle name="40 % - Markeringsfarve3 3 12 2 2" xfId="34184" xr:uid="{00000000-0005-0000-0000-0000E3420000}"/>
    <cellStyle name="40 % - Markeringsfarve3 3 12 3" xfId="27183" xr:uid="{00000000-0005-0000-0000-0000E4420000}"/>
    <cellStyle name="40 % - Markeringsfarve3 3 13" xfId="14477" xr:uid="{00000000-0005-0000-0000-0000E5420000}"/>
    <cellStyle name="40 % - Markeringsfarve3 3 13 2" xfId="32643" xr:uid="{00000000-0005-0000-0000-0000E6420000}"/>
    <cellStyle name="40 % - Markeringsfarve3 3 14" xfId="5923" xr:uid="{00000000-0005-0000-0000-0000E7420000}"/>
    <cellStyle name="40 % - Markeringsfarve3 3 14 2" xfId="25641" xr:uid="{00000000-0005-0000-0000-0000E8420000}"/>
    <cellStyle name="40 % - Markeringsfarve3 3 15" xfId="22021" xr:uid="{00000000-0005-0000-0000-0000E9420000}"/>
    <cellStyle name="40 % - Markeringsfarve3 3 2" xfId="1904" xr:uid="{00000000-0005-0000-0000-0000EA420000}"/>
    <cellStyle name="40 % - Markeringsfarve3 3 2 10" xfId="8107" xr:uid="{00000000-0005-0000-0000-0000EB420000}"/>
    <cellStyle name="40 % - Markeringsfarve3 3 2 10 2" xfId="16025" xr:uid="{00000000-0005-0000-0000-0000EC420000}"/>
    <cellStyle name="40 % - Markeringsfarve3 3 2 10 2 2" xfId="34185" xr:uid="{00000000-0005-0000-0000-0000ED420000}"/>
    <cellStyle name="40 % - Markeringsfarve3 3 2 10 3" xfId="27184" xr:uid="{00000000-0005-0000-0000-0000EE420000}"/>
    <cellStyle name="40 % - Markeringsfarve3 3 2 11" xfId="14480" xr:uid="{00000000-0005-0000-0000-0000EF420000}"/>
    <cellStyle name="40 % - Markeringsfarve3 3 2 11 2" xfId="32646" xr:uid="{00000000-0005-0000-0000-0000F0420000}"/>
    <cellStyle name="40 % - Markeringsfarve3 3 2 12" xfId="5926" xr:uid="{00000000-0005-0000-0000-0000F1420000}"/>
    <cellStyle name="40 % - Markeringsfarve3 3 2 12 2" xfId="25644" xr:uid="{00000000-0005-0000-0000-0000F2420000}"/>
    <cellStyle name="40 % - Markeringsfarve3 3 2 13" xfId="22022" xr:uid="{00000000-0005-0000-0000-0000F3420000}"/>
    <cellStyle name="40 % - Markeringsfarve3 3 2 2" xfId="5927" xr:uid="{00000000-0005-0000-0000-0000F4420000}"/>
    <cellStyle name="40 % - Markeringsfarve3 3 2 2 2" xfId="5928" xr:uid="{00000000-0005-0000-0000-0000F5420000}"/>
    <cellStyle name="40 % - Markeringsfarve3 3 2 2 2 2" xfId="5929" xr:uid="{00000000-0005-0000-0000-0000F6420000}"/>
    <cellStyle name="40 % - Markeringsfarve3 3 2 2 2 2 2" xfId="9894" xr:uid="{00000000-0005-0000-0000-0000F7420000}"/>
    <cellStyle name="40 % - Markeringsfarve3 3 2 2 2 2 2 2" xfId="17795" xr:uid="{00000000-0005-0000-0000-0000F8420000}"/>
    <cellStyle name="40 % - Markeringsfarve3 3 2 2 2 2 2 2 2" xfId="35955" xr:uid="{00000000-0005-0000-0000-0000F9420000}"/>
    <cellStyle name="40 % - Markeringsfarve3 3 2 2 2 2 2 3" xfId="28954" xr:uid="{00000000-0005-0000-0000-0000FA420000}"/>
    <cellStyle name="40 % - Markeringsfarve3 3 2 2 2 2 3" xfId="14483" xr:uid="{00000000-0005-0000-0000-0000FB420000}"/>
    <cellStyle name="40 % - Markeringsfarve3 3 2 2 2 2 3 2" xfId="32649" xr:uid="{00000000-0005-0000-0000-0000FC420000}"/>
    <cellStyle name="40 % - Markeringsfarve3 3 2 2 2 2 4" xfId="25647" xr:uid="{00000000-0005-0000-0000-0000FD420000}"/>
    <cellStyle name="40 % - Markeringsfarve3 3 2 2 2 3" xfId="8468" xr:uid="{00000000-0005-0000-0000-0000FE420000}"/>
    <cellStyle name="40 % - Markeringsfarve3 3 2 2 2 3 2" xfId="16385" xr:uid="{00000000-0005-0000-0000-0000FF420000}"/>
    <cellStyle name="40 % - Markeringsfarve3 3 2 2 2 3 2 2" xfId="34545" xr:uid="{00000000-0005-0000-0000-000000430000}"/>
    <cellStyle name="40 % - Markeringsfarve3 3 2 2 2 3 3" xfId="27544" xr:uid="{00000000-0005-0000-0000-000001430000}"/>
    <cellStyle name="40 % - Markeringsfarve3 3 2 2 2 4" xfId="14482" xr:uid="{00000000-0005-0000-0000-000002430000}"/>
    <cellStyle name="40 % - Markeringsfarve3 3 2 2 2 4 2" xfId="32648" xr:uid="{00000000-0005-0000-0000-000003430000}"/>
    <cellStyle name="40 % - Markeringsfarve3 3 2 2 2 5" xfId="25646" xr:uid="{00000000-0005-0000-0000-000004430000}"/>
    <cellStyle name="40 % - Markeringsfarve3 3 2 2 3" xfId="5930" xr:uid="{00000000-0005-0000-0000-000005430000}"/>
    <cellStyle name="40 % - Markeringsfarve3 3 2 2 3 2" xfId="9124" xr:uid="{00000000-0005-0000-0000-000006430000}"/>
    <cellStyle name="40 % - Markeringsfarve3 3 2 2 3 2 2" xfId="17035" xr:uid="{00000000-0005-0000-0000-000007430000}"/>
    <cellStyle name="40 % - Markeringsfarve3 3 2 2 3 2 2 2" xfId="35195" xr:uid="{00000000-0005-0000-0000-000008430000}"/>
    <cellStyle name="40 % - Markeringsfarve3 3 2 2 3 2 3" xfId="28194" xr:uid="{00000000-0005-0000-0000-000009430000}"/>
    <cellStyle name="40 % - Markeringsfarve3 3 2 2 3 3" xfId="14484" xr:uid="{00000000-0005-0000-0000-00000A430000}"/>
    <cellStyle name="40 % - Markeringsfarve3 3 2 2 3 3 2" xfId="32650" xr:uid="{00000000-0005-0000-0000-00000B430000}"/>
    <cellStyle name="40 % - Markeringsfarve3 3 2 2 3 4" xfId="25648" xr:uid="{00000000-0005-0000-0000-00000C430000}"/>
    <cellStyle name="40 % - Markeringsfarve3 3 2 2 4" xfId="5931" xr:uid="{00000000-0005-0000-0000-00000D430000}"/>
    <cellStyle name="40 % - Markeringsfarve3 3 2 2 4 2" xfId="10928" xr:uid="{00000000-0005-0000-0000-00000E430000}"/>
    <cellStyle name="40 % - Markeringsfarve3 3 2 2 4 2 2" xfId="18809" xr:uid="{00000000-0005-0000-0000-00000F430000}"/>
    <cellStyle name="40 % - Markeringsfarve3 3 2 2 4 2 2 2" xfId="36969" xr:uid="{00000000-0005-0000-0000-000010430000}"/>
    <cellStyle name="40 % - Markeringsfarve3 3 2 2 4 2 3" xfId="29968" xr:uid="{00000000-0005-0000-0000-000011430000}"/>
    <cellStyle name="40 % - Markeringsfarve3 3 2 2 4 3" xfId="14485" xr:uid="{00000000-0005-0000-0000-000012430000}"/>
    <cellStyle name="40 % - Markeringsfarve3 3 2 2 4 3 2" xfId="32651" xr:uid="{00000000-0005-0000-0000-000013430000}"/>
    <cellStyle name="40 % - Markeringsfarve3 3 2 2 4 4" xfId="25649" xr:uid="{00000000-0005-0000-0000-000014430000}"/>
    <cellStyle name="40 % - Markeringsfarve3 3 2 2 5" xfId="8108" xr:uid="{00000000-0005-0000-0000-000015430000}"/>
    <cellStyle name="40 % - Markeringsfarve3 3 2 2 5 2" xfId="16026" xr:uid="{00000000-0005-0000-0000-000016430000}"/>
    <cellStyle name="40 % - Markeringsfarve3 3 2 2 5 2 2" xfId="34186" xr:uid="{00000000-0005-0000-0000-000017430000}"/>
    <cellStyle name="40 % - Markeringsfarve3 3 2 2 5 3" xfId="27185" xr:uid="{00000000-0005-0000-0000-000018430000}"/>
    <cellStyle name="40 % - Markeringsfarve3 3 2 2 6" xfId="14481" xr:uid="{00000000-0005-0000-0000-000019430000}"/>
    <cellStyle name="40 % - Markeringsfarve3 3 2 2 6 2" xfId="32647" xr:uid="{00000000-0005-0000-0000-00001A430000}"/>
    <cellStyle name="40 % - Markeringsfarve3 3 2 2 7" xfId="25645" xr:uid="{00000000-0005-0000-0000-00001B430000}"/>
    <cellStyle name="40 % - Markeringsfarve3 3 2 3" xfId="5932" xr:uid="{00000000-0005-0000-0000-00001C430000}"/>
    <cellStyle name="40 % - Markeringsfarve3 3 2 3 2" xfId="5933" xr:uid="{00000000-0005-0000-0000-00001D430000}"/>
    <cellStyle name="40 % - Markeringsfarve3 3 2 3 2 2" xfId="5934" xr:uid="{00000000-0005-0000-0000-00001E430000}"/>
    <cellStyle name="40 % - Markeringsfarve3 3 2 3 2 2 2" xfId="10030" xr:uid="{00000000-0005-0000-0000-00001F430000}"/>
    <cellStyle name="40 % - Markeringsfarve3 3 2 3 2 2 2 2" xfId="17931" xr:uid="{00000000-0005-0000-0000-000020430000}"/>
    <cellStyle name="40 % - Markeringsfarve3 3 2 3 2 2 2 2 2" xfId="36091" xr:uid="{00000000-0005-0000-0000-000021430000}"/>
    <cellStyle name="40 % - Markeringsfarve3 3 2 3 2 2 2 3" xfId="29090" xr:uid="{00000000-0005-0000-0000-000022430000}"/>
    <cellStyle name="40 % - Markeringsfarve3 3 2 3 2 2 3" xfId="14488" xr:uid="{00000000-0005-0000-0000-000023430000}"/>
    <cellStyle name="40 % - Markeringsfarve3 3 2 3 2 2 3 2" xfId="32654" xr:uid="{00000000-0005-0000-0000-000024430000}"/>
    <cellStyle name="40 % - Markeringsfarve3 3 2 3 2 2 4" xfId="25652" xr:uid="{00000000-0005-0000-0000-000025430000}"/>
    <cellStyle name="40 % - Markeringsfarve3 3 2 3 2 3" xfId="8576" xr:uid="{00000000-0005-0000-0000-000026430000}"/>
    <cellStyle name="40 % - Markeringsfarve3 3 2 3 2 3 2" xfId="16493" xr:uid="{00000000-0005-0000-0000-000027430000}"/>
    <cellStyle name="40 % - Markeringsfarve3 3 2 3 2 3 2 2" xfId="34653" xr:uid="{00000000-0005-0000-0000-000028430000}"/>
    <cellStyle name="40 % - Markeringsfarve3 3 2 3 2 3 3" xfId="27652" xr:uid="{00000000-0005-0000-0000-000029430000}"/>
    <cellStyle name="40 % - Markeringsfarve3 3 2 3 2 4" xfId="14487" xr:uid="{00000000-0005-0000-0000-00002A430000}"/>
    <cellStyle name="40 % - Markeringsfarve3 3 2 3 2 4 2" xfId="32653" xr:uid="{00000000-0005-0000-0000-00002B430000}"/>
    <cellStyle name="40 % - Markeringsfarve3 3 2 3 2 5" xfId="25651" xr:uid="{00000000-0005-0000-0000-00002C430000}"/>
    <cellStyle name="40 % - Markeringsfarve3 3 2 3 3" xfId="5935" xr:uid="{00000000-0005-0000-0000-00002D430000}"/>
    <cellStyle name="40 % - Markeringsfarve3 3 2 3 3 2" xfId="9260" xr:uid="{00000000-0005-0000-0000-00002E430000}"/>
    <cellStyle name="40 % - Markeringsfarve3 3 2 3 3 2 2" xfId="17171" xr:uid="{00000000-0005-0000-0000-00002F430000}"/>
    <cellStyle name="40 % - Markeringsfarve3 3 2 3 3 2 2 2" xfId="35331" xr:uid="{00000000-0005-0000-0000-000030430000}"/>
    <cellStyle name="40 % - Markeringsfarve3 3 2 3 3 2 3" xfId="28330" xr:uid="{00000000-0005-0000-0000-000031430000}"/>
    <cellStyle name="40 % - Markeringsfarve3 3 2 3 3 3" xfId="14489" xr:uid="{00000000-0005-0000-0000-000032430000}"/>
    <cellStyle name="40 % - Markeringsfarve3 3 2 3 3 3 2" xfId="32655" xr:uid="{00000000-0005-0000-0000-000033430000}"/>
    <cellStyle name="40 % - Markeringsfarve3 3 2 3 3 4" xfId="25653" xr:uid="{00000000-0005-0000-0000-000034430000}"/>
    <cellStyle name="40 % - Markeringsfarve3 3 2 3 4" xfId="5936" xr:uid="{00000000-0005-0000-0000-000035430000}"/>
    <cellStyle name="40 % - Markeringsfarve3 3 2 3 4 2" xfId="10653" xr:uid="{00000000-0005-0000-0000-000036430000}"/>
    <cellStyle name="40 % - Markeringsfarve3 3 2 3 4 2 2" xfId="18546" xr:uid="{00000000-0005-0000-0000-000037430000}"/>
    <cellStyle name="40 % - Markeringsfarve3 3 2 3 4 2 2 2" xfId="36706" xr:uid="{00000000-0005-0000-0000-000038430000}"/>
    <cellStyle name="40 % - Markeringsfarve3 3 2 3 4 2 3" xfId="29705" xr:uid="{00000000-0005-0000-0000-000039430000}"/>
    <cellStyle name="40 % - Markeringsfarve3 3 2 3 4 3" xfId="14490" xr:uid="{00000000-0005-0000-0000-00003A430000}"/>
    <cellStyle name="40 % - Markeringsfarve3 3 2 3 4 3 2" xfId="32656" xr:uid="{00000000-0005-0000-0000-00003B430000}"/>
    <cellStyle name="40 % - Markeringsfarve3 3 2 3 4 4" xfId="25654" xr:uid="{00000000-0005-0000-0000-00003C430000}"/>
    <cellStyle name="40 % - Markeringsfarve3 3 2 3 5" xfId="8109" xr:uid="{00000000-0005-0000-0000-00003D430000}"/>
    <cellStyle name="40 % - Markeringsfarve3 3 2 3 5 2" xfId="16027" xr:uid="{00000000-0005-0000-0000-00003E430000}"/>
    <cellStyle name="40 % - Markeringsfarve3 3 2 3 5 2 2" xfId="34187" xr:uid="{00000000-0005-0000-0000-00003F430000}"/>
    <cellStyle name="40 % - Markeringsfarve3 3 2 3 5 3" xfId="27186" xr:uid="{00000000-0005-0000-0000-000040430000}"/>
    <cellStyle name="40 % - Markeringsfarve3 3 2 3 6" xfId="14486" xr:uid="{00000000-0005-0000-0000-000041430000}"/>
    <cellStyle name="40 % - Markeringsfarve3 3 2 3 6 2" xfId="32652" xr:uid="{00000000-0005-0000-0000-000042430000}"/>
    <cellStyle name="40 % - Markeringsfarve3 3 2 3 7" xfId="25650" xr:uid="{00000000-0005-0000-0000-000043430000}"/>
    <cellStyle name="40 % - Markeringsfarve3 3 2 4" xfId="5937" xr:uid="{00000000-0005-0000-0000-000044430000}"/>
    <cellStyle name="40 % - Markeringsfarve3 3 2 4 2" xfId="5938" xr:uid="{00000000-0005-0000-0000-000045430000}"/>
    <cellStyle name="40 % - Markeringsfarve3 3 2 4 2 2" xfId="5939" xr:uid="{00000000-0005-0000-0000-000046430000}"/>
    <cellStyle name="40 % - Markeringsfarve3 3 2 4 2 2 2" xfId="10132" xr:uid="{00000000-0005-0000-0000-000047430000}"/>
    <cellStyle name="40 % - Markeringsfarve3 3 2 4 2 2 2 2" xfId="18033" xr:uid="{00000000-0005-0000-0000-000048430000}"/>
    <cellStyle name="40 % - Markeringsfarve3 3 2 4 2 2 2 2 2" xfId="36193" xr:uid="{00000000-0005-0000-0000-000049430000}"/>
    <cellStyle name="40 % - Markeringsfarve3 3 2 4 2 2 2 3" xfId="29192" xr:uid="{00000000-0005-0000-0000-00004A430000}"/>
    <cellStyle name="40 % - Markeringsfarve3 3 2 4 2 2 3" xfId="14493" xr:uid="{00000000-0005-0000-0000-00004B430000}"/>
    <cellStyle name="40 % - Markeringsfarve3 3 2 4 2 2 3 2" xfId="32659" xr:uid="{00000000-0005-0000-0000-00004C430000}"/>
    <cellStyle name="40 % - Markeringsfarve3 3 2 4 2 2 4" xfId="25657" xr:uid="{00000000-0005-0000-0000-00004D430000}"/>
    <cellStyle name="40 % - Markeringsfarve3 3 2 4 2 3" xfId="8670" xr:uid="{00000000-0005-0000-0000-00004E430000}"/>
    <cellStyle name="40 % - Markeringsfarve3 3 2 4 2 3 2" xfId="16584" xr:uid="{00000000-0005-0000-0000-00004F430000}"/>
    <cellStyle name="40 % - Markeringsfarve3 3 2 4 2 3 2 2" xfId="34744" xr:uid="{00000000-0005-0000-0000-000050430000}"/>
    <cellStyle name="40 % - Markeringsfarve3 3 2 4 2 3 3" xfId="27743" xr:uid="{00000000-0005-0000-0000-000051430000}"/>
    <cellStyle name="40 % - Markeringsfarve3 3 2 4 2 4" xfId="14492" xr:uid="{00000000-0005-0000-0000-000052430000}"/>
    <cellStyle name="40 % - Markeringsfarve3 3 2 4 2 4 2" xfId="32658" xr:uid="{00000000-0005-0000-0000-000053430000}"/>
    <cellStyle name="40 % - Markeringsfarve3 3 2 4 2 5" xfId="25656" xr:uid="{00000000-0005-0000-0000-000054430000}"/>
    <cellStyle name="40 % - Markeringsfarve3 3 2 4 3" xfId="5940" xr:uid="{00000000-0005-0000-0000-000055430000}"/>
    <cellStyle name="40 % - Markeringsfarve3 3 2 4 3 2" xfId="9408" xr:uid="{00000000-0005-0000-0000-000056430000}"/>
    <cellStyle name="40 % - Markeringsfarve3 3 2 4 3 2 2" xfId="17318" xr:uid="{00000000-0005-0000-0000-000057430000}"/>
    <cellStyle name="40 % - Markeringsfarve3 3 2 4 3 2 2 2" xfId="35478" xr:uid="{00000000-0005-0000-0000-000058430000}"/>
    <cellStyle name="40 % - Markeringsfarve3 3 2 4 3 2 3" xfId="28477" xr:uid="{00000000-0005-0000-0000-000059430000}"/>
    <cellStyle name="40 % - Markeringsfarve3 3 2 4 3 3" xfId="14494" xr:uid="{00000000-0005-0000-0000-00005A430000}"/>
    <cellStyle name="40 % - Markeringsfarve3 3 2 4 3 3 2" xfId="32660" xr:uid="{00000000-0005-0000-0000-00005B430000}"/>
    <cellStyle name="40 % - Markeringsfarve3 3 2 4 3 4" xfId="25658" xr:uid="{00000000-0005-0000-0000-00005C430000}"/>
    <cellStyle name="40 % - Markeringsfarve3 3 2 4 4" xfId="5941" xr:uid="{00000000-0005-0000-0000-00005D430000}"/>
    <cellStyle name="40 % - Markeringsfarve3 3 2 4 4 2" xfId="10868" xr:uid="{00000000-0005-0000-0000-00005E430000}"/>
    <cellStyle name="40 % - Markeringsfarve3 3 2 4 4 2 2" xfId="18751" xr:uid="{00000000-0005-0000-0000-00005F430000}"/>
    <cellStyle name="40 % - Markeringsfarve3 3 2 4 4 2 2 2" xfId="36911" xr:uid="{00000000-0005-0000-0000-000060430000}"/>
    <cellStyle name="40 % - Markeringsfarve3 3 2 4 4 2 3" xfId="29910" xr:uid="{00000000-0005-0000-0000-000061430000}"/>
    <cellStyle name="40 % - Markeringsfarve3 3 2 4 4 3" xfId="14495" xr:uid="{00000000-0005-0000-0000-000062430000}"/>
    <cellStyle name="40 % - Markeringsfarve3 3 2 4 4 3 2" xfId="32661" xr:uid="{00000000-0005-0000-0000-000063430000}"/>
    <cellStyle name="40 % - Markeringsfarve3 3 2 4 4 4" xfId="25659" xr:uid="{00000000-0005-0000-0000-000064430000}"/>
    <cellStyle name="40 % - Markeringsfarve3 3 2 4 5" xfId="8110" xr:uid="{00000000-0005-0000-0000-000065430000}"/>
    <cellStyle name="40 % - Markeringsfarve3 3 2 4 5 2" xfId="16028" xr:uid="{00000000-0005-0000-0000-000066430000}"/>
    <cellStyle name="40 % - Markeringsfarve3 3 2 4 5 2 2" xfId="34188" xr:uid="{00000000-0005-0000-0000-000067430000}"/>
    <cellStyle name="40 % - Markeringsfarve3 3 2 4 5 3" xfId="27187" xr:uid="{00000000-0005-0000-0000-000068430000}"/>
    <cellStyle name="40 % - Markeringsfarve3 3 2 4 6" xfId="14491" xr:uid="{00000000-0005-0000-0000-000069430000}"/>
    <cellStyle name="40 % - Markeringsfarve3 3 2 4 6 2" xfId="32657" xr:uid="{00000000-0005-0000-0000-00006A430000}"/>
    <cellStyle name="40 % - Markeringsfarve3 3 2 4 7" xfId="25655" xr:uid="{00000000-0005-0000-0000-00006B430000}"/>
    <cellStyle name="40 % - Markeringsfarve3 3 2 5" xfId="5942" xr:uid="{00000000-0005-0000-0000-00006C430000}"/>
    <cellStyle name="40 % - Markeringsfarve3 3 2 5 2" xfId="5943" xr:uid="{00000000-0005-0000-0000-00006D430000}"/>
    <cellStyle name="40 % - Markeringsfarve3 3 2 5 2 2" xfId="5944" xr:uid="{00000000-0005-0000-0000-00006E430000}"/>
    <cellStyle name="40 % - Markeringsfarve3 3 2 5 2 2 2" xfId="10249" xr:uid="{00000000-0005-0000-0000-00006F430000}"/>
    <cellStyle name="40 % - Markeringsfarve3 3 2 5 2 2 2 2" xfId="18150" xr:uid="{00000000-0005-0000-0000-000070430000}"/>
    <cellStyle name="40 % - Markeringsfarve3 3 2 5 2 2 2 2 2" xfId="36310" xr:uid="{00000000-0005-0000-0000-000071430000}"/>
    <cellStyle name="40 % - Markeringsfarve3 3 2 5 2 2 2 3" xfId="29309" xr:uid="{00000000-0005-0000-0000-000072430000}"/>
    <cellStyle name="40 % - Markeringsfarve3 3 2 5 2 2 3" xfId="14498" xr:uid="{00000000-0005-0000-0000-000073430000}"/>
    <cellStyle name="40 % - Markeringsfarve3 3 2 5 2 2 3 2" xfId="32664" xr:uid="{00000000-0005-0000-0000-000074430000}"/>
    <cellStyle name="40 % - Markeringsfarve3 3 2 5 2 2 4" xfId="25662" xr:uid="{00000000-0005-0000-0000-000075430000}"/>
    <cellStyle name="40 % - Markeringsfarve3 3 2 5 2 3" xfId="8769" xr:uid="{00000000-0005-0000-0000-000076430000}"/>
    <cellStyle name="40 % - Markeringsfarve3 3 2 5 2 3 2" xfId="16683" xr:uid="{00000000-0005-0000-0000-000077430000}"/>
    <cellStyle name="40 % - Markeringsfarve3 3 2 5 2 3 2 2" xfId="34843" xr:uid="{00000000-0005-0000-0000-000078430000}"/>
    <cellStyle name="40 % - Markeringsfarve3 3 2 5 2 3 3" xfId="27842" xr:uid="{00000000-0005-0000-0000-000079430000}"/>
    <cellStyle name="40 % - Markeringsfarve3 3 2 5 2 4" xfId="14497" xr:uid="{00000000-0005-0000-0000-00007A430000}"/>
    <cellStyle name="40 % - Markeringsfarve3 3 2 5 2 4 2" xfId="32663" xr:uid="{00000000-0005-0000-0000-00007B430000}"/>
    <cellStyle name="40 % - Markeringsfarve3 3 2 5 2 5" xfId="25661" xr:uid="{00000000-0005-0000-0000-00007C430000}"/>
    <cellStyle name="40 % - Markeringsfarve3 3 2 5 3" xfId="5945" xr:uid="{00000000-0005-0000-0000-00007D430000}"/>
    <cellStyle name="40 % - Markeringsfarve3 3 2 5 3 2" xfId="9525" xr:uid="{00000000-0005-0000-0000-00007E430000}"/>
    <cellStyle name="40 % - Markeringsfarve3 3 2 5 3 2 2" xfId="17435" xr:uid="{00000000-0005-0000-0000-00007F430000}"/>
    <cellStyle name="40 % - Markeringsfarve3 3 2 5 3 2 2 2" xfId="35595" xr:uid="{00000000-0005-0000-0000-000080430000}"/>
    <cellStyle name="40 % - Markeringsfarve3 3 2 5 3 2 3" xfId="28594" xr:uid="{00000000-0005-0000-0000-000081430000}"/>
    <cellStyle name="40 % - Markeringsfarve3 3 2 5 3 3" xfId="14499" xr:uid="{00000000-0005-0000-0000-000082430000}"/>
    <cellStyle name="40 % - Markeringsfarve3 3 2 5 3 3 2" xfId="32665" xr:uid="{00000000-0005-0000-0000-000083430000}"/>
    <cellStyle name="40 % - Markeringsfarve3 3 2 5 3 4" xfId="25663" xr:uid="{00000000-0005-0000-0000-000084430000}"/>
    <cellStyle name="40 % - Markeringsfarve3 3 2 5 4" xfId="5946" xr:uid="{00000000-0005-0000-0000-000085430000}"/>
    <cellStyle name="40 % - Markeringsfarve3 3 2 5 4 2" xfId="10517" xr:uid="{00000000-0005-0000-0000-000086430000}"/>
    <cellStyle name="40 % - Markeringsfarve3 3 2 5 4 2 2" xfId="18411" xr:uid="{00000000-0005-0000-0000-000087430000}"/>
    <cellStyle name="40 % - Markeringsfarve3 3 2 5 4 2 2 2" xfId="36571" xr:uid="{00000000-0005-0000-0000-000088430000}"/>
    <cellStyle name="40 % - Markeringsfarve3 3 2 5 4 2 3" xfId="29570" xr:uid="{00000000-0005-0000-0000-000089430000}"/>
    <cellStyle name="40 % - Markeringsfarve3 3 2 5 4 3" xfId="14500" xr:uid="{00000000-0005-0000-0000-00008A430000}"/>
    <cellStyle name="40 % - Markeringsfarve3 3 2 5 4 3 2" xfId="32666" xr:uid="{00000000-0005-0000-0000-00008B430000}"/>
    <cellStyle name="40 % - Markeringsfarve3 3 2 5 4 4" xfId="25664" xr:uid="{00000000-0005-0000-0000-00008C430000}"/>
    <cellStyle name="40 % - Markeringsfarve3 3 2 5 5" xfId="8111" xr:uid="{00000000-0005-0000-0000-00008D430000}"/>
    <cellStyle name="40 % - Markeringsfarve3 3 2 5 5 2" xfId="16029" xr:uid="{00000000-0005-0000-0000-00008E430000}"/>
    <cellStyle name="40 % - Markeringsfarve3 3 2 5 5 2 2" xfId="34189" xr:uid="{00000000-0005-0000-0000-00008F430000}"/>
    <cellStyle name="40 % - Markeringsfarve3 3 2 5 5 3" xfId="27188" xr:uid="{00000000-0005-0000-0000-000090430000}"/>
    <cellStyle name="40 % - Markeringsfarve3 3 2 5 6" xfId="14496" xr:uid="{00000000-0005-0000-0000-000091430000}"/>
    <cellStyle name="40 % - Markeringsfarve3 3 2 5 6 2" xfId="32662" xr:uid="{00000000-0005-0000-0000-000092430000}"/>
    <cellStyle name="40 % - Markeringsfarve3 3 2 5 7" xfId="25660" xr:uid="{00000000-0005-0000-0000-000093430000}"/>
    <cellStyle name="40 % - Markeringsfarve3 3 2 6" xfId="5947" xr:uid="{00000000-0005-0000-0000-000094430000}"/>
    <cellStyle name="40 % - Markeringsfarve3 3 2 6 2" xfId="5948" xr:uid="{00000000-0005-0000-0000-000095430000}"/>
    <cellStyle name="40 % - Markeringsfarve3 3 2 6 2 2" xfId="5949" xr:uid="{00000000-0005-0000-0000-000096430000}"/>
    <cellStyle name="40 % - Markeringsfarve3 3 2 6 2 2 2" xfId="10385" xr:uid="{00000000-0005-0000-0000-000097430000}"/>
    <cellStyle name="40 % - Markeringsfarve3 3 2 6 2 2 2 2" xfId="18286" xr:uid="{00000000-0005-0000-0000-000098430000}"/>
    <cellStyle name="40 % - Markeringsfarve3 3 2 6 2 2 2 2 2" xfId="36446" xr:uid="{00000000-0005-0000-0000-000099430000}"/>
    <cellStyle name="40 % - Markeringsfarve3 3 2 6 2 2 2 3" xfId="29445" xr:uid="{00000000-0005-0000-0000-00009A430000}"/>
    <cellStyle name="40 % - Markeringsfarve3 3 2 6 2 2 3" xfId="14503" xr:uid="{00000000-0005-0000-0000-00009B430000}"/>
    <cellStyle name="40 % - Markeringsfarve3 3 2 6 2 2 3 2" xfId="32669" xr:uid="{00000000-0005-0000-0000-00009C430000}"/>
    <cellStyle name="40 % - Markeringsfarve3 3 2 6 2 2 4" xfId="25667" xr:uid="{00000000-0005-0000-0000-00009D430000}"/>
    <cellStyle name="40 % - Markeringsfarve3 3 2 6 2 3" xfId="8878" xr:uid="{00000000-0005-0000-0000-00009E430000}"/>
    <cellStyle name="40 % - Markeringsfarve3 3 2 6 2 3 2" xfId="16792" xr:uid="{00000000-0005-0000-0000-00009F430000}"/>
    <cellStyle name="40 % - Markeringsfarve3 3 2 6 2 3 2 2" xfId="34952" xr:uid="{00000000-0005-0000-0000-0000A0430000}"/>
    <cellStyle name="40 % - Markeringsfarve3 3 2 6 2 3 3" xfId="27951" xr:uid="{00000000-0005-0000-0000-0000A1430000}"/>
    <cellStyle name="40 % - Markeringsfarve3 3 2 6 2 4" xfId="14502" xr:uid="{00000000-0005-0000-0000-0000A2430000}"/>
    <cellStyle name="40 % - Markeringsfarve3 3 2 6 2 4 2" xfId="32668" xr:uid="{00000000-0005-0000-0000-0000A3430000}"/>
    <cellStyle name="40 % - Markeringsfarve3 3 2 6 2 5" xfId="25666" xr:uid="{00000000-0005-0000-0000-0000A4430000}"/>
    <cellStyle name="40 % - Markeringsfarve3 3 2 6 3" xfId="5950" xr:uid="{00000000-0005-0000-0000-0000A5430000}"/>
    <cellStyle name="40 % - Markeringsfarve3 3 2 6 3 2" xfId="9662" xr:uid="{00000000-0005-0000-0000-0000A6430000}"/>
    <cellStyle name="40 % - Markeringsfarve3 3 2 6 3 2 2" xfId="17572" xr:uid="{00000000-0005-0000-0000-0000A7430000}"/>
    <cellStyle name="40 % - Markeringsfarve3 3 2 6 3 2 2 2" xfId="35732" xr:uid="{00000000-0005-0000-0000-0000A8430000}"/>
    <cellStyle name="40 % - Markeringsfarve3 3 2 6 3 2 3" xfId="28731" xr:uid="{00000000-0005-0000-0000-0000A9430000}"/>
    <cellStyle name="40 % - Markeringsfarve3 3 2 6 3 3" xfId="14504" xr:uid="{00000000-0005-0000-0000-0000AA430000}"/>
    <cellStyle name="40 % - Markeringsfarve3 3 2 6 3 3 2" xfId="32670" xr:uid="{00000000-0005-0000-0000-0000AB430000}"/>
    <cellStyle name="40 % - Markeringsfarve3 3 2 6 3 4" xfId="25668" xr:uid="{00000000-0005-0000-0000-0000AC430000}"/>
    <cellStyle name="40 % - Markeringsfarve3 3 2 6 4" xfId="5951" xr:uid="{00000000-0005-0000-0000-0000AD430000}"/>
    <cellStyle name="40 % - Markeringsfarve3 3 2 6 4 2" xfId="10839" xr:uid="{00000000-0005-0000-0000-0000AE430000}"/>
    <cellStyle name="40 % - Markeringsfarve3 3 2 6 4 2 2" xfId="18725" xr:uid="{00000000-0005-0000-0000-0000AF430000}"/>
    <cellStyle name="40 % - Markeringsfarve3 3 2 6 4 2 2 2" xfId="36885" xr:uid="{00000000-0005-0000-0000-0000B0430000}"/>
    <cellStyle name="40 % - Markeringsfarve3 3 2 6 4 2 3" xfId="29884" xr:uid="{00000000-0005-0000-0000-0000B1430000}"/>
    <cellStyle name="40 % - Markeringsfarve3 3 2 6 4 3" xfId="14505" xr:uid="{00000000-0005-0000-0000-0000B2430000}"/>
    <cellStyle name="40 % - Markeringsfarve3 3 2 6 4 3 2" xfId="32671" xr:uid="{00000000-0005-0000-0000-0000B3430000}"/>
    <cellStyle name="40 % - Markeringsfarve3 3 2 6 4 4" xfId="25669" xr:uid="{00000000-0005-0000-0000-0000B4430000}"/>
    <cellStyle name="40 % - Markeringsfarve3 3 2 6 5" xfId="8112" xr:uid="{00000000-0005-0000-0000-0000B5430000}"/>
    <cellStyle name="40 % - Markeringsfarve3 3 2 6 5 2" xfId="16030" xr:uid="{00000000-0005-0000-0000-0000B6430000}"/>
    <cellStyle name="40 % - Markeringsfarve3 3 2 6 5 2 2" xfId="34190" xr:uid="{00000000-0005-0000-0000-0000B7430000}"/>
    <cellStyle name="40 % - Markeringsfarve3 3 2 6 5 3" xfId="27189" xr:uid="{00000000-0005-0000-0000-0000B8430000}"/>
    <cellStyle name="40 % - Markeringsfarve3 3 2 6 6" xfId="14501" xr:uid="{00000000-0005-0000-0000-0000B9430000}"/>
    <cellStyle name="40 % - Markeringsfarve3 3 2 6 6 2" xfId="32667" xr:uid="{00000000-0005-0000-0000-0000BA430000}"/>
    <cellStyle name="40 % - Markeringsfarve3 3 2 6 7" xfId="25665" xr:uid="{00000000-0005-0000-0000-0000BB430000}"/>
    <cellStyle name="40 % - Markeringsfarve3 3 2 7" xfId="5952" xr:uid="{00000000-0005-0000-0000-0000BC430000}"/>
    <cellStyle name="40 % - Markeringsfarve3 3 2 7 2" xfId="5953" xr:uid="{00000000-0005-0000-0000-0000BD430000}"/>
    <cellStyle name="40 % - Markeringsfarve3 3 2 7 2 2" xfId="9775" xr:uid="{00000000-0005-0000-0000-0000BE430000}"/>
    <cellStyle name="40 % - Markeringsfarve3 3 2 7 2 2 2" xfId="17676" xr:uid="{00000000-0005-0000-0000-0000BF430000}"/>
    <cellStyle name="40 % - Markeringsfarve3 3 2 7 2 2 2 2" xfId="35836" xr:uid="{00000000-0005-0000-0000-0000C0430000}"/>
    <cellStyle name="40 % - Markeringsfarve3 3 2 7 2 2 3" xfId="28835" xr:uid="{00000000-0005-0000-0000-0000C1430000}"/>
    <cellStyle name="40 % - Markeringsfarve3 3 2 7 2 3" xfId="14507" xr:uid="{00000000-0005-0000-0000-0000C2430000}"/>
    <cellStyle name="40 % - Markeringsfarve3 3 2 7 2 3 2" xfId="32673" xr:uid="{00000000-0005-0000-0000-0000C3430000}"/>
    <cellStyle name="40 % - Markeringsfarve3 3 2 7 2 4" xfId="25671" xr:uid="{00000000-0005-0000-0000-0000C4430000}"/>
    <cellStyle name="40 % - Markeringsfarve3 3 2 7 3" xfId="8369" xr:uid="{00000000-0005-0000-0000-0000C5430000}"/>
    <cellStyle name="40 % - Markeringsfarve3 3 2 7 3 2" xfId="16286" xr:uid="{00000000-0005-0000-0000-0000C6430000}"/>
    <cellStyle name="40 % - Markeringsfarve3 3 2 7 3 2 2" xfId="34446" xr:uid="{00000000-0005-0000-0000-0000C7430000}"/>
    <cellStyle name="40 % - Markeringsfarve3 3 2 7 3 3" xfId="27445" xr:uid="{00000000-0005-0000-0000-0000C8430000}"/>
    <cellStyle name="40 % - Markeringsfarve3 3 2 7 4" xfId="14506" xr:uid="{00000000-0005-0000-0000-0000C9430000}"/>
    <cellStyle name="40 % - Markeringsfarve3 3 2 7 4 2" xfId="32672" xr:uid="{00000000-0005-0000-0000-0000CA430000}"/>
    <cellStyle name="40 % - Markeringsfarve3 3 2 7 5" xfId="25670" xr:uid="{00000000-0005-0000-0000-0000CB430000}"/>
    <cellStyle name="40 % - Markeringsfarve3 3 2 8" xfId="5954" xr:uid="{00000000-0005-0000-0000-0000CC430000}"/>
    <cellStyle name="40 % - Markeringsfarve3 3 2 8 2" xfId="9003" xr:uid="{00000000-0005-0000-0000-0000CD430000}"/>
    <cellStyle name="40 % - Markeringsfarve3 3 2 8 2 2" xfId="16914" xr:uid="{00000000-0005-0000-0000-0000CE430000}"/>
    <cellStyle name="40 % - Markeringsfarve3 3 2 8 2 2 2" xfId="35074" xr:uid="{00000000-0005-0000-0000-0000CF430000}"/>
    <cellStyle name="40 % - Markeringsfarve3 3 2 8 2 3" xfId="28073" xr:uid="{00000000-0005-0000-0000-0000D0430000}"/>
    <cellStyle name="40 % - Markeringsfarve3 3 2 8 3" xfId="14508" xr:uid="{00000000-0005-0000-0000-0000D1430000}"/>
    <cellStyle name="40 % - Markeringsfarve3 3 2 8 3 2" xfId="32674" xr:uid="{00000000-0005-0000-0000-0000D2430000}"/>
    <cellStyle name="40 % - Markeringsfarve3 3 2 8 4" xfId="25672" xr:uid="{00000000-0005-0000-0000-0000D3430000}"/>
    <cellStyle name="40 % - Markeringsfarve3 3 2 9" xfId="5955" xr:uid="{00000000-0005-0000-0000-0000D4430000}"/>
    <cellStyle name="40 % - Markeringsfarve3 3 2 9 2" xfId="10694" xr:uid="{00000000-0005-0000-0000-0000D5430000}"/>
    <cellStyle name="40 % - Markeringsfarve3 3 2 9 2 2" xfId="18585" xr:uid="{00000000-0005-0000-0000-0000D6430000}"/>
    <cellStyle name="40 % - Markeringsfarve3 3 2 9 2 2 2" xfId="36745" xr:uid="{00000000-0005-0000-0000-0000D7430000}"/>
    <cellStyle name="40 % - Markeringsfarve3 3 2 9 2 3" xfId="29744" xr:uid="{00000000-0005-0000-0000-0000D8430000}"/>
    <cellStyle name="40 % - Markeringsfarve3 3 2 9 3" xfId="14509" xr:uid="{00000000-0005-0000-0000-0000D9430000}"/>
    <cellStyle name="40 % - Markeringsfarve3 3 2 9 3 2" xfId="32675" xr:uid="{00000000-0005-0000-0000-0000DA430000}"/>
    <cellStyle name="40 % - Markeringsfarve3 3 2 9 4" xfId="25673" xr:uid="{00000000-0005-0000-0000-0000DB430000}"/>
    <cellStyle name="40 % - Markeringsfarve3 3 3" xfId="5956" xr:uid="{00000000-0005-0000-0000-0000DC430000}"/>
    <cellStyle name="40 % - Markeringsfarve3 3 3 10" xfId="8113" xr:uid="{00000000-0005-0000-0000-0000DD430000}"/>
    <cellStyle name="40 % - Markeringsfarve3 3 3 10 2" xfId="16031" xr:uid="{00000000-0005-0000-0000-0000DE430000}"/>
    <cellStyle name="40 % - Markeringsfarve3 3 3 10 2 2" xfId="34191" xr:uid="{00000000-0005-0000-0000-0000DF430000}"/>
    <cellStyle name="40 % - Markeringsfarve3 3 3 10 3" xfId="27190" xr:uid="{00000000-0005-0000-0000-0000E0430000}"/>
    <cellStyle name="40 % - Markeringsfarve3 3 3 11" xfId="14510" xr:uid="{00000000-0005-0000-0000-0000E1430000}"/>
    <cellStyle name="40 % - Markeringsfarve3 3 3 11 2" xfId="32676" xr:uid="{00000000-0005-0000-0000-0000E2430000}"/>
    <cellStyle name="40 % - Markeringsfarve3 3 3 12" xfId="25674" xr:uid="{00000000-0005-0000-0000-0000E3430000}"/>
    <cellStyle name="40 % - Markeringsfarve3 3 3 2" xfId="5957" xr:uid="{00000000-0005-0000-0000-0000E4430000}"/>
    <cellStyle name="40 % - Markeringsfarve3 3 3 2 2" xfId="5958" xr:uid="{00000000-0005-0000-0000-0000E5430000}"/>
    <cellStyle name="40 % - Markeringsfarve3 3 3 2 2 2" xfId="5959" xr:uid="{00000000-0005-0000-0000-0000E6430000}"/>
    <cellStyle name="40 % - Markeringsfarve3 3 3 2 2 2 2" xfId="9933" xr:uid="{00000000-0005-0000-0000-0000E7430000}"/>
    <cellStyle name="40 % - Markeringsfarve3 3 3 2 2 2 2 2" xfId="17834" xr:uid="{00000000-0005-0000-0000-0000E8430000}"/>
    <cellStyle name="40 % - Markeringsfarve3 3 3 2 2 2 2 2 2" xfId="35994" xr:uid="{00000000-0005-0000-0000-0000E9430000}"/>
    <cellStyle name="40 % - Markeringsfarve3 3 3 2 2 2 2 3" xfId="28993" xr:uid="{00000000-0005-0000-0000-0000EA430000}"/>
    <cellStyle name="40 % - Markeringsfarve3 3 3 2 2 2 3" xfId="14513" xr:uid="{00000000-0005-0000-0000-0000EB430000}"/>
    <cellStyle name="40 % - Markeringsfarve3 3 3 2 2 2 3 2" xfId="32679" xr:uid="{00000000-0005-0000-0000-0000EC430000}"/>
    <cellStyle name="40 % - Markeringsfarve3 3 3 2 2 2 4" xfId="25677" xr:uid="{00000000-0005-0000-0000-0000ED430000}"/>
    <cellStyle name="40 % - Markeringsfarve3 3 3 2 2 3" xfId="8501" xr:uid="{00000000-0005-0000-0000-0000EE430000}"/>
    <cellStyle name="40 % - Markeringsfarve3 3 3 2 2 3 2" xfId="16418" xr:uid="{00000000-0005-0000-0000-0000EF430000}"/>
    <cellStyle name="40 % - Markeringsfarve3 3 3 2 2 3 2 2" xfId="34578" xr:uid="{00000000-0005-0000-0000-0000F0430000}"/>
    <cellStyle name="40 % - Markeringsfarve3 3 3 2 2 3 3" xfId="27577" xr:uid="{00000000-0005-0000-0000-0000F1430000}"/>
    <cellStyle name="40 % - Markeringsfarve3 3 3 2 2 4" xfId="14512" xr:uid="{00000000-0005-0000-0000-0000F2430000}"/>
    <cellStyle name="40 % - Markeringsfarve3 3 3 2 2 4 2" xfId="32678" xr:uid="{00000000-0005-0000-0000-0000F3430000}"/>
    <cellStyle name="40 % - Markeringsfarve3 3 3 2 2 5" xfId="25676" xr:uid="{00000000-0005-0000-0000-0000F4430000}"/>
    <cellStyle name="40 % - Markeringsfarve3 3 3 2 3" xfId="5960" xr:uid="{00000000-0005-0000-0000-0000F5430000}"/>
    <cellStyle name="40 % - Markeringsfarve3 3 3 2 3 2" xfId="9163" xr:uid="{00000000-0005-0000-0000-0000F6430000}"/>
    <cellStyle name="40 % - Markeringsfarve3 3 3 2 3 2 2" xfId="17074" xr:uid="{00000000-0005-0000-0000-0000F7430000}"/>
    <cellStyle name="40 % - Markeringsfarve3 3 3 2 3 2 2 2" xfId="35234" xr:uid="{00000000-0005-0000-0000-0000F8430000}"/>
    <cellStyle name="40 % - Markeringsfarve3 3 3 2 3 2 3" xfId="28233" xr:uid="{00000000-0005-0000-0000-0000F9430000}"/>
    <cellStyle name="40 % - Markeringsfarve3 3 3 2 3 3" xfId="14514" xr:uid="{00000000-0005-0000-0000-0000FA430000}"/>
    <cellStyle name="40 % - Markeringsfarve3 3 3 2 3 3 2" xfId="32680" xr:uid="{00000000-0005-0000-0000-0000FB430000}"/>
    <cellStyle name="40 % - Markeringsfarve3 3 3 2 3 4" xfId="25678" xr:uid="{00000000-0005-0000-0000-0000FC430000}"/>
    <cellStyle name="40 % - Markeringsfarve3 3 3 2 4" xfId="5961" xr:uid="{00000000-0005-0000-0000-0000FD430000}"/>
    <cellStyle name="40 % - Markeringsfarve3 3 3 2 4 2" xfId="10443" xr:uid="{00000000-0005-0000-0000-0000FE430000}"/>
    <cellStyle name="40 % - Markeringsfarve3 3 3 2 4 2 2" xfId="18340" xr:uid="{00000000-0005-0000-0000-0000FF430000}"/>
    <cellStyle name="40 % - Markeringsfarve3 3 3 2 4 2 2 2" xfId="36500" xr:uid="{00000000-0005-0000-0000-000000440000}"/>
    <cellStyle name="40 % - Markeringsfarve3 3 3 2 4 2 3" xfId="29499" xr:uid="{00000000-0005-0000-0000-000001440000}"/>
    <cellStyle name="40 % - Markeringsfarve3 3 3 2 4 3" xfId="14515" xr:uid="{00000000-0005-0000-0000-000002440000}"/>
    <cellStyle name="40 % - Markeringsfarve3 3 3 2 4 3 2" xfId="32681" xr:uid="{00000000-0005-0000-0000-000003440000}"/>
    <cellStyle name="40 % - Markeringsfarve3 3 3 2 4 4" xfId="25679" xr:uid="{00000000-0005-0000-0000-000004440000}"/>
    <cellStyle name="40 % - Markeringsfarve3 3 3 2 5" xfId="8114" xr:uid="{00000000-0005-0000-0000-000005440000}"/>
    <cellStyle name="40 % - Markeringsfarve3 3 3 2 5 2" xfId="16032" xr:uid="{00000000-0005-0000-0000-000006440000}"/>
    <cellStyle name="40 % - Markeringsfarve3 3 3 2 5 2 2" xfId="34192" xr:uid="{00000000-0005-0000-0000-000007440000}"/>
    <cellStyle name="40 % - Markeringsfarve3 3 3 2 5 3" xfId="27191" xr:uid="{00000000-0005-0000-0000-000008440000}"/>
    <cellStyle name="40 % - Markeringsfarve3 3 3 2 6" xfId="14511" xr:uid="{00000000-0005-0000-0000-000009440000}"/>
    <cellStyle name="40 % - Markeringsfarve3 3 3 2 6 2" xfId="32677" xr:uid="{00000000-0005-0000-0000-00000A440000}"/>
    <cellStyle name="40 % - Markeringsfarve3 3 3 2 7" xfId="25675" xr:uid="{00000000-0005-0000-0000-00000B440000}"/>
    <cellStyle name="40 % - Markeringsfarve3 3 3 3" xfId="5962" xr:uid="{00000000-0005-0000-0000-00000C440000}"/>
    <cellStyle name="40 % - Markeringsfarve3 3 3 3 2" xfId="5963" xr:uid="{00000000-0005-0000-0000-00000D440000}"/>
    <cellStyle name="40 % - Markeringsfarve3 3 3 3 2 2" xfId="5964" xr:uid="{00000000-0005-0000-0000-00000E440000}"/>
    <cellStyle name="40 % - Markeringsfarve3 3 3 3 2 2 2" xfId="10031" xr:uid="{00000000-0005-0000-0000-00000F440000}"/>
    <cellStyle name="40 % - Markeringsfarve3 3 3 3 2 2 2 2" xfId="17932" xr:uid="{00000000-0005-0000-0000-000010440000}"/>
    <cellStyle name="40 % - Markeringsfarve3 3 3 3 2 2 2 2 2" xfId="36092" xr:uid="{00000000-0005-0000-0000-000011440000}"/>
    <cellStyle name="40 % - Markeringsfarve3 3 3 3 2 2 2 3" xfId="29091" xr:uid="{00000000-0005-0000-0000-000012440000}"/>
    <cellStyle name="40 % - Markeringsfarve3 3 3 3 2 2 3" xfId="14518" xr:uid="{00000000-0005-0000-0000-000013440000}"/>
    <cellStyle name="40 % - Markeringsfarve3 3 3 3 2 2 3 2" xfId="32684" xr:uid="{00000000-0005-0000-0000-000014440000}"/>
    <cellStyle name="40 % - Markeringsfarve3 3 3 3 2 2 4" xfId="25682" xr:uid="{00000000-0005-0000-0000-000015440000}"/>
    <cellStyle name="40 % - Markeringsfarve3 3 3 3 2 3" xfId="8577" xr:uid="{00000000-0005-0000-0000-000016440000}"/>
    <cellStyle name="40 % - Markeringsfarve3 3 3 3 2 3 2" xfId="16494" xr:uid="{00000000-0005-0000-0000-000017440000}"/>
    <cellStyle name="40 % - Markeringsfarve3 3 3 3 2 3 2 2" xfId="34654" xr:uid="{00000000-0005-0000-0000-000018440000}"/>
    <cellStyle name="40 % - Markeringsfarve3 3 3 3 2 3 3" xfId="27653" xr:uid="{00000000-0005-0000-0000-000019440000}"/>
    <cellStyle name="40 % - Markeringsfarve3 3 3 3 2 4" xfId="14517" xr:uid="{00000000-0005-0000-0000-00001A440000}"/>
    <cellStyle name="40 % - Markeringsfarve3 3 3 3 2 4 2" xfId="32683" xr:uid="{00000000-0005-0000-0000-00001B440000}"/>
    <cellStyle name="40 % - Markeringsfarve3 3 3 3 2 5" xfId="25681" xr:uid="{00000000-0005-0000-0000-00001C440000}"/>
    <cellStyle name="40 % - Markeringsfarve3 3 3 3 3" xfId="5965" xr:uid="{00000000-0005-0000-0000-00001D440000}"/>
    <cellStyle name="40 % - Markeringsfarve3 3 3 3 3 2" xfId="9261" xr:uid="{00000000-0005-0000-0000-00001E440000}"/>
    <cellStyle name="40 % - Markeringsfarve3 3 3 3 3 2 2" xfId="17172" xr:uid="{00000000-0005-0000-0000-00001F440000}"/>
    <cellStyle name="40 % - Markeringsfarve3 3 3 3 3 2 2 2" xfId="35332" xr:uid="{00000000-0005-0000-0000-000020440000}"/>
    <cellStyle name="40 % - Markeringsfarve3 3 3 3 3 2 3" xfId="28331" xr:uid="{00000000-0005-0000-0000-000021440000}"/>
    <cellStyle name="40 % - Markeringsfarve3 3 3 3 3 3" xfId="14519" xr:uid="{00000000-0005-0000-0000-000022440000}"/>
    <cellStyle name="40 % - Markeringsfarve3 3 3 3 3 3 2" xfId="32685" xr:uid="{00000000-0005-0000-0000-000023440000}"/>
    <cellStyle name="40 % - Markeringsfarve3 3 3 3 3 4" xfId="25683" xr:uid="{00000000-0005-0000-0000-000024440000}"/>
    <cellStyle name="40 % - Markeringsfarve3 3 3 3 4" xfId="5966" xr:uid="{00000000-0005-0000-0000-000025440000}"/>
    <cellStyle name="40 % - Markeringsfarve3 3 3 3 4 2" xfId="10784" xr:uid="{00000000-0005-0000-0000-000026440000}"/>
    <cellStyle name="40 % - Markeringsfarve3 3 3 3 4 2 2" xfId="18672" xr:uid="{00000000-0005-0000-0000-000027440000}"/>
    <cellStyle name="40 % - Markeringsfarve3 3 3 3 4 2 2 2" xfId="36832" xr:uid="{00000000-0005-0000-0000-000028440000}"/>
    <cellStyle name="40 % - Markeringsfarve3 3 3 3 4 2 3" xfId="29831" xr:uid="{00000000-0005-0000-0000-000029440000}"/>
    <cellStyle name="40 % - Markeringsfarve3 3 3 3 4 3" xfId="14520" xr:uid="{00000000-0005-0000-0000-00002A440000}"/>
    <cellStyle name="40 % - Markeringsfarve3 3 3 3 4 3 2" xfId="32686" xr:uid="{00000000-0005-0000-0000-00002B440000}"/>
    <cellStyle name="40 % - Markeringsfarve3 3 3 3 4 4" xfId="25684" xr:uid="{00000000-0005-0000-0000-00002C440000}"/>
    <cellStyle name="40 % - Markeringsfarve3 3 3 3 5" xfId="8115" xr:uid="{00000000-0005-0000-0000-00002D440000}"/>
    <cellStyle name="40 % - Markeringsfarve3 3 3 3 5 2" xfId="16033" xr:uid="{00000000-0005-0000-0000-00002E440000}"/>
    <cellStyle name="40 % - Markeringsfarve3 3 3 3 5 2 2" xfId="34193" xr:uid="{00000000-0005-0000-0000-00002F440000}"/>
    <cellStyle name="40 % - Markeringsfarve3 3 3 3 5 3" xfId="27192" xr:uid="{00000000-0005-0000-0000-000030440000}"/>
    <cellStyle name="40 % - Markeringsfarve3 3 3 3 6" xfId="14516" xr:uid="{00000000-0005-0000-0000-000031440000}"/>
    <cellStyle name="40 % - Markeringsfarve3 3 3 3 6 2" xfId="32682" xr:uid="{00000000-0005-0000-0000-000032440000}"/>
    <cellStyle name="40 % - Markeringsfarve3 3 3 3 7" xfId="25680" xr:uid="{00000000-0005-0000-0000-000033440000}"/>
    <cellStyle name="40 % - Markeringsfarve3 3 3 4" xfId="5967" xr:uid="{00000000-0005-0000-0000-000034440000}"/>
    <cellStyle name="40 % - Markeringsfarve3 3 3 4 2" xfId="5968" xr:uid="{00000000-0005-0000-0000-000035440000}"/>
    <cellStyle name="40 % - Markeringsfarve3 3 3 4 2 2" xfId="5969" xr:uid="{00000000-0005-0000-0000-000036440000}"/>
    <cellStyle name="40 % - Markeringsfarve3 3 3 4 2 2 2" xfId="10171" xr:uid="{00000000-0005-0000-0000-000037440000}"/>
    <cellStyle name="40 % - Markeringsfarve3 3 3 4 2 2 2 2" xfId="18072" xr:uid="{00000000-0005-0000-0000-000038440000}"/>
    <cellStyle name="40 % - Markeringsfarve3 3 3 4 2 2 2 2 2" xfId="36232" xr:uid="{00000000-0005-0000-0000-000039440000}"/>
    <cellStyle name="40 % - Markeringsfarve3 3 3 4 2 2 2 3" xfId="29231" xr:uid="{00000000-0005-0000-0000-00003A440000}"/>
    <cellStyle name="40 % - Markeringsfarve3 3 3 4 2 2 3" xfId="14523" xr:uid="{00000000-0005-0000-0000-00003B440000}"/>
    <cellStyle name="40 % - Markeringsfarve3 3 3 4 2 2 3 2" xfId="32689" xr:uid="{00000000-0005-0000-0000-00003C440000}"/>
    <cellStyle name="40 % - Markeringsfarve3 3 3 4 2 2 4" xfId="25687" xr:uid="{00000000-0005-0000-0000-00003D440000}"/>
    <cellStyle name="40 % - Markeringsfarve3 3 3 4 2 3" xfId="8703" xr:uid="{00000000-0005-0000-0000-00003E440000}"/>
    <cellStyle name="40 % - Markeringsfarve3 3 3 4 2 3 2" xfId="16617" xr:uid="{00000000-0005-0000-0000-00003F440000}"/>
    <cellStyle name="40 % - Markeringsfarve3 3 3 4 2 3 2 2" xfId="34777" xr:uid="{00000000-0005-0000-0000-000040440000}"/>
    <cellStyle name="40 % - Markeringsfarve3 3 3 4 2 3 3" xfId="27776" xr:uid="{00000000-0005-0000-0000-000041440000}"/>
    <cellStyle name="40 % - Markeringsfarve3 3 3 4 2 4" xfId="14522" xr:uid="{00000000-0005-0000-0000-000042440000}"/>
    <cellStyle name="40 % - Markeringsfarve3 3 3 4 2 4 2" xfId="32688" xr:uid="{00000000-0005-0000-0000-000043440000}"/>
    <cellStyle name="40 % - Markeringsfarve3 3 3 4 2 5" xfId="25686" xr:uid="{00000000-0005-0000-0000-000044440000}"/>
    <cellStyle name="40 % - Markeringsfarve3 3 3 4 3" xfId="5970" xr:uid="{00000000-0005-0000-0000-000045440000}"/>
    <cellStyle name="40 % - Markeringsfarve3 3 3 4 3 2" xfId="9447" xr:uid="{00000000-0005-0000-0000-000046440000}"/>
    <cellStyle name="40 % - Markeringsfarve3 3 3 4 3 2 2" xfId="17357" xr:uid="{00000000-0005-0000-0000-000047440000}"/>
    <cellStyle name="40 % - Markeringsfarve3 3 3 4 3 2 2 2" xfId="35517" xr:uid="{00000000-0005-0000-0000-000048440000}"/>
    <cellStyle name="40 % - Markeringsfarve3 3 3 4 3 2 3" xfId="28516" xr:uid="{00000000-0005-0000-0000-000049440000}"/>
    <cellStyle name="40 % - Markeringsfarve3 3 3 4 3 3" xfId="14524" xr:uid="{00000000-0005-0000-0000-00004A440000}"/>
    <cellStyle name="40 % - Markeringsfarve3 3 3 4 3 3 2" xfId="32690" xr:uid="{00000000-0005-0000-0000-00004B440000}"/>
    <cellStyle name="40 % - Markeringsfarve3 3 3 4 3 4" xfId="25688" xr:uid="{00000000-0005-0000-0000-00004C440000}"/>
    <cellStyle name="40 % - Markeringsfarve3 3 3 4 4" xfId="5971" xr:uid="{00000000-0005-0000-0000-00004D440000}"/>
    <cellStyle name="40 % - Markeringsfarve3 3 3 4 4 2" xfId="11001" xr:uid="{00000000-0005-0000-0000-00004E440000}"/>
    <cellStyle name="40 % - Markeringsfarve3 3 3 4 4 2 2" xfId="18877" xr:uid="{00000000-0005-0000-0000-00004F440000}"/>
    <cellStyle name="40 % - Markeringsfarve3 3 3 4 4 2 2 2" xfId="37037" xr:uid="{00000000-0005-0000-0000-000050440000}"/>
    <cellStyle name="40 % - Markeringsfarve3 3 3 4 4 2 3" xfId="30036" xr:uid="{00000000-0005-0000-0000-000051440000}"/>
    <cellStyle name="40 % - Markeringsfarve3 3 3 4 4 3" xfId="14525" xr:uid="{00000000-0005-0000-0000-000052440000}"/>
    <cellStyle name="40 % - Markeringsfarve3 3 3 4 4 3 2" xfId="32691" xr:uid="{00000000-0005-0000-0000-000053440000}"/>
    <cellStyle name="40 % - Markeringsfarve3 3 3 4 4 4" xfId="25689" xr:uid="{00000000-0005-0000-0000-000054440000}"/>
    <cellStyle name="40 % - Markeringsfarve3 3 3 4 5" xfId="8116" xr:uid="{00000000-0005-0000-0000-000055440000}"/>
    <cellStyle name="40 % - Markeringsfarve3 3 3 4 5 2" xfId="16034" xr:uid="{00000000-0005-0000-0000-000056440000}"/>
    <cellStyle name="40 % - Markeringsfarve3 3 3 4 5 2 2" xfId="34194" xr:uid="{00000000-0005-0000-0000-000057440000}"/>
    <cellStyle name="40 % - Markeringsfarve3 3 3 4 5 3" xfId="27193" xr:uid="{00000000-0005-0000-0000-000058440000}"/>
    <cellStyle name="40 % - Markeringsfarve3 3 3 4 6" xfId="14521" xr:uid="{00000000-0005-0000-0000-000059440000}"/>
    <cellStyle name="40 % - Markeringsfarve3 3 3 4 6 2" xfId="32687" xr:uid="{00000000-0005-0000-0000-00005A440000}"/>
    <cellStyle name="40 % - Markeringsfarve3 3 3 4 7" xfId="25685" xr:uid="{00000000-0005-0000-0000-00005B440000}"/>
    <cellStyle name="40 % - Markeringsfarve3 3 3 5" xfId="5972" xr:uid="{00000000-0005-0000-0000-00005C440000}"/>
    <cellStyle name="40 % - Markeringsfarve3 3 3 5 2" xfId="5973" xr:uid="{00000000-0005-0000-0000-00005D440000}"/>
    <cellStyle name="40 % - Markeringsfarve3 3 3 5 2 2" xfId="5974" xr:uid="{00000000-0005-0000-0000-00005E440000}"/>
    <cellStyle name="40 % - Markeringsfarve3 3 3 5 2 2 2" xfId="10288" xr:uid="{00000000-0005-0000-0000-00005F440000}"/>
    <cellStyle name="40 % - Markeringsfarve3 3 3 5 2 2 2 2" xfId="18189" xr:uid="{00000000-0005-0000-0000-000060440000}"/>
    <cellStyle name="40 % - Markeringsfarve3 3 3 5 2 2 2 2 2" xfId="36349" xr:uid="{00000000-0005-0000-0000-000061440000}"/>
    <cellStyle name="40 % - Markeringsfarve3 3 3 5 2 2 2 3" xfId="29348" xr:uid="{00000000-0005-0000-0000-000062440000}"/>
    <cellStyle name="40 % - Markeringsfarve3 3 3 5 2 2 3" xfId="14528" xr:uid="{00000000-0005-0000-0000-000063440000}"/>
    <cellStyle name="40 % - Markeringsfarve3 3 3 5 2 2 3 2" xfId="32694" xr:uid="{00000000-0005-0000-0000-000064440000}"/>
    <cellStyle name="40 % - Markeringsfarve3 3 3 5 2 2 4" xfId="25692" xr:uid="{00000000-0005-0000-0000-000065440000}"/>
    <cellStyle name="40 % - Markeringsfarve3 3 3 5 2 3" xfId="8802" xr:uid="{00000000-0005-0000-0000-000066440000}"/>
    <cellStyle name="40 % - Markeringsfarve3 3 3 5 2 3 2" xfId="16716" xr:uid="{00000000-0005-0000-0000-000067440000}"/>
    <cellStyle name="40 % - Markeringsfarve3 3 3 5 2 3 2 2" xfId="34876" xr:uid="{00000000-0005-0000-0000-000068440000}"/>
    <cellStyle name="40 % - Markeringsfarve3 3 3 5 2 3 3" xfId="27875" xr:uid="{00000000-0005-0000-0000-000069440000}"/>
    <cellStyle name="40 % - Markeringsfarve3 3 3 5 2 4" xfId="14527" xr:uid="{00000000-0005-0000-0000-00006A440000}"/>
    <cellStyle name="40 % - Markeringsfarve3 3 3 5 2 4 2" xfId="32693" xr:uid="{00000000-0005-0000-0000-00006B440000}"/>
    <cellStyle name="40 % - Markeringsfarve3 3 3 5 2 5" xfId="25691" xr:uid="{00000000-0005-0000-0000-00006C440000}"/>
    <cellStyle name="40 % - Markeringsfarve3 3 3 5 3" xfId="5975" xr:uid="{00000000-0005-0000-0000-00006D440000}"/>
    <cellStyle name="40 % - Markeringsfarve3 3 3 5 3 2" xfId="9564" xr:uid="{00000000-0005-0000-0000-00006E440000}"/>
    <cellStyle name="40 % - Markeringsfarve3 3 3 5 3 2 2" xfId="17474" xr:uid="{00000000-0005-0000-0000-00006F440000}"/>
    <cellStyle name="40 % - Markeringsfarve3 3 3 5 3 2 2 2" xfId="35634" xr:uid="{00000000-0005-0000-0000-000070440000}"/>
    <cellStyle name="40 % - Markeringsfarve3 3 3 5 3 2 3" xfId="28633" xr:uid="{00000000-0005-0000-0000-000071440000}"/>
    <cellStyle name="40 % - Markeringsfarve3 3 3 5 3 3" xfId="14529" xr:uid="{00000000-0005-0000-0000-000072440000}"/>
    <cellStyle name="40 % - Markeringsfarve3 3 3 5 3 3 2" xfId="32695" xr:uid="{00000000-0005-0000-0000-000073440000}"/>
    <cellStyle name="40 % - Markeringsfarve3 3 3 5 3 4" xfId="25693" xr:uid="{00000000-0005-0000-0000-000074440000}"/>
    <cellStyle name="40 % - Markeringsfarve3 3 3 5 4" xfId="5976" xr:uid="{00000000-0005-0000-0000-000075440000}"/>
    <cellStyle name="40 % - Markeringsfarve3 3 3 5 4 2" xfId="10721" xr:uid="{00000000-0005-0000-0000-000076440000}"/>
    <cellStyle name="40 % - Markeringsfarve3 3 3 5 4 2 2" xfId="18610" xr:uid="{00000000-0005-0000-0000-000077440000}"/>
    <cellStyle name="40 % - Markeringsfarve3 3 3 5 4 2 2 2" xfId="36770" xr:uid="{00000000-0005-0000-0000-000078440000}"/>
    <cellStyle name="40 % - Markeringsfarve3 3 3 5 4 2 3" xfId="29769" xr:uid="{00000000-0005-0000-0000-000079440000}"/>
    <cellStyle name="40 % - Markeringsfarve3 3 3 5 4 3" xfId="14530" xr:uid="{00000000-0005-0000-0000-00007A440000}"/>
    <cellStyle name="40 % - Markeringsfarve3 3 3 5 4 3 2" xfId="32696" xr:uid="{00000000-0005-0000-0000-00007B440000}"/>
    <cellStyle name="40 % - Markeringsfarve3 3 3 5 4 4" xfId="25694" xr:uid="{00000000-0005-0000-0000-00007C440000}"/>
    <cellStyle name="40 % - Markeringsfarve3 3 3 5 5" xfId="8117" xr:uid="{00000000-0005-0000-0000-00007D440000}"/>
    <cellStyle name="40 % - Markeringsfarve3 3 3 5 5 2" xfId="16035" xr:uid="{00000000-0005-0000-0000-00007E440000}"/>
    <cellStyle name="40 % - Markeringsfarve3 3 3 5 5 2 2" xfId="34195" xr:uid="{00000000-0005-0000-0000-00007F440000}"/>
    <cellStyle name="40 % - Markeringsfarve3 3 3 5 5 3" xfId="27194" xr:uid="{00000000-0005-0000-0000-000080440000}"/>
    <cellStyle name="40 % - Markeringsfarve3 3 3 5 6" xfId="14526" xr:uid="{00000000-0005-0000-0000-000081440000}"/>
    <cellStyle name="40 % - Markeringsfarve3 3 3 5 6 2" xfId="32692" xr:uid="{00000000-0005-0000-0000-000082440000}"/>
    <cellStyle name="40 % - Markeringsfarve3 3 3 5 7" xfId="25690" xr:uid="{00000000-0005-0000-0000-000083440000}"/>
    <cellStyle name="40 % - Markeringsfarve3 3 3 6" xfId="5977" xr:uid="{00000000-0005-0000-0000-000084440000}"/>
    <cellStyle name="40 % - Markeringsfarve3 3 3 6 2" xfId="5978" xr:uid="{00000000-0005-0000-0000-000085440000}"/>
    <cellStyle name="40 % - Markeringsfarve3 3 3 6 2 2" xfId="5979" xr:uid="{00000000-0005-0000-0000-000086440000}"/>
    <cellStyle name="40 % - Markeringsfarve3 3 3 6 2 2 2" xfId="10386" xr:uid="{00000000-0005-0000-0000-000087440000}"/>
    <cellStyle name="40 % - Markeringsfarve3 3 3 6 2 2 2 2" xfId="18287" xr:uid="{00000000-0005-0000-0000-000088440000}"/>
    <cellStyle name="40 % - Markeringsfarve3 3 3 6 2 2 2 2 2" xfId="36447" xr:uid="{00000000-0005-0000-0000-000089440000}"/>
    <cellStyle name="40 % - Markeringsfarve3 3 3 6 2 2 2 3" xfId="29446" xr:uid="{00000000-0005-0000-0000-00008A440000}"/>
    <cellStyle name="40 % - Markeringsfarve3 3 3 6 2 2 3" xfId="14533" xr:uid="{00000000-0005-0000-0000-00008B440000}"/>
    <cellStyle name="40 % - Markeringsfarve3 3 3 6 2 2 3 2" xfId="32699" xr:uid="{00000000-0005-0000-0000-00008C440000}"/>
    <cellStyle name="40 % - Markeringsfarve3 3 3 6 2 2 4" xfId="25697" xr:uid="{00000000-0005-0000-0000-00008D440000}"/>
    <cellStyle name="40 % - Markeringsfarve3 3 3 6 2 3" xfId="8879" xr:uid="{00000000-0005-0000-0000-00008E440000}"/>
    <cellStyle name="40 % - Markeringsfarve3 3 3 6 2 3 2" xfId="16793" xr:uid="{00000000-0005-0000-0000-00008F440000}"/>
    <cellStyle name="40 % - Markeringsfarve3 3 3 6 2 3 2 2" xfId="34953" xr:uid="{00000000-0005-0000-0000-000090440000}"/>
    <cellStyle name="40 % - Markeringsfarve3 3 3 6 2 3 3" xfId="27952" xr:uid="{00000000-0005-0000-0000-000091440000}"/>
    <cellStyle name="40 % - Markeringsfarve3 3 3 6 2 4" xfId="14532" xr:uid="{00000000-0005-0000-0000-000092440000}"/>
    <cellStyle name="40 % - Markeringsfarve3 3 3 6 2 4 2" xfId="32698" xr:uid="{00000000-0005-0000-0000-000093440000}"/>
    <cellStyle name="40 % - Markeringsfarve3 3 3 6 2 5" xfId="25696" xr:uid="{00000000-0005-0000-0000-000094440000}"/>
    <cellStyle name="40 % - Markeringsfarve3 3 3 6 3" xfId="5980" xr:uid="{00000000-0005-0000-0000-000095440000}"/>
    <cellStyle name="40 % - Markeringsfarve3 3 3 6 3 2" xfId="9663" xr:uid="{00000000-0005-0000-0000-000096440000}"/>
    <cellStyle name="40 % - Markeringsfarve3 3 3 6 3 2 2" xfId="17573" xr:uid="{00000000-0005-0000-0000-000097440000}"/>
    <cellStyle name="40 % - Markeringsfarve3 3 3 6 3 2 2 2" xfId="35733" xr:uid="{00000000-0005-0000-0000-000098440000}"/>
    <cellStyle name="40 % - Markeringsfarve3 3 3 6 3 2 3" xfId="28732" xr:uid="{00000000-0005-0000-0000-000099440000}"/>
    <cellStyle name="40 % - Markeringsfarve3 3 3 6 3 3" xfId="14534" xr:uid="{00000000-0005-0000-0000-00009A440000}"/>
    <cellStyle name="40 % - Markeringsfarve3 3 3 6 3 3 2" xfId="32700" xr:uid="{00000000-0005-0000-0000-00009B440000}"/>
    <cellStyle name="40 % - Markeringsfarve3 3 3 6 3 4" xfId="25698" xr:uid="{00000000-0005-0000-0000-00009C440000}"/>
    <cellStyle name="40 % - Markeringsfarve3 3 3 6 4" xfId="5981" xr:uid="{00000000-0005-0000-0000-00009D440000}"/>
    <cellStyle name="40 % - Markeringsfarve3 3 3 6 4 2" xfId="10957" xr:uid="{00000000-0005-0000-0000-00009E440000}"/>
    <cellStyle name="40 % - Markeringsfarve3 3 3 6 4 2 2" xfId="18837" xr:uid="{00000000-0005-0000-0000-00009F440000}"/>
    <cellStyle name="40 % - Markeringsfarve3 3 3 6 4 2 2 2" xfId="36997" xr:uid="{00000000-0005-0000-0000-0000A0440000}"/>
    <cellStyle name="40 % - Markeringsfarve3 3 3 6 4 2 3" xfId="29996" xr:uid="{00000000-0005-0000-0000-0000A1440000}"/>
    <cellStyle name="40 % - Markeringsfarve3 3 3 6 4 3" xfId="14535" xr:uid="{00000000-0005-0000-0000-0000A2440000}"/>
    <cellStyle name="40 % - Markeringsfarve3 3 3 6 4 3 2" xfId="32701" xr:uid="{00000000-0005-0000-0000-0000A3440000}"/>
    <cellStyle name="40 % - Markeringsfarve3 3 3 6 4 4" xfId="25699" xr:uid="{00000000-0005-0000-0000-0000A4440000}"/>
    <cellStyle name="40 % - Markeringsfarve3 3 3 6 5" xfId="8118" xr:uid="{00000000-0005-0000-0000-0000A5440000}"/>
    <cellStyle name="40 % - Markeringsfarve3 3 3 6 5 2" xfId="16036" xr:uid="{00000000-0005-0000-0000-0000A6440000}"/>
    <cellStyle name="40 % - Markeringsfarve3 3 3 6 5 2 2" xfId="34196" xr:uid="{00000000-0005-0000-0000-0000A7440000}"/>
    <cellStyle name="40 % - Markeringsfarve3 3 3 6 5 3" xfId="27195" xr:uid="{00000000-0005-0000-0000-0000A8440000}"/>
    <cellStyle name="40 % - Markeringsfarve3 3 3 6 6" xfId="14531" xr:uid="{00000000-0005-0000-0000-0000A9440000}"/>
    <cellStyle name="40 % - Markeringsfarve3 3 3 6 6 2" xfId="32697" xr:uid="{00000000-0005-0000-0000-0000AA440000}"/>
    <cellStyle name="40 % - Markeringsfarve3 3 3 6 7" xfId="25695" xr:uid="{00000000-0005-0000-0000-0000AB440000}"/>
    <cellStyle name="40 % - Markeringsfarve3 3 3 7" xfId="5982" xr:uid="{00000000-0005-0000-0000-0000AC440000}"/>
    <cellStyle name="40 % - Markeringsfarve3 3 3 7 2" xfId="5983" xr:uid="{00000000-0005-0000-0000-0000AD440000}"/>
    <cellStyle name="40 % - Markeringsfarve3 3 3 7 2 2" xfId="9814" xr:uid="{00000000-0005-0000-0000-0000AE440000}"/>
    <cellStyle name="40 % - Markeringsfarve3 3 3 7 2 2 2" xfId="17715" xr:uid="{00000000-0005-0000-0000-0000AF440000}"/>
    <cellStyle name="40 % - Markeringsfarve3 3 3 7 2 2 2 2" xfId="35875" xr:uid="{00000000-0005-0000-0000-0000B0440000}"/>
    <cellStyle name="40 % - Markeringsfarve3 3 3 7 2 2 3" xfId="28874" xr:uid="{00000000-0005-0000-0000-0000B1440000}"/>
    <cellStyle name="40 % - Markeringsfarve3 3 3 7 2 3" xfId="14537" xr:uid="{00000000-0005-0000-0000-0000B2440000}"/>
    <cellStyle name="40 % - Markeringsfarve3 3 3 7 2 3 2" xfId="32703" xr:uid="{00000000-0005-0000-0000-0000B3440000}"/>
    <cellStyle name="40 % - Markeringsfarve3 3 3 7 2 4" xfId="25701" xr:uid="{00000000-0005-0000-0000-0000B4440000}"/>
    <cellStyle name="40 % - Markeringsfarve3 3 3 7 3" xfId="8402" xr:uid="{00000000-0005-0000-0000-0000B5440000}"/>
    <cellStyle name="40 % - Markeringsfarve3 3 3 7 3 2" xfId="16319" xr:uid="{00000000-0005-0000-0000-0000B6440000}"/>
    <cellStyle name="40 % - Markeringsfarve3 3 3 7 3 2 2" xfId="34479" xr:uid="{00000000-0005-0000-0000-0000B7440000}"/>
    <cellStyle name="40 % - Markeringsfarve3 3 3 7 3 3" xfId="27478" xr:uid="{00000000-0005-0000-0000-0000B8440000}"/>
    <cellStyle name="40 % - Markeringsfarve3 3 3 7 4" xfId="14536" xr:uid="{00000000-0005-0000-0000-0000B9440000}"/>
    <cellStyle name="40 % - Markeringsfarve3 3 3 7 4 2" xfId="32702" xr:uid="{00000000-0005-0000-0000-0000BA440000}"/>
    <cellStyle name="40 % - Markeringsfarve3 3 3 7 5" xfId="25700" xr:uid="{00000000-0005-0000-0000-0000BB440000}"/>
    <cellStyle name="40 % - Markeringsfarve3 3 3 8" xfId="5984" xr:uid="{00000000-0005-0000-0000-0000BC440000}"/>
    <cellStyle name="40 % - Markeringsfarve3 3 3 8 2" xfId="9042" xr:uid="{00000000-0005-0000-0000-0000BD440000}"/>
    <cellStyle name="40 % - Markeringsfarve3 3 3 8 2 2" xfId="16953" xr:uid="{00000000-0005-0000-0000-0000BE440000}"/>
    <cellStyle name="40 % - Markeringsfarve3 3 3 8 2 2 2" xfId="35113" xr:uid="{00000000-0005-0000-0000-0000BF440000}"/>
    <cellStyle name="40 % - Markeringsfarve3 3 3 8 2 3" xfId="28112" xr:uid="{00000000-0005-0000-0000-0000C0440000}"/>
    <cellStyle name="40 % - Markeringsfarve3 3 3 8 3" xfId="14538" xr:uid="{00000000-0005-0000-0000-0000C1440000}"/>
    <cellStyle name="40 % - Markeringsfarve3 3 3 8 3 2" xfId="32704" xr:uid="{00000000-0005-0000-0000-0000C2440000}"/>
    <cellStyle name="40 % - Markeringsfarve3 3 3 8 4" xfId="25702" xr:uid="{00000000-0005-0000-0000-0000C3440000}"/>
    <cellStyle name="40 % - Markeringsfarve3 3 3 9" xfId="5985" xr:uid="{00000000-0005-0000-0000-0000C4440000}"/>
    <cellStyle name="40 % - Markeringsfarve3 3 3 9 2" xfId="10490" xr:uid="{00000000-0005-0000-0000-0000C5440000}"/>
    <cellStyle name="40 % - Markeringsfarve3 3 3 9 2 2" xfId="18386" xr:uid="{00000000-0005-0000-0000-0000C6440000}"/>
    <cellStyle name="40 % - Markeringsfarve3 3 3 9 2 2 2" xfId="36546" xr:uid="{00000000-0005-0000-0000-0000C7440000}"/>
    <cellStyle name="40 % - Markeringsfarve3 3 3 9 2 3" xfId="29545" xr:uid="{00000000-0005-0000-0000-0000C8440000}"/>
    <cellStyle name="40 % - Markeringsfarve3 3 3 9 3" xfId="14539" xr:uid="{00000000-0005-0000-0000-0000C9440000}"/>
    <cellStyle name="40 % - Markeringsfarve3 3 3 9 3 2" xfId="32705" xr:uid="{00000000-0005-0000-0000-0000CA440000}"/>
    <cellStyle name="40 % - Markeringsfarve3 3 3 9 4" xfId="25703" xr:uid="{00000000-0005-0000-0000-0000CB440000}"/>
    <cellStyle name="40 % - Markeringsfarve3 3 4" xfId="5986" xr:uid="{00000000-0005-0000-0000-0000CC440000}"/>
    <cellStyle name="40 % - Markeringsfarve3 3 4 2" xfId="5987" xr:uid="{00000000-0005-0000-0000-0000CD440000}"/>
    <cellStyle name="40 % - Markeringsfarve3 3 4 2 2" xfId="5988" xr:uid="{00000000-0005-0000-0000-0000CE440000}"/>
    <cellStyle name="40 % - Markeringsfarve3 3 4 2 2 2" xfId="9855" xr:uid="{00000000-0005-0000-0000-0000CF440000}"/>
    <cellStyle name="40 % - Markeringsfarve3 3 4 2 2 2 2" xfId="17756" xr:uid="{00000000-0005-0000-0000-0000D0440000}"/>
    <cellStyle name="40 % - Markeringsfarve3 3 4 2 2 2 2 2" xfId="35916" xr:uid="{00000000-0005-0000-0000-0000D1440000}"/>
    <cellStyle name="40 % - Markeringsfarve3 3 4 2 2 2 3" xfId="28915" xr:uid="{00000000-0005-0000-0000-0000D2440000}"/>
    <cellStyle name="40 % - Markeringsfarve3 3 4 2 2 3" xfId="14542" xr:uid="{00000000-0005-0000-0000-0000D3440000}"/>
    <cellStyle name="40 % - Markeringsfarve3 3 4 2 2 3 2" xfId="32708" xr:uid="{00000000-0005-0000-0000-0000D4440000}"/>
    <cellStyle name="40 % - Markeringsfarve3 3 4 2 2 4" xfId="25706" xr:uid="{00000000-0005-0000-0000-0000D5440000}"/>
    <cellStyle name="40 % - Markeringsfarve3 3 4 2 3" xfId="8435" xr:uid="{00000000-0005-0000-0000-0000D6440000}"/>
    <cellStyle name="40 % - Markeringsfarve3 3 4 2 3 2" xfId="16352" xr:uid="{00000000-0005-0000-0000-0000D7440000}"/>
    <cellStyle name="40 % - Markeringsfarve3 3 4 2 3 2 2" xfId="34512" xr:uid="{00000000-0005-0000-0000-0000D8440000}"/>
    <cellStyle name="40 % - Markeringsfarve3 3 4 2 3 3" xfId="27511" xr:uid="{00000000-0005-0000-0000-0000D9440000}"/>
    <cellStyle name="40 % - Markeringsfarve3 3 4 2 4" xfId="14541" xr:uid="{00000000-0005-0000-0000-0000DA440000}"/>
    <cellStyle name="40 % - Markeringsfarve3 3 4 2 4 2" xfId="32707" xr:uid="{00000000-0005-0000-0000-0000DB440000}"/>
    <cellStyle name="40 % - Markeringsfarve3 3 4 2 5" xfId="25705" xr:uid="{00000000-0005-0000-0000-0000DC440000}"/>
    <cellStyle name="40 % - Markeringsfarve3 3 4 3" xfId="5989" xr:uid="{00000000-0005-0000-0000-0000DD440000}"/>
    <cellStyle name="40 % - Markeringsfarve3 3 4 3 2" xfId="9085" xr:uid="{00000000-0005-0000-0000-0000DE440000}"/>
    <cellStyle name="40 % - Markeringsfarve3 3 4 3 2 2" xfId="16996" xr:uid="{00000000-0005-0000-0000-0000DF440000}"/>
    <cellStyle name="40 % - Markeringsfarve3 3 4 3 2 2 2" xfId="35156" xr:uid="{00000000-0005-0000-0000-0000E0440000}"/>
    <cellStyle name="40 % - Markeringsfarve3 3 4 3 2 3" xfId="28155" xr:uid="{00000000-0005-0000-0000-0000E1440000}"/>
    <cellStyle name="40 % - Markeringsfarve3 3 4 3 3" xfId="14543" xr:uid="{00000000-0005-0000-0000-0000E2440000}"/>
    <cellStyle name="40 % - Markeringsfarve3 3 4 3 3 2" xfId="32709" xr:uid="{00000000-0005-0000-0000-0000E3440000}"/>
    <cellStyle name="40 % - Markeringsfarve3 3 4 3 4" xfId="25707" xr:uid="{00000000-0005-0000-0000-0000E4440000}"/>
    <cellStyle name="40 % - Markeringsfarve3 3 4 4" xfId="5990" xr:uid="{00000000-0005-0000-0000-0000E5440000}"/>
    <cellStyle name="40 % - Markeringsfarve3 3 4 4 2" xfId="10681" xr:uid="{00000000-0005-0000-0000-0000E6440000}"/>
    <cellStyle name="40 % - Markeringsfarve3 3 4 4 2 2" xfId="18573" xr:uid="{00000000-0005-0000-0000-0000E7440000}"/>
    <cellStyle name="40 % - Markeringsfarve3 3 4 4 2 2 2" xfId="36733" xr:uid="{00000000-0005-0000-0000-0000E8440000}"/>
    <cellStyle name="40 % - Markeringsfarve3 3 4 4 2 3" xfId="29732" xr:uid="{00000000-0005-0000-0000-0000E9440000}"/>
    <cellStyle name="40 % - Markeringsfarve3 3 4 4 3" xfId="14544" xr:uid="{00000000-0005-0000-0000-0000EA440000}"/>
    <cellStyle name="40 % - Markeringsfarve3 3 4 4 3 2" xfId="32710" xr:uid="{00000000-0005-0000-0000-0000EB440000}"/>
    <cellStyle name="40 % - Markeringsfarve3 3 4 4 4" xfId="25708" xr:uid="{00000000-0005-0000-0000-0000EC440000}"/>
    <cellStyle name="40 % - Markeringsfarve3 3 4 5" xfId="8119" xr:uid="{00000000-0005-0000-0000-0000ED440000}"/>
    <cellStyle name="40 % - Markeringsfarve3 3 4 5 2" xfId="16037" xr:uid="{00000000-0005-0000-0000-0000EE440000}"/>
    <cellStyle name="40 % - Markeringsfarve3 3 4 5 2 2" xfId="34197" xr:uid="{00000000-0005-0000-0000-0000EF440000}"/>
    <cellStyle name="40 % - Markeringsfarve3 3 4 5 3" xfId="27196" xr:uid="{00000000-0005-0000-0000-0000F0440000}"/>
    <cellStyle name="40 % - Markeringsfarve3 3 4 6" xfId="14540" xr:uid="{00000000-0005-0000-0000-0000F1440000}"/>
    <cellStyle name="40 % - Markeringsfarve3 3 4 6 2" xfId="32706" xr:uid="{00000000-0005-0000-0000-0000F2440000}"/>
    <cellStyle name="40 % - Markeringsfarve3 3 4 7" xfId="25704" xr:uid="{00000000-0005-0000-0000-0000F3440000}"/>
    <cellStyle name="40 % - Markeringsfarve3 3 5" xfId="5991" xr:uid="{00000000-0005-0000-0000-0000F4440000}"/>
    <cellStyle name="40 % - Markeringsfarve3 3 5 2" xfId="5992" xr:uid="{00000000-0005-0000-0000-0000F5440000}"/>
    <cellStyle name="40 % - Markeringsfarve3 3 5 2 2" xfId="5993" xr:uid="{00000000-0005-0000-0000-0000F6440000}"/>
    <cellStyle name="40 % - Markeringsfarve3 3 5 2 2 2" xfId="10029" xr:uid="{00000000-0005-0000-0000-0000F7440000}"/>
    <cellStyle name="40 % - Markeringsfarve3 3 5 2 2 2 2" xfId="17930" xr:uid="{00000000-0005-0000-0000-0000F8440000}"/>
    <cellStyle name="40 % - Markeringsfarve3 3 5 2 2 2 2 2" xfId="36090" xr:uid="{00000000-0005-0000-0000-0000F9440000}"/>
    <cellStyle name="40 % - Markeringsfarve3 3 5 2 2 2 3" xfId="29089" xr:uid="{00000000-0005-0000-0000-0000FA440000}"/>
    <cellStyle name="40 % - Markeringsfarve3 3 5 2 2 3" xfId="14547" xr:uid="{00000000-0005-0000-0000-0000FB440000}"/>
    <cellStyle name="40 % - Markeringsfarve3 3 5 2 2 3 2" xfId="32713" xr:uid="{00000000-0005-0000-0000-0000FC440000}"/>
    <cellStyle name="40 % - Markeringsfarve3 3 5 2 2 4" xfId="25711" xr:uid="{00000000-0005-0000-0000-0000FD440000}"/>
    <cellStyle name="40 % - Markeringsfarve3 3 5 2 3" xfId="8575" xr:uid="{00000000-0005-0000-0000-0000FE440000}"/>
    <cellStyle name="40 % - Markeringsfarve3 3 5 2 3 2" xfId="16492" xr:uid="{00000000-0005-0000-0000-0000FF440000}"/>
    <cellStyle name="40 % - Markeringsfarve3 3 5 2 3 2 2" xfId="34652" xr:uid="{00000000-0005-0000-0000-000000450000}"/>
    <cellStyle name="40 % - Markeringsfarve3 3 5 2 3 3" xfId="27651" xr:uid="{00000000-0005-0000-0000-000001450000}"/>
    <cellStyle name="40 % - Markeringsfarve3 3 5 2 4" xfId="14546" xr:uid="{00000000-0005-0000-0000-000002450000}"/>
    <cellStyle name="40 % - Markeringsfarve3 3 5 2 4 2" xfId="32712" xr:uid="{00000000-0005-0000-0000-000003450000}"/>
    <cellStyle name="40 % - Markeringsfarve3 3 5 2 5" xfId="25710" xr:uid="{00000000-0005-0000-0000-000004450000}"/>
    <cellStyle name="40 % - Markeringsfarve3 3 5 3" xfId="5994" xr:uid="{00000000-0005-0000-0000-000005450000}"/>
    <cellStyle name="40 % - Markeringsfarve3 3 5 3 2" xfId="9259" xr:uid="{00000000-0005-0000-0000-000006450000}"/>
    <cellStyle name="40 % - Markeringsfarve3 3 5 3 2 2" xfId="17170" xr:uid="{00000000-0005-0000-0000-000007450000}"/>
    <cellStyle name="40 % - Markeringsfarve3 3 5 3 2 2 2" xfId="35330" xr:uid="{00000000-0005-0000-0000-000008450000}"/>
    <cellStyle name="40 % - Markeringsfarve3 3 5 3 2 3" xfId="28329" xr:uid="{00000000-0005-0000-0000-000009450000}"/>
    <cellStyle name="40 % - Markeringsfarve3 3 5 3 3" xfId="14548" xr:uid="{00000000-0005-0000-0000-00000A450000}"/>
    <cellStyle name="40 % - Markeringsfarve3 3 5 3 3 2" xfId="32714" xr:uid="{00000000-0005-0000-0000-00000B450000}"/>
    <cellStyle name="40 % - Markeringsfarve3 3 5 3 4" xfId="25712" xr:uid="{00000000-0005-0000-0000-00000C450000}"/>
    <cellStyle name="40 % - Markeringsfarve3 3 5 4" xfId="5995" xr:uid="{00000000-0005-0000-0000-00000D450000}"/>
    <cellStyle name="40 % - Markeringsfarve3 3 5 4 2" xfId="10916" xr:uid="{00000000-0005-0000-0000-00000E450000}"/>
    <cellStyle name="40 % - Markeringsfarve3 3 5 4 2 2" xfId="18797" xr:uid="{00000000-0005-0000-0000-00000F450000}"/>
    <cellStyle name="40 % - Markeringsfarve3 3 5 4 2 2 2" xfId="36957" xr:uid="{00000000-0005-0000-0000-000010450000}"/>
    <cellStyle name="40 % - Markeringsfarve3 3 5 4 2 3" xfId="29956" xr:uid="{00000000-0005-0000-0000-000011450000}"/>
    <cellStyle name="40 % - Markeringsfarve3 3 5 4 3" xfId="14549" xr:uid="{00000000-0005-0000-0000-000012450000}"/>
    <cellStyle name="40 % - Markeringsfarve3 3 5 4 3 2" xfId="32715" xr:uid="{00000000-0005-0000-0000-000013450000}"/>
    <cellStyle name="40 % - Markeringsfarve3 3 5 4 4" xfId="25713" xr:uid="{00000000-0005-0000-0000-000014450000}"/>
    <cellStyle name="40 % - Markeringsfarve3 3 5 5" xfId="8120" xr:uid="{00000000-0005-0000-0000-000015450000}"/>
    <cellStyle name="40 % - Markeringsfarve3 3 5 5 2" xfId="16038" xr:uid="{00000000-0005-0000-0000-000016450000}"/>
    <cellStyle name="40 % - Markeringsfarve3 3 5 5 2 2" xfId="34198" xr:uid="{00000000-0005-0000-0000-000017450000}"/>
    <cellStyle name="40 % - Markeringsfarve3 3 5 5 3" xfId="27197" xr:uid="{00000000-0005-0000-0000-000018450000}"/>
    <cellStyle name="40 % - Markeringsfarve3 3 5 6" xfId="14545" xr:uid="{00000000-0005-0000-0000-000019450000}"/>
    <cellStyle name="40 % - Markeringsfarve3 3 5 6 2" xfId="32711" xr:uid="{00000000-0005-0000-0000-00001A450000}"/>
    <cellStyle name="40 % - Markeringsfarve3 3 5 7" xfId="25709" xr:uid="{00000000-0005-0000-0000-00001B450000}"/>
    <cellStyle name="40 % - Markeringsfarve3 3 6" xfId="5996" xr:uid="{00000000-0005-0000-0000-00001C450000}"/>
    <cellStyle name="40 % - Markeringsfarve3 3 6 2" xfId="5997" xr:uid="{00000000-0005-0000-0000-00001D450000}"/>
    <cellStyle name="40 % - Markeringsfarve3 3 6 2 2" xfId="5998" xr:uid="{00000000-0005-0000-0000-00001E450000}"/>
    <cellStyle name="40 % - Markeringsfarve3 3 6 2 2 2" xfId="10093" xr:uid="{00000000-0005-0000-0000-00001F450000}"/>
    <cellStyle name="40 % - Markeringsfarve3 3 6 2 2 2 2" xfId="17994" xr:uid="{00000000-0005-0000-0000-000020450000}"/>
    <cellStyle name="40 % - Markeringsfarve3 3 6 2 2 2 2 2" xfId="36154" xr:uid="{00000000-0005-0000-0000-000021450000}"/>
    <cellStyle name="40 % - Markeringsfarve3 3 6 2 2 2 3" xfId="29153" xr:uid="{00000000-0005-0000-0000-000022450000}"/>
    <cellStyle name="40 % - Markeringsfarve3 3 6 2 2 3" xfId="14552" xr:uid="{00000000-0005-0000-0000-000023450000}"/>
    <cellStyle name="40 % - Markeringsfarve3 3 6 2 2 3 2" xfId="32718" xr:uid="{00000000-0005-0000-0000-000024450000}"/>
    <cellStyle name="40 % - Markeringsfarve3 3 6 2 2 4" xfId="25716" xr:uid="{00000000-0005-0000-0000-000025450000}"/>
    <cellStyle name="40 % - Markeringsfarve3 3 6 2 3" xfId="8637" xr:uid="{00000000-0005-0000-0000-000026450000}"/>
    <cellStyle name="40 % - Markeringsfarve3 3 6 2 3 2" xfId="16551" xr:uid="{00000000-0005-0000-0000-000027450000}"/>
    <cellStyle name="40 % - Markeringsfarve3 3 6 2 3 2 2" xfId="34711" xr:uid="{00000000-0005-0000-0000-000028450000}"/>
    <cellStyle name="40 % - Markeringsfarve3 3 6 2 3 3" xfId="27710" xr:uid="{00000000-0005-0000-0000-000029450000}"/>
    <cellStyle name="40 % - Markeringsfarve3 3 6 2 4" xfId="14551" xr:uid="{00000000-0005-0000-0000-00002A450000}"/>
    <cellStyle name="40 % - Markeringsfarve3 3 6 2 4 2" xfId="32717" xr:uid="{00000000-0005-0000-0000-00002B450000}"/>
    <cellStyle name="40 % - Markeringsfarve3 3 6 2 5" xfId="25715" xr:uid="{00000000-0005-0000-0000-00002C450000}"/>
    <cellStyle name="40 % - Markeringsfarve3 3 6 3" xfId="5999" xr:uid="{00000000-0005-0000-0000-00002D450000}"/>
    <cellStyle name="40 % - Markeringsfarve3 3 6 3 2" xfId="9369" xr:uid="{00000000-0005-0000-0000-00002E450000}"/>
    <cellStyle name="40 % - Markeringsfarve3 3 6 3 2 2" xfId="17279" xr:uid="{00000000-0005-0000-0000-00002F450000}"/>
    <cellStyle name="40 % - Markeringsfarve3 3 6 3 2 2 2" xfId="35439" xr:uid="{00000000-0005-0000-0000-000030450000}"/>
    <cellStyle name="40 % - Markeringsfarve3 3 6 3 2 3" xfId="28438" xr:uid="{00000000-0005-0000-0000-000031450000}"/>
    <cellStyle name="40 % - Markeringsfarve3 3 6 3 3" xfId="14553" xr:uid="{00000000-0005-0000-0000-000032450000}"/>
    <cellStyle name="40 % - Markeringsfarve3 3 6 3 3 2" xfId="32719" xr:uid="{00000000-0005-0000-0000-000033450000}"/>
    <cellStyle name="40 % - Markeringsfarve3 3 6 3 4" xfId="25717" xr:uid="{00000000-0005-0000-0000-000034450000}"/>
    <cellStyle name="40 % - Markeringsfarve3 3 6 4" xfId="6000" xr:uid="{00000000-0005-0000-0000-000035450000}"/>
    <cellStyle name="40 % - Markeringsfarve3 3 6 4 2" xfId="10640" xr:uid="{00000000-0005-0000-0000-000036450000}"/>
    <cellStyle name="40 % - Markeringsfarve3 3 6 4 2 2" xfId="18533" xr:uid="{00000000-0005-0000-0000-000037450000}"/>
    <cellStyle name="40 % - Markeringsfarve3 3 6 4 2 2 2" xfId="36693" xr:uid="{00000000-0005-0000-0000-000038450000}"/>
    <cellStyle name="40 % - Markeringsfarve3 3 6 4 2 3" xfId="29692" xr:uid="{00000000-0005-0000-0000-000039450000}"/>
    <cellStyle name="40 % - Markeringsfarve3 3 6 4 3" xfId="14554" xr:uid="{00000000-0005-0000-0000-00003A450000}"/>
    <cellStyle name="40 % - Markeringsfarve3 3 6 4 3 2" xfId="32720" xr:uid="{00000000-0005-0000-0000-00003B450000}"/>
    <cellStyle name="40 % - Markeringsfarve3 3 6 4 4" xfId="25718" xr:uid="{00000000-0005-0000-0000-00003C450000}"/>
    <cellStyle name="40 % - Markeringsfarve3 3 6 5" xfId="8121" xr:uid="{00000000-0005-0000-0000-00003D450000}"/>
    <cellStyle name="40 % - Markeringsfarve3 3 6 5 2" xfId="16039" xr:uid="{00000000-0005-0000-0000-00003E450000}"/>
    <cellStyle name="40 % - Markeringsfarve3 3 6 5 2 2" xfId="34199" xr:uid="{00000000-0005-0000-0000-00003F450000}"/>
    <cellStyle name="40 % - Markeringsfarve3 3 6 5 3" xfId="27198" xr:uid="{00000000-0005-0000-0000-000040450000}"/>
    <cellStyle name="40 % - Markeringsfarve3 3 6 6" xfId="14550" xr:uid="{00000000-0005-0000-0000-000041450000}"/>
    <cellStyle name="40 % - Markeringsfarve3 3 6 6 2" xfId="32716" xr:uid="{00000000-0005-0000-0000-000042450000}"/>
    <cellStyle name="40 % - Markeringsfarve3 3 6 7" xfId="25714" xr:uid="{00000000-0005-0000-0000-000043450000}"/>
    <cellStyle name="40 % - Markeringsfarve3 3 7" xfId="6001" xr:uid="{00000000-0005-0000-0000-000044450000}"/>
    <cellStyle name="40 % - Markeringsfarve3 3 7 2" xfId="6002" xr:uid="{00000000-0005-0000-0000-000045450000}"/>
    <cellStyle name="40 % - Markeringsfarve3 3 7 2 2" xfId="6003" xr:uid="{00000000-0005-0000-0000-000046450000}"/>
    <cellStyle name="40 % - Markeringsfarve3 3 7 2 2 2" xfId="10210" xr:uid="{00000000-0005-0000-0000-000047450000}"/>
    <cellStyle name="40 % - Markeringsfarve3 3 7 2 2 2 2" xfId="18111" xr:uid="{00000000-0005-0000-0000-000048450000}"/>
    <cellStyle name="40 % - Markeringsfarve3 3 7 2 2 2 2 2" xfId="36271" xr:uid="{00000000-0005-0000-0000-000049450000}"/>
    <cellStyle name="40 % - Markeringsfarve3 3 7 2 2 2 3" xfId="29270" xr:uid="{00000000-0005-0000-0000-00004A450000}"/>
    <cellStyle name="40 % - Markeringsfarve3 3 7 2 2 3" xfId="14557" xr:uid="{00000000-0005-0000-0000-00004B450000}"/>
    <cellStyle name="40 % - Markeringsfarve3 3 7 2 2 3 2" xfId="32723" xr:uid="{00000000-0005-0000-0000-00004C450000}"/>
    <cellStyle name="40 % - Markeringsfarve3 3 7 2 2 4" xfId="25721" xr:uid="{00000000-0005-0000-0000-00004D450000}"/>
    <cellStyle name="40 % - Markeringsfarve3 3 7 2 3" xfId="8736" xr:uid="{00000000-0005-0000-0000-00004E450000}"/>
    <cellStyle name="40 % - Markeringsfarve3 3 7 2 3 2" xfId="16650" xr:uid="{00000000-0005-0000-0000-00004F450000}"/>
    <cellStyle name="40 % - Markeringsfarve3 3 7 2 3 2 2" xfId="34810" xr:uid="{00000000-0005-0000-0000-000050450000}"/>
    <cellStyle name="40 % - Markeringsfarve3 3 7 2 3 3" xfId="27809" xr:uid="{00000000-0005-0000-0000-000051450000}"/>
    <cellStyle name="40 % - Markeringsfarve3 3 7 2 4" xfId="14556" xr:uid="{00000000-0005-0000-0000-000052450000}"/>
    <cellStyle name="40 % - Markeringsfarve3 3 7 2 4 2" xfId="32722" xr:uid="{00000000-0005-0000-0000-000053450000}"/>
    <cellStyle name="40 % - Markeringsfarve3 3 7 2 5" xfId="25720" xr:uid="{00000000-0005-0000-0000-000054450000}"/>
    <cellStyle name="40 % - Markeringsfarve3 3 7 3" xfId="6004" xr:uid="{00000000-0005-0000-0000-000055450000}"/>
    <cellStyle name="40 % - Markeringsfarve3 3 7 3 2" xfId="9486" xr:uid="{00000000-0005-0000-0000-000056450000}"/>
    <cellStyle name="40 % - Markeringsfarve3 3 7 3 2 2" xfId="17396" xr:uid="{00000000-0005-0000-0000-000057450000}"/>
    <cellStyle name="40 % - Markeringsfarve3 3 7 3 2 2 2" xfId="35556" xr:uid="{00000000-0005-0000-0000-000058450000}"/>
    <cellStyle name="40 % - Markeringsfarve3 3 7 3 2 3" xfId="28555" xr:uid="{00000000-0005-0000-0000-000059450000}"/>
    <cellStyle name="40 % - Markeringsfarve3 3 7 3 3" xfId="14558" xr:uid="{00000000-0005-0000-0000-00005A450000}"/>
    <cellStyle name="40 % - Markeringsfarve3 3 7 3 3 2" xfId="32724" xr:uid="{00000000-0005-0000-0000-00005B450000}"/>
    <cellStyle name="40 % - Markeringsfarve3 3 7 3 4" xfId="25722" xr:uid="{00000000-0005-0000-0000-00005C450000}"/>
    <cellStyle name="40 % - Markeringsfarve3 3 7 4" xfId="6005" xr:uid="{00000000-0005-0000-0000-00005D450000}"/>
    <cellStyle name="40 % - Markeringsfarve3 3 7 4 2" xfId="10867" xr:uid="{00000000-0005-0000-0000-00005E450000}"/>
    <cellStyle name="40 % - Markeringsfarve3 3 7 4 2 2" xfId="18750" xr:uid="{00000000-0005-0000-0000-00005F450000}"/>
    <cellStyle name="40 % - Markeringsfarve3 3 7 4 2 2 2" xfId="36910" xr:uid="{00000000-0005-0000-0000-000060450000}"/>
    <cellStyle name="40 % - Markeringsfarve3 3 7 4 2 3" xfId="29909" xr:uid="{00000000-0005-0000-0000-000061450000}"/>
    <cellStyle name="40 % - Markeringsfarve3 3 7 4 3" xfId="14559" xr:uid="{00000000-0005-0000-0000-000062450000}"/>
    <cellStyle name="40 % - Markeringsfarve3 3 7 4 3 2" xfId="32725" xr:uid="{00000000-0005-0000-0000-000063450000}"/>
    <cellStyle name="40 % - Markeringsfarve3 3 7 4 4" xfId="25723" xr:uid="{00000000-0005-0000-0000-000064450000}"/>
    <cellStyle name="40 % - Markeringsfarve3 3 7 5" xfId="8122" xr:uid="{00000000-0005-0000-0000-000065450000}"/>
    <cellStyle name="40 % - Markeringsfarve3 3 7 5 2" xfId="16040" xr:uid="{00000000-0005-0000-0000-000066450000}"/>
    <cellStyle name="40 % - Markeringsfarve3 3 7 5 2 2" xfId="34200" xr:uid="{00000000-0005-0000-0000-000067450000}"/>
    <cellStyle name="40 % - Markeringsfarve3 3 7 5 3" xfId="27199" xr:uid="{00000000-0005-0000-0000-000068450000}"/>
    <cellStyle name="40 % - Markeringsfarve3 3 7 6" xfId="14555" xr:uid="{00000000-0005-0000-0000-000069450000}"/>
    <cellStyle name="40 % - Markeringsfarve3 3 7 6 2" xfId="32721" xr:uid="{00000000-0005-0000-0000-00006A450000}"/>
    <cellStyle name="40 % - Markeringsfarve3 3 7 7" xfId="25719" xr:uid="{00000000-0005-0000-0000-00006B450000}"/>
    <cellStyle name="40 % - Markeringsfarve3 3 8" xfId="6006" xr:uid="{00000000-0005-0000-0000-00006C450000}"/>
    <cellStyle name="40 % - Markeringsfarve3 3 8 2" xfId="6007" xr:uid="{00000000-0005-0000-0000-00006D450000}"/>
    <cellStyle name="40 % - Markeringsfarve3 3 8 2 2" xfId="6008" xr:uid="{00000000-0005-0000-0000-00006E450000}"/>
    <cellStyle name="40 % - Markeringsfarve3 3 8 2 2 2" xfId="10384" xr:uid="{00000000-0005-0000-0000-00006F450000}"/>
    <cellStyle name="40 % - Markeringsfarve3 3 8 2 2 2 2" xfId="18285" xr:uid="{00000000-0005-0000-0000-000070450000}"/>
    <cellStyle name="40 % - Markeringsfarve3 3 8 2 2 2 2 2" xfId="36445" xr:uid="{00000000-0005-0000-0000-000071450000}"/>
    <cellStyle name="40 % - Markeringsfarve3 3 8 2 2 2 3" xfId="29444" xr:uid="{00000000-0005-0000-0000-000072450000}"/>
    <cellStyle name="40 % - Markeringsfarve3 3 8 2 2 3" xfId="14562" xr:uid="{00000000-0005-0000-0000-000073450000}"/>
    <cellStyle name="40 % - Markeringsfarve3 3 8 2 2 3 2" xfId="32728" xr:uid="{00000000-0005-0000-0000-000074450000}"/>
    <cellStyle name="40 % - Markeringsfarve3 3 8 2 2 4" xfId="25726" xr:uid="{00000000-0005-0000-0000-000075450000}"/>
    <cellStyle name="40 % - Markeringsfarve3 3 8 2 3" xfId="8877" xr:uid="{00000000-0005-0000-0000-000076450000}"/>
    <cellStyle name="40 % - Markeringsfarve3 3 8 2 3 2" xfId="16791" xr:uid="{00000000-0005-0000-0000-000077450000}"/>
    <cellStyle name="40 % - Markeringsfarve3 3 8 2 3 2 2" xfId="34951" xr:uid="{00000000-0005-0000-0000-000078450000}"/>
    <cellStyle name="40 % - Markeringsfarve3 3 8 2 3 3" xfId="27950" xr:uid="{00000000-0005-0000-0000-000079450000}"/>
    <cellStyle name="40 % - Markeringsfarve3 3 8 2 4" xfId="14561" xr:uid="{00000000-0005-0000-0000-00007A450000}"/>
    <cellStyle name="40 % - Markeringsfarve3 3 8 2 4 2" xfId="32727" xr:uid="{00000000-0005-0000-0000-00007B450000}"/>
    <cellStyle name="40 % - Markeringsfarve3 3 8 2 5" xfId="25725" xr:uid="{00000000-0005-0000-0000-00007C450000}"/>
    <cellStyle name="40 % - Markeringsfarve3 3 8 3" xfId="6009" xr:uid="{00000000-0005-0000-0000-00007D450000}"/>
    <cellStyle name="40 % - Markeringsfarve3 3 8 3 2" xfId="9661" xr:uid="{00000000-0005-0000-0000-00007E450000}"/>
    <cellStyle name="40 % - Markeringsfarve3 3 8 3 2 2" xfId="17571" xr:uid="{00000000-0005-0000-0000-00007F450000}"/>
    <cellStyle name="40 % - Markeringsfarve3 3 8 3 2 2 2" xfId="35731" xr:uid="{00000000-0005-0000-0000-000080450000}"/>
    <cellStyle name="40 % - Markeringsfarve3 3 8 3 2 3" xfId="28730" xr:uid="{00000000-0005-0000-0000-000081450000}"/>
    <cellStyle name="40 % - Markeringsfarve3 3 8 3 3" xfId="14563" xr:uid="{00000000-0005-0000-0000-000082450000}"/>
    <cellStyle name="40 % - Markeringsfarve3 3 8 3 3 2" xfId="32729" xr:uid="{00000000-0005-0000-0000-000083450000}"/>
    <cellStyle name="40 % - Markeringsfarve3 3 8 3 4" xfId="25727" xr:uid="{00000000-0005-0000-0000-000084450000}"/>
    <cellStyle name="40 % - Markeringsfarve3 3 8 4" xfId="6010" xr:uid="{00000000-0005-0000-0000-000085450000}"/>
    <cellStyle name="40 % - Markeringsfarve3 3 8 4 2" xfId="10516" xr:uid="{00000000-0005-0000-0000-000086450000}"/>
    <cellStyle name="40 % - Markeringsfarve3 3 8 4 2 2" xfId="18410" xr:uid="{00000000-0005-0000-0000-000087450000}"/>
    <cellStyle name="40 % - Markeringsfarve3 3 8 4 2 2 2" xfId="36570" xr:uid="{00000000-0005-0000-0000-000088450000}"/>
    <cellStyle name="40 % - Markeringsfarve3 3 8 4 2 3" xfId="29569" xr:uid="{00000000-0005-0000-0000-000089450000}"/>
    <cellStyle name="40 % - Markeringsfarve3 3 8 4 3" xfId="14564" xr:uid="{00000000-0005-0000-0000-00008A450000}"/>
    <cellStyle name="40 % - Markeringsfarve3 3 8 4 3 2" xfId="32730" xr:uid="{00000000-0005-0000-0000-00008B450000}"/>
    <cellStyle name="40 % - Markeringsfarve3 3 8 4 4" xfId="25728" xr:uid="{00000000-0005-0000-0000-00008C450000}"/>
    <cellStyle name="40 % - Markeringsfarve3 3 8 5" xfId="8123" xr:uid="{00000000-0005-0000-0000-00008D450000}"/>
    <cellStyle name="40 % - Markeringsfarve3 3 8 5 2" xfId="16041" xr:uid="{00000000-0005-0000-0000-00008E450000}"/>
    <cellStyle name="40 % - Markeringsfarve3 3 8 5 2 2" xfId="34201" xr:uid="{00000000-0005-0000-0000-00008F450000}"/>
    <cellStyle name="40 % - Markeringsfarve3 3 8 5 3" xfId="27200" xr:uid="{00000000-0005-0000-0000-000090450000}"/>
    <cellStyle name="40 % - Markeringsfarve3 3 8 6" xfId="14560" xr:uid="{00000000-0005-0000-0000-000091450000}"/>
    <cellStyle name="40 % - Markeringsfarve3 3 8 6 2" xfId="32726" xr:uid="{00000000-0005-0000-0000-000092450000}"/>
    <cellStyle name="40 % - Markeringsfarve3 3 8 7" xfId="25724" xr:uid="{00000000-0005-0000-0000-000093450000}"/>
    <cellStyle name="40 % - Markeringsfarve3 3 9" xfId="6011" xr:uid="{00000000-0005-0000-0000-000094450000}"/>
    <cellStyle name="40 % - Markeringsfarve3 3 9 2" xfId="6012" xr:uid="{00000000-0005-0000-0000-000095450000}"/>
    <cellStyle name="40 % - Markeringsfarve3 3 9 2 2" xfId="9736" xr:uid="{00000000-0005-0000-0000-000096450000}"/>
    <cellStyle name="40 % - Markeringsfarve3 3 9 2 2 2" xfId="17637" xr:uid="{00000000-0005-0000-0000-000097450000}"/>
    <cellStyle name="40 % - Markeringsfarve3 3 9 2 2 2 2" xfId="35797" xr:uid="{00000000-0005-0000-0000-000098450000}"/>
    <cellStyle name="40 % - Markeringsfarve3 3 9 2 2 3" xfId="28796" xr:uid="{00000000-0005-0000-0000-000099450000}"/>
    <cellStyle name="40 % - Markeringsfarve3 3 9 2 3" xfId="14566" xr:uid="{00000000-0005-0000-0000-00009A450000}"/>
    <cellStyle name="40 % - Markeringsfarve3 3 9 2 3 2" xfId="32732" xr:uid="{00000000-0005-0000-0000-00009B450000}"/>
    <cellStyle name="40 % - Markeringsfarve3 3 9 2 4" xfId="25730" xr:uid="{00000000-0005-0000-0000-00009C450000}"/>
    <cellStyle name="40 % - Markeringsfarve3 3 9 3" xfId="8336" xr:uid="{00000000-0005-0000-0000-00009D450000}"/>
    <cellStyle name="40 % - Markeringsfarve3 3 9 3 2" xfId="16253" xr:uid="{00000000-0005-0000-0000-00009E450000}"/>
    <cellStyle name="40 % - Markeringsfarve3 3 9 3 2 2" xfId="34413" xr:uid="{00000000-0005-0000-0000-00009F450000}"/>
    <cellStyle name="40 % - Markeringsfarve3 3 9 3 3" xfId="27412" xr:uid="{00000000-0005-0000-0000-0000A0450000}"/>
    <cellStyle name="40 % - Markeringsfarve3 3 9 4" xfId="14565" xr:uid="{00000000-0005-0000-0000-0000A1450000}"/>
    <cellStyle name="40 % - Markeringsfarve3 3 9 4 2" xfId="32731" xr:uid="{00000000-0005-0000-0000-0000A2450000}"/>
    <cellStyle name="40 % - Markeringsfarve3 3 9 5" xfId="25729" xr:uid="{00000000-0005-0000-0000-0000A3450000}"/>
    <cellStyle name="40 % - Markeringsfarve3 4" xfId="1905" xr:uid="{00000000-0005-0000-0000-0000A4450000}"/>
    <cellStyle name="40 % - Markeringsfarve3 4 10" xfId="8124" xr:uid="{00000000-0005-0000-0000-0000A5450000}"/>
    <cellStyle name="40 % - Markeringsfarve3 4 10 2" xfId="16042" xr:uid="{00000000-0005-0000-0000-0000A6450000}"/>
    <cellStyle name="40 % - Markeringsfarve3 4 10 2 2" xfId="34202" xr:uid="{00000000-0005-0000-0000-0000A7450000}"/>
    <cellStyle name="40 % - Markeringsfarve3 4 10 3" xfId="27201" xr:uid="{00000000-0005-0000-0000-0000A8450000}"/>
    <cellStyle name="40 % - Markeringsfarve3 4 11" xfId="14567" xr:uid="{00000000-0005-0000-0000-0000A9450000}"/>
    <cellStyle name="40 % - Markeringsfarve3 4 11 2" xfId="32733" xr:uid="{00000000-0005-0000-0000-0000AA450000}"/>
    <cellStyle name="40 % - Markeringsfarve3 4 12" xfId="6013" xr:uid="{00000000-0005-0000-0000-0000AB450000}"/>
    <cellStyle name="40 % - Markeringsfarve3 4 12 2" xfId="25731" xr:uid="{00000000-0005-0000-0000-0000AC450000}"/>
    <cellStyle name="40 % - Markeringsfarve3 4 13" xfId="22023" xr:uid="{00000000-0005-0000-0000-0000AD450000}"/>
    <cellStyle name="40 % - Markeringsfarve3 4 2" xfId="1906" xr:uid="{00000000-0005-0000-0000-0000AE450000}"/>
    <cellStyle name="40 % - Markeringsfarve3 4 2 2" xfId="6015" xr:uid="{00000000-0005-0000-0000-0000AF450000}"/>
    <cellStyle name="40 % - Markeringsfarve3 4 2 2 2" xfId="6016" xr:uid="{00000000-0005-0000-0000-0000B0450000}"/>
    <cellStyle name="40 % - Markeringsfarve3 4 2 2 2 2" xfId="9880" xr:uid="{00000000-0005-0000-0000-0000B1450000}"/>
    <cellStyle name="40 % - Markeringsfarve3 4 2 2 2 2 2" xfId="17781" xr:uid="{00000000-0005-0000-0000-0000B2450000}"/>
    <cellStyle name="40 % - Markeringsfarve3 4 2 2 2 2 2 2" xfId="35941" xr:uid="{00000000-0005-0000-0000-0000B3450000}"/>
    <cellStyle name="40 % - Markeringsfarve3 4 2 2 2 2 3" xfId="28940" xr:uid="{00000000-0005-0000-0000-0000B4450000}"/>
    <cellStyle name="40 % - Markeringsfarve3 4 2 2 2 3" xfId="14570" xr:uid="{00000000-0005-0000-0000-0000B5450000}"/>
    <cellStyle name="40 % - Markeringsfarve3 4 2 2 2 3 2" xfId="32736" xr:uid="{00000000-0005-0000-0000-0000B6450000}"/>
    <cellStyle name="40 % - Markeringsfarve3 4 2 2 2 4" xfId="25734" xr:uid="{00000000-0005-0000-0000-0000B7450000}"/>
    <cellStyle name="40 % - Markeringsfarve3 4 2 2 3" xfId="8456" xr:uid="{00000000-0005-0000-0000-0000B8450000}"/>
    <cellStyle name="40 % - Markeringsfarve3 4 2 2 3 2" xfId="16373" xr:uid="{00000000-0005-0000-0000-0000B9450000}"/>
    <cellStyle name="40 % - Markeringsfarve3 4 2 2 3 2 2" xfId="34533" xr:uid="{00000000-0005-0000-0000-0000BA450000}"/>
    <cellStyle name="40 % - Markeringsfarve3 4 2 2 3 3" xfId="27532" xr:uid="{00000000-0005-0000-0000-0000BB450000}"/>
    <cellStyle name="40 % - Markeringsfarve3 4 2 2 4" xfId="14569" xr:uid="{00000000-0005-0000-0000-0000BC450000}"/>
    <cellStyle name="40 % - Markeringsfarve3 4 2 2 4 2" xfId="32735" xr:uid="{00000000-0005-0000-0000-0000BD450000}"/>
    <cellStyle name="40 % - Markeringsfarve3 4 2 2 5" xfId="25733" xr:uid="{00000000-0005-0000-0000-0000BE450000}"/>
    <cellStyle name="40 % - Markeringsfarve3 4 2 3" xfId="6017" xr:uid="{00000000-0005-0000-0000-0000BF450000}"/>
    <cellStyle name="40 % - Markeringsfarve3 4 2 3 2" xfId="9110" xr:uid="{00000000-0005-0000-0000-0000C0450000}"/>
    <cellStyle name="40 % - Markeringsfarve3 4 2 3 2 2" xfId="17021" xr:uid="{00000000-0005-0000-0000-0000C1450000}"/>
    <cellStyle name="40 % - Markeringsfarve3 4 2 3 2 2 2" xfId="35181" xr:uid="{00000000-0005-0000-0000-0000C2450000}"/>
    <cellStyle name="40 % - Markeringsfarve3 4 2 3 2 3" xfId="28180" xr:uid="{00000000-0005-0000-0000-0000C3450000}"/>
    <cellStyle name="40 % - Markeringsfarve3 4 2 3 3" xfId="14571" xr:uid="{00000000-0005-0000-0000-0000C4450000}"/>
    <cellStyle name="40 % - Markeringsfarve3 4 2 3 3 2" xfId="32737" xr:uid="{00000000-0005-0000-0000-0000C5450000}"/>
    <cellStyle name="40 % - Markeringsfarve3 4 2 3 4" xfId="25735" xr:uid="{00000000-0005-0000-0000-0000C6450000}"/>
    <cellStyle name="40 % - Markeringsfarve3 4 2 4" xfId="6018" xr:uid="{00000000-0005-0000-0000-0000C7450000}"/>
    <cellStyle name="40 % - Markeringsfarve3 4 2 4 2" xfId="10476" xr:uid="{00000000-0005-0000-0000-0000C8450000}"/>
    <cellStyle name="40 % - Markeringsfarve3 4 2 4 2 2" xfId="18373" xr:uid="{00000000-0005-0000-0000-0000C9450000}"/>
    <cellStyle name="40 % - Markeringsfarve3 4 2 4 2 2 2" xfId="36533" xr:uid="{00000000-0005-0000-0000-0000CA450000}"/>
    <cellStyle name="40 % - Markeringsfarve3 4 2 4 2 3" xfId="29532" xr:uid="{00000000-0005-0000-0000-0000CB450000}"/>
    <cellStyle name="40 % - Markeringsfarve3 4 2 4 3" xfId="14572" xr:uid="{00000000-0005-0000-0000-0000CC450000}"/>
    <cellStyle name="40 % - Markeringsfarve3 4 2 4 3 2" xfId="32738" xr:uid="{00000000-0005-0000-0000-0000CD450000}"/>
    <cellStyle name="40 % - Markeringsfarve3 4 2 4 4" xfId="25736" xr:uid="{00000000-0005-0000-0000-0000CE450000}"/>
    <cellStyle name="40 % - Markeringsfarve3 4 2 5" xfId="8125" xr:uid="{00000000-0005-0000-0000-0000CF450000}"/>
    <cellStyle name="40 % - Markeringsfarve3 4 2 5 2" xfId="16043" xr:uid="{00000000-0005-0000-0000-0000D0450000}"/>
    <cellStyle name="40 % - Markeringsfarve3 4 2 5 2 2" xfId="34203" xr:uid="{00000000-0005-0000-0000-0000D1450000}"/>
    <cellStyle name="40 % - Markeringsfarve3 4 2 5 3" xfId="27202" xr:uid="{00000000-0005-0000-0000-0000D2450000}"/>
    <cellStyle name="40 % - Markeringsfarve3 4 2 6" xfId="14568" xr:uid="{00000000-0005-0000-0000-0000D3450000}"/>
    <cellStyle name="40 % - Markeringsfarve3 4 2 6 2" xfId="32734" xr:uid="{00000000-0005-0000-0000-0000D4450000}"/>
    <cellStyle name="40 % - Markeringsfarve3 4 2 7" xfId="6014" xr:uid="{00000000-0005-0000-0000-0000D5450000}"/>
    <cellStyle name="40 % - Markeringsfarve3 4 2 7 2" xfId="25732" xr:uid="{00000000-0005-0000-0000-0000D6450000}"/>
    <cellStyle name="40 % - Markeringsfarve3 4 2 8" xfId="22024" xr:uid="{00000000-0005-0000-0000-0000D7450000}"/>
    <cellStyle name="40 % - Markeringsfarve3 4 3" xfId="6019" xr:uid="{00000000-0005-0000-0000-0000D8450000}"/>
    <cellStyle name="40 % - Markeringsfarve3 4 3 2" xfId="6020" xr:uid="{00000000-0005-0000-0000-0000D9450000}"/>
    <cellStyle name="40 % - Markeringsfarve3 4 3 2 2" xfId="6021" xr:uid="{00000000-0005-0000-0000-0000DA450000}"/>
    <cellStyle name="40 % - Markeringsfarve3 4 3 2 2 2" xfId="10032" xr:uid="{00000000-0005-0000-0000-0000DB450000}"/>
    <cellStyle name="40 % - Markeringsfarve3 4 3 2 2 2 2" xfId="17933" xr:uid="{00000000-0005-0000-0000-0000DC450000}"/>
    <cellStyle name="40 % - Markeringsfarve3 4 3 2 2 2 2 2" xfId="36093" xr:uid="{00000000-0005-0000-0000-0000DD450000}"/>
    <cellStyle name="40 % - Markeringsfarve3 4 3 2 2 2 3" xfId="29092" xr:uid="{00000000-0005-0000-0000-0000DE450000}"/>
    <cellStyle name="40 % - Markeringsfarve3 4 3 2 2 3" xfId="14575" xr:uid="{00000000-0005-0000-0000-0000DF450000}"/>
    <cellStyle name="40 % - Markeringsfarve3 4 3 2 2 3 2" xfId="32741" xr:uid="{00000000-0005-0000-0000-0000E0450000}"/>
    <cellStyle name="40 % - Markeringsfarve3 4 3 2 2 4" xfId="25739" xr:uid="{00000000-0005-0000-0000-0000E1450000}"/>
    <cellStyle name="40 % - Markeringsfarve3 4 3 2 3" xfId="8578" xr:uid="{00000000-0005-0000-0000-0000E2450000}"/>
    <cellStyle name="40 % - Markeringsfarve3 4 3 2 3 2" xfId="16495" xr:uid="{00000000-0005-0000-0000-0000E3450000}"/>
    <cellStyle name="40 % - Markeringsfarve3 4 3 2 3 2 2" xfId="34655" xr:uid="{00000000-0005-0000-0000-0000E4450000}"/>
    <cellStyle name="40 % - Markeringsfarve3 4 3 2 3 3" xfId="27654" xr:uid="{00000000-0005-0000-0000-0000E5450000}"/>
    <cellStyle name="40 % - Markeringsfarve3 4 3 2 4" xfId="14574" xr:uid="{00000000-0005-0000-0000-0000E6450000}"/>
    <cellStyle name="40 % - Markeringsfarve3 4 3 2 4 2" xfId="32740" xr:uid="{00000000-0005-0000-0000-0000E7450000}"/>
    <cellStyle name="40 % - Markeringsfarve3 4 3 2 5" xfId="25738" xr:uid="{00000000-0005-0000-0000-0000E8450000}"/>
    <cellStyle name="40 % - Markeringsfarve3 4 3 3" xfId="6022" xr:uid="{00000000-0005-0000-0000-0000E9450000}"/>
    <cellStyle name="40 % - Markeringsfarve3 4 3 3 2" xfId="9262" xr:uid="{00000000-0005-0000-0000-0000EA450000}"/>
    <cellStyle name="40 % - Markeringsfarve3 4 3 3 2 2" xfId="17173" xr:uid="{00000000-0005-0000-0000-0000EB450000}"/>
    <cellStyle name="40 % - Markeringsfarve3 4 3 3 2 2 2" xfId="35333" xr:uid="{00000000-0005-0000-0000-0000EC450000}"/>
    <cellStyle name="40 % - Markeringsfarve3 4 3 3 2 3" xfId="28332" xr:uid="{00000000-0005-0000-0000-0000ED450000}"/>
    <cellStyle name="40 % - Markeringsfarve3 4 3 3 3" xfId="14576" xr:uid="{00000000-0005-0000-0000-0000EE450000}"/>
    <cellStyle name="40 % - Markeringsfarve3 4 3 3 3 2" xfId="32742" xr:uid="{00000000-0005-0000-0000-0000EF450000}"/>
    <cellStyle name="40 % - Markeringsfarve3 4 3 3 4" xfId="25740" xr:uid="{00000000-0005-0000-0000-0000F0450000}"/>
    <cellStyle name="40 % - Markeringsfarve3 4 3 4" xfId="6023" xr:uid="{00000000-0005-0000-0000-0000F1450000}"/>
    <cellStyle name="40 % - Markeringsfarve3 4 3 4 2" xfId="9292" xr:uid="{00000000-0005-0000-0000-0000F2450000}"/>
    <cellStyle name="40 % - Markeringsfarve3 4 3 4 2 2" xfId="17203" xr:uid="{00000000-0005-0000-0000-0000F3450000}"/>
    <cellStyle name="40 % - Markeringsfarve3 4 3 4 2 2 2" xfId="35363" xr:uid="{00000000-0005-0000-0000-0000F4450000}"/>
    <cellStyle name="40 % - Markeringsfarve3 4 3 4 2 3" xfId="28362" xr:uid="{00000000-0005-0000-0000-0000F5450000}"/>
    <cellStyle name="40 % - Markeringsfarve3 4 3 4 3" xfId="14577" xr:uid="{00000000-0005-0000-0000-0000F6450000}"/>
    <cellStyle name="40 % - Markeringsfarve3 4 3 4 3 2" xfId="32743" xr:uid="{00000000-0005-0000-0000-0000F7450000}"/>
    <cellStyle name="40 % - Markeringsfarve3 4 3 4 4" xfId="25741" xr:uid="{00000000-0005-0000-0000-0000F8450000}"/>
    <cellStyle name="40 % - Markeringsfarve3 4 3 5" xfId="8126" xr:uid="{00000000-0005-0000-0000-0000F9450000}"/>
    <cellStyle name="40 % - Markeringsfarve3 4 3 5 2" xfId="16044" xr:uid="{00000000-0005-0000-0000-0000FA450000}"/>
    <cellStyle name="40 % - Markeringsfarve3 4 3 5 2 2" xfId="34204" xr:uid="{00000000-0005-0000-0000-0000FB450000}"/>
    <cellStyle name="40 % - Markeringsfarve3 4 3 5 3" xfId="27203" xr:uid="{00000000-0005-0000-0000-0000FC450000}"/>
    <cellStyle name="40 % - Markeringsfarve3 4 3 6" xfId="14573" xr:uid="{00000000-0005-0000-0000-0000FD450000}"/>
    <cellStyle name="40 % - Markeringsfarve3 4 3 6 2" xfId="32739" xr:uid="{00000000-0005-0000-0000-0000FE450000}"/>
    <cellStyle name="40 % - Markeringsfarve3 4 3 7" xfId="25737" xr:uid="{00000000-0005-0000-0000-0000FF450000}"/>
    <cellStyle name="40 % - Markeringsfarve3 4 4" xfId="6024" xr:uid="{00000000-0005-0000-0000-000000460000}"/>
    <cellStyle name="40 % - Markeringsfarve3 4 4 2" xfId="6025" xr:uid="{00000000-0005-0000-0000-000001460000}"/>
    <cellStyle name="40 % - Markeringsfarve3 4 4 2 2" xfId="6026" xr:uid="{00000000-0005-0000-0000-000002460000}"/>
    <cellStyle name="40 % - Markeringsfarve3 4 4 2 2 2" xfId="10118" xr:uid="{00000000-0005-0000-0000-000003460000}"/>
    <cellStyle name="40 % - Markeringsfarve3 4 4 2 2 2 2" xfId="18019" xr:uid="{00000000-0005-0000-0000-000004460000}"/>
    <cellStyle name="40 % - Markeringsfarve3 4 4 2 2 2 2 2" xfId="36179" xr:uid="{00000000-0005-0000-0000-000005460000}"/>
    <cellStyle name="40 % - Markeringsfarve3 4 4 2 2 2 3" xfId="29178" xr:uid="{00000000-0005-0000-0000-000006460000}"/>
    <cellStyle name="40 % - Markeringsfarve3 4 4 2 2 3" xfId="14580" xr:uid="{00000000-0005-0000-0000-000007460000}"/>
    <cellStyle name="40 % - Markeringsfarve3 4 4 2 2 3 2" xfId="32746" xr:uid="{00000000-0005-0000-0000-000008460000}"/>
    <cellStyle name="40 % - Markeringsfarve3 4 4 2 2 4" xfId="25744" xr:uid="{00000000-0005-0000-0000-000009460000}"/>
    <cellStyle name="40 % - Markeringsfarve3 4 4 2 3" xfId="8658" xr:uid="{00000000-0005-0000-0000-00000A460000}"/>
    <cellStyle name="40 % - Markeringsfarve3 4 4 2 3 2" xfId="16572" xr:uid="{00000000-0005-0000-0000-00000B460000}"/>
    <cellStyle name="40 % - Markeringsfarve3 4 4 2 3 2 2" xfId="34732" xr:uid="{00000000-0005-0000-0000-00000C460000}"/>
    <cellStyle name="40 % - Markeringsfarve3 4 4 2 3 3" xfId="27731" xr:uid="{00000000-0005-0000-0000-00000D460000}"/>
    <cellStyle name="40 % - Markeringsfarve3 4 4 2 4" xfId="14579" xr:uid="{00000000-0005-0000-0000-00000E460000}"/>
    <cellStyle name="40 % - Markeringsfarve3 4 4 2 4 2" xfId="32745" xr:uid="{00000000-0005-0000-0000-00000F460000}"/>
    <cellStyle name="40 % - Markeringsfarve3 4 4 2 5" xfId="25743" xr:uid="{00000000-0005-0000-0000-000010460000}"/>
    <cellStyle name="40 % - Markeringsfarve3 4 4 3" xfId="6027" xr:uid="{00000000-0005-0000-0000-000011460000}"/>
    <cellStyle name="40 % - Markeringsfarve3 4 4 3 2" xfId="9394" xr:uid="{00000000-0005-0000-0000-000012460000}"/>
    <cellStyle name="40 % - Markeringsfarve3 4 4 3 2 2" xfId="17304" xr:uid="{00000000-0005-0000-0000-000013460000}"/>
    <cellStyle name="40 % - Markeringsfarve3 4 4 3 2 2 2" xfId="35464" xr:uid="{00000000-0005-0000-0000-000014460000}"/>
    <cellStyle name="40 % - Markeringsfarve3 4 4 3 2 3" xfId="28463" xr:uid="{00000000-0005-0000-0000-000015460000}"/>
    <cellStyle name="40 % - Markeringsfarve3 4 4 3 3" xfId="14581" xr:uid="{00000000-0005-0000-0000-000016460000}"/>
    <cellStyle name="40 % - Markeringsfarve3 4 4 3 3 2" xfId="32747" xr:uid="{00000000-0005-0000-0000-000017460000}"/>
    <cellStyle name="40 % - Markeringsfarve3 4 4 3 4" xfId="25745" xr:uid="{00000000-0005-0000-0000-000018460000}"/>
    <cellStyle name="40 % - Markeringsfarve3 4 4 4" xfId="6028" xr:uid="{00000000-0005-0000-0000-000019460000}"/>
    <cellStyle name="40 % - Markeringsfarve3 4 4 4 2" xfId="9305" xr:uid="{00000000-0005-0000-0000-00001A460000}"/>
    <cellStyle name="40 % - Markeringsfarve3 4 4 4 2 2" xfId="17216" xr:uid="{00000000-0005-0000-0000-00001B460000}"/>
    <cellStyle name="40 % - Markeringsfarve3 4 4 4 2 2 2" xfId="35376" xr:uid="{00000000-0005-0000-0000-00001C460000}"/>
    <cellStyle name="40 % - Markeringsfarve3 4 4 4 2 3" xfId="28375" xr:uid="{00000000-0005-0000-0000-00001D460000}"/>
    <cellStyle name="40 % - Markeringsfarve3 4 4 4 3" xfId="14582" xr:uid="{00000000-0005-0000-0000-00001E460000}"/>
    <cellStyle name="40 % - Markeringsfarve3 4 4 4 3 2" xfId="32748" xr:uid="{00000000-0005-0000-0000-00001F460000}"/>
    <cellStyle name="40 % - Markeringsfarve3 4 4 4 4" xfId="25746" xr:uid="{00000000-0005-0000-0000-000020460000}"/>
    <cellStyle name="40 % - Markeringsfarve3 4 4 5" xfId="8127" xr:uid="{00000000-0005-0000-0000-000021460000}"/>
    <cellStyle name="40 % - Markeringsfarve3 4 4 5 2" xfId="16045" xr:uid="{00000000-0005-0000-0000-000022460000}"/>
    <cellStyle name="40 % - Markeringsfarve3 4 4 5 2 2" xfId="34205" xr:uid="{00000000-0005-0000-0000-000023460000}"/>
    <cellStyle name="40 % - Markeringsfarve3 4 4 5 3" xfId="27204" xr:uid="{00000000-0005-0000-0000-000024460000}"/>
    <cellStyle name="40 % - Markeringsfarve3 4 4 6" xfId="14578" xr:uid="{00000000-0005-0000-0000-000025460000}"/>
    <cellStyle name="40 % - Markeringsfarve3 4 4 6 2" xfId="32744" xr:uid="{00000000-0005-0000-0000-000026460000}"/>
    <cellStyle name="40 % - Markeringsfarve3 4 4 7" xfId="25742" xr:uid="{00000000-0005-0000-0000-000027460000}"/>
    <cellStyle name="40 % - Markeringsfarve3 4 5" xfId="6029" xr:uid="{00000000-0005-0000-0000-000028460000}"/>
    <cellStyle name="40 % - Markeringsfarve3 4 5 2" xfId="6030" xr:uid="{00000000-0005-0000-0000-000029460000}"/>
    <cellStyle name="40 % - Markeringsfarve3 4 5 2 2" xfId="6031" xr:uid="{00000000-0005-0000-0000-00002A460000}"/>
    <cellStyle name="40 % - Markeringsfarve3 4 5 2 2 2" xfId="10235" xr:uid="{00000000-0005-0000-0000-00002B460000}"/>
    <cellStyle name="40 % - Markeringsfarve3 4 5 2 2 2 2" xfId="18136" xr:uid="{00000000-0005-0000-0000-00002C460000}"/>
    <cellStyle name="40 % - Markeringsfarve3 4 5 2 2 2 2 2" xfId="36296" xr:uid="{00000000-0005-0000-0000-00002D460000}"/>
    <cellStyle name="40 % - Markeringsfarve3 4 5 2 2 2 3" xfId="29295" xr:uid="{00000000-0005-0000-0000-00002E460000}"/>
    <cellStyle name="40 % - Markeringsfarve3 4 5 2 2 3" xfId="14585" xr:uid="{00000000-0005-0000-0000-00002F460000}"/>
    <cellStyle name="40 % - Markeringsfarve3 4 5 2 2 3 2" xfId="32751" xr:uid="{00000000-0005-0000-0000-000030460000}"/>
    <cellStyle name="40 % - Markeringsfarve3 4 5 2 2 4" xfId="25749" xr:uid="{00000000-0005-0000-0000-000031460000}"/>
    <cellStyle name="40 % - Markeringsfarve3 4 5 2 3" xfId="8757" xr:uid="{00000000-0005-0000-0000-000032460000}"/>
    <cellStyle name="40 % - Markeringsfarve3 4 5 2 3 2" xfId="16671" xr:uid="{00000000-0005-0000-0000-000033460000}"/>
    <cellStyle name="40 % - Markeringsfarve3 4 5 2 3 2 2" xfId="34831" xr:uid="{00000000-0005-0000-0000-000034460000}"/>
    <cellStyle name="40 % - Markeringsfarve3 4 5 2 3 3" xfId="27830" xr:uid="{00000000-0005-0000-0000-000035460000}"/>
    <cellStyle name="40 % - Markeringsfarve3 4 5 2 4" xfId="14584" xr:uid="{00000000-0005-0000-0000-000036460000}"/>
    <cellStyle name="40 % - Markeringsfarve3 4 5 2 4 2" xfId="32750" xr:uid="{00000000-0005-0000-0000-000037460000}"/>
    <cellStyle name="40 % - Markeringsfarve3 4 5 2 5" xfId="25748" xr:uid="{00000000-0005-0000-0000-000038460000}"/>
    <cellStyle name="40 % - Markeringsfarve3 4 5 3" xfId="6032" xr:uid="{00000000-0005-0000-0000-000039460000}"/>
    <cellStyle name="40 % - Markeringsfarve3 4 5 3 2" xfId="9511" xr:uid="{00000000-0005-0000-0000-00003A460000}"/>
    <cellStyle name="40 % - Markeringsfarve3 4 5 3 2 2" xfId="17421" xr:uid="{00000000-0005-0000-0000-00003B460000}"/>
    <cellStyle name="40 % - Markeringsfarve3 4 5 3 2 2 2" xfId="35581" xr:uid="{00000000-0005-0000-0000-00003C460000}"/>
    <cellStyle name="40 % - Markeringsfarve3 4 5 3 2 3" xfId="28580" xr:uid="{00000000-0005-0000-0000-00003D460000}"/>
    <cellStyle name="40 % - Markeringsfarve3 4 5 3 3" xfId="14586" xr:uid="{00000000-0005-0000-0000-00003E460000}"/>
    <cellStyle name="40 % - Markeringsfarve3 4 5 3 3 2" xfId="32752" xr:uid="{00000000-0005-0000-0000-00003F460000}"/>
    <cellStyle name="40 % - Markeringsfarve3 4 5 3 4" xfId="25750" xr:uid="{00000000-0005-0000-0000-000040460000}"/>
    <cellStyle name="40 % - Markeringsfarve3 4 5 4" xfId="6033" xr:uid="{00000000-0005-0000-0000-000041460000}"/>
    <cellStyle name="40 % - Markeringsfarve3 4 5 4 2" xfId="10756" xr:uid="{00000000-0005-0000-0000-000042460000}"/>
    <cellStyle name="40 % - Markeringsfarve3 4 5 4 2 2" xfId="18645" xr:uid="{00000000-0005-0000-0000-000043460000}"/>
    <cellStyle name="40 % - Markeringsfarve3 4 5 4 2 2 2" xfId="36805" xr:uid="{00000000-0005-0000-0000-000044460000}"/>
    <cellStyle name="40 % - Markeringsfarve3 4 5 4 2 3" xfId="29804" xr:uid="{00000000-0005-0000-0000-000045460000}"/>
    <cellStyle name="40 % - Markeringsfarve3 4 5 4 3" xfId="14587" xr:uid="{00000000-0005-0000-0000-000046460000}"/>
    <cellStyle name="40 % - Markeringsfarve3 4 5 4 3 2" xfId="32753" xr:uid="{00000000-0005-0000-0000-000047460000}"/>
    <cellStyle name="40 % - Markeringsfarve3 4 5 4 4" xfId="25751" xr:uid="{00000000-0005-0000-0000-000048460000}"/>
    <cellStyle name="40 % - Markeringsfarve3 4 5 5" xfId="8128" xr:uid="{00000000-0005-0000-0000-000049460000}"/>
    <cellStyle name="40 % - Markeringsfarve3 4 5 5 2" xfId="16046" xr:uid="{00000000-0005-0000-0000-00004A460000}"/>
    <cellStyle name="40 % - Markeringsfarve3 4 5 5 2 2" xfId="34206" xr:uid="{00000000-0005-0000-0000-00004B460000}"/>
    <cellStyle name="40 % - Markeringsfarve3 4 5 5 3" xfId="27205" xr:uid="{00000000-0005-0000-0000-00004C460000}"/>
    <cellStyle name="40 % - Markeringsfarve3 4 5 6" xfId="14583" xr:uid="{00000000-0005-0000-0000-00004D460000}"/>
    <cellStyle name="40 % - Markeringsfarve3 4 5 6 2" xfId="32749" xr:uid="{00000000-0005-0000-0000-00004E460000}"/>
    <cellStyle name="40 % - Markeringsfarve3 4 5 7" xfId="25747" xr:uid="{00000000-0005-0000-0000-00004F460000}"/>
    <cellStyle name="40 % - Markeringsfarve3 4 6" xfId="6034" xr:uid="{00000000-0005-0000-0000-000050460000}"/>
    <cellStyle name="40 % - Markeringsfarve3 4 6 2" xfId="6035" xr:uid="{00000000-0005-0000-0000-000051460000}"/>
    <cellStyle name="40 % - Markeringsfarve3 4 6 2 2" xfId="6036" xr:uid="{00000000-0005-0000-0000-000052460000}"/>
    <cellStyle name="40 % - Markeringsfarve3 4 6 2 2 2" xfId="10387" xr:uid="{00000000-0005-0000-0000-000053460000}"/>
    <cellStyle name="40 % - Markeringsfarve3 4 6 2 2 2 2" xfId="18288" xr:uid="{00000000-0005-0000-0000-000054460000}"/>
    <cellStyle name="40 % - Markeringsfarve3 4 6 2 2 2 2 2" xfId="36448" xr:uid="{00000000-0005-0000-0000-000055460000}"/>
    <cellStyle name="40 % - Markeringsfarve3 4 6 2 2 2 3" xfId="29447" xr:uid="{00000000-0005-0000-0000-000056460000}"/>
    <cellStyle name="40 % - Markeringsfarve3 4 6 2 2 3" xfId="14590" xr:uid="{00000000-0005-0000-0000-000057460000}"/>
    <cellStyle name="40 % - Markeringsfarve3 4 6 2 2 3 2" xfId="32756" xr:uid="{00000000-0005-0000-0000-000058460000}"/>
    <cellStyle name="40 % - Markeringsfarve3 4 6 2 2 4" xfId="25754" xr:uid="{00000000-0005-0000-0000-000059460000}"/>
    <cellStyle name="40 % - Markeringsfarve3 4 6 2 3" xfId="8880" xr:uid="{00000000-0005-0000-0000-00005A460000}"/>
    <cellStyle name="40 % - Markeringsfarve3 4 6 2 3 2" xfId="16794" xr:uid="{00000000-0005-0000-0000-00005B460000}"/>
    <cellStyle name="40 % - Markeringsfarve3 4 6 2 3 2 2" xfId="34954" xr:uid="{00000000-0005-0000-0000-00005C460000}"/>
    <cellStyle name="40 % - Markeringsfarve3 4 6 2 3 3" xfId="27953" xr:uid="{00000000-0005-0000-0000-00005D460000}"/>
    <cellStyle name="40 % - Markeringsfarve3 4 6 2 4" xfId="14589" xr:uid="{00000000-0005-0000-0000-00005E460000}"/>
    <cellStyle name="40 % - Markeringsfarve3 4 6 2 4 2" xfId="32755" xr:uid="{00000000-0005-0000-0000-00005F460000}"/>
    <cellStyle name="40 % - Markeringsfarve3 4 6 2 5" xfId="25753" xr:uid="{00000000-0005-0000-0000-000060460000}"/>
    <cellStyle name="40 % - Markeringsfarve3 4 6 3" xfId="6037" xr:uid="{00000000-0005-0000-0000-000061460000}"/>
    <cellStyle name="40 % - Markeringsfarve3 4 6 3 2" xfId="9664" xr:uid="{00000000-0005-0000-0000-000062460000}"/>
    <cellStyle name="40 % - Markeringsfarve3 4 6 3 2 2" xfId="17574" xr:uid="{00000000-0005-0000-0000-000063460000}"/>
    <cellStyle name="40 % - Markeringsfarve3 4 6 3 2 2 2" xfId="35734" xr:uid="{00000000-0005-0000-0000-000064460000}"/>
    <cellStyle name="40 % - Markeringsfarve3 4 6 3 2 3" xfId="28733" xr:uid="{00000000-0005-0000-0000-000065460000}"/>
    <cellStyle name="40 % - Markeringsfarve3 4 6 3 3" xfId="14591" xr:uid="{00000000-0005-0000-0000-000066460000}"/>
    <cellStyle name="40 % - Markeringsfarve3 4 6 3 3 2" xfId="32757" xr:uid="{00000000-0005-0000-0000-000067460000}"/>
    <cellStyle name="40 % - Markeringsfarve3 4 6 3 4" xfId="25755" xr:uid="{00000000-0005-0000-0000-000068460000}"/>
    <cellStyle name="40 % - Markeringsfarve3 4 6 4" xfId="6038" xr:uid="{00000000-0005-0000-0000-000069460000}"/>
    <cellStyle name="40 % - Markeringsfarve3 4 6 4 2" xfId="10999" xr:uid="{00000000-0005-0000-0000-00006A460000}"/>
    <cellStyle name="40 % - Markeringsfarve3 4 6 4 2 2" xfId="18875" xr:uid="{00000000-0005-0000-0000-00006B460000}"/>
    <cellStyle name="40 % - Markeringsfarve3 4 6 4 2 2 2" xfId="37035" xr:uid="{00000000-0005-0000-0000-00006C460000}"/>
    <cellStyle name="40 % - Markeringsfarve3 4 6 4 2 3" xfId="30034" xr:uid="{00000000-0005-0000-0000-00006D460000}"/>
    <cellStyle name="40 % - Markeringsfarve3 4 6 4 3" xfId="14592" xr:uid="{00000000-0005-0000-0000-00006E460000}"/>
    <cellStyle name="40 % - Markeringsfarve3 4 6 4 3 2" xfId="32758" xr:uid="{00000000-0005-0000-0000-00006F460000}"/>
    <cellStyle name="40 % - Markeringsfarve3 4 6 4 4" xfId="25756" xr:uid="{00000000-0005-0000-0000-000070460000}"/>
    <cellStyle name="40 % - Markeringsfarve3 4 6 5" xfId="8129" xr:uid="{00000000-0005-0000-0000-000071460000}"/>
    <cellStyle name="40 % - Markeringsfarve3 4 6 5 2" xfId="16047" xr:uid="{00000000-0005-0000-0000-000072460000}"/>
    <cellStyle name="40 % - Markeringsfarve3 4 6 5 2 2" xfId="34207" xr:uid="{00000000-0005-0000-0000-000073460000}"/>
    <cellStyle name="40 % - Markeringsfarve3 4 6 5 3" xfId="27206" xr:uid="{00000000-0005-0000-0000-000074460000}"/>
    <cellStyle name="40 % - Markeringsfarve3 4 6 6" xfId="14588" xr:uid="{00000000-0005-0000-0000-000075460000}"/>
    <cellStyle name="40 % - Markeringsfarve3 4 6 6 2" xfId="32754" xr:uid="{00000000-0005-0000-0000-000076460000}"/>
    <cellStyle name="40 % - Markeringsfarve3 4 6 7" xfId="25752" xr:uid="{00000000-0005-0000-0000-000077460000}"/>
    <cellStyle name="40 % - Markeringsfarve3 4 7" xfId="6039" xr:uid="{00000000-0005-0000-0000-000078460000}"/>
    <cellStyle name="40 % - Markeringsfarve3 4 7 2" xfId="6040" xr:uid="{00000000-0005-0000-0000-000079460000}"/>
    <cellStyle name="40 % - Markeringsfarve3 4 7 2 2" xfId="9761" xr:uid="{00000000-0005-0000-0000-00007A460000}"/>
    <cellStyle name="40 % - Markeringsfarve3 4 7 2 2 2" xfId="17662" xr:uid="{00000000-0005-0000-0000-00007B460000}"/>
    <cellStyle name="40 % - Markeringsfarve3 4 7 2 2 2 2" xfId="35822" xr:uid="{00000000-0005-0000-0000-00007C460000}"/>
    <cellStyle name="40 % - Markeringsfarve3 4 7 2 2 3" xfId="28821" xr:uid="{00000000-0005-0000-0000-00007D460000}"/>
    <cellStyle name="40 % - Markeringsfarve3 4 7 2 3" xfId="14594" xr:uid="{00000000-0005-0000-0000-00007E460000}"/>
    <cellStyle name="40 % - Markeringsfarve3 4 7 2 3 2" xfId="32760" xr:uid="{00000000-0005-0000-0000-00007F460000}"/>
    <cellStyle name="40 % - Markeringsfarve3 4 7 2 4" xfId="25758" xr:uid="{00000000-0005-0000-0000-000080460000}"/>
    <cellStyle name="40 % - Markeringsfarve3 4 7 3" xfId="8357" xr:uid="{00000000-0005-0000-0000-000081460000}"/>
    <cellStyle name="40 % - Markeringsfarve3 4 7 3 2" xfId="16274" xr:uid="{00000000-0005-0000-0000-000082460000}"/>
    <cellStyle name="40 % - Markeringsfarve3 4 7 3 2 2" xfId="34434" xr:uid="{00000000-0005-0000-0000-000083460000}"/>
    <cellStyle name="40 % - Markeringsfarve3 4 7 3 3" xfId="27433" xr:uid="{00000000-0005-0000-0000-000084460000}"/>
    <cellStyle name="40 % - Markeringsfarve3 4 7 4" xfId="14593" xr:uid="{00000000-0005-0000-0000-000085460000}"/>
    <cellStyle name="40 % - Markeringsfarve3 4 7 4 2" xfId="32759" xr:uid="{00000000-0005-0000-0000-000086460000}"/>
    <cellStyle name="40 % - Markeringsfarve3 4 7 5" xfId="25757" xr:uid="{00000000-0005-0000-0000-000087460000}"/>
    <cellStyle name="40 % - Markeringsfarve3 4 8" xfId="6041" xr:uid="{00000000-0005-0000-0000-000088460000}"/>
    <cellStyle name="40 % - Markeringsfarve3 4 8 2" xfId="8989" xr:uid="{00000000-0005-0000-0000-000089460000}"/>
    <cellStyle name="40 % - Markeringsfarve3 4 8 2 2" xfId="16900" xr:uid="{00000000-0005-0000-0000-00008A460000}"/>
    <cellStyle name="40 % - Markeringsfarve3 4 8 2 2 2" xfId="35060" xr:uid="{00000000-0005-0000-0000-00008B460000}"/>
    <cellStyle name="40 % - Markeringsfarve3 4 8 2 3" xfId="28059" xr:uid="{00000000-0005-0000-0000-00008C460000}"/>
    <cellStyle name="40 % - Markeringsfarve3 4 8 3" xfId="14595" xr:uid="{00000000-0005-0000-0000-00008D460000}"/>
    <cellStyle name="40 % - Markeringsfarve3 4 8 3 2" xfId="32761" xr:uid="{00000000-0005-0000-0000-00008E460000}"/>
    <cellStyle name="40 % - Markeringsfarve3 4 8 4" xfId="25759" xr:uid="{00000000-0005-0000-0000-00008F460000}"/>
    <cellStyle name="40 % - Markeringsfarve3 4 9" xfId="6042" xr:uid="{00000000-0005-0000-0000-000090460000}"/>
    <cellStyle name="40 % - Markeringsfarve3 4 9 2" xfId="10824" xr:uid="{00000000-0005-0000-0000-000091460000}"/>
    <cellStyle name="40 % - Markeringsfarve3 4 9 2 2" xfId="18711" xr:uid="{00000000-0005-0000-0000-000092460000}"/>
    <cellStyle name="40 % - Markeringsfarve3 4 9 2 2 2" xfId="36871" xr:uid="{00000000-0005-0000-0000-000093460000}"/>
    <cellStyle name="40 % - Markeringsfarve3 4 9 2 3" xfId="29870" xr:uid="{00000000-0005-0000-0000-000094460000}"/>
    <cellStyle name="40 % - Markeringsfarve3 4 9 3" xfId="14596" xr:uid="{00000000-0005-0000-0000-000095460000}"/>
    <cellStyle name="40 % - Markeringsfarve3 4 9 3 2" xfId="32762" xr:uid="{00000000-0005-0000-0000-000096460000}"/>
    <cellStyle name="40 % - Markeringsfarve3 4 9 4" xfId="25760" xr:uid="{00000000-0005-0000-0000-000097460000}"/>
    <cellStyle name="40 % - Markeringsfarve3 5" xfId="1907" xr:uid="{00000000-0005-0000-0000-000098460000}"/>
    <cellStyle name="40 % - Markeringsfarve3 5 10" xfId="8130" xr:uid="{00000000-0005-0000-0000-000099460000}"/>
    <cellStyle name="40 % - Markeringsfarve3 5 10 2" xfId="16048" xr:uid="{00000000-0005-0000-0000-00009A460000}"/>
    <cellStyle name="40 % - Markeringsfarve3 5 10 2 2" xfId="34208" xr:uid="{00000000-0005-0000-0000-00009B460000}"/>
    <cellStyle name="40 % - Markeringsfarve3 5 10 3" xfId="27207" xr:uid="{00000000-0005-0000-0000-00009C460000}"/>
    <cellStyle name="40 % - Markeringsfarve3 5 11" xfId="14597" xr:uid="{00000000-0005-0000-0000-00009D460000}"/>
    <cellStyle name="40 % - Markeringsfarve3 5 11 2" xfId="32763" xr:uid="{00000000-0005-0000-0000-00009E460000}"/>
    <cellStyle name="40 % - Markeringsfarve3 5 12" xfId="6043" xr:uid="{00000000-0005-0000-0000-00009F460000}"/>
    <cellStyle name="40 % - Markeringsfarve3 5 12 2" xfId="25761" xr:uid="{00000000-0005-0000-0000-0000A0460000}"/>
    <cellStyle name="40 % - Markeringsfarve3 5 13" xfId="22025" xr:uid="{00000000-0005-0000-0000-0000A1460000}"/>
    <cellStyle name="40 % - Markeringsfarve3 5 2" xfId="1908" xr:uid="{00000000-0005-0000-0000-0000A2460000}"/>
    <cellStyle name="40 % - Markeringsfarve3 5 2 2" xfId="6045" xr:uid="{00000000-0005-0000-0000-0000A3460000}"/>
    <cellStyle name="40 % - Markeringsfarve3 5 2 2 2" xfId="6046" xr:uid="{00000000-0005-0000-0000-0000A4460000}"/>
    <cellStyle name="40 % - Markeringsfarve3 5 2 2 2 2" xfId="9919" xr:uid="{00000000-0005-0000-0000-0000A5460000}"/>
    <cellStyle name="40 % - Markeringsfarve3 5 2 2 2 2 2" xfId="17820" xr:uid="{00000000-0005-0000-0000-0000A6460000}"/>
    <cellStyle name="40 % - Markeringsfarve3 5 2 2 2 2 2 2" xfId="35980" xr:uid="{00000000-0005-0000-0000-0000A7460000}"/>
    <cellStyle name="40 % - Markeringsfarve3 5 2 2 2 2 3" xfId="28979" xr:uid="{00000000-0005-0000-0000-0000A8460000}"/>
    <cellStyle name="40 % - Markeringsfarve3 5 2 2 2 3" xfId="14600" xr:uid="{00000000-0005-0000-0000-0000A9460000}"/>
    <cellStyle name="40 % - Markeringsfarve3 5 2 2 2 3 2" xfId="32766" xr:uid="{00000000-0005-0000-0000-0000AA460000}"/>
    <cellStyle name="40 % - Markeringsfarve3 5 2 2 2 4" xfId="25764" xr:uid="{00000000-0005-0000-0000-0000AB460000}"/>
    <cellStyle name="40 % - Markeringsfarve3 5 2 2 3" xfId="8489" xr:uid="{00000000-0005-0000-0000-0000AC460000}"/>
    <cellStyle name="40 % - Markeringsfarve3 5 2 2 3 2" xfId="16406" xr:uid="{00000000-0005-0000-0000-0000AD460000}"/>
    <cellStyle name="40 % - Markeringsfarve3 5 2 2 3 2 2" xfId="34566" xr:uid="{00000000-0005-0000-0000-0000AE460000}"/>
    <cellStyle name="40 % - Markeringsfarve3 5 2 2 3 3" xfId="27565" xr:uid="{00000000-0005-0000-0000-0000AF460000}"/>
    <cellStyle name="40 % - Markeringsfarve3 5 2 2 4" xfId="14599" xr:uid="{00000000-0005-0000-0000-0000B0460000}"/>
    <cellStyle name="40 % - Markeringsfarve3 5 2 2 4 2" xfId="32765" xr:uid="{00000000-0005-0000-0000-0000B1460000}"/>
    <cellStyle name="40 % - Markeringsfarve3 5 2 2 5" xfId="25763" xr:uid="{00000000-0005-0000-0000-0000B2460000}"/>
    <cellStyle name="40 % - Markeringsfarve3 5 2 3" xfId="6047" xr:uid="{00000000-0005-0000-0000-0000B3460000}"/>
    <cellStyle name="40 % - Markeringsfarve3 5 2 3 2" xfId="9149" xr:uid="{00000000-0005-0000-0000-0000B4460000}"/>
    <cellStyle name="40 % - Markeringsfarve3 5 2 3 2 2" xfId="17060" xr:uid="{00000000-0005-0000-0000-0000B5460000}"/>
    <cellStyle name="40 % - Markeringsfarve3 5 2 3 2 2 2" xfId="35220" xr:uid="{00000000-0005-0000-0000-0000B6460000}"/>
    <cellStyle name="40 % - Markeringsfarve3 5 2 3 2 3" xfId="28219" xr:uid="{00000000-0005-0000-0000-0000B7460000}"/>
    <cellStyle name="40 % - Markeringsfarve3 5 2 3 3" xfId="14601" xr:uid="{00000000-0005-0000-0000-0000B8460000}"/>
    <cellStyle name="40 % - Markeringsfarve3 5 2 3 3 2" xfId="32767" xr:uid="{00000000-0005-0000-0000-0000B9460000}"/>
    <cellStyle name="40 % - Markeringsfarve3 5 2 3 4" xfId="25765" xr:uid="{00000000-0005-0000-0000-0000BA460000}"/>
    <cellStyle name="40 % - Markeringsfarve3 5 2 4" xfId="6048" xr:uid="{00000000-0005-0000-0000-0000BB460000}"/>
    <cellStyle name="40 % - Markeringsfarve3 5 2 4 2" xfId="9318" xr:uid="{00000000-0005-0000-0000-0000BC460000}"/>
    <cellStyle name="40 % - Markeringsfarve3 5 2 4 2 2" xfId="17228" xr:uid="{00000000-0005-0000-0000-0000BD460000}"/>
    <cellStyle name="40 % - Markeringsfarve3 5 2 4 2 2 2" xfId="35388" xr:uid="{00000000-0005-0000-0000-0000BE460000}"/>
    <cellStyle name="40 % - Markeringsfarve3 5 2 4 2 3" xfId="28387" xr:uid="{00000000-0005-0000-0000-0000BF460000}"/>
    <cellStyle name="40 % - Markeringsfarve3 5 2 4 3" xfId="14602" xr:uid="{00000000-0005-0000-0000-0000C0460000}"/>
    <cellStyle name="40 % - Markeringsfarve3 5 2 4 3 2" xfId="32768" xr:uid="{00000000-0005-0000-0000-0000C1460000}"/>
    <cellStyle name="40 % - Markeringsfarve3 5 2 4 4" xfId="25766" xr:uid="{00000000-0005-0000-0000-0000C2460000}"/>
    <cellStyle name="40 % - Markeringsfarve3 5 2 5" xfId="8131" xr:uid="{00000000-0005-0000-0000-0000C3460000}"/>
    <cellStyle name="40 % - Markeringsfarve3 5 2 5 2" xfId="16049" xr:uid="{00000000-0005-0000-0000-0000C4460000}"/>
    <cellStyle name="40 % - Markeringsfarve3 5 2 5 2 2" xfId="34209" xr:uid="{00000000-0005-0000-0000-0000C5460000}"/>
    <cellStyle name="40 % - Markeringsfarve3 5 2 5 3" xfId="27208" xr:uid="{00000000-0005-0000-0000-0000C6460000}"/>
    <cellStyle name="40 % - Markeringsfarve3 5 2 6" xfId="14598" xr:uid="{00000000-0005-0000-0000-0000C7460000}"/>
    <cellStyle name="40 % - Markeringsfarve3 5 2 6 2" xfId="32764" xr:uid="{00000000-0005-0000-0000-0000C8460000}"/>
    <cellStyle name="40 % - Markeringsfarve3 5 2 7" xfId="6044" xr:uid="{00000000-0005-0000-0000-0000C9460000}"/>
    <cellStyle name="40 % - Markeringsfarve3 5 2 7 2" xfId="25762" xr:uid="{00000000-0005-0000-0000-0000CA460000}"/>
    <cellStyle name="40 % - Markeringsfarve3 5 2 8" xfId="22026" xr:uid="{00000000-0005-0000-0000-0000CB460000}"/>
    <cellStyle name="40 % - Markeringsfarve3 5 3" xfId="6049" xr:uid="{00000000-0005-0000-0000-0000CC460000}"/>
    <cellStyle name="40 % - Markeringsfarve3 5 3 2" xfId="6050" xr:uid="{00000000-0005-0000-0000-0000CD460000}"/>
    <cellStyle name="40 % - Markeringsfarve3 5 3 2 2" xfId="6051" xr:uid="{00000000-0005-0000-0000-0000CE460000}"/>
    <cellStyle name="40 % - Markeringsfarve3 5 3 2 2 2" xfId="10033" xr:uid="{00000000-0005-0000-0000-0000CF460000}"/>
    <cellStyle name="40 % - Markeringsfarve3 5 3 2 2 2 2" xfId="17934" xr:uid="{00000000-0005-0000-0000-0000D0460000}"/>
    <cellStyle name="40 % - Markeringsfarve3 5 3 2 2 2 2 2" xfId="36094" xr:uid="{00000000-0005-0000-0000-0000D1460000}"/>
    <cellStyle name="40 % - Markeringsfarve3 5 3 2 2 2 3" xfId="29093" xr:uid="{00000000-0005-0000-0000-0000D2460000}"/>
    <cellStyle name="40 % - Markeringsfarve3 5 3 2 2 3" xfId="14605" xr:uid="{00000000-0005-0000-0000-0000D3460000}"/>
    <cellStyle name="40 % - Markeringsfarve3 5 3 2 2 3 2" xfId="32771" xr:uid="{00000000-0005-0000-0000-0000D4460000}"/>
    <cellStyle name="40 % - Markeringsfarve3 5 3 2 2 4" xfId="25769" xr:uid="{00000000-0005-0000-0000-0000D5460000}"/>
    <cellStyle name="40 % - Markeringsfarve3 5 3 2 3" xfId="8579" xr:uid="{00000000-0005-0000-0000-0000D6460000}"/>
    <cellStyle name="40 % - Markeringsfarve3 5 3 2 3 2" xfId="16496" xr:uid="{00000000-0005-0000-0000-0000D7460000}"/>
    <cellStyle name="40 % - Markeringsfarve3 5 3 2 3 2 2" xfId="34656" xr:uid="{00000000-0005-0000-0000-0000D8460000}"/>
    <cellStyle name="40 % - Markeringsfarve3 5 3 2 3 3" xfId="27655" xr:uid="{00000000-0005-0000-0000-0000D9460000}"/>
    <cellStyle name="40 % - Markeringsfarve3 5 3 2 4" xfId="14604" xr:uid="{00000000-0005-0000-0000-0000DA460000}"/>
    <cellStyle name="40 % - Markeringsfarve3 5 3 2 4 2" xfId="32770" xr:uid="{00000000-0005-0000-0000-0000DB460000}"/>
    <cellStyle name="40 % - Markeringsfarve3 5 3 2 5" xfId="25768" xr:uid="{00000000-0005-0000-0000-0000DC460000}"/>
    <cellStyle name="40 % - Markeringsfarve3 5 3 3" xfId="6052" xr:uid="{00000000-0005-0000-0000-0000DD460000}"/>
    <cellStyle name="40 % - Markeringsfarve3 5 3 3 2" xfId="9263" xr:uid="{00000000-0005-0000-0000-0000DE460000}"/>
    <cellStyle name="40 % - Markeringsfarve3 5 3 3 2 2" xfId="17174" xr:uid="{00000000-0005-0000-0000-0000DF460000}"/>
    <cellStyle name="40 % - Markeringsfarve3 5 3 3 2 2 2" xfId="35334" xr:uid="{00000000-0005-0000-0000-0000E0460000}"/>
    <cellStyle name="40 % - Markeringsfarve3 5 3 3 2 3" xfId="28333" xr:uid="{00000000-0005-0000-0000-0000E1460000}"/>
    <cellStyle name="40 % - Markeringsfarve3 5 3 3 3" xfId="14606" xr:uid="{00000000-0005-0000-0000-0000E2460000}"/>
    <cellStyle name="40 % - Markeringsfarve3 5 3 3 3 2" xfId="32772" xr:uid="{00000000-0005-0000-0000-0000E3460000}"/>
    <cellStyle name="40 % - Markeringsfarve3 5 3 3 4" xfId="25770" xr:uid="{00000000-0005-0000-0000-0000E4460000}"/>
    <cellStyle name="40 % - Markeringsfarve3 5 3 4" xfId="6053" xr:uid="{00000000-0005-0000-0000-0000E5460000}"/>
    <cellStyle name="40 % - Markeringsfarve3 5 3 4 2" xfId="10931" xr:uid="{00000000-0005-0000-0000-0000E6460000}"/>
    <cellStyle name="40 % - Markeringsfarve3 5 3 4 2 2" xfId="18812" xr:uid="{00000000-0005-0000-0000-0000E7460000}"/>
    <cellStyle name="40 % - Markeringsfarve3 5 3 4 2 2 2" xfId="36972" xr:uid="{00000000-0005-0000-0000-0000E8460000}"/>
    <cellStyle name="40 % - Markeringsfarve3 5 3 4 2 3" xfId="29971" xr:uid="{00000000-0005-0000-0000-0000E9460000}"/>
    <cellStyle name="40 % - Markeringsfarve3 5 3 4 3" xfId="14607" xr:uid="{00000000-0005-0000-0000-0000EA460000}"/>
    <cellStyle name="40 % - Markeringsfarve3 5 3 4 3 2" xfId="32773" xr:uid="{00000000-0005-0000-0000-0000EB460000}"/>
    <cellStyle name="40 % - Markeringsfarve3 5 3 4 4" xfId="25771" xr:uid="{00000000-0005-0000-0000-0000EC460000}"/>
    <cellStyle name="40 % - Markeringsfarve3 5 3 5" xfId="8132" xr:uid="{00000000-0005-0000-0000-0000ED460000}"/>
    <cellStyle name="40 % - Markeringsfarve3 5 3 5 2" xfId="16050" xr:uid="{00000000-0005-0000-0000-0000EE460000}"/>
    <cellStyle name="40 % - Markeringsfarve3 5 3 5 2 2" xfId="34210" xr:uid="{00000000-0005-0000-0000-0000EF460000}"/>
    <cellStyle name="40 % - Markeringsfarve3 5 3 5 3" xfId="27209" xr:uid="{00000000-0005-0000-0000-0000F0460000}"/>
    <cellStyle name="40 % - Markeringsfarve3 5 3 6" xfId="14603" xr:uid="{00000000-0005-0000-0000-0000F1460000}"/>
    <cellStyle name="40 % - Markeringsfarve3 5 3 6 2" xfId="32769" xr:uid="{00000000-0005-0000-0000-0000F2460000}"/>
    <cellStyle name="40 % - Markeringsfarve3 5 3 7" xfId="25767" xr:uid="{00000000-0005-0000-0000-0000F3460000}"/>
    <cellStyle name="40 % - Markeringsfarve3 5 4" xfId="6054" xr:uid="{00000000-0005-0000-0000-0000F4460000}"/>
    <cellStyle name="40 % - Markeringsfarve3 5 4 2" xfId="6055" xr:uid="{00000000-0005-0000-0000-0000F5460000}"/>
    <cellStyle name="40 % - Markeringsfarve3 5 4 2 2" xfId="6056" xr:uid="{00000000-0005-0000-0000-0000F6460000}"/>
    <cellStyle name="40 % - Markeringsfarve3 5 4 2 2 2" xfId="10157" xr:uid="{00000000-0005-0000-0000-0000F7460000}"/>
    <cellStyle name="40 % - Markeringsfarve3 5 4 2 2 2 2" xfId="18058" xr:uid="{00000000-0005-0000-0000-0000F8460000}"/>
    <cellStyle name="40 % - Markeringsfarve3 5 4 2 2 2 2 2" xfId="36218" xr:uid="{00000000-0005-0000-0000-0000F9460000}"/>
    <cellStyle name="40 % - Markeringsfarve3 5 4 2 2 2 3" xfId="29217" xr:uid="{00000000-0005-0000-0000-0000FA460000}"/>
    <cellStyle name="40 % - Markeringsfarve3 5 4 2 2 3" xfId="14610" xr:uid="{00000000-0005-0000-0000-0000FB460000}"/>
    <cellStyle name="40 % - Markeringsfarve3 5 4 2 2 3 2" xfId="32776" xr:uid="{00000000-0005-0000-0000-0000FC460000}"/>
    <cellStyle name="40 % - Markeringsfarve3 5 4 2 2 4" xfId="25774" xr:uid="{00000000-0005-0000-0000-0000FD460000}"/>
    <cellStyle name="40 % - Markeringsfarve3 5 4 2 3" xfId="8691" xr:uid="{00000000-0005-0000-0000-0000FE460000}"/>
    <cellStyle name="40 % - Markeringsfarve3 5 4 2 3 2" xfId="16605" xr:uid="{00000000-0005-0000-0000-0000FF460000}"/>
    <cellStyle name="40 % - Markeringsfarve3 5 4 2 3 2 2" xfId="34765" xr:uid="{00000000-0005-0000-0000-000000470000}"/>
    <cellStyle name="40 % - Markeringsfarve3 5 4 2 3 3" xfId="27764" xr:uid="{00000000-0005-0000-0000-000001470000}"/>
    <cellStyle name="40 % - Markeringsfarve3 5 4 2 4" xfId="14609" xr:uid="{00000000-0005-0000-0000-000002470000}"/>
    <cellStyle name="40 % - Markeringsfarve3 5 4 2 4 2" xfId="32775" xr:uid="{00000000-0005-0000-0000-000003470000}"/>
    <cellStyle name="40 % - Markeringsfarve3 5 4 2 5" xfId="25773" xr:uid="{00000000-0005-0000-0000-000004470000}"/>
    <cellStyle name="40 % - Markeringsfarve3 5 4 3" xfId="6057" xr:uid="{00000000-0005-0000-0000-000005470000}"/>
    <cellStyle name="40 % - Markeringsfarve3 5 4 3 2" xfId="9433" xr:uid="{00000000-0005-0000-0000-000006470000}"/>
    <cellStyle name="40 % - Markeringsfarve3 5 4 3 2 2" xfId="17343" xr:uid="{00000000-0005-0000-0000-000007470000}"/>
    <cellStyle name="40 % - Markeringsfarve3 5 4 3 2 2 2" xfId="35503" xr:uid="{00000000-0005-0000-0000-000008470000}"/>
    <cellStyle name="40 % - Markeringsfarve3 5 4 3 2 3" xfId="28502" xr:uid="{00000000-0005-0000-0000-000009470000}"/>
    <cellStyle name="40 % - Markeringsfarve3 5 4 3 3" xfId="14611" xr:uid="{00000000-0005-0000-0000-00000A470000}"/>
    <cellStyle name="40 % - Markeringsfarve3 5 4 3 3 2" xfId="32777" xr:uid="{00000000-0005-0000-0000-00000B470000}"/>
    <cellStyle name="40 % - Markeringsfarve3 5 4 3 4" xfId="25775" xr:uid="{00000000-0005-0000-0000-00000C470000}"/>
    <cellStyle name="40 % - Markeringsfarve3 5 4 4" xfId="6058" xr:uid="{00000000-0005-0000-0000-00000D470000}"/>
    <cellStyle name="40 % - Markeringsfarve3 5 4 4 2" xfId="10656" xr:uid="{00000000-0005-0000-0000-00000E470000}"/>
    <cellStyle name="40 % - Markeringsfarve3 5 4 4 2 2" xfId="18549" xr:uid="{00000000-0005-0000-0000-00000F470000}"/>
    <cellStyle name="40 % - Markeringsfarve3 5 4 4 2 2 2" xfId="36709" xr:uid="{00000000-0005-0000-0000-000010470000}"/>
    <cellStyle name="40 % - Markeringsfarve3 5 4 4 2 3" xfId="29708" xr:uid="{00000000-0005-0000-0000-000011470000}"/>
    <cellStyle name="40 % - Markeringsfarve3 5 4 4 3" xfId="14612" xr:uid="{00000000-0005-0000-0000-000012470000}"/>
    <cellStyle name="40 % - Markeringsfarve3 5 4 4 3 2" xfId="32778" xr:uid="{00000000-0005-0000-0000-000013470000}"/>
    <cellStyle name="40 % - Markeringsfarve3 5 4 4 4" xfId="25776" xr:uid="{00000000-0005-0000-0000-000014470000}"/>
    <cellStyle name="40 % - Markeringsfarve3 5 4 5" xfId="8133" xr:uid="{00000000-0005-0000-0000-000015470000}"/>
    <cellStyle name="40 % - Markeringsfarve3 5 4 5 2" xfId="16051" xr:uid="{00000000-0005-0000-0000-000016470000}"/>
    <cellStyle name="40 % - Markeringsfarve3 5 4 5 2 2" xfId="34211" xr:uid="{00000000-0005-0000-0000-000017470000}"/>
    <cellStyle name="40 % - Markeringsfarve3 5 4 5 3" xfId="27210" xr:uid="{00000000-0005-0000-0000-000018470000}"/>
    <cellStyle name="40 % - Markeringsfarve3 5 4 6" xfId="14608" xr:uid="{00000000-0005-0000-0000-000019470000}"/>
    <cellStyle name="40 % - Markeringsfarve3 5 4 6 2" xfId="32774" xr:uid="{00000000-0005-0000-0000-00001A470000}"/>
    <cellStyle name="40 % - Markeringsfarve3 5 4 7" xfId="25772" xr:uid="{00000000-0005-0000-0000-00001B470000}"/>
    <cellStyle name="40 % - Markeringsfarve3 5 5" xfId="6059" xr:uid="{00000000-0005-0000-0000-00001C470000}"/>
    <cellStyle name="40 % - Markeringsfarve3 5 5 2" xfId="6060" xr:uid="{00000000-0005-0000-0000-00001D470000}"/>
    <cellStyle name="40 % - Markeringsfarve3 5 5 2 2" xfId="6061" xr:uid="{00000000-0005-0000-0000-00001E470000}"/>
    <cellStyle name="40 % - Markeringsfarve3 5 5 2 2 2" xfId="10274" xr:uid="{00000000-0005-0000-0000-00001F470000}"/>
    <cellStyle name="40 % - Markeringsfarve3 5 5 2 2 2 2" xfId="18175" xr:uid="{00000000-0005-0000-0000-000020470000}"/>
    <cellStyle name="40 % - Markeringsfarve3 5 5 2 2 2 2 2" xfId="36335" xr:uid="{00000000-0005-0000-0000-000021470000}"/>
    <cellStyle name="40 % - Markeringsfarve3 5 5 2 2 2 3" xfId="29334" xr:uid="{00000000-0005-0000-0000-000022470000}"/>
    <cellStyle name="40 % - Markeringsfarve3 5 5 2 2 3" xfId="14615" xr:uid="{00000000-0005-0000-0000-000023470000}"/>
    <cellStyle name="40 % - Markeringsfarve3 5 5 2 2 3 2" xfId="32781" xr:uid="{00000000-0005-0000-0000-000024470000}"/>
    <cellStyle name="40 % - Markeringsfarve3 5 5 2 2 4" xfId="25779" xr:uid="{00000000-0005-0000-0000-000025470000}"/>
    <cellStyle name="40 % - Markeringsfarve3 5 5 2 3" xfId="8790" xr:uid="{00000000-0005-0000-0000-000026470000}"/>
    <cellStyle name="40 % - Markeringsfarve3 5 5 2 3 2" xfId="16704" xr:uid="{00000000-0005-0000-0000-000027470000}"/>
    <cellStyle name="40 % - Markeringsfarve3 5 5 2 3 2 2" xfId="34864" xr:uid="{00000000-0005-0000-0000-000028470000}"/>
    <cellStyle name="40 % - Markeringsfarve3 5 5 2 3 3" xfId="27863" xr:uid="{00000000-0005-0000-0000-000029470000}"/>
    <cellStyle name="40 % - Markeringsfarve3 5 5 2 4" xfId="14614" xr:uid="{00000000-0005-0000-0000-00002A470000}"/>
    <cellStyle name="40 % - Markeringsfarve3 5 5 2 4 2" xfId="32780" xr:uid="{00000000-0005-0000-0000-00002B470000}"/>
    <cellStyle name="40 % - Markeringsfarve3 5 5 2 5" xfId="25778" xr:uid="{00000000-0005-0000-0000-00002C470000}"/>
    <cellStyle name="40 % - Markeringsfarve3 5 5 3" xfId="6062" xr:uid="{00000000-0005-0000-0000-00002D470000}"/>
    <cellStyle name="40 % - Markeringsfarve3 5 5 3 2" xfId="9550" xr:uid="{00000000-0005-0000-0000-00002E470000}"/>
    <cellStyle name="40 % - Markeringsfarve3 5 5 3 2 2" xfId="17460" xr:uid="{00000000-0005-0000-0000-00002F470000}"/>
    <cellStyle name="40 % - Markeringsfarve3 5 5 3 2 2 2" xfId="35620" xr:uid="{00000000-0005-0000-0000-000030470000}"/>
    <cellStyle name="40 % - Markeringsfarve3 5 5 3 2 3" xfId="28619" xr:uid="{00000000-0005-0000-0000-000031470000}"/>
    <cellStyle name="40 % - Markeringsfarve3 5 5 3 3" xfId="14616" xr:uid="{00000000-0005-0000-0000-000032470000}"/>
    <cellStyle name="40 % - Markeringsfarve3 5 5 3 3 2" xfId="32782" xr:uid="{00000000-0005-0000-0000-000033470000}"/>
    <cellStyle name="40 % - Markeringsfarve3 5 5 3 4" xfId="25780" xr:uid="{00000000-0005-0000-0000-000034470000}"/>
    <cellStyle name="40 % - Markeringsfarve3 5 5 4" xfId="6063" xr:uid="{00000000-0005-0000-0000-000035470000}"/>
    <cellStyle name="40 % - Markeringsfarve3 5 5 4 2" xfId="10892" xr:uid="{00000000-0005-0000-0000-000036470000}"/>
    <cellStyle name="40 % - Markeringsfarve3 5 5 4 2 2" xfId="18775" xr:uid="{00000000-0005-0000-0000-000037470000}"/>
    <cellStyle name="40 % - Markeringsfarve3 5 5 4 2 2 2" xfId="36935" xr:uid="{00000000-0005-0000-0000-000038470000}"/>
    <cellStyle name="40 % - Markeringsfarve3 5 5 4 2 3" xfId="29934" xr:uid="{00000000-0005-0000-0000-000039470000}"/>
    <cellStyle name="40 % - Markeringsfarve3 5 5 4 3" xfId="14617" xr:uid="{00000000-0005-0000-0000-00003A470000}"/>
    <cellStyle name="40 % - Markeringsfarve3 5 5 4 3 2" xfId="32783" xr:uid="{00000000-0005-0000-0000-00003B470000}"/>
    <cellStyle name="40 % - Markeringsfarve3 5 5 4 4" xfId="25781" xr:uid="{00000000-0005-0000-0000-00003C470000}"/>
    <cellStyle name="40 % - Markeringsfarve3 5 5 5" xfId="8134" xr:uid="{00000000-0005-0000-0000-00003D470000}"/>
    <cellStyle name="40 % - Markeringsfarve3 5 5 5 2" xfId="16052" xr:uid="{00000000-0005-0000-0000-00003E470000}"/>
    <cellStyle name="40 % - Markeringsfarve3 5 5 5 2 2" xfId="34212" xr:uid="{00000000-0005-0000-0000-00003F470000}"/>
    <cellStyle name="40 % - Markeringsfarve3 5 5 5 3" xfId="27211" xr:uid="{00000000-0005-0000-0000-000040470000}"/>
    <cellStyle name="40 % - Markeringsfarve3 5 5 6" xfId="14613" xr:uid="{00000000-0005-0000-0000-000041470000}"/>
    <cellStyle name="40 % - Markeringsfarve3 5 5 6 2" xfId="32779" xr:uid="{00000000-0005-0000-0000-000042470000}"/>
    <cellStyle name="40 % - Markeringsfarve3 5 5 7" xfId="25777" xr:uid="{00000000-0005-0000-0000-000043470000}"/>
    <cellStyle name="40 % - Markeringsfarve3 5 6" xfId="6064" xr:uid="{00000000-0005-0000-0000-000044470000}"/>
    <cellStyle name="40 % - Markeringsfarve3 5 6 2" xfId="6065" xr:uid="{00000000-0005-0000-0000-000045470000}"/>
    <cellStyle name="40 % - Markeringsfarve3 5 6 2 2" xfId="6066" xr:uid="{00000000-0005-0000-0000-000046470000}"/>
    <cellStyle name="40 % - Markeringsfarve3 5 6 2 2 2" xfId="10388" xr:uid="{00000000-0005-0000-0000-000047470000}"/>
    <cellStyle name="40 % - Markeringsfarve3 5 6 2 2 2 2" xfId="18289" xr:uid="{00000000-0005-0000-0000-000048470000}"/>
    <cellStyle name="40 % - Markeringsfarve3 5 6 2 2 2 2 2" xfId="36449" xr:uid="{00000000-0005-0000-0000-000049470000}"/>
    <cellStyle name="40 % - Markeringsfarve3 5 6 2 2 2 3" xfId="29448" xr:uid="{00000000-0005-0000-0000-00004A470000}"/>
    <cellStyle name="40 % - Markeringsfarve3 5 6 2 2 3" xfId="14620" xr:uid="{00000000-0005-0000-0000-00004B470000}"/>
    <cellStyle name="40 % - Markeringsfarve3 5 6 2 2 3 2" xfId="32786" xr:uid="{00000000-0005-0000-0000-00004C470000}"/>
    <cellStyle name="40 % - Markeringsfarve3 5 6 2 2 4" xfId="25784" xr:uid="{00000000-0005-0000-0000-00004D470000}"/>
    <cellStyle name="40 % - Markeringsfarve3 5 6 2 3" xfId="8881" xr:uid="{00000000-0005-0000-0000-00004E470000}"/>
    <cellStyle name="40 % - Markeringsfarve3 5 6 2 3 2" xfId="16795" xr:uid="{00000000-0005-0000-0000-00004F470000}"/>
    <cellStyle name="40 % - Markeringsfarve3 5 6 2 3 2 2" xfId="34955" xr:uid="{00000000-0005-0000-0000-000050470000}"/>
    <cellStyle name="40 % - Markeringsfarve3 5 6 2 3 3" xfId="27954" xr:uid="{00000000-0005-0000-0000-000051470000}"/>
    <cellStyle name="40 % - Markeringsfarve3 5 6 2 4" xfId="14619" xr:uid="{00000000-0005-0000-0000-000052470000}"/>
    <cellStyle name="40 % - Markeringsfarve3 5 6 2 4 2" xfId="32785" xr:uid="{00000000-0005-0000-0000-000053470000}"/>
    <cellStyle name="40 % - Markeringsfarve3 5 6 2 5" xfId="25783" xr:uid="{00000000-0005-0000-0000-000054470000}"/>
    <cellStyle name="40 % - Markeringsfarve3 5 6 3" xfId="6067" xr:uid="{00000000-0005-0000-0000-000055470000}"/>
    <cellStyle name="40 % - Markeringsfarve3 5 6 3 2" xfId="9665" xr:uid="{00000000-0005-0000-0000-000056470000}"/>
    <cellStyle name="40 % - Markeringsfarve3 5 6 3 2 2" xfId="17575" xr:uid="{00000000-0005-0000-0000-000057470000}"/>
    <cellStyle name="40 % - Markeringsfarve3 5 6 3 2 2 2" xfId="35735" xr:uid="{00000000-0005-0000-0000-000058470000}"/>
    <cellStyle name="40 % - Markeringsfarve3 5 6 3 2 3" xfId="28734" xr:uid="{00000000-0005-0000-0000-000059470000}"/>
    <cellStyle name="40 % - Markeringsfarve3 5 6 3 3" xfId="14621" xr:uid="{00000000-0005-0000-0000-00005A470000}"/>
    <cellStyle name="40 % - Markeringsfarve3 5 6 3 3 2" xfId="32787" xr:uid="{00000000-0005-0000-0000-00005B470000}"/>
    <cellStyle name="40 % - Markeringsfarve3 5 6 3 4" xfId="25785" xr:uid="{00000000-0005-0000-0000-00005C470000}"/>
    <cellStyle name="40 % - Markeringsfarve3 5 6 4" xfId="6068" xr:uid="{00000000-0005-0000-0000-00005D470000}"/>
    <cellStyle name="40 % - Markeringsfarve3 5 6 4 2" xfId="10614" xr:uid="{00000000-0005-0000-0000-00005E470000}"/>
    <cellStyle name="40 % - Markeringsfarve3 5 6 4 2 2" xfId="18508" xr:uid="{00000000-0005-0000-0000-00005F470000}"/>
    <cellStyle name="40 % - Markeringsfarve3 5 6 4 2 2 2" xfId="36668" xr:uid="{00000000-0005-0000-0000-000060470000}"/>
    <cellStyle name="40 % - Markeringsfarve3 5 6 4 2 3" xfId="29667" xr:uid="{00000000-0005-0000-0000-000061470000}"/>
    <cellStyle name="40 % - Markeringsfarve3 5 6 4 3" xfId="14622" xr:uid="{00000000-0005-0000-0000-000062470000}"/>
    <cellStyle name="40 % - Markeringsfarve3 5 6 4 3 2" xfId="32788" xr:uid="{00000000-0005-0000-0000-000063470000}"/>
    <cellStyle name="40 % - Markeringsfarve3 5 6 4 4" xfId="25786" xr:uid="{00000000-0005-0000-0000-000064470000}"/>
    <cellStyle name="40 % - Markeringsfarve3 5 6 5" xfId="8135" xr:uid="{00000000-0005-0000-0000-000065470000}"/>
    <cellStyle name="40 % - Markeringsfarve3 5 6 5 2" xfId="16053" xr:uid="{00000000-0005-0000-0000-000066470000}"/>
    <cellStyle name="40 % - Markeringsfarve3 5 6 5 2 2" xfId="34213" xr:uid="{00000000-0005-0000-0000-000067470000}"/>
    <cellStyle name="40 % - Markeringsfarve3 5 6 5 3" xfId="27212" xr:uid="{00000000-0005-0000-0000-000068470000}"/>
    <cellStyle name="40 % - Markeringsfarve3 5 6 6" xfId="14618" xr:uid="{00000000-0005-0000-0000-000069470000}"/>
    <cellStyle name="40 % - Markeringsfarve3 5 6 6 2" xfId="32784" xr:uid="{00000000-0005-0000-0000-00006A470000}"/>
    <cellStyle name="40 % - Markeringsfarve3 5 6 7" xfId="25782" xr:uid="{00000000-0005-0000-0000-00006B470000}"/>
    <cellStyle name="40 % - Markeringsfarve3 5 7" xfId="6069" xr:uid="{00000000-0005-0000-0000-00006C470000}"/>
    <cellStyle name="40 % - Markeringsfarve3 5 7 2" xfId="6070" xr:uid="{00000000-0005-0000-0000-00006D470000}"/>
    <cellStyle name="40 % - Markeringsfarve3 5 7 2 2" xfId="9800" xr:uid="{00000000-0005-0000-0000-00006E470000}"/>
    <cellStyle name="40 % - Markeringsfarve3 5 7 2 2 2" xfId="17701" xr:uid="{00000000-0005-0000-0000-00006F470000}"/>
    <cellStyle name="40 % - Markeringsfarve3 5 7 2 2 2 2" xfId="35861" xr:uid="{00000000-0005-0000-0000-000070470000}"/>
    <cellStyle name="40 % - Markeringsfarve3 5 7 2 2 3" xfId="28860" xr:uid="{00000000-0005-0000-0000-000071470000}"/>
    <cellStyle name="40 % - Markeringsfarve3 5 7 2 3" xfId="14624" xr:uid="{00000000-0005-0000-0000-000072470000}"/>
    <cellStyle name="40 % - Markeringsfarve3 5 7 2 3 2" xfId="32790" xr:uid="{00000000-0005-0000-0000-000073470000}"/>
    <cellStyle name="40 % - Markeringsfarve3 5 7 2 4" xfId="25788" xr:uid="{00000000-0005-0000-0000-000074470000}"/>
    <cellStyle name="40 % - Markeringsfarve3 5 7 3" xfId="8390" xr:uid="{00000000-0005-0000-0000-000075470000}"/>
    <cellStyle name="40 % - Markeringsfarve3 5 7 3 2" xfId="16307" xr:uid="{00000000-0005-0000-0000-000076470000}"/>
    <cellStyle name="40 % - Markeringsfarve3 5 7 3 2 2" xfId="34467" xr:uid="{00000000-0005-0000-0000-000077470000}"/>
    <cellStyle name="40 % - Markeringsfarve3 5 7 3 3" xfId="27466" xr:uid="{00000000-0005-0000-0000-000078470000}"/>
    <cellStyle name="40 % - Markeringsfarve3 5 7 4" xfId="14623" xr:uid="{00000000-0005-0000-0000-000079470000}"/>
    <cellStyle name="40 % - Markeringsfarve3 5 7 4 2" xfId="32789" xr:uid="{00000000-0005-0000-0000-00007A470000}"/>
    <cellStyle name="40 % - Markeringsfarve3 5 7 5" xfId="25787" xr:uid="{00000000-0005-0000-0000-00007B470000}"/>
    <cellStyle name="40 % - Markeringsfarve3 5 8" xfId="6071" xr:uid="{00000000-0005-0000-0000-00007C470000}"/>
    <cellStyle name="40 % - Markeringsfarve3 5 8 2" xfId="9028" xr:uid="{00000000-0005-0000-0000-00007D470000}"/>
    <cellStyle name="40 % - Markeringsfarve3 5 8 2 2" xfId="16939" xr:uid="{00000000-0005-0000-0000-00007E470000}"/>
    <cellStyle name="40 % - Markeringsfarve3 5 8 2 2 2" xfId="35099" xr:uid="{00000000-0005-0000-0000-00007F470000}"/>
    <cellStyle name="40 % - Markeringsfarve3 5 8 2 3" xfId="28098" xr:uid="{00000000-0005-0000-0000-000080470000}"/>
    <cellStyle name="40 % - Markeringsfarve3 5 8 3" xfId="14625" xr:uid="{00000000-0005-0000-0000-000081470000}"/>
    <cellStyle name="40 % - Markeringsfarve3 5 8 3 2" xfId="32791" xr:uid="{00000000-0005-0000-0000-000082470000}"/>
    <cellStyle name="40 % - Markeringsfarve3 5 8 4" xfId="25789" xr:uid="{00000000-0005-0000-0000-000083470000}"/>
    <cellStyle name="40 % - Markeringsfarve3 5 9" xfId="6072" xr:uid="{00000000-0005-0000-0000-000084470000}"/>
    <cellStyle name="40 % - Markeringsfarve3 5 9 2" xfId="10719" xr:uid="{00000000-0005-0000-0000-000085470000}"/>
    <cellStyle name="40 % - Markeringsfarve3 5 9 2 2" xfId="18608" xr:uid="{00000000-0005-0000-0000-000086470000}"/>
    <cellStyle name="40 % - Markeringsfarve3 5 9 2 2 2" xfId="36768" xr:uid="{00000000-0005-0000-0000-000087470000}"/>
    <cellStyle name="40 % - Markeringsfarve3 5 9 2 3" xfId="29767" xr:uid="{00000000-0005-0000-0000-000088470000}"/>
    <cellStyle name="40 % - Markeringsfarve3 5 9 3" xfId="14626" xr:uid="{00000000-0005-0000-0000-000089470000}"/>
    <cellStyle name="40 % - Markeringsfarve3 5 9 3 2" xfId="32792" xr:uid="{00000000-0005-0000-0000-00008A470000}"/>
    <cellStyle name="40 % - Markeringsfarve3 5 9 4" xfId="25790" xr:uid="{00000000-0005-0000-0000-00008B470000}"/>
    <cellStyle name="40 % - Markeringsfarve3 6" xfId="1909" xr:uid="{00000000-0005-0000-0000-00008C470000}"/>
    <cellStyle name="40 % - Markeringsfarve3 6 2" xfId="1910" xr:uid="{00000000-0005-0000-0000-00008D470000}"/>
    <cellStyle name="40 % - Markeringsfarve3 6 2 2" xfId="6075" xr:uid="{00000000-0005-0000-0000-00008E470000}"/>
    <cellStyle name="40 % - Markeringsfarve3 6 2 2 2" xfId="6076" xr:uid="{00000000-0005-0000-0000-00008F470000}"/>
    <cellStyle name="40 % - Markeringsfarve3 6 2 2 2 2" xfId="10034" xr:uid="{00000000-0005-0000-0000-000090470000}"/>
    <cellStyle name="40 % - Markeringsfarve3 6 2 2 2 2 2" xfId="17935" xr:uid="{00000000-0005-0000-0000-000091470000}"/>
    <cellStyle name="40 % - Markeringsfarve3 6 2 2 2 2 2 2" xfId="36095" xr:uid="{00000000-0005-0000-0000-000092470000}"/>
    <cellStyle name="40 % - Markeringsfarve3 6 2 2 2 2 3" xfId="29094" xr:uid="{00000000-0005-0000-0000-000093470000}"/>
    <cellStyle name="40 % - Markeringsfarve3 6 2 2 2 3" xfId="14630" xr:uid="{00000000-0005-0000-0000-000094470000}"/>
    <cellStyle name="40 % - Markeringsfarve3 6 2 2 2 3 2" xfId="32796" xr:uid="{00000000-0005-0000-0000-000095470000}"/>
    <cellStyle name="40 % - Markeringsfarve3 6 2 2 2 4" xfId="25794" xr:uid="{00000000-0005-0000-0000-000096470000}"/>
    <cellStyle name="40 % - Markeringsfarve3 6 2 2 3" xfId="8580" xr:uid="{00000000-0005-0000-0000-000097470000}"/>
    <cellStyle name="40 % - Markeringsfarve3 6 2 2 3 2" xfId="16497" xr:uid="{00000000-0005-0000-0000-000098470000}"/>
    <cellStyle name="40 % - Markeringsfarve3 6 2 2 3 2 2" xfId="34657" xr:uid="{00000000-0005-0000-0000-000099470000}"/>
    <cellStyle name="40 % - Markeringsfarve3 6 2 2 3 3" xfId="27656" xr:uid="{00000000-0005-0000-0000-00009A470000}"/>
    <cellStyle name="40 % - Markeringsfarve3 6 2 2 4" xfId="14629" xr:uid="{00000000-0005-0000-0000-00009B470000}"/>
    <cellStyle name="40 % - Markeringsfarve3 6 2 2 4 2" xfId="32795" xr:uid="{00000000-0005-0000-0000-00009C470000}"/>
    <cellStyle name="40 % - Markeringsfarve3 6 2 2 5" xfId="25793" xr:uid="{00000000-0005-0000-0000-00009D470000}"/>
    <cellStyle name="40 % - Markeringsfarve3 6 2 3" xfId="6077" xr:uid="{00000000-0005-0000-0000-00009E470000}"/>
    <cellStyle name="40 % - Markeringsfarve3 6 2 3 2" xfId="9264" xr:uid="{00000000-0005-0000-0000-00009F470000}"/>
    <cellStyle name="40 % - Markeringsfarve3 6 2 3 2 2" xfId="17175" xr:uid="{00000000-0005-0000-0000-0000A0470000}"/>
    <cellStyle name="40 % - Markeringsfarve3 6 2 3 2 2 2" xfId="35335" xr:uid="{00000000-0005-0000-0000-0000A1470000}"/>
    <cellStyle name="40 % - Markeringsfarve3 6 2 3 2 3" xfId="28334" xr:uid="{00000000-0005-0000-0000-0000A2470000}"/>
    <cellStyle name="40 % - Markeringsfarve3 6 2 3 3" xfId="14631" xr:uid="{00000000-0005-0000-0000-0000A3470000}"/>
    <cellStyle name="40 % - Markeringsfarve3 6 2 3 3 2" xfId="32797" xr:uid="{00000000-0005-0000-0000-0000A4470000}"/>
    <cellStyle name="40 % - Markeringsfarve3 6 2 3 4" xfId="25795" xr:uid="{00000000-0005-0000-0000-0000A5470000}"/>
    <cellStyle name="40 % - Markeringsfarve3 6 2 4" xfId="6078" xr:uid="{00000000-0005-0000-0000-0000A6470000}"/>
    <cellStyle name="40 % - Markeringsfarve3 6 2 4 2" xfId="10506" xr:uid="{00000000-0005-0000-0000-0000A7470000}"/>
    <cellStyle name="40 % - Markeringsfarve3 6 2 4 2 2" xfId="18400" xr:uid="{00000000-0005-0000-0000-0000A8470000}"/>
    <cellStyle name="40 % - Markeringsfarve3 6 2 4 2 2 2" xfId="36560" xr:uid="{00000000-0005-0000-0000-0000A9470000}"/>
    <cellStyle name="40 % - Markeringsfarve3 6 2 4 2 3" xfId="29559" xr:uid="{00000000-0005-0000-0000-0000AA470000}"/>
    <cellStyle name="40 % - Markeringsfarve3 6 2 4 3" xfId="14632" xr:uid="{00000000-0005-0000-0000-0000AB470000}"/>
    <cellStyle name="40 % - Markeringsfarve3 6 2 4 3 2" xfId="32798" xr:uid="{00000000-0005-0000-0000-0000AC470000}"/>
    <cellStyle name="40 % - Markeringsfarve3 6 2 4 4" xfId="25796" xr:uid="{00000000-0005-0000-0000-0000AD470000}"/>
    <cellStyle name="40 % - Markeringsfarve3 6 2 5" xfId="8137" xr:uid="{00000000-0005-0000-0000-0000AE470000}"/>
    <cellStyle name="40 % - Markeringsfarve3 6 2 5 2" xfId="16055" xr:uid="{00000000-0005-0000-0000-0000AF470000}"/>
    <cellStyle name="40 % - Markeringsfarve3 6 2 5 2 2" xfId="34215" xr:uid="{00000000-0005-0000-0000-0000B0470000}"/>
    <cellStyle name="40 % - Markeringsfarve3 6 2 5 3" xfId="27214" xr:uid="{00000000-0005-0000-0000-0000B1470000}"/>
    <cellStyle name="40 % - Markeringsfarve3 6 2 6" xfId="14628" xr:uid="{00000000-0005-0000-0000-0000B2470000}"/>
    <cellStyle name="40 % - Markeringsfarve3 6 2 6 2" xfId="32794" xr:uid="{00000000-0005-0000-0000-0000B3470000}"/>
    <cellStyle name="40 % - Markeringsfarve3 6 2 7" xfId="6074" xr:uid="{00000000-0005-0000-0000-0000B4470000}"/>
    <cellStyle name="40 % - Markeringsfarve3 6 2 7 2" xfId="25792" xr:uid="{00000000-0005-0000-0000-0000B5470000}"/>
    <cellStyle name="40 % - Markeringsfarve3 6 2 8" xfId="22028" xr:uid="{00000000-0005-0000-0000-0000B6470000}"/>
    <cellStyle name="40 % - Markeringsfarve3 6 3" xfId="6079" xr:uid="{00000000-0005-0000-0000-0000B7470000}"/>
    <cellStyle name="40 % - Markeringsfarve3 6 3 2" xfId="6080" xr:uid="{00000000-0005-0000-0000-0000B8470000}"/>
    <cellStyle name="40 % - Markeringsfarve3 6 3 2 2" xfId="9841" xr:uid="{00000000-0005-0000-0000-0000B9470000}"/>
    <cellStyle name="40 % - Markeringsfarve3 6 3 2 2 2" xfId="17742" xr:uid="{00000000-0005-0000-0000-0000BA470000}"/>
    <cellStyle name="40 % - Markeringsfarve3 6 3 2 2 2 2" xfId="35902" xr:uid="{00000000-0005-0000-0000-0000BB470000}"/>
    <cellStyle name="40 % - Markeringsfarve3 6 3 2 2 3" xfId="28901" xr:uid="{00000000-0005-0000-0000-0000BC470000}"/>
    <cellStyle name="40 % - Markeringsfarve3 6 3 2 3" xfId="14634" xr:uid="{00000000-0005-0000-0000-0000BD470000}"/>
    <cellStyle name="40 % - Markeringsfarve3 6 3 2 3 2" xfId="32800" xr:uid="{00000000-0005-0000-0000-0000BE470000}"/>
    <cellStyle name="40 % - Markeringsfarve3 6 3 2 4" xfId="25798" xr:uid="{00000000-0005-0000-0000-0000BF470000}"/>
    <cellStyle name="40 % - Markeringsfarve3 6 3 3" xfId="8423" xr:uid="{00000000-0005-0000-0000-0000C0470000}"/>
    <cellStyle name="40 % - Markeringsfarve3 6 3 3 2" xfId="16340" xr:uid="{00000000-0005-0000-0000-0000C1470000}"/>
    <cellStyle name="40 % - Markeringsfarve3 6 3 3 2 2" xfId="34500" xr:uid="{00000000-0005-0000-0000-0000C2470000}"/>
    <cellStyle name="40 % - Markeringsfarve3 6 3 3 3" xfId="27499" xr:uid="{00000000-0005-0000-0000-0000C3470000}"/>
    <cellStyle name="40 % - Markeringsfarve3 6 3 4" xfId="14633" xr:uid="{00000000-0005-0000-0000-0000C4470000}"/>
    <cellStyle name="40 % - Markeringsfarve3 6 3 4 2" xfId="32799" xr:uid="{00000000-0005-0000-0000-0000C5470000}"/>
    <cellStyle name="40 % - Markeringsfarve3 6 3 5" xfId="25797" xr:uid="{00000000-0005-0000-0000-0000C6470000}"/>
    <cellStyle name="40 % - Markeringsfarve3 6 4" xfId="6081" xr:uid="{00000000-0005-0000-0000-0000C7470000}"/>
    <cellStyle name="40 % - Markeringsfarve3 6 4 2" xfId="9071" xr:uid="{00000000-0005-0000-0000-0000C8470000}"/>
    <cellStyle name="40 % - Markeringsfarve3 6 4 2 2" xfId="16982" xr:uid="{00000000-0005-0000-0000-0000C9470000}"/>
    <cellStyle name="40 % - Markeringsfarve3 6 4 2 2 2" xfId="35142" xr:uid="{00000000-0005-0000-0000-0000CA470000}"/>
    <cellStyle name="40 % - Markeringsfarve3 6 4 2 3" xfId="28141" xr:uid="{00000000-0005-0000-0000-0000CB470000}"/>
    <cellStyle name="40 % - Markeringsfarve3 6 4 3" xfId="14635" xr:uid="{00000000-0005-0000-0000-0000CC470000}"/>
    <cellStyle name="40 % - Markeringsfarve3 6 4 3 2" xfId="32801" xr:uid="{00000000-0005-0000-0000-0000CD470000}"/>
    <cellStyle name="40 % - Markeringsfarve3 6 4 4" xfId="25799" xr:uid="{00000000-0005-0000-0000-0000CE470000}"/>
    <cellStyle name="40 % - Markeringsfarve3 6 5" xfId="6082" xr:uid="{00000000-0005-0000-0000-0000CF470000}"/>
    <cellStyle name="40 % - Markeringsfarve3 6 5 2" xfId="10856" xr:uid="{00000000-0005-0000-0000-0000D0470000}"/>
    <cellStyle name="40 % - Markeringsfarve3 6 5 2 2" xfId="18739" xr:uid="{00000000-0005-0000-0000-0000D1470000}"/>
    <cellStyle name="40 % - Markeringsfarve3 6 5 2 2 2" xfId="36899" xr:uid="{00000000-0005-0000-0000-0000D2470000}"/>
    <cellStyle name="40 % - Markeringsfarve3 6 5 2 3" xfId="29898" xr:uid="{00000000-0005-0000-0000-0000D3470000}"/>
    <cellStyle name="40 % - Markeringsfarve3 6 5 3" xfId="14636" xr:uid="{00000000-0005-0000-0000-0000D4470000}"/>
    <cellStyle name="40 % - Markeringsfarve3 6 5 3 2" xfId="32802" xr:uid="{00000000-0005-0000-0000-0000D5470000}"/>
    <cellStyle name="40 % - Markeringsfarve3 6 5 4" xfId="25800" xr:uid="{00000000-0005-0000-0000-0000D6470000}"/>
    <cellStyle name="40 % - Markeringsfarve3 6 6" xfId="8136" xr:uid="{00000000-0005-0000-0000-0000D7470000}"/>
    <cellStyle name="40 % - Markeringsfarve3 6 6 2" xfId="16054" xr:uid="{00000000-0005-0000-0000-0000D8470000}"/>
    <cellStyle name="40 % - Markeringsfarve3 6 6 2 2" xfId="34214" xr:uid="{00000000-0005-0000-0000-0000D9470000}"/>
    <cellStyle name="40 % - Markeringsfarve3 6 6 3" xfId="27213" xr:uid="{00000000-0005-0000-0000-0000DA470000}"/>
    <cellStyle name="40 % - Markeringsfarve3 6 7" xfId="14627" xr:uid="{00000000-0005-0000-0000-0000DB470000}"/>
    <cellStyle name="40 % - Markeringsfarve3 6 7 2" xfId="32793" xr:uid="{00000000-0005-0000-0000-0000DC470000}"/>
    <cellStyle name="40 % - Markeringsfarve3 6 8" xfId="6073" xr:uid="{00000000-0005-0000-0000-0000DD470000}"/>
    <cellStyle name="40 % - Markeringsfarve3 6 8 2" xfId="25791" xr:uid="{00000000-0005-0000-0000-0000DE470000}"/>
    <cellStyle name="40 % - Markeringsfarve3 6 9" xfId="22027" xr:uid="{00000000-0005-0000-0000-0000DF470000}"/>
    <cellStyle name="40 % - Markeringsfarve3 7" xfId="1911" xr:uid="{00000000-0005-0000-0000-0000E0470000}"/>
    <cellStyle name="40 % - Markeringsfarve3 7 2" xfId="6084" xr:uid="{00000000-0005-0000-0000-0000E1470000}"/>
    <cellStyle name="40 % - Markeringsfarve3 7 2 2" xfId="6085" xr:uid="{00000000-0005-0000-0000-0000E2470000}"/>
    <cellStyle name="40 % - Markeringsfarve3 7 2 2 2" xfId="10079" xr:uid="{00000000-0005-0000-0000-0000E3470000}"/>
    <cellStyle name="40 % - Markeringsfarve3 7 2 2 2 2" xfId="17980" xr:uid="{00000000-0005-0000-0000-0000E4470000}"/>
    <cellStyle name="40 % - Markeringsfarve3 7 2 2 2 2 2" xfId="36140" xr:uid="{00000000-0005-0000-0000-0000E5470000}"/>
    <cellStyle name="40 % - Markeringsfarve3 7 2 2 2 3" xfId="29139" xr:uid="{00000000-0005-0000-0000-0000E6470000}"/>
    <cellStyle name="40 % - Markeringsfarve3 7 2 2 3" xfId="14639" xr:uid="{00000000-0005-0000-0000-0000E7470000}"/>
    <cellStyle name="40 % - Markeringsfarve3 7 2 2 3 2" xfId="32805" xr:uid="{00000000-0005-0000-0000-0000E8470000}"/>
    <cellStyle name="40 % - Markeringsfarve3 7 2 2 4" xfId="25803" xr:uid="{00000000-0005-0000-0000-0000E9470000}"/>
    <cellStyle name="40 % - Markeringsfarve3 7 2 3" xfId="8625" xr:uid="{00000000-0005-0000-0000-0000EA470000}"/>
    <cellStyle name="40 % - Markeringsfarve3 7 2 3 2" xfId="16539" xr:uid="{00000000-0005-0000-0000-0000EB470000}"/>
    <cellStyle name="40 % - Markeringsfarve3 7 2 3 2 2" xfId="34699" xr:uid="{00000000-0005-0000-0000-0000EC470000}"/>
    <cellStyle name="40 % - Markeringsfarve3 7 2 3 3" xfId="27698" xr:uid="{00000000-0005-0000-0000-0000ED470000}"/>
    <cellStyle name="40 % - Markeringsfarve3 7 2 4" xfId="14638" xr:uid="{00000000-0005-0000-0000-0000EE470000}"/>
    <cellStyle name="40 % - Markeringsfarve3 7 2 4 2" xfId="32804" xr:uid="{00000000-0005-0000-0000-0000EF470000}"/>
    <cellStyle name="40 % - Markeringsfarve3 7 2 5" xfId="25802" xr:uid="{00000000-0005-0000-0000-0000F0470000}"/>
    <cellStyle name="40 % - Markeringsfarve3 7 3" xfId="6086" xr:uid="{00000000-0005-0000-0000-0000F1470000}"/>
    <cellStyle name="40 % - Markeringsfarve3 7 3 2" xfId="9355" xr:uid="{00000000-0005-0000-0000-0000F2470000}"/>
    <cellStyle name="40 % - Markeringsfarve3 7 3 2 2" xfId="17265" xr:uid="{00000000-0005-0000-0000-0000F3470000}"/>
    <cellStyle name="40 % - Markeringsfarve3 7 3 2 2 2" xfId="35425" xr:uid="{00000000-0005-0000-0000-0000F4470000}"/>
    <cellStyle name="40 % - Markeringsfarve3 7 3 2 3" xfId="28424" xr:uid="{00000000-0005-0000-0000-0000F5470000}"/>
    <cellStyle name="40 % - Markeringsfarve3 7 3 3" xfId="14640" xr:uid="{00000000-0005-0000-0000-0000F6470000}"/>
    <cellStyle name="40 % - Markeringsfarve3 7 3 3 2" xfId="32806" xr:uid="{00000000-0005-0000-0000-0000F7470000}"/>
    <cellStyle name="40 % - Markeringsfarve3 7 3 4" xfId="25804" xr:uid="{00000000-0005-0000-0000-0000F8470000}"/>
    <cellStyle name="40 % - Markeringsfarve3 7 4" xfId="6087" xr:uid="{00000000-0005-0000-0000-0000F9470000}"/>
    <cellStyle name="40 % - Markeringsfarve3 7 4 2" xfId="10801" xr:uid="{00000000-0005-0000-0000-0000FA470000}"/>
    <cellStyle name="40 % - Markeringsfarve3 7 4 2 2" xfId="18688" xr:uid="{00000000-0005-0000-0000-0000FB470000}"/>
    <cellStyle name="40 % - Markeringsfarve3 7 4 2 2 2" xfId="36848" xr:uid="{00000000-0005-0000-0000-0000FC470000}"/>
    <cellStyle name="40 % - Markeringsfarve3 7 4 2 3" xfId="29847" xr:uid="{00000000-0005-0000-0000-0000FD470000}"/>
    <cellStyle name="40 % - Markeringsfarve3 7 4 3" xfId="14641" xr:uid="{00000000-0005-0000-0000-0000FE470000}"/>
    <cellStyle name="40 % - Markeringsfarve3 7 4 3 2" xfId="32807" xr:uid="{00000000-0005-0000-0000-0000FF470000}"/>
    <cellStyle name="40 % - Markeringsfarve3 7 4 4" xfId="25805" xr:uid="{00000000-0005-0000-0000-000000480000}"/>
    <cellStyle name="40 % - Markeringsfarve3 7 5" xfId="8138" xr:uid="{00000000-0005-0000-0000-000001480000}"/>
    <cellStyle name="40 % - Markeringsfarve3 7 5 2" xfId="16056" xr:uid="{00000000-0005-0000-0000-000002480000}"/>
    <cellStyle name="40 % - Markeringsfarve3 7 5 2 2" xfId="34216" xr:uid="{00000000-0005-0000-0000-000003480000}"/>
    <cellStyle name="40 % - Markeringsfarve3 7 5 3" xfId="27215" xr:uid="{00000000-0005-0000-0000-000004480000}"/>
    <cellStyle name="40 % - Markeringsfarve3 7 6" xfId="14637" xr:uid="{00000000-0005-0000-0000-000005480000}"/>
    <cellStyle name="40 % - Markeringsfarve3 7 6 2" xfId="32803" xr:uid="{00000000-0005-0000-0000-000006480000}"/>
    <cellStyle name="40 % - Markeringsfarve3 7 7" xfId="6083" xr:uid="{00000000-0005-0000-0000-000007480000}"/>
    <cellStyle name="40 % - Markeringsfarve3 7 7 2" xfId="25801" xr:uid="{00000000-0005-0000-0000-000008480000}"/>
    <cellStyle name="40 % - Markeringsfarve3 7 8" xfId="22029" xr:uid="{00000000-0005-0000-0000-000009480000}"/>
    <cellStyle name="40 % - Markeringsfarve3 8" xfId="6088" xr:uid="{00000000-0005-0000-0000-00000A480000}"/>
    <cellStyle name="40 % - Markeringsfarve3 8 2" xfId="6089" xr:uid="{00000000-0005-0000-0000-00000B480000}"/>
    <cellStyle name="40 % - Markeringsfarve3 8 2 2" xfId="6090" xr:uid="{00000000-0005-0000-0000-00000C480000}"/>
    <cellStyle name="40 % - Markeringsfarve3 8 2 2 2" xfId="10196" xr:uid="{00000000-0005-0000-0000-00000D480000}"/>
    <cellStyle name="40 % - Markeringsfarve3 8 2 2 2 2" xfId="18097" xr:uid="{00000000-0005-0000-0000-00000E480000}"/>
    <cellStyle name="40 % - Markeringsfarve3 8 2 2 2 2 2" xfId="36257" xr:uid="{00000000-0005-0000-0000-00000F480000}"/>
    <cellStyle name="40 % - Markeringsfarve3 8 2 2 2 3" xfId="29256" xr:uid="{00000000-0005-0000-0000-000010480000}"/>
    <cellStyle name="40 % - Markeringsfarve3 8 2 2 3" xfId="14644" xr:uid="{00000000-0005-0000-0000-000011480000}"/>
    <cellStyle name="40 % - Markeringsfarve3 8 2 2 3 2" xfId="32810" xr:uid="{00000000-0005-0000-0000-000012480000}"/>
    <cellStyle name="40 % - Markeringsfarve3 8 2 2 4" xfId="25808" xr:uid="{00000000-0005-0000-0000-000013480000}"/>
    <cellStyle name="40 % - Markeringsfarve3 8 2 3" xfId="8724" xr:uid="{00000000-0005-0000-0000-000014480000}"/>
    <cellStyle name="40 % - Markeringsfarve3 8 2 3 2" xfId="16638" xr:uid="{00000000-0005-0000-0000-000015480000}"/>
    <cellStyle name="40 % - Markeringsfarve3 8 2 3 2 2" xfId="34798" xr:uid="{00000000-0005-0000-0000-000016480000}"/>
    <cellStyle name="40 % - Markeringsfarve3 8 2 3 3" xfId="27797" xr:uid="{00000000-0005-0000-0000-000017480000}"/>
    <cellStyle name="40 % - Markeringsfarve3 8 2 4" xfId="14643" xr:uid="{00000000-0005-0000-0000-000018480000}"/>
    <cellStyle name="40 % - Markeringsfarve3 8 2 4 2" xfId="32809" xr:uid="{00000000-0005-0000-0000-000019480000}"/>
    <cellStyle name="40 % - Markeringsfarve3 8 2 5" xfId="25807" xr:uid="{00000000-0005-0000-0000-00001A480000}"/>
    <cellStyle name="40 % - Markeringsfarve3 8 3" xfId="6091" xr:uid="{00000000-0005-0000-0000-00001B480000}"/>
    <cellStyle name="40 % - Markeringsfarve3 8 3 2" xfId="9472" xr:uid="{00000000-0005-0000-0000-00001C480000}"/>
    <cellStyle name="40 % - Markeringsfarve3 8 3 2 2" xfId="17382" xr:uid="{00000000-0005-0000-0000-00001D480000}"/>
    <cellStyle name="40 % - Markeringsfarve3 8 3 2 2 2" xfId="35542" xr:uid="{00000000-0005-0000-0000-00001E480000}"/>
    <cellStyle name="40 % - Markeringsfarve3 8 3 2 3" xfId="28541" xr:uid="{00000000-0005-0000-0000-00001F480000}"/>
    <cellStyle name="40 % - Markeringsfarve3 8 3 3" xfId="14645" xr:uid="{00000000-0005-0000-0000-000020480000}"/>
    <cellStyle name="40 % - Markeringsfarve3 8 3 3 2" xfId="32811" xr:uid="{00000000-0005-0000-0000-000021480000}"/>
    <cellStyle name="40 % - Markeringsfarve3 8 3 4" xfId="25809" xr:uid="{00000000-0005-0000-0000-000022480000}"/>
    <cellStyle name="40 % - Markeringsfarve3 8 4" xfId="6092" xr:uid="{00000000-0005-0000-0000-000023480000}"/>
    <cellStyle name="40 % - Markeringsfarve3 8 4 2" xfId="10450" xr:uid="{00000000-0005-0000-0000-000024480000}"/>
    <cellStyle name="40 % - Markeringsfarve3 8 4 2 2" xfId="18347" xr:uid="{00000000-0005-0000-0000-000025480000}"/>
    <cellStyle name="40 % - Markeringsfarve3 8 4 2 2 2" xfId="36507" xr:uid="{00000000-0005-0000-0000-000026480000}"/>
    <cellStyle name="40 % - Markeringsfarve3 8 4 2 3" xfId="29506" xr:uid="{00000000-0005-0000-0000-000027480000}"/>
    <cellStyle name="40 % - Markeringsfarve3 8 4 3" xfId="14646" xr:uid="{00000000-0005-0000-0000-000028480000}"/>
    <cellStyle name="40 % - Markeringsfarve3 8 4 3 2" xfId="32812" xr:uid="{00000000-0005-0000-0000-000029480000}"/>
    <cellStyle name="40 % - Markeringsfarve3 8 4 4" xfId="25810" xr:uid="{00000000-0005-0000-0000-00002A480000}"/>
    <cellStyle name="40 % - Markeringsfarve3 8 5" xfId="8139" xr:uid="{00000000-0005-0000-0000-00002B480000}"/>
    <cellStyle name="40 % - Markeringsfarve3 8 5 2" xfId="16057" xr:uid="{00000000-0005-0000-0000-00002C480000}"/>
    <cellStyle name="40 % - Markeringsfarve3 8 5 2 2" xfId="34217" xr:uid="{00000000-0005-0000-0000-00002D480000}"/>
    <cellStyle name="40 % - Markeringsfarve3 8 5 3" xfId="27216" xr:uid="{00000000-0005-0000-0000-00002E480000}"/>
    <cellStyle name="40 % - Markeringsfarve3 8 6" xfId="14642" xr:uid="{00000000-0005-0000-0000-00002F480000}"/>
    <cellStyle name="40 % - Markeringsfarve3 8 6 2" xfId="32808" xr:uid="{00000000-0005-0000-0000-000030480000}"/>
    <cellStyle name="40 % - Markeringsfarve3 8 7" xfId="25806" xr:uid="{00000000-0005-0000-0000-000031480000}"/>
    <cellStyle name="40 % - Markeringsfarve3 9" xfId="6093" xr:uid="{00000000-0005-0000-0000-000032480000}"/>
    <cellStyle name="40 % - Markeringsfarve3 9 2" xfId="6094" xr:uid="{00000000-0005-0000-0000-000033480000}"/>
    <cellStyle name="40 % - Markeringsfarve3 9 2 2" xfId="6095" xr:uid="{00000000-0005-0000-0000-000034480000}"/>
    <cellStyle name="40 % - Markeringsfarve3 9 2 2 2" xfId="10380" xr:uid="{00000000-0005-0000-0000-000035480000}"/>
    <cellStyle name="40 % - Markeringsfarve3 9 2 2 2 2" xfId="18281" xr:uid="{00000000-0005-0000-0000-000036480000}"/>
    <cellStyle name="40 % - Markeringsfarve3 9 2 2 2 2 2" xfId="36441" xr:uid="{00000000-0005-0000-0000-000037480000}"/>
    <cellStyle name="40 % - Markeringsfarve3 9 2 2 2 3" xfId="29440" xr:uid="{00000000-0005-0000-0000-000038480000}"/>
    <cellStyle name="40 % - Markeringsfarve3 9 2 2 3" xfId="14649" xr:uid="{00000000-0005-0000-0000-000039480000}"/>
    <cellStyle name="40 % - Markeringsfarve3 9 2 2 3 2" xfId="32815" xr:uid="{00000000-0005-0000-0000-00003A480000}"/>
    <cellStyle name="40 % - Markeringsfarve3 9 2 2 4" xfId="25813" xr:uid="{00000000-0005-0000-0000-00003B480000}"/>
    <cellStyle name="40 % - Markeringsfarve3 9 2 3" xfId="8873" xr:uid="{00000000-0005-0000-0000-00003C480000}"/>
    <cellStyle name="40 % - Markeringsfarve3 9 2 3 2" xfId="16787" xr:uid="{00000000-0005-0000-0000-00003D480000}"/>
    <cellStyle name="40 % - Markeringsfarve3 9 2 3 2 2" xfId="34947" xr:uid="{00000000-0005-0000-0000-00003E480000}"/>
    <cellStyle name="40 % - Markeringsfarve3 9 2 3 3" xfId="27946" xr:uid="{00000000-0005-0000-0000-00003F480000}"/>
    <cellStyle name="40 % - Markeringsfarve3 9 2 4" xfId="14648" xr:uid="{00000000-0005-0000-0000-000040480000}"/>
    <cellStyle name="40 % - Markeringsfarve3 9 2 4 2" xfId="32814" xr:uid="{00000000-0005-0000-0000-000041480000}"/>
    <cellStyle name="40 % - Markeringsfarve3 9 2 5" xfId="25812" xr:uid="{00000000-0005-0000-0000-000042480000}"/>
    <cellStyle name="40 % - Markeringsfarve3 9 3" xfId="6096" xr:uid="{00000000-0005-0000-0000-000043480000}"/>
    <cellStyle name="40 % - Markeringsfarve3 9 3 2" xfId="9657" xr:uid="{00000000-0005-0000-0000-000044480000}"/>
    <cellStyle name="40 % - Markeringsfarve3 9 3 2 2" xfId="17567" xr:uid="{00000000-0005-0000-0000-000045480000}"/>
    <cellStyle name="40 % - Markeringsfarve3 9 3 2 2 2" xfId="35727" xr:uid="{00000000-0005-0000-0000-000046480000}"/>
    <cellStyle name="40 % - Markeringsfarve3 9 3 2 3" xfId="28726" xr:uid="{00000000-0005-0000-0000-000047480000}"/>
    <cellStyle name="40 % - Markeringsfarve3 9 3 3" xfId="14650" xr:uid="{00000000-0005-0000-0000-000048480000}"/>
    <cellStyle name="40 % - Markeringsfarve3 9 3 3 2" xfId="32816" xr:uid="{00000000-0005-0000-0000-000049480000}"/>
    <cellStyle name="40 % - Markeringsfarve3 9 3 4" xfId="25814" xr:uid="{00000000-0005-0000-0000-00004A480000}"/>
    <cellStyle name="40 % - Markeringsfarve3 9 4" xfId="6097" xr:uid="{00000000-0005-0000-0000-00004B480000}"/>
    <cellStyle name="40 % - Markeringsfarve3 9 4 2" xfId="10787" xr:uid="{00000000-0005-0000-0000-00004C480000}"/>
    <cellStyle name="40 % - Markeringsfarve3 9 4 2 2" xfId="18675" xr:uid="{00000000-0005-0000-0000-00004D480000}"/>
    <cellStyle name="40 % - Markeringsfarve3 9 4 2 2 2" xfId="36835" xr:uid="{00000000-0005-0000-0000-00004E480000}"/>
    <cellStyle name="40 % - Markeringsfarve3 9 4 2 3" xfId="29834" xr:uid="{00000000-0005-0000-0000-00004F480000}"/>
    <cellStyle name="40 % - Markeringsfarve3 9 4 3" xfId="14651" xr:uid="{00000000-0005-0000-0000-000050480000}"/>
    <cellStyle name="40 % - Markeringsfarve3 9 4 3 2" xfId="32817" xr:uid="{00000000-0005-0000-0000-000051480000}"/>
    <cellStyle name="40 % - Markeringsfarve3 9 4 4" xfId="25815" xr:uid="{00000000-0005-0000-0000-000052480000}"/>
    <cellStyle name="40 % - Markeringsfarve3 9 5" xfId="8140" xr:uid="{00000000-0005-0000-0000-000053480000}"/>
    <cellStyle name="40 % - Markeringsfarve3 9 5 2" xfId="16058" xr:uid="{00000000-0005-0000-0000-000054480000}"/>
    <cellStyle name="40 % - Markeringsfarve3 9 5 2 2" xfId="34218" xr:uid="{00000000-0005-0000-0000-000055480000}"/>
    <cellStyle name="40 % - Markeringsfarve3 9 5 3" xfId="27217" xr:uid="{00000000-0005-0000-0000-000056480000}"/>
    <cellStyle name="40 % - Markeringsfarve3 9 6" xfId="14647" xr:uid="{00000000-0005-0000-0000-000057480000}"/>
    <cellStyle name="40 % - Markeringsfarve3 9 6 2" xfId="32813" xr:uid="{00000000-0005-0000-0000-000058480000}"/>
    <cellStyle name="40 % - Markeringsfarve3 9 7" xfId="25811" xr:uid="{00000000-0005-0000-0000-000059480000}"/>
    <cellStyle name="40 % - Markeringsfarve4 10" xfId="6099" xr:uid="{00000000-0005-0000-0000-00005A480000}"/>
    <cellStyle name="40 % - Markeringsfarve4 10 2" xfId="6100" xr:uid="{00000000-0005-0000-0000-00005B480000}"/>
    <cellStyle name="40 % - Markeringsfarve4 10 2 2" xfId="6101" xr:uid="{00000000-0005-0000-0000-00005C480000}"/>
    <cellStyle name="40 % - Markeringsfarve4 10 2 2 2" xfId="10389" xr:uid="{00000000-0005-0000-0000-00005D480000}"/>
    <cellStyle name="40 % - Markeringsfarve4 10 2 2 2 2" xfId="18290" xr:uid="{00000000-0005-0000-0000-00005E480000}"/>
    <cellStyle name="40 % - Markeringsfarve4 10 2 2 2 2 2" xfId="36450" xr:uid="{00000000-0005-0000-0000-00005F480000}"/>
    <cellStyle name="40 % - Markeringsfarve4 10 2 2 2 3" xfId="29449" xr:uid="{00000000-0005-0000-0000-000060480000}"/>
    <cellStyle name="40 % - Markeringsfarve4 10 2 2 3" xfId="14655" xr:uid="{00000000-0005-0000-0000-000061480000}"/>
    <cellStyle name="40 % - Markeringsfarve4 10 2 2 3 2" xfId="32821" xr:uid="{00000000-0005-0000-0000-000062480000}"/>
    <cellStyle name="40 % - Markeringsfarve4 10 2 2 4" xfId="25819" xr:uid="{00000000-0005-0000-0000-000063480000}"/>
    <cellStyle name="40 % - Markeringsfarve4 10 2 3" xfId="8882" xr:uid="{00000000-0005-0000-0000-000064480000}"/>
    <cellStyle name="40 % - Markeringsfarve4 10 2 3 2" xfId="16796" xr:uid="{00000000-0005-0000-0000-000065480000}"/>
    <cellStyle name="40 % - Markeringsfarve4 10 2 3 2 2" xfId="34956" xr:uid="{00000000-0005-0000-0000-000066480000}"/>
    <cellStyle name="40 % - Markeringsfarve4 10 2 3 3" xfId="27955" xr:uid="{00000000-0005-0000-0000-000067480000}"/>
    <cellStyle name="40 % - Markeringsfarve4 10 2 4" xfId="14654" xr:uid="{00000000-0005-0000-0000-000068480000}"/>
    <cellStyle name="40 % - Markeringsfarve4 10 2 4 2" xfId="32820" xr:uid="{00000000-0005-0000-0000-000069480000}"/>
    <cellStyle name="40 % - Markeringsfarve4 10 2 5" xfId="25818" xr:uid="{00000000-0005-0000-0000-00006A480000}"/>
    <cellStyle name="40 % - Markeringsfarve4 10 3" xfId="6102" xr:uid="{00000000-0005-0000-0000-00006B480000}"/>
    <cellStyle name="40 % - Markeringsfarve4 10 3 2" xfId="9666" xr:uid="{00000000-0005-0000-0000-00006C480000}"/>
    <cellStyle name="40 % - Markeringsfarve4 10 3 2 2" xfId="17576" xr:uid="{00000000-0005-0000-0000-00006D480000}"/>
    <cellStyle name="40 % - Markeringsfarve4 10 3 2 2 2" xfId="35736" xr:uid="{00000000-0005-0000-0000-00006E480000}"/>
    <cellStyle name="40 % - Markeringsfarve4 10 3 2 3" xfId="28735" xr:uid="{00000000-0005-0000-0000-00006F480000}"/>
    <cellStyle name="40 % - Markeringsfarve4 10 3 3" xfId="14656" xr:uid="{00000000-0005-0000-0000-000070480000}"/>
    <cellStyle name="40 % - Markeringsfarve4 10 3 3 2" xfId="32822" xr:uid="{00000000-0005-0000-0000-000071480000}"/>
    <cellStyle name="40 % - Markeringsfarve4 10 3 4" xfId="25820" xr:uid="{00000000-0005-0000-0000-000072480000}"/>
    <cellStyle name="40 % - Markeringsfarve4 10 4" xfId="6103" xr:uid="{00000000-0005-0000-0000-000073480000}"/>
    <cellStyle name="40 % - Markeringsfarve4 10 4 2" xfId="10718" xr:uid="{00000000-0005-0000-0000-000074480000}"/>
    <cellStyle name="40 % - Markeringsfarve4 10 4 2 2" xfId="18607" xr:uid="{00000000-0005-0000-0000-000075480000}"/>
    <cellStyle name="40 % - Markeringsfarve4 10 4 2 2 2" xfId="36767" xr:uid="{00000000-0005-0000-0000-000076480000}"/>
    <cellStyle name="40 % - Markeringsfarve4 10 4 2 3" xfId="29766" xr:uid="{00000000-0005-0000-0000-000077480000}"/>
    <cellStyle name="40 % - Markeringsfarve4 10 4 3" xfId="14657" xr:uid="{00000000-0005-0000-0000-000078480000}"/>
    <cellStyle name="40 % - Markeringsfarve4 10 4 3 2" xfId="32823" xr:uid="{00000000-0005-0000-0000-000079480000}"/>
    <cellStyle name="40 % - Markeringsfarve4 10 4 4" xfId="25821" xr:uid="{00000000-0005-0000-0000-00007A480000}"/>
    <cellStyle name="40 % - Markeringsfarve4 10 5" xfId="8142" xr:uid="{00000000-0005-0000-0000-00007B480000}"/>
    <cellStyle name="40 % - Markeringsfarve4 10 5 2" xfId="16060" xr:uid="{00000000-0005-0000-0000-00007C480000}"/>
    <cellStyle name="40 % - Markeringsfarve4 10 5 2 2" xfId="34220" xr:uid="{00000000-0005-0000-0000-00007D480000}"/>
    <cellStyle name="40 % - Markeringsfarve4 10 5 3" xfId="27219" xr:uid="{00000000-0005-0000-0000-00007E480000}"/>
    <cellStyle name="40 % - Markeringsfarve4 10 6" xfId="14653" xr:uid="{00000000-0005-0000-0000-00007F480000}"/>
    <cellStyle name="40 % - Markeringsfarve4 10 6 2" xfId="32819" xr:uid="{00000000-0005-0000-0000-000080480000}"/>
    <cellStyle name="40 % - Markeringsfarve4 10 7" xfId="25817" xr:uid="{00000000-0005-0000-0000-000081480000}"/>
    <cellStyle name="40 % - Markeringsfarve4 11" xfId="6104" xr:uid="{00000000-0005-0000-0000-000082480000}"/>
    <cellStyle name="40 % - Markeringsfarve4 11 2" xfId="6105" xr:uid="{00000000-0005-0000-0000-000083480000}"/>
    <cellStyle name="40 % - Markeringsfarve4 11 2 2" xfId="9723" xr:uid="{00000000-0005-0000-0000-000084480000}"/>
    <cellStyle name="40 % - Markeringsfarve4 11 2 2 2" xfId="17624" xr:uid="{00000000-0005-0000-0000-000085480000}"/>
    <cellStyle name="40 % - Markeringsfarve4 11 2 2 2 2" xfId="35784" xr:uid="{00000000-0005-0000-0000-000086480000}"/>
    <cellStyle name="40 % - Markeringsfarve4 11 2 2 3" xfId="28783" xr:uid="{00000000-0005-0000-0000-000087480000}"/>
    <cellStyle name="40 % - Markeringsfarve4 11 2 3" xfId="14659" xr:uid="{00000000-0005-0000-0000-000088480000}"/>
    <cellStyle name="40 % - Markeringsfarve4 11 2 3 2" xfId="32825" xr:uid="{00000000-0005-0000-0000-000089480000}"/>
    <cellStyle name="40 % - Markeringsfarve4 11 2 4" xfId="25823" xr:uid="{00000000-0005-0000-0000-00008A480000}"/>
    <cellStyle name="40 % - Markeringsfarve4 11 3" xfId="6106" xr:uid="{00000000-0005-0000-0000-00008B480000}"/>
    <cellStyle name="40 % - Markeringsfarve4 11 3 2" xfId="10960" xr:uid="{00000000-0005-0000-0000-00008C480000}"/>
    <cellStyle name="40 % - Markeringsfarve4 11 3 2 2" xfId="18840" xr:uid="{00000000-0005-0000-0000-00008D480000}"/>
    <cellStyle name="40 % - Markeringsfarve4 11 3 2 2 2" xfId="37000" xr:uid="{00000000-0005-0000-0000-00008E480000}"/>
    <cellStyle name="40 % - Markeringsfarve4 11 3 2 3" xfId="29999" xr:uid="{00000000-0005-0000-0000-00008F480000}"/>
    <cellStyle name="40 % - Markeringsfarve4 11 3 3" xfId="14660" xr:uid="{00000000-0005-0000-0000-000090480000}"/>
    <cellStyle name="40 % - Markeringsfarve4 11 3 3 2" xfId="32826" xr:uid="{00000000-0005-0000-0000-000091480000}"/>
    <cellStyle name="40 % - Markeringsfarve4 11 3 4" xfId="25824" xr:uid="{00000000-0005-0000-0000-000092480000}"/>
    <cellStyle name="40 % - Markeringsfarve4 11 4" xfId="8143" xr:uid="{00000000-0005-0000-0000-000093480000}"/>
    <cellStyle name="40 % - Markeringsfarve4 11 4 2" xfId="16061" xr:uid="{00000000-0005-0000-0000-000094480000}"/>
    <cellStyle name="40 % - Markeringsfarve4 11 4 2 2" xfId="34221" xr:uid="{00000000-0005-0000-0000-000095480000}"/>
    <cellStyle name="40 % - Markeringsfarve4 11 4 3" xfId="27220" xr:uid="{00000000-0005-0000-0000-000096480000}"/>
    <cellStyle name="40 % - Markeringsfarve4 11 5" xfId="14658" xr:uid="{00000000-0005-0000-0000-000097480000}"/>
    <cellStyle name="40 % - Markeringsfarve4 11 5 2" xfId="32824" xr:uid="{00000000-0005-0000-0000-000098480000}"/>
    <cellStyle name="40 % - Markeringsfarve4 11 6" xfId="25822" xr:uid="{00000000-0005-0000-0000-000099480000}"/>
    <cellStyle name="40 % - Markeringsfarve4 12" xfId="6107" xr:uid="{00000000-0005-0000-0000-00009A480000}"/>
    <cellStyle name="40 % - Markeringsfarve4 12 2" xfId="6108" xr:uid="{00000000-0005-0000-0000-00009B480000}"/>
    <cellStyle name="40 % - Markeringsfarve4 12 2 2" xfId="10684" xr:uid="{00000000-0005-0000-0000-00009C480000}"/>
    <cellStyle name="40 % - Markeringsfarve4 12 2 2 2" xfId="18576" xr:uid="{00000000-0005-0000-0000-00009D480000}"/>
    <cellStyle name="40 % - Markeringsfarve4 12 2 2 2 2" xfId="36736" xr:uid="{00000000-0005-0000-0000-00009E480000}"/>
    <cellStyle name="40 % - Markeringsfarve4 12 2 2 3" xfId="29735" xr:uid="{00000000-0005-0000-0000-00009F480000}"/>
    <cellStyle name="40 % - Markeringsfarve4 12 2 3" xfId="14662" xr:uid="{00000000-0005-0000-0000-0000A0480000}"/>
    <cellStyle name="40 % - Markeringsfarve4 12 2 3 2" xfId="32828" xr:uid="{00000000-0005-0000-0000-0000A1480000}"/>
    <cellStyle name="40 % - Markeringsfarve4 12 2 4" xfId="25826" xr:uid="{00000000-0005-0000-0000-0000A2480000}"/>
    <cellStyle name="40 % - Markeringsfarve4 12 3" xfId="8144" xr:uid="{00000000-0005-0000-0000-0000A3480000}"/>
    <cellStyle name="40 % - Markeringsfarve4 12 3 2" xfId="16062" xr:uid="{00000000-0005-0000-0000-0000A4480000}"/>
    <cellStyle name="40 % - Markeringsfarve4 12 3 2 2" xfId="34222" xr:uid="{00000000-0005-0000-0000-0000A5480000}"/>
    <cellStyle name="40 % - Markeringsfarve4 12 3 3" xfId="27221" xr:uid="{00000000-0005-0000-0000-0000A6480000}"/>
    <cellStyle name="40 % - Markeringsfarve4 12 4" xfId="14661" xr:uid="{00000000-0005-0000-0000-0000A7480000}"/>
    <cellStyle name="40 % - Markeringsfarve4 12 4 2" xfId="32827" xr:uid="{00000000-0005-0000-0000-0000A8480000}"/>
    <cellStyle name="40 % - Markeringsfarve4 12 5" xfId="25825" xr:uid="{00000000-0005-0000-0000-0000A9480000}"/>
    <cellStyle name="40 % - Markeringsfarve4 13" xfId="6109" xr:uid="{00000000-0005-0000-0000-0000AA480000}"/>
    <cellStyle name="40 % - Markeringsfarve4 13 2" xfId="6110" xr:uid="{00000000-0005-0000-0000-0000AB480000}"/>
    <cellStyle name="40 % - Markeringsfarve4 13 2 2" xfId="10919" xr:uid="{00000000-0005-0000-0000-0000AC480000}"/>
    <cellStyle name="40 % - Markeringsfarve4 13 2 2 2" xfId="18800" xr:uid="{00000000-0005-0000-0000-0000AD480000}"/>
    <cellStyle name="40 % - Markeringsfarve4 13 2 2 2 2" xfId="36960" xr:uid="{00000000-0005-0000-0000-0000AE480000}"/>
    <cellStyle name="40 % - Markeringsfarve4 13 2 2 3" xfId="29959" xr:uid="{00000000-0005-0000-0000-0000AF480000}"/>
    <cellStyle name="40 % - Markeringsfarve4 13 2 3" xfId="14664" xr:uid="{00000000-0005-0000-0000-0000B0480000}"/>
    <cellStyle name="40 % - Markeringsfarve4 13 2 3 2" xfId="32830" xr:uid="{00000000-0005-0000-0000-0000B1480000}"/>
    <cellStyle name="40 % - Markeringsfarve4 13 2 4" xfId="25828" xr:uid="{00000000-0005-0000-0000-0000B2480000}"/>
    <cellStyle name="40 % - Markeringsfarve4 13 3" xfId="8145" xr:uid="{00000000-0005-0000-0000-0000B3480000}"/>
    <cellStyle name="40 % - Markeringsfarve4 13 3 2" xfId="16063" xr:uid="{00000000-0005-0000-0000-0000B4480000}"/>
    <cellStyle name="40 % - Markeringsfarve4 13 3 2 2" xfId="34223" xr:uid="{00000000-0005-0000-0000-0000B5480000}"/>
    <cellStyle name="40 % - Markeringsfarve4 13 3 3" xfId="27222" xr:uid="{00000000-0005-0000-0000-0000B6480000}"/>
    <cellStyle name="40 % - Markeringsfarve4 13 4" xfId="14663" xr:uid="{00000000-0005-0000-0000-0000B7480000}"/>
    <cellStyle name="40 % - Markeringsfarve4 13 4 2" xfId="32829" xr:uid="{00000000-0005-0000-0000-0000B8480000}"/>
    <cellStyle name="40 % - Markeringsfarve4 13 5" xfId="25827" xr:uid="{00000000-0005-0000-0000-0000B9480000}"/>
    <cellStyle name="40 % - Markeringsfarve4 14" xfId="6111" xr:uid="{00000000-0005-0000-0000-0000BA480000}"/>
    <cellStyle name="40 % - Markeringsfarve4 14 2" xfId="6112" xr:uid="{00000000-0005-0000-0000-0000BB480000}"/>
    <cellStyle name="40 % - Markeringsfarve4 14 2 2" xfId="10979" xr:uid="{00000000-0005-0000-0000-0000BC480000}"/>
    <cellStyle name="40 % - Markeringsfarve4 14 2 2 2" xfId="18858" xr:uid="{00000000-0005-0000-0000-0000BD480000}"/>
    <cellStyle name="40 % - Markeringsfarve4 14 2 2 2 2" xfId="37018" xr:uid="{00000000-0005-0000-0000-0000BE480000}"/>
    <cellStyle name="40 % - Markeringsfarve4 14 2 2 3" xfId="30017" xr:uid="{00000000-0005-0000-0000-0000BF480000}"/>
    <cellStyle name="40 % - Markeringsfarve4 14 2 3" xfId="14666" xr:uid="{00000000-0005-0000-0000-0000C0480000}"/>
    <cellStyle name="40 % - Markeringsfarve4 14 2 3 2" xfId="32832" xr:uid="{00000000-0005-0000-0000-0000C1480000}"/>
    <cellStyle name="40 % - Markeringsfarve4 14 2 4" xfId="25830" xr:uid="{00000000-0005-0000-0000-0000C2480000}"/>
    <cellStyle name="40 % - Markeringsfarve4 14 3" xfId="8141" xr:uid="{00000000-0005-0000-0000-0000C3480000}"/>
    <cellStyle name="40 % - Markeringsfarve4 14 3 2" xfId="16059" xr:uid="{00000000-0005-0000-0000-0000C4480000}"/>
    <cellStyle name="40 % - Markeringsfarve4 14 3 2 2" xfId="34219" xr:uid="{00000000-0005-0000-0000-0000C5480000}"/>
    <cellStyle name="40 % - Markeringsfarve4 14 3 3" xfId="27218" xr:uid="{00000000-0005-0000-0000-0000C6480000}"/>
    <cellStyle name="40 % - Markeringsfarve4 14 4" xfId="14665" xr:uid="{00000000-0005-0000-0000-0000C7480000}"/>
    <cellStyle name="40 % - Markeringsfarve4 14 4 2" xfId="32831" xr:uid="{00000000-0005-0000-0000-0000C8480000}"/>
    <cellStyle name="40 % - Markeringsfarve4 14 5" xfId="25829" xr:uid="{00000000-0005-0000-0000-0000C9480000}"/>
    <cellStyle name="40 % - Markeringsfarve4 15" xfId="6113" xr:uid="{00000000-0005-0000-0000-0000CA480000}"/>
    <cellStyle name="40 % - Markeringsfarve4 15 2" xfId="8946" xr:uid="{00000000-0005-0000-0000-0000CB480000}"/>
    <cellStyle name="40 % - Markeringsfarve4 15 2 2" xfId="16859" xr:uid="{00000000-0005-0000-0000-0000CC480000}"/>
    <cellStyle name="40 % - Markeringsfarve4 15 2 2 2" xfId="35019" xr:uid="{00000000-0005-0000-0000-0000CD480000}"/>
    <cellStyle name="40 % - Markeringsfarve4 15 2 3" xfId="28018" xr:uid="{00000000-0005-0000-0000-0000CE480000}"/>
    <cellStyle name="40 % - Markeringsfarve4 15 3" xfId="14667" xr:uid="{00000000-0005-0000-0000-0000CF480000}"/>
    <cellStyle name="40 % - Markeringsfarve4 15 3 2" xfId="32833" xr:uid="{00000000-0005-0000-0000-0000D0480000}"/>
    <cellStyle name="40 % - Markeringsfarve4 15 4" xfId="25831" xr:uid="{00000000-0005-0000-0000-0000D1480000}"/>
    <cellStyle name="40 % - Markeringsfarve4 16" xfId="6114" xr:uid="{00000000-0005-0000-0000-0000D2480000}"/>
    <cellStyle name="40 % - Markeringsfarve4 16 2" xfId="10481" xr:uid="{00000000-0005-0000-0000-0000D3480000}"/>
    <cellStyle name="40 % - Markeringsfarve4 16 2 2" xfId="18377" xr:uid="{00000000-0005-0000-0000-0000D4480000}"/>
    <cellStyle name="40 % - Markeringsfarve4 16 2 2 2" xfId="36537" xr:uid="{00000000-0005-0000-0000-0000D5480000}"/>
    <cellStyle name="40 % - Markeringsfarve4 16 2 3" xfId="29536" xr:uid="{00000000-0005-0000-0000-0000D6480000}"/>
    <cellStyle name="40 % - Markeringsfarve4 16 3" xfId="14668" xr:uid="{00000000-0005-0000-0000-0000D7480000}"/>
    <cellStyle name="40 % - Markeringsfarve4 16 3 2" xfId="32834" xr:uid="{00000000-0005-0000-0000-0000D8480000}"/>
    <cellStyle name="40 % - Markeringsfarve4 16 4" xfId="25832" xr:uid="{00000000-0005-0000-0000-0000D9480000}"/>
    <cellStyle name="40 % - Markeringsfarve4 17" xfId="6115" xr:uid="{00000000-0005-0000-0000-0000DA480000}"/>
    <cellStyle name="40 % - Markeringsfarve4 17 2" xfId="10998" xr:uid="{00000000-0005-0000-0000-0000DB480000}"/>
    <cellStyle name="40 % - Markeringsfarve4 17 2 2" xfId="18874" xr:uid="{00000000-0005-0000-0000-0000DC480000}"/>
    <cellStyle name="40 % - Markeringsfarve4 17 2 2 2" xfId="37034" xr:uid="{00000000-0005-0000-0000-0000DD480000}"/>
    <cellStyle name="40 % - Markeringsfarve4 17 2 3" xfId="30033" xr:uid="{00000000-0005-0000-0000-0000DE480000}"/>
    <cellStyle name="40 % - Markeringsfarve4 17 3" xfId="14669" xr:uid="{00000000-0005-0000-0000-0000DF480000}"/>
    <cellStyle name="40 % - Markeringsfarve4 17 3 2" xfId="32835" xr:uid="{00000000-0005-0000-0000-0000E0480000}"/>
    <cellStyle name="40 % - Markeringsfarve4 17 4" xfId="25833" xr:uid="{00000000-0005-0000-0000-0000E1480000}"/>
    <cellStyle name="40 % - Markeringsfarve4 18" xfId="7625" xr:uid="{00000000-0005-0000-0000-0000E2480000}"/>
    <cellStyle name="40 % - Markeringsfarve4 18 2" xfId="15547" xr:uid="{00000000-0005-0000-0000-0000E3480000}"/>
    <cellStyle name="40 % - Markeringsfarve4 18 2 2" xfId="33707" xr:uid="{00000000-0005-0000-0000-0000E4480000}"/>
    <cellStyle name="40 % - Markeringsfarve4 18 3" xfId="26706" xr:uid="{00000000-0005-0000-0000-0000E5480000}"/>
    <cellStyle name="40 % - Markeringsfarve4 19" xfId="6098" xr:uid="{00000000-0005-0000-0000-0000E6480000}"/>
    <cellStyle name="40 % - Markeringsfarve4 19 2" xfId="14652" xr:uid="{00000000-0005-0000-0000-0000E7480000}"/>
    <cellStyle name="40 % - Markeringsfarve4 19 2 2" xfId="32818" xr:uid="{00000000-0005-0000-0000-0000E8480000}"/>
    <cellStyle name="40 % - Markeringsfarve4 19 3" xfId="25816" xr:uid="{00000000-0005-0000-0000-0000E9480000}"/>
    <cellStyle name="40 % - Markeringsfarve4 2" xfId="1912" xr:uid="{00000000-0005-0000-0000-0000EA480000}"/>
    <cellStyle name="40 % - Markeringsfarve4 2 10" xfId="6117" xr:uid="{00000000-0005-0000-0000-0000EB480000}"/>
    <cellStyle name="40 % - Markeringsfarve4 2 10 2" xfId="8977" xr:uid="{00000000-0005-0000-0000-0000EC480000}"/>
    <cellStyle name="40 % - Markeringsfarve4 2 10 2 2" xfId="16888" xr:uid="{00000000-0005-0000-0000-0000ED480000}"/>
    <cellStyle name="40 % - Markeringsfarve4 2 10 2 2 2" xfId="35048" xr:uid="{00000000-0005-0000-0000-0000EE480000}"/>
    <cellStyle name="40 % - Markeringsfarve4 2 10 2 3" xfId="28047" xr:uid="{00000000-0005-0000-0000-0000EF480000}"/>
    <cellStyle name="40 % - Markeringsfarve4 2 10 3" xfId="14671" xr:uid="{00000000-0005-0000-0000-0000F0480000}"/>
    <cellStyle name="40 % - Markeringsfarve4 2 10 3 2" xfId="32837" xr:uid="{00000000-0005-0000-0000-0000F1480000}"/>
    <cellStyle name="40 % - Markeringsfarve4 2 10 4" xfId="25835" xr:uid="{00000000-0005-0000-0000-0000F2480000}"/>
    <cellStyle name="40 % - Markeringsfarve4 2 11" xfId="6118" xr:uid="{00000000-0005-0000-0000-0000F3480000}"/>
    <cellStyle name="40 % - Markeringsfarve4 2 11 2" xfId="10644" xr:uid="{00000000-0005-0000-0000-0000F4480000}"/>
    <cellStyle name="40 % - Markeringsfarve4 2 11 2 2" xfId="18537" xr:uid="{00000000-0005-0000-0000-0000F5480000}"/>
    <cellStyle name="40 % - Markeringsfarve4 2 11 2 2 2" xfId="36697" xr:uid="{00000000-0005-0000-0000-0000F6480000}"/>
    <cellStyle name="40 % - Markeringsfarve4 2 11 2 3" xfId="29696" xr:uid="{00000000-0005-0000-0000-0000F7480000}"/>
    <cellStyle name="40 % - Markeringsfarve4 2 11 3" xfId="14672" xr:uid="{00000000-0005-0000-0000-0000F8480000}"/>
    <cellStyle name="40 % - Markeringsfarve4 2 11 3 2" xfId="32838" xr:uid="{00000000-0005-0000-0000-0000F9480000}"/>
    <cellStyle name="40 % - Markeringsfarve4 2 11 4" xfId="25836" xr:uid="{00000000-0005-0000-0000-0000FA480000}"/>
    <cellStyle name="40 % - Markeringsfarve4 2 12" xfId="8146" xr:uid="{00000000-0005-0000-0000-0000FB480000}"/>
    <cellStyle name="40 % - Markeringsfarve4 2 12 2" xfId="16064" xr:uid="{00000000-0005-0000-0000-0000FC480000}"/>
    <cellStyle name="40 % - Markeringsfarve4 2 12 2 2" xfId="34224" xr:uid="{00000000-0005-0000-0000-0000FD480000}"/>
    <cellStyle name="40 % - Markeringsfarve4 2 12 3" xfId="27223" xr:uid="{00000000-0005-0000-0000-0000FE480000}"/>
    <cellStyle name="40 % - Markeringsfarve4 2 13" xfId="14670" xr:uid="{00000000-0005-0000-0000-0000FF480000}"/>
    <cellStyle name="40 % - Markeringsfarve4 2 13 2" xfId="32836" xr:uid="{00000000-0005-0000-0000-000000490000}"/>
    <cellStyle name="40 % - Markeringsfarve4 2 14" xfId="6116" xr:uid="{00000000-0005-0000-0000-000001490000}"/>
    <cellStyle name="40 % - Markeringsfarve4 2 14 2" xfId="25834" xr:uid="{00000000-0005-0000-0000-000002490000}"/>
    <cellStyle name="40 % - Markeringsfarve4 2 15" xfId="22030" xr:uid="{00000000-0005-0000-0000-000003490000}"/>
    <cellStyle name="40 % - Markeringsfarve4 2 2" xfId="1913" xr:uid="{00000000-0005-0000-0000-000004490000}"/>
    <cellStyle name="40 % - Markeringsfarve4 2 2 10" xfId="8147" xr:uid="{00000000-0005-0000-0000-000005490000}"/>
    <cellStyle name="40 % - Markeringsfarve4 2 2 10 2" xfId="16065" xr:uid="{00000000-0005-0000-0000-000006490000}"/>
    <cellStyle name="40 % - Markeringsfarve4 2 2 10 2 2" xfId="34225" xr:uid="{00000000-0005-0000-0000-000007490000}"/>
    <cellStyle name="40 % - Markeringsfarve4 2 2 10 3" xfId="27224" xr:uid="{00000000-0005-0000-0000-000008490000}"/>
    <cellStyle name="40 % - Markeringsfarve4 2 2 11" xfId="14673" xr:uid="{00000000-0005-0000-0000-000009490000}"/>
    <cellStyle name="40 % - Markeringsfarve4 2 2 11 2" xfId="32839" xr:uid="{00000000-0005-0000-0000-00000A490000}"/>
    <cellStyle name="40 % - Markeringsfarve4 2 2 12" xfId="6119" xr:uid="{00000000-0005-0000-0000-00000B490000}"/>
    <cellStyle name="40 % - Markeringsfarve4 2 2 12 2" xfId="25837" xr:uid="{00000000-0005-0000-0000-00000C490000}"/>
    <cellStyle name="40 % - Markeringsfarve4 2 2 13" xfId="22031" xr:uid="{00000000-0005-0000-0000-00000D490000}"/>
    <cellStyle name="40 % - Markeringsfarve4 2 2 2" xfId="1914" xr:uid="{00000000-0005-0000-0000-00000E490000}"/>
    <cellStyle name="40 % - Markeringsfarve4 2 2 2 2" xfId="6121" xr:uid="{00000000-0005-0000-0000-00000F490000}"/>
    <cellStyle name="40 % - Markeringsfarve4 2 2 2 2 2" xfId="6122" xr:uid="{00000000-0005-0000-0000-000010490000}"/>
    <cellStyle name="40 % - Markeringsfarve4 2 2 2 2 2 2" xfId="9908" xr:uid="{00000000-0005-0000-0000-000011490000}"/>
    <cellStyle name="40 % - Markeringsfarve4 2 2 2 2 2 2 2" xfId="17809" xr:uid="{00000000-0005-0000-0000-000012490000}"/>
    <cellStyle name="40 % - Markeringsfarve4 2 2 2 2 2 2 2 2" xfId="35969" xr:uid="{00000000-0005-0000-0000-000013490000}"/>
    <cellStyle name="40 % - Markeringsfarve4 2 2 2 2 2 2 3" xfId="28968" xr:uid="{00000000-0005-0000-0000-000014490000}"/>
    <cellStyle name="40 % - Markeringsfarve4 2 2 2 2 2 3" xfId="14676" xr:uid="{00000000-0005-0000-0000-000015490000}"/>
    <cellStyle name="40 % - Markeringsfarve4 2 2 2 2 2 3 2" xfId="32842" xr:uid="{00000000-0005-0000-0000-000016490000}"/>
    <cellStyle name="40 % - Markeringsfarve4 2 2 2 2 2 4" xfId="25840" xr:uid="{00000000-0005-0000-0000-000017490000}"/>
    <cellStyle name="40 % - Markeringsfarve4 2 2 2 2 3" xfId="8480" xr:uid="{00000000-0005-0000-0000-000018490000}"/>
    <cellStyle name="40 % - Markeringsfarve4 2 2 2 2 3 2" xfId="16397" xr:uid="{00000000-0005-0000-0000-000019490000}"/>
    <cellStyle name="40 % - Markeringsfarve4 2 2 2 2 3 2 2" xfId="34557" xr:uid="{00000000-0005-0000-0000-00001A490000}"/>
    <cellStyle name="40 % - Markeringsfarve4 2 2 2 2 3 3" xfId="27556" xr:uid="{00000000-0005-0000-0000-00001B490000}"/>
    <cellStyle name="40 % - Markeringsfarve4 2 2 2 2 4" xfId="14675" xr:uid="{00000000-0005-0000-0000-00001C490000}"/>
    <cellStyle name="40 % - Markeringsfarve4 2 2 2 2 4 2" xfId="32841" xr:uid="{00000000-0005-0000-0000-00001D490000}"/>
    <cellStyle name="40 % - Markeringsfarve4 2 2 2 2 5" xfId="25839" xr:uid="{00000000-0005-0000-0000-00001E490000}"/>
    <cellStyle name="40 % - Markeringsfarve4 2 2 2 3" xfId="6123" xr:uid="{00000000-0005-0000-0000-00001F490000}"/>
    <cellStyle name="40 % - Markeringsfarve4 2 2 2 3 2" xfId="9138" xr:uid="{00000000-0005-0000-0000-000020490000}"/>
    <cellStyle name="40 % - Markeringsfarve4 2 2 2 3 2 2" xfId="17049" xr:uid="{00000000-0005-0000-0000-000021490000}"/>
    <cellStyle name="40 % - Markeringsfarve4 2 2 2 3 2 2 2" xfId="35209" xr:uid="{00000000-0005-0000-0000-000022490000}"/>
    <cellStyle name="40 % - Markeringsfarve4 2 2 2 3 2 3" xfId="28208" xr:uid="{00000000-0005-0000-0000-000023490000}"/>
    <cellStyle name="40 % - Markeringsfarve4 2 2 2 3 3" xfId="14677" xr:uid="{00000000-0005-0000-0000-000024490000}"/>
    <cellStyle name="40 % - Markeringsfarve4 2 2 2 3 3 2" xfId="32843" xr:uid="{00000000-0005-0000-0000-000025490000}"/>
    <cellStyle name="40 % - Markeringsfarve4 2 2 2 3 4" xfId="25841" xr:uid="{00000000-0005-0000-0000-000026490000}"/>
    <cellStyle name="40 % - Markeringsfarve4 2 2 2 4" xfId="6124" xr:uid="{00000000-0005-0000-0000-000027490000}"/>
    <cellStyle name="40 % - Markeringsfarve4 2 2 2 4 2" xfId="10514" xr:uid="{00000000-0005-0000-0000-000028490000}"/>
    <cellStyle name="40 % - Markeringsfarve4 2 2 2 4 2 2" xfId="18408" xr:uid="{00000000-0005-0000-0000-000029490000}"/>
    <cellStyle name="40 % - Markeringsfarve4 2 2 2 4 2 2 2" xfId="36568" xr:uid="{00000000-0005-0000-0000-00002A490000}"/>
    <cellStyle name="40 % - Markeringsfarve4 2 2 2 4 2 3" xfId="29567" xr:uid="{00000000-0005-0000-0000-00002B490000}"/>
    <cellStyle name="40 % - Markeringsfarve4 2 2 2 4 3" xfId="14678" xr:uid="{00000000-0005-0000-0000-00002C490000}"/>
    <cellStyle name="40 % - Markeringsfarve4 2 2 2 4 3 2" xfId="32844" xr:uid="{00000000-0005-0000-0000-00002D490000}"/>
    <cellStyle name="40 % - Markeringsfarve4 2 2 2 4 4" xfId="25842" xr:uid="{00000000-0005-0000-0000-00002E490000}"/>
    <cellStyle name="40 % - Markeringsfarve4 2 2 2 5" xfId="8148" xr:uid="{00000000-0005-0000-0000-00002F490000}"/>
    <cellStyle name="40 % - Markeringsfarve4 2 2 2 5 2" xfId="16066" xr:uid="{00000000-0005-0000-0000-000030490000}"/>
    <cellStyle name="40 % - Markeringsfarve4 2 2 2 5 2 2" xfId="34226" xr:uid="{00000000-0005-0000-0000-000031490000}"/>
    <cellStyle name="40 % - Markeringsfarve4 2 2 2 5 3" xfId="27225" xr:uid="{00000000-0005-0000-0000-000032490000}"/>
    <cellStyle name="40 % - Markeringsfarve4 2 2 2 6" xfId="14674" xr:uid="{00000000-0005-0000-0000-000033490000}"/>
    <cellStyle name="40 % - Markeringsfarve4 2 2 2 6 2" xfId="32840" xr:uid="{00000000-0005-0000-0000-000034490000}"/>
    <cellStyle name="40 % - Markeringsfarve4 2 2 2 7" xfId="6120" xr:uid="{00000000-0005-0000-0000-000035490000}"/>
    <cellStyle name="40 % - Markeringsfarve4 2 2 2 7 2" xfId="25838" xr:uid="{00000000-0005-0000-0000-000036490000}"/>
    <cellStyle name="40 % - Markeringsfarve4 2 2 2 8" xfId="22032" xr:uid="{00000000-0005-0000-0000-000037490000}"/>
    <cellStyle name="40 % - Markeringsfarve4 2 2 3" xfId="6125" xr:uid="{00000000-0005-0000-0000-000038490000}"/>
    <cellStyle name="40 % - Markeringsfarve4 2 2 3 2" xfId="6126" xr:uid="{00000000-0005-0000-0000-000039490000}"/>
    <cellStyle name="40 % - Markeringsfarve4 2 2 3 2 2" xfId="6127" xr:uid="{00000000-0005-0000-0000-00003A490000}"/>
    <cellStyle name="40 % - Markeringsfarve4 2 2 3 2 2 2" xfId="10037" xr:uid="{00000000-0005-0000-0000-00003B490000}"/>
    <cellStyle name="40 % - Markeringsfarve4 2 2 3 2 2 2 2" xfId="17938" xr:uid="{00000000-0005-0000-0000-00003C490000}"/>
    <cellStyle name="40 % - Markeringsfarve4 2 2 3 2 2 2 2 2" xfId="36098" xr:uid="{00000000-0005-0000-0000-00003D490000}"/>
    <cellStyle name="40 % - Markeringsfarve4 2 2 3 2 2 2 3" xfId="29097" xr:uid="{00000000-0005-0000-0000-00003E490000}"/>
    <cellStyle name="40 % - Markeringsfarve4 2 2 3 2 2 3" xfId="14681" xr:uid="{00000000-0005-0000-0000-00003F490000}"/>
    <cellStyle name="40 % - Markeringsfarve4 2 2 3 2 2 3 2" xfId="32847" xr:uid="{00000000-0005-0000-0000-000040490000}"/>
    <cellStyle name="40 % - Markeringsfarve4 2 2 3 2 2 4" xfId="25845" xr:uid="{00000000-0005-0000-0000-000041490000}"/>
    <cellStyle name="40 % - Markeringsfarve4 2 2 3 2 3" xfId="8583" xr:uid="{00000000-0005-0000-0000-000042490000}"/>
    <cellStyle name="40 % - Markeringsfarve4 2 2 3 2 3 2" xfId="16500" xr:uid="{00000000-0005-0000-0000-000043490000}"/>
    <cellStyle name="40 % - Markeringsfarve4 2 2 3 2 3 2 2" xfId="34660" xr:uid="{00000000-0005-0000-0000-000044490000}"/>
    <cellStyle name="40 % - Markeringsfarve4 2 2 3 2 3 3" xfId="27659" xr:uid="{00000000-0005-0000-0000-000045490000}"/>
    <cellStyle name="40 % - Markeringsfarve4 2 2 3 2 4" xfId="14680" xr:uid="{00000000-0005-0000-0000-000046490000}"/>
    <cellStyle name="40 % - Markeringsfarve4 2 2 3 2 4 2" xfId="32846" xr:uid="{00000000-0005-0000-0000-000047490000}"/>
    <cellStyle name="40 % - Markeringsfarve4 2 2 3 2 5" xfId="25844" xr:uid="{00000000-0005-0000-0000-000048490000}"/>
    <cellStyle name="40 % - Markeringsfarve4 2 2 3 3" xfId="6128" xr:uid="{00000000-0005-0000-0000-000049490000}"/>
    <cellStyle name="40 % - Markeringsfarve4 2 2 3 3 2" xfId="9267" xr:uid="{00000000-0005-0000-0000-00004A490000}"/>
    <cellStyle name="40 % - Markeringsfarve4 2 2 3 3 2 2" xfId="17178" xr:uid="{00000000-0005-0000-0000-00004B490000}"/>
    <cellStyle name="40 % - Markeringsfarve4 2 2 3 3 2 2 2" xfId="35338" xr:uid="{00000000-0005-0000-0000-00004C490000}"/>
    <cellStyle name="40 % - Markeringsfarve4 2 2 3 3 2 3" xfId="28337" xr:uid="{00000000-0005-0000-0000-00004D490000}"/>
    <cellStyle name="40 % - Markeringsfarve4 2 2 3 3 3" xfId="14682" xr:uid="{00000000-0005-0000-0000-00004E490000}"/>
    <cellStyle name="40 % - Markeringsfarve4 2 2 3 3 3 2" xfId="32848" xr:uid="{00000000-0005-0000-0000-00004F490000}"/>
    <cellStyle name="40 % - Markeringsfarve4 2 2 3 3 4" xfId="25846" xr:uid="{00000000-0005-0000-0000-000050490000}"/>
    <cellStyle name="40 % - Markeringsfarve4 2 2 3 4" xfId="6129" xr:uid="{00000000-0005-0000-0000-000051490000}"/>
    <cellStyle name="40 % - Markeringsfarve4 2 2 3 4 2" xfId="10829" xr:uid="{00000000-0005-0000-0000-000052490000}"/>
    <cellStyle name="40 % - Markeringsfarve4 2 2 3 4 2 2" xfId="18715" xr:uid="{00000000-0005-0000-0000-000053490000}"/>
    <cellStyle name="40 % - Markeringsfarve4 2 2 3 4 2 2 2" xfId="36875" xr:uid="{00000000-0005-0000-0000-000054490000}"/>
    <cellStyle name="40 % - Markeringsfarve4 2 2 3 4 2 3" xfId="29874" xr:uid="{00000000-0005-0000-0000-000055490000}"/>
    <cellStyle name="40 % - Markeringsfarve4 2 2 3 4 3" xfId="14683" xr:uid="{00000000-0005-0000-0000-000056490000}"/>
    <cellStyle name="40 % - Markeringsfarve4 2 2 3 4 3 2" xfId="32849" xr:uid="{00000000-0005-0000-0000-000057490000}"/>
    <cellStyle name="40 % - Markeringsfarve4 2 2 3 4 4" xfId="25847" xr:uid="{00000000-0005-0000-0000-000058490000}"/>
    <cellStyle name="40 % - Markeringsfarve4 2 2 3 5" xfId="8149" xr:uid="{00000000-0005-0000-0000-000059490000}"/>
    <cellStyle name="40 % - Markeringsfarve4 2 2 3 5 2" xfId="16067" xr:uid="{00000000-0005-0000-0000-00005A490000}"/>
    <cellStyle name="40 % - Markeringsfarve4 2 2 3 5 2 2" xfId="34227" xr:uid="{00000000-0005-0000-0000-00005B490000}"/>
    <cellStyle name="40 % - Markeringsfarve4 2 2 3 5 3" xfId="27226" xr:uid="{00000000-0005-0000-0000-00005C490000}"/>
    <cellStyle name="40 % - Markeringsfarve4 2 2 3 6" xfId="14679" xr:uid="{00000000-0005-0000-0000-00005D490000}"/>
    <cellStyle name="40 % - Markeringsfarve4 2 2 3 6 2" xfId="32845" xr:uid="{00000000-0005-0000-0000-00005E490000}"/>
    <cellStyle name="40 % - Markeringsfarve4 2 2 3 7" xfId="25843" xr:uid="{00000000-0005-0000-0000-00005F490000}"/>
    <cellStyle name="40 % - Markeringsfarve4 2 2 4" xfId="6130" xr:uid="{00000000-0005-0000-0000-000060490000}"/>
    <cellStyle name="40 % - Markeringsfarve4 2 2 4 2" xfId="6131" xr:uid="{00000000-0005-0000-0000-000061490000}"/>
    <cellStyle name="40 % - Markeringsfarve4 2 2 4 2 2" xfId="6132" xr:uid="{00000000-0005-0000-0000-000062490000}"/>
    <cellStyle name="40 % - Markeringsfarve4 2 2 4 2 2 2" xfId="10146" xr:uid="{00000000-0005-0000-0000-000063490000}"/>
    <cellStyle name="40 % - Markeringsfarve4 2 2 4 2 2 2 2" xfId="18047" xr:uid="{00000000-0005-0000-0000-000064490000}"/>
    <cellStyle name="40 % - Markeringsfarve4 2 2 4 2 2 2 2 2" xfId="36207" xr:uid="{00000000-0005-0000-0000-000065490000}"/>
    <cellStyle name="40 % - Markeringsfarve4 2 2 4 2 2 2 3" xfId="29206" xr:uid="{00000000-0005-0000-0000-000066490000}"/>
    <cellStyle name="40 % - Markeringsfarve4 2 2 4 2 2 3" xfId="14686" xr:uid="{00000000-0005-0000-0000-000067490000}"/>
    <cellStyle name="40 % - Markeringsfarve4 2 2 4 2 2 3 2" xfId="32852" xr:uid="{00000000-0005-0000-0000-000068490000}"/>
    <cellStyle name="40 % - Markeringsfarve4 2 2 4 2 2 4" xfId="25850" xr:uid="{00000000-0005-0000-0000-000069490000}"/>
    <cellStyle name="40 % - Markeringsfarve4 2 2 4 2 3" xfId="8682" xr:uid="{00000000-0005-0000-0000-00006A490000}"/>
    <cellStyle name="40 % - Markeringsfarve4 2 2 4 2 3 2" xfId="16596" xr:uid="{00000000-0005-0000-0000-00006B490000}"/>
    <cellStyle name="40 % - Markeringsfarve4 2 2 4 2 3 2 2" xfId="34756" xr:uid="{00000000-0005-0000-0000-00006C490000}"/>
    <cellStyle name="40 % - Markeringsfarve4 2 2 4 2 3 3" xfId="27755" xr:uid="{00000000-0005-0000-0000-00006D490000}"/>
    <cellStyle name="40 % - Markeringsfarve4 2 2 4 2 4" xfId="14685" xr:uid="{00000000-0005-0000-0000-00006E490000}"/>
    <cellStyle name="40 % - Markeringsfarve4 2 2 4 2 4 2" xfId="32851" xr:uid="{00000000-0005-0000-0000-00006F490000}"/>
    <cellStyle name="40 % - Markeringsfarve4 2 2 4 2 5" xfId="25849" xr:uid="{00000000-0005-0000-0000-000070490000}"/>
    <cellStyle name="40 % - Markeringsfarve4 2 2 4 3" xfId="6133" xr:uid="{00000000-0005-0000-0000-000071490000}"/>
    <cellStyle name="40 % - Markeringsfarve4 2 2 4 3 2" xfId="9422" xr:uid="{00000000-0005-0000-0000-000072490000}"/>
    <cellStyle name="40 % - Markeringsfarve4 2 2 4 3 2 2" xfId="17332" xr:uid="{00000000-0005-0000-0000-000073490000}"/>
    <cellStyle name="40 % - Markeringsfarve4 2 2 4 3 2 2 2" xfId="35492" xr:uid="{00000000-0005-0000-0000-000074490000}"/>
    <cellStyle name="40 % - Markeringsfarve4 2 2 4 3 2 3" xfId="28491" xr:uid="{00000000-0005-0000-0000-000075490000}"/>
    <cellStyle name="40 % - Markeringsfarve4 2 2 4 3 3" xfId="14687" xr:uid="{00000000-0005-0000-0000-000076490000}"/>
    <cellStyle name="40 % - Markeringsfarve4 2 2 4 3 3 2" xfId="32853" xr:uid="{00000000-0005-0000-0000-000077490000}"/>
    <cellStyle name="40 % - Markeringsfarve4 2 2 4 3 4" xfId="25851" xr:uid="{00000000-0005-0000-0000-000078490000}"/>
    <cellStyle name="40 % - Markeringsfarve4 2 2 4 4" xfId="6134" xr:uid="{00000000-0005-0000-0000-000079490000}"/>
    <cellStyle name="40 % - Markeringsfarve4 2 2 4 4 2" xfId="10480" xr:uid="{00000000-0005-0000-0000-00007A490000}"/>
    <cellStyle name="40 % - Markeringsfarve4 2 2 4 4 2 2" xfId="18376" xr:uid="{00000000-0005-0000-0000-00007B490000}"/>
    <cellStyle name="40 % - Markeringsfarve4 2 2 4 4 2 2 2" xfId="36536" xr:uid="{00000000-0005-0000-0000-00007C490000}"/>
    <cellStyle name="40 % - Markeringsfarve4 2 2 4 4 2 3" xfId="29535" xr:uid="{00000000-0005-0000-0000-00007D490000}"/>
    <cellStyle name="40 % - Markeringsfarve4 2 2 4 4 3" xfId="14688" xr:uid="{00000000-0005-0000-0000-00007E490000}"/>
    <cellStyle name="40 % - Markeringsfarve4 2 2 4 4 3 2" xfId="32854" xr:uid="{00000000-0005-0000-0000-00007F490000}"/>
    <cellStyle name="40 % - Markeringsfarve4 2 2 4 4 4" xfId="25852" xr:uid="{00000000-0005-0000-0000-000080490000}"/>
    <cellStyle name="40 % - Markeringsfarve4 2 2 4 5" xfId="8150" xr:uid="{00000000-0005-0000-0000-000081490000}"/>
    <cellStyle name="40 % - Markeringsfarve4 2 2 4 5 2" xfId="16068" xr:uid="{00000000-0005-0000-0000-000082490000}"/>
    <cellStyle name="40 % - Markeringsfarve4 2 2 4 5 2 2" xfId="34228" xr:uid="{00000000-0005-0000-0000-000083490000}"/>
    <cellStyle name="40 % - Markeringsfarve4 2 2 4 5 3" xfId="27227" xr:uid="{00000000-0005-0000-0000-000084490000}"/>
    <cellStyle name="40 % - Markeringsfarve4 2 2 4 6" xfId="14684" xr:uid="{00000000-0005-0000-0000-000085490000}"/>
    <cellStyle name="40 % - Markeringsfarve4 2 2 4 6 2" xfId="32850" xr:uid="{00000000-0005-0000-0000-000086490000}"/>
    <cellStyle name="40 % - Markeringsfarve4 2 2 4 7" xfId="25848" xr:uid="{00000000-0005-0000-0000-000087490000}"/>
    <cellStyle name="40 % - Markeringsfarve4 2 2 5" xfId="6135" xr:uid="{00000000-0005-0000-0000-000088490000}"/>
    <cellStyle name="40 % - Markeringsfarve4 2 2 5 2" xfId="6136" xr:uid="{00000000-0005-0000-0000-000089490000}"/>
    <cellStyle name="40 % - Markeringsfarve4 2 2 5 2 2" xfId="6137" xr:uid="{00000000-0005-0000-0000-00008A490000}"/>
    <cellStyle name="40 % - Markeringsfarve4 2 2 5 2 2 2" xfId="10263" xr:uid="{00000000-0005-0000-0000-00008B490000}"/>
    <cellStyle name="40 % - Markeringsfarve4 2 2 5 2 2 2 2" xfId="18164" xr:uid="{00000000-0005-0000-0000-00008C490000}"/>
    <cellStyle name="40 % - Markeringsfarve4 2 2 5 2 2 2 2 2" xfId="36324" xr:uid="{00000000-0005-0000-0000-00008D490000}"/>
    <cellStyle name="40 % - Markeringsfarve4 2 2 5 2 2 2 3" xfId="29323" xr:uid="{00000000-0005-0000-0000-00008E490000}"/>
    <cellStyle name="40 % - Markeringsfarve4 2 2 5 2 2 3" xfId="14691" xr:uid="{00000000-0005-0000-0000-00008F490000}"/>
    <cellStyle name="40 % - Markeringsfarve4 2 2 5 2 2 3 2" xfId="32857" xr:uid="{00000000-0005-0000-0000-000090490000}"/>
    <cellStyle name="40 % - Markeringsfarve4 2 2 5 2 2 4" xfId="25855" xr:uid="{00000000-0005-0000-0000-000091490000}"/>
    <cellStyle name="40 % - Markeringsfarve4 2 2 5 2 3" xfId="8781" xr:uid="{00000000-0005-0000-0000-000092490000}"/>
    <cellStyle name="40 % - Markeringsfarve4 2 2 5 2 3 2" xfId="16695" xr:uid="{00000000-0005-0000-0000-000093490000}"/>
    <cellStyle name="40 % - Markeringsfarve4 2 2 5 2 3 2 2" xfId="34855" xr:uid="{00000000-0005-0000-0000-000094490000}"/>
    <cellStyle name="40 % - Markeringsfarve4 2 2 5 2 3 3" xfId="27854" xr:uid="{00000000-0005-0000-0000-000095490000}"/>
    <cellStyle name="40 % - Markeringsfarve4 2 2 5 2 4" xfId="14690" xr:uid="{00000000-0005-0000-0000-000096490000}"/>
    <cellStyle name="40 % - Markeringsfarve4 2 2 5 2 4 2" xfId="32856" xr:uid="{00000000-0005-0000-0000-000097490000}"/>
    <cellStyle name="40 % - Markeringsfarve4 2 2 5 2 5" xfId="25854" xr:uid="{00000000-0005-0000-0000-000098490000}"/>
    <cellStyle name="40 % - Markeringsfarve4 2 2 5 3" xfId="6138" xr:uid="{00000000-0005-0000-0000-000099490000}"/>
    <cellStyle name="40 % - Markeringsfarve4 2 2 5 3 2" xfId="9539" xr:uid="{00000000-0005-0000-0000-00009A490000}"/>
    <cellStyle name="40 % - Markeringsfarve4 2 2 5 3 2 2" xfId="17449" xr:uid="{00000000-0005-0000-0000-00009B490000}"/>
    <cellStyle name="40 % - Markeringsfarve4 2 2 5 3 2 2 2" xfId="35609" xr:uid="{00000000-0005-0000-0000-00009C490000}"/>
    <cellStyle name="40 % - Markeringsfarve4 2 2 5 3 2 3" xfId="28608" xr:uid="{00000000-0005-0000-0000-00009D490000}"/>
    <cellStyle name="40 % - Markeringsfarve4 2 2 5 3 3" xfId="14692" xr:uid="{00000000-0005-0000-0000-00009E490000}"/>
    <cellStyle name="40 % - Markeringsfarve4 2 2 5 3 3 2" xfId="32858" xr:uid="{00000000-0005-0000-0000-00009F490000}"/>
    <cellStyle name="40 % - Markeringsfarve4 2 2 5 3 4" xfId="25856" xr:uid="{00000000-0005-0000-0000-0000A0490000}"/>
    <cellStyle name="40 % - Markeringsfarve4 2 2 5 4" xfId="6139" xr:uid="{00000000-0005-0000-0000-0000A1490000}"/>
    <cellStyle name="40 % - Markeringsfarve4 2 2 5 4 2" xfId="10433" xr:uid="{00000000-0005-0000-0000-0000A2490000}"/>
    <cellStyle name="40 % - Markeringsfarve4 2 2 5 4 2 2" xfId="18331" xr:uid="{00000000-0005-0000-0000-0000A3490000}"/>
    <cellStyle name="40 % - Markeringsfarve4 2 2 5 4 2 2 2" xfId="36491" xr:uid="{00000000-0005-0000-0000-0000A4490000}"/>
    <cellStyle name="40 % - Markeringsfarve4 2 2 5 4 2 3" xfId="29490" xr:uid="{00000000-0005-0000-0000-0000A5490000}"/>
    <cellStyle name="40 % - Markeringsfarve4 2 2 5 4 3" xfId="14693" xr:uid="{00000000-0005-0000-0000-0000A6490000}"/>
    <cellStyle name="40 % - Markeringsfarve4 2 2 5 4 3 2" xfId="32859" xr:uid="{00000000-0005-0000-0000-0000A7490000}"/>
    <cellStyle name="40 % - Markeringsfarve4 2 2 5 4 4" xfId="25857" xr:uid="{00000000-0005-0000-0000-0000A8490000}"/>
    <cellStyle name="40 % - Markeringsfarve4 2 2 5 5" xfId="8151" xr:uid="{00000000-0005-0000-0000-0000A9490000}"/>
    <cellStyle name="40 % - Markeringsfarve4 2 2 5 5 2" xfId="16069" xr:uid="{00000000-0005-0000-0000-0000AA490000}"/>
    <cellStyle name="40 % - Markeringsfarve4 2 2 5 5 2 2" xfId="34229" xr:uid="{00000000-0005-0000-0000-0000AB490000}"/>
    <cellStyle name="40 % - Markeringsfarve4 2 2 5 5 3" xfId="27228" xr:uid="{00000000-0005-0000-0000-0000AC490000}"/>
    <cellStyle name="40 % - Markeringsfarve4 2 2 5 6" xfId="14689" xr:uid="{00000000-0005-0000-0000-0000AD490000}"/>
    <cellStyle name="40 % - Markeringsfarve4 2 2 5 6 2" xfId="32855" xr:uid="{00000000-0005-0000-0000-0000AE490000}"/>
    <cellStyle name="40 % - Markeringsfarve4 2 2 5 7" xfId="25853" xr:uid="{00000000-0005-0000-0000-0000AF490000}"/>
    <cellStyle name="40 % - Markeringsfarve4 2 2 6" xfId="6140" xr:uid="{00000000-0005-0000-0000-0000B0490000}"/>
    <cellStyle name="40 % - Markeringsfarve4 2 2 6 2" xfId="6141" xr:uid="{00000000-0005-0000-0000-0000B1490000}"/>
    <cellStyle name="40 % - Markeringsfarve4 2 2 6 2 2" xfId="6142" xr:uid="{00000000-0005-0000-0000-0000B2490000}"/>
    <cellStyle name="40 % - Markeringsfarve4 2 2 6 2 2 2" xfId="10391" xr:uid="{00000000-0005-0000-0000-0000B3490000}"/>
    <cellStyle name="40 % - Markeringsfarve4 2 2 6 2 2 2 2" xfId="18292" xr:uid="{00000000-0005-0000-0000-0000B4490000}"/>
    <cellStyle name="40 % - Markeringsfarve4 2 2 6 2 2 2 2 2" xfId="36452" xr:uid="{00000000-0005-0000-0000-0000B5490000}"/>
    <cellStyle name="40 % - Markeringsfarve4 2 2 6 2 2 2 3" xfId="29451" xr:uid="{00000000-0005-0000-0000-0000B6490000}"/>
    <cellStyle name="40 % - Markeringsfarve4 2 2 6 2 2 3" xfId="14696" xr:uid="{00000000-0005-0000-0000-0000B7490000}"/>
    <cellStyle name="40 % - Markeringsfarve4 2 2 6 2 2 3 2" xfId="32862" xr:uid="{00000000-0005-0000-0000-0000B8490000}"/>
    <cellStyle name="40 % - Markeringsfarve4 2 2 6 2 2 4" xfId="25860" xr:uid="{00000000-0005-0000-0000-0000B9490000}"/>
    <cellStyle name="40 % - Markeringsfarve4 2 2 6 2 3" xfId="8884" xr:uid="{00000000-0005-0000-0000-0000BA490000}"/>
    <cellStyle name="40 % - Markeringsfarve4 2 2 6 2 3 2" xfId="16798" xr:uid="{00000000-0005-0000-0000-0000BB490000}"/>
    <cellStyle name="40 % - Markeringsfarve4 2 2 6 2 3 2 2" xfId="34958" xr:uid="{00000000-0005-0000-0000-0000BC490000}"/>
    <cellStyle name="40 % - Markeringsfarve4 2 2 6 2 3 3" xfId="27957" xr:uid="{00000000-0005-0000-0000-0000BD490000}"/>
    <cellStyle name="40 % - Markeringsfarve4 2 2 6 2 4" xfId="14695" xr:uid="{00000000-0005-0000-0000-0000BE490000}"/>
    <cellStyle name="40 % - Markeringsfarve4 2 2 6 2 4 2" xfId="32861" xr:uid="{00000000-0005-0000-0000-0000BF490000}"/>
    <cellStyle name="40 % - Markeringsfarve4 2 2 6 2 5" xfId="25859" xr:uid="{00000000-0005-0000-0000-0000C0490000}"/>
    <cellStyle name="40 % - Markeringsfarve4 2 2 6 3" xfId="6143" xr:uid="{00000000-0005-0000-0000-0000C1490000}"/>
    <cellStyle name="40 % - Markeringsfarve4 2 2 6 3 2" xfId="9668" xr:uid="{00000000-0005-0000-0000-0000C2490000}"/>
    <cellStyle name="40 % - Markeringsfarve4 2 2 6 3 2 2" xfId="17578" xr:uid="{00000000-0005-0000-0000-0000C3490000}"/>
    <cellStyle name="40 % - Markeringsfarve4 2 2 6 3 2 2 2" xfId="35738" xr:uid="{00000000-0005-0000-0000-0000C4490000}"/>
    <cellStyle name="40 % - Markeringsfarve4 2 2 6 3 2 3" xfId="28737" xr:uid="{00000000-0005-0000-0000-0000C5490000}"/>
    <cellStyle name="40 % - Markeringsfarve4 2 2 6 3 3" xfId="14697" xr:uid="{00000000-0005-0000-0000-0000C6490000}"/>
    <cellStyle name="40 % - Markeringsfarve4 2 2 6 3 3 2" xfId="32863" xr:uid="{00000000-0005-0000-0000-0000C7490000}"/>
    <cellStyle name="40 % - Markeringsfarve4 2 2 6 3 4" xfId="25861" xr:uid="{00000000-0005-0000-0000-0000C8490000}"/>
    <cellStyle name="40 % - Markeringsfarve4 2 2 6 4" xfId="6144" xr:uid="{00000000-0005-0000-0000-0000C9490000}"/>
    <cellStyle name="40 % - Markeringsfarve4 2 2 6 4 2" xfId="10774" xr:uid="{00000000-0005-0000-0000-0000CA490000}"/>
    <cellStyle name="40 % - Markeringsfarve4 2 2 6 4 2 2" xfId="18662" xr:uid="{00000000-0005-0000-0000-0000CB490000}"/>
    <cellStyle name="40 % - Markeringsfarve4 2 2 6 4 2 2 2" xfId="36822" xr:uid="{00000000-0005-0000-0000-0000CC490000}"/>
    <cellStyle name="40 % - Markeringsfarve4 2 2 6 4 2 3" xfId="29821" xr:uid="{00000000-0005-0000-0000-0000CD490000}"/>
    <cellStyle name="40 % - Markeringsfarve4 2 2 6 4 3" xfId="14698" xr:uid="{00000000-0005-0000-0000-0000CE490000}"/>
    <cellStyle name="40 % - Markeringsfarve4 2 2 6 4 3 2" xfId="32864" xr:uid="{00000000-0005-0000-0000-0000CF490000}"/>
    <cellStyle name="40 % - Markeringsfarve4 2 2 6 4 4" xfId="25862" xr:uid="{00000000-0005-0000-0000-0000D0490000}"/>
    <cellStyle name="40 % - Markeringsfarve4 2 2 6 5" xfId="8152" xr:uid="{00000000-0005-0000-0000-0000D1490000}"/>
    <cellStyle name="40 % - Markeringsfarve4 2 2 6 5 2" xfId="16070" xr:uid="{00000000-0005-0000-0000-0000D2490000}"/>
    <cellStyle name="40 % - Markeringsfarve4 2 2 6 5 2 2" xfId="34230" xr:uid="{00000000-0005-0000-0000-0000D3490000}"/>
    <cellStyle name="40 % - Markeringsfarve4 2 2 6 5 3" xfId="27229" xr:uid="{00000000-0005-0000-0000-0000D4490000}"/>
    <cellStyle name="40 % - Markeringsfarve4 2 2 6 6" xfId="14694" xr:uid="{00000000-0005-0000-0000-0000D5490000}"/>
    <cellStyle name="40 % - Markeringsfarve4 2 2 6 6 2" xfId="32860" xr:uid="{00000000-0005-0000-0000-0000D6490000}"/>
    <cellStyle name="40 % - Markeringsfarve4 2 2 6 7" xfId="25858" xr:uid="{00000000-0005-0000-0000-0000D7490000}"/>
    <cellStyle name="40 % - Markeringsfarve4 2 2 7" xfId="6145" xr:uid="{00000000-0005-0000-0000-0000D8490000}"/>
    <cellStyle name="40 % - Markeringsfarve4 2 2 7 2" xfId="6146" xr:uid="{00000000-0005-0000-0000-0000D9490000}"/>
    <cellStyle name="40 % - Markeringsfarve4 2 2 7 2 2" xfId="9789" xr:uid="{00000000-0005-0000-0000-0000DA490000}"/>
    <cellStyle name="40 % - Markeringsfarve4 2 2 7 2 2 2" xfId="17690" xr:uid="{00000000-0005-0000-0000-0000DB490000}"/>
    <cellStyle name="40 % - Markeringsfarve4 2 2 7 2 2 2 2" xfId="35850" xr:uid="{00000000-0005-0000-0000-0000DC490000}"/>
    <cellStyle name="40 % - Markeringsfarve4 2 2 7 2 2 3" xfId="28849" xr:uid="{00000000-0005-0000-0000-0000DD490000}"/>
    <cellStyle name="40 % - Markeringsfarve4 2 2 7 2 3" xfId="14700" xr:uid="{00000000-0005-0000-0000-0000DE490000}"/>
    <cellStyle name="40 % - Markeringsfarve4 2 2 7 2 3 2" xfId="32866" xr:uid="{00000000-0005-0000-0000-0000DF490000}"/>
    <cellStyle name="40 % - Markeringsfarve4 2 2 7 2 4" xfId="25864" xr:uid="{00000000-0005-0000-0000-0000E0490000}"/>
    <cellStyle name="40 % - Markeringsfarve4 2 2 7 3" xfId="8381" xr:uid="{00000000-0005-0000-0000-0000E1490000}"/>
    <cellStyle name="40 % - Markeringsfarve4 2 2 7 3 2" xfId="16298" xr:uid="{00000000-0005-0000-0000-0000E2490000}"/>
    <cellStyle name="40 % - Markeringsfarve4 2 2 7 3 2 2" xfId="34458" xr:uid="{00000000-0005-0000-0000-0000E3490000}"/>
    <cellStyle name="40 % - Markeringsfarve4 2 2 7 3 3" xfId="27457" xr:uid="{00000000-0005-0000-0000-0000E4490000}"/>
    <cellStyle name="40 % - Markeringsfarve4 2 2 7 4" xfId="14699" xr:uid="{00000000-0005-0000-0000-0000E5490000}"/>
    <cellStyle name="40 % - Markeringsfarve4 2 2 7 4 2" xfId="32865" xr:uid="{00000000-0005-0000-0000-0000E6490000}"/>
    <cellStyle name="40 % - Markeringsfarve4 2 2 7 5" xfId="25863" xr:uid="{00000000-0005-0000-0000-0000E7490000}"/>
    <cellStyle name="40 % - Markeringsfarve4 2 2 8" xfId="6147" xr:uid="{00000000-0005-0000-0000-0000E8490000}"/>
    <cellStyle name="40 % - Markeringsfarve4 2 2 8 2" xfId="9017" xr:uid="{00000000-0005-0000-0000-0000E9490000}"/>
    <cellStyle name="40 % - Markeringsfarve4 2 2 8 2 2" xfId="16928" xr:uid="{00000000-0005-0000-0000-0000EA490000}"/>
    <cellStyle name="40 % - Markeringsfarve4 2 2 8 2 2 2" xfId="35088" xr:uid="{00000000-0005-0000-0000-0000EB490000}"/>
    <cellStyle name="40 % - Markeringsfarve4 2 2 8 2 3" xfId="28087" xr:uid="{00000000-0005-0000-0000-0000EC490000}"/>
    <cellStyle name="40 % - Markeringsfarve4 2 2 8 3" xfId="14701" xr:uid="{00000000-0005-0000-0000-0000ED490000}"/>
    <cellStyle name="40 % - Markeringsfarve4 2 2 8 3 2" xfId="32867" xr:uid="{00000000-0005-0000-0000-0000EE490000}"/>
    <cellStyle name="40 % - Markeringsfarve4 2 2 8 4" xfId="25865" xr:uid="{00000000-0005-0000-0000-0000EF490000}"/>
    <cellStyle name="40 % - Markeringsfarve4 2 2 9" xfId="6148" xr:uid="{00000000-0005-0000-0000-0000F0490000}"/>
    <cellStyle name="40 % - Markeringsfarve4 2 2 9 2" xfId="10864" xr:uid="{00000000-0005-0000-0000-0000F1490000}"/>
    <cellStyle name="40 % - Markeringsfarve4 2 2 9 2 2" xfId="18747" xr:uid="{00000000-0005-0000-0000-0000F2490000}"/>
    <cellStyle name="40 % - Markeringsfarve4 2 2 9 2 2 2" xfId="36907" xr:uid="{00000000-0005-0000-0000-0000F3490000}"/>
    <cellStyle name="40 % - Markeringsfarve4 2 2 9 2 3" xfId="29906" xr:uid="{00000000-0005-0000-0000-0000F4490000}"/>
    <cellStyle name="40 % - Markeringsfarve4 2 2 9 3" xfId="14702" xr:uid="{00000000-0005-0000-0000-0000F5490000}"/>
    <cellStyle name="40 % - Markeringsfarve4 2 2 9 3 2" xfId="32868" xr:uid="{00000000-0005-0000-0000-0000F6490000}"/>
    <cellStyle name="40 % - Markeringsfarve4 2 2 9 4" xfId="25866" xr:uid="{00000000-0005-0000-0000-0000F7490000}"/>
    <cellStyle name="40 % - Markeringsfarve4 2 3" xfId="1915" xr:uid="{00000000-0005-0000-0000-0000F8490000}"/>
    <cellStyle name="40 % - Markeringsfarve4 2 3 10" xfId="8153" xr:uid="{00000000-0005-0000-0000-0000F9490000}"/>
    <cellStyle name="40 % - Markeringsfarve4 2 3 10 2" xfId="16071" xr:uid="{00000000-0005-0000-0000-0000FA490000}"/>
    <cellStyle name="40 % - Markeringsfarve4 2 3 10 2 2" xfId="34231" xr:uid="{00000000-0005-0000-0000-0000FB490000}"/>
    <cellStyle name="40 % - Markeringsfarve4 2 3 10 3" xfId="27230" xr:uid="{00000000-0005-0000-0000-0000FC490000}"/>
    <cellStyle name="40 % - Markeringsfarve4 2 3 11" xfId="14703" xr:uid="{00000000-0005-0000-0000-0000FD490000}"/>
    <cellStyle name="40 % - Markeringsfarve4 2 3 11 2" xfId="32869" xr:uid="{00000000-0005-0000-0000-0000FE490000}"/>
    <cellStyle name="40 % - Markeringsfarve4 2 3 12" xfId="6149" xr:uid="{00000000-0005-0000-0000-0000FF490000}"/>
    <cellStyle name="40 % - Markeringsfarve4 2 3 12 2" xfId="25867" xr:uid="{00000000-0005-0000-0000-0000004A0000}"/>
    <cellStyle name="40 % - Markeringsfarve4 2 3 13" xfId="22033" xr:uid="{00000000-0005-0000-0000-0000014A0000}"/>
    <cellStyle name="40 % - Markeringsfarve4 2 3 2" xfId="1916" xr:uid="{00000000-0005-0000-0000-0000024A0000}"/>
    <cellStyle name="40 % - Markeringsfarve4 2 3 2 2" xfId="6151" xr:uid="{00000000-0005-0000-0000-0000034A0000}"/>
    <cellStyle name="40 % - Markeringsfarve4 2 3 2 2 2" xfId="6152" xr:uid="{00000000-0005-0000-0000-0000044A0000}"/>
    <cellStyle name="40 % - Markeringsfarve4 2 3 2 2 2 2" xfId="9947" xr:uid="{00000000-0005-0000-0000-0000054A0000}"/>
    <cellStyle name="40 % - Markeringsfarve4 2 3 2 2 2 2 2" xfId="17848" xr:uid="{00000000-0005-0000-0000-0000064A0000}"/>
    <cellStyle name="40 % - Markeringsfarve4 2 3 2 2 2 2 2 2" xfId="36008" xr:uid="{00000000-0005-0000-0000-0000074A0000}"/>
    <cellStyle name="40 % - Markeringsfarve4 2 3 2 2 2 2 3" xfId="29007" xr:uid="{00000000-0005-0000-0000-0000084A0000}"/>
    <cellStyle name="40 % - Markeringsfarve4 2 3 2 2 2 3" xfId="14706" xr:uid="{00000000-0005-0000-0000-0000094A0000}"/>
    <cellStyle name="40 % - Markeringsfarve4 2 3 2 2 2 3 2" xfId="32872" xr:uid="{00000000-0005-0000-0000-00000A4A0000}"/>
    <cellStyle name="40 % - Markeringsfarve4 2 3 2 2 2 4" xfId="25870" xr:uid="{00000000-0005-0000-0000-00000B4A0000}"/>
    <cellStyle name="40 % - Markeringsfarve4 2 3 2 2 3" xfId="8513" xr:uid="{00000000-0005-0000-0000-00000C4A0000}"/>
    <cellStyle name="40 % - Markeringsfarve4 2 3 2 2 3 2" xfId="16430" xr:uid="{00000000-0005-0000-0000-00000D4A0000}"/>
    <cellStyle name="40 % - Markeringsfarve4 2 3 2 2 3 2 2" xfId="34590" xr:uid="{00000000-0005-0000-0000-00000E4A0000}"/>
    <cellStyle name="40 % - Markeringsfarve4 2 3 2 2 3 3" xfId="27589" xr:uid="{00000000-0005-0000-0000-00000F4A0000}"/>
    <cellStyle name="40 % - Markeringsfarve4 2 3 2 2 4" xfId="14705" xr:uid="{00000000-0005-0000-0000-0000104A0000}"/>
    <cellStyle name="40 % - Markeringsfarve4 2 3 2 2 4 2" xfId="32871" xr:uid="{00000000-0005-0000-0000-0000114A0000}"/>
    <cellStyle name="40 % - Markeringsfarve4 2 3 2 2 5" xfId="25869" xr:uid="{00000000-0005-0000-0000-0000124A0000}"/>
    <cellStyle name="40 % - Markeringsfarve4 2 3 2 3" xfId="6153" xr:uid="{00000000-0005-0000-0000-0000134A0000}"/>
    <cellStyle name="40 % - Markeringsfarve4 2 3 2 3 2" xfId="9177" xr:uid="{00000000-0005-0000-0000-0000144A0000}"/>
    <cellStyle name="40 % - Markeringsfarve4 2 3 2 3 2 2" xfId="17088" xr:uid="{00000000-0005-0000-0000-0000154A0000}"/>
    <cellStyle name="40 % - Markeringsfarve4 2 3 2 3 2 2 2" xfId="35248" xr:uid="{00000000-0005-0000-0000-0000164A0000}"/>
    <cellStyle name="40 % - Markeringsfarve4 2 3 2 3 2 3" xfId="28247" xr:uid="{00000000-0005-0000-0000-0000174A0000}"/>
    <cellStyle name="40 % - Markeringsfarve4 2 3 2 3 3" xfId="14707" xr:uid="{00000000-0005-0000-0000-0000184A0000}"/>
    <cellStyle name="40 % - Markeringsfarve4 2 3 2 3 3 2" xfId="32873" xr:uid="{00000000-0005-0000-0000-0000194A0000}"/>
    <cellStyle name="40 % - Markeringsfarve4 2 3 2 3 4" xfId="25871" xr:uid="{00000000-0005-0000-0000-00001A4A0000}"/>
    <cellStyle name="40 % - Markeringsfarve4 2 3 2 4" xfId="6154" xr:uid="{00000000-0005-0000-0000-00001B4A0000}"/>
    <cellStyle name="40 % - Markeringsfarve4 2 3 2 4 2" xfId="10717" xr:uid="{00000000-0005-0000-0000-00001C4A0000}"/>
    <cellStyle name="40 % - Markeringsfarve4 2 3 2 4 2 2" xfId="18606" xr:uid="{00000000-0005-0000-0000-00001D4A0000}"/>
    <cellStyle name="40 % - Markeringsfarve4 2 3 2 4 2 2 2" xfId="36766" xr:uid="{00000000-0005-0000-0000-00001E4A0000}"/>
    <cellStyle name="40 % - Markeringsfarve4 2 3 2 4 2 3" xfId="29765" xr:uid="{00000000-0005-0000-0000-00001F4A0000}"/>
    <cellStyle name="40 % - Markeringsfarve4 2 3 2 4 3" xfId="14708" xr:uid="{00000000-0005-0000-0000-0000204A0000}"/>
    <cellStyle name="40 % - Markeringsfarve4 2 3 2 4 3 2" xfId="32874" xr:uid="{00000000-0005-0000-0000-0000214A0000}"/>
    <cellStyle name="40 % - Markeringsfarve4 2 3 2 4 4" xfId="25872" xr:uid="{00000000-0005-0000-0000-0000224A0000}"/>
    <cellStyle name="40 % - Markeringsfarve4 2 3 2 5" xfId="8154" xr:uid="{00000000-0005-0000-0000-0000234A0000}"/>
    <cellStyle name="40 % - Markeringsfarve4 2 3 2 5 2" xfId="16072" xr:uid="{00000000-0005-0000-0000-0000244A0000}"/>
    <cellStyle name="40 % - Markeringsfarve4 2 3 2 5 2 2" xfId="34232" xr:uid="{00000000-0005-0000-0000-0000254A0000}"/>
    <cellStyle name="40 % - Markeringsfarve4 2 3 2 5 3" xfId="27231" xr:uid="{00000000-0005-0000-0000-0000264A0000}"/>
    <cellStyle name="40 % - Markeringsfarve4 2 3 2 6" xfId="14704" xr:uid="{00000000-0005-0000-0000-0000274A0000}"/>
    <cellStyle name="40 % - Markeringsfarve4 2 3 2 6 2" xfId="32870" xr:uid="{00000000-0005-0000-0000-0000284A0000}"/>
    <cellStyle name="40 % - Markeringsfarve4 2 3 2 7" xfId="6150" xr:uid="{00000000-0005-0000-0000-0000294A0000}"/>
    <cellStyle name="40 % - Markeringsfarve4 2 3 2 7 2" xfId="25868" xr:uid="{00000000-0005-0000-0000-00002A4A0000}"/>
    <cellStyle name="40 % - Markeringsfarve4 2 3 2 8" xfId="22034" xr:uid="{00000000-0005-0000-0000-00002B4A0000}"/>
    <cellStyle name="40 % - Markeringsfarve4 2 3 3" xfId="6155" xr:uid="{00000000-0005-0000-0000-00002C4A0000}"/>
    <cellStyle name="40 % - Markeringsfarve4 2 3 3 2" xfId="6156" xr:uid="{00000000-0005-0000-0000-00002D4A0000}"/>
    <cellStyle name="40 % - Markeringsfarve4 2 3 3 2 2" xfId="6157" xr:uid="{00000000-0005-0000-0000-00002E4A0000}"/>
    <cellStyle name="40 % - Markeringsfarve4 2 3 3 2 2 2" xfId="10038" xr:uid="{00000000-0005-0000-0000-00002F4A0000}"/>
    <cellStyle name="40 % - Markeringsfarve4 2 3 3 2 2 2 2" xfId="17939" xr:uid="{00000000-0005-0000-0000-0000304A0000}"/>
    <cellStyle name="40 % - Markeringsfarve4 2 3 3 2 2 2 2 2" xfId="36099" xr:uid="{00000000-0005-0000-0000-0000314A0000}"/>
    <cellStyle name="40 % - Markeringsfarve4 2 3 3 2 2 2 3" xfId="29098" xr:uid="{00000000-0005-0000-0000-0000324A0000}"/>
    <cellStyle name="40 % - Markeringsfarve4 2 3 3 2 2 3" xfId="14711" xr:uid="{00000000-0005-0000-0000-0000334A0000}"/>
    <cellStyle name="40 % - Markeringsfarve4 2 3 3 2 2 3 2" xfId="32877" xr:uid="{00000000-0005-0000-0000-0000344A0000}"/>
    <cellStyle name="40 % - Markeringsfarve4 2 3 3 2 2 4" xfId="25875" xr:uid="{00000000-0005-0000-0000-0000354A0000}"/>
    <cellStyle name="40 % - Markeringsfarve4 2 3 3 2 3" xfId="8584" xr:uid="{00000000-0005-0000-0000-0000364A0000}"/>
    <cellStyle name="40 % - Markeringsfarve4 2 3 3 2 3 2" xfId="16501" xr:uid="{00000000-0005-0000-0000-0000374A0000}"/>
    <cellStyle name="40 % - Markeringsfarve4 2 3 3 2 3 2 2" xfId="34661" xr:uid="{00000000-0005-0000-0000-0000384A0000}"/>
    <cellStyle name="40 % - Markeringsfarve4 2 3 3 2 3 3" xfId="27660" xr:uid="{00000000-0005-0000-0000-0000394A0000}"/>
    <cellStyle name="40 % - Markeringsfarve4 2 3 3 2 4" xfId="14710" xr:uid="{00000000-0005-0000-0000-00003A4A0000}"/>
    <cellStyle name="40 % - Markeringsfarve4 2 3 3 2 4 2" xfId="32876" xr:uid="{00000000-0005-0000-0000-00003B4A0000}"/>
    <cellStyle name="40 % - Markeringsfarve4 2 3 3 2 5" xfId="25874" xr:uid="{00000000-0005-0000-0000-00003C4A0000}"/>
    <cellStyle name="40 % - Markeringsfarve4 2 3 3 3" xfId="6158" xr:uid="{00000000-0005-0000-0000-00003D4A0000}"/>
    <cellStyle name="40 % - Markeringsfarve4 2 3 3 3 2" xfId="9268" xr:uid="{00000000-0005-0000-0000-00003E4A0000}"/>
    <cellStyle name="40 % - Markeringsfarve4 2 3 3 3 2 2" xfId="17179" xr:uid="{00000000-0005-0000-0000-00003F4A0000}"/>
    <cellStyle name="40 % - Markeringsfarve4 2 3 3 3 2 2 2" xfId="35339" xr:uid="{00000000-0005-0000-0000-0000404A0000}"/>
    <cellStyle name="40 % - Markeringsfarve4 2 3 3 3 2 3" xfId="28338" xr:uid="{00000000-0005-0000-0000-0000414A0000}"/>
    <cellStyle name="40 % - Markeringsfarve4 2 3 3 3 3" xfId="14712" xr:uid="{00000000-0005-0000-0000-0000424A0000}"/>
    <cellStyle name="40 % - Markeringsfarve4 2 3 3 3 3 2" xfId="32878" xr:uid="{00000000-0005-0000-0000-0000434A0000}"/>
    <cellStyle name="40 % - Markeringsfarve4 2 3 3 3 4" xfId="25876" xr:uid="{00000000-0005-0000-0000-0000444A0000}"/>
    <cellStyle name="40 % - Markeringsfarve4 2 3 3 4" xfId="6159" xr:uid="{00000000-0005-0000-0000-0000454A0000}"/>
    <cellStyle name="40 % - Markeringsfarve4 2 3 3 4 2" xfId="10947" xr:uid="{00000000-0005-0000-0000-0000464A0000}"/>
    <cellStyle name="40 % - Markeringsfarve4 2 3 3 4 2 2" xfId="18827" xr:uid="{00000000-0005-0000-0000-0000474A0000}"/>
    <cellStyle name="40 % - Markeringsfarve4 2 3 3 4 2 2 2" xfId="36987" xr:uid="{00000000-0005-0000-0000-0000484A0000}"/>
    <cellStyle name="40 % - Markeringsfarve4 2 3 3 4 2 3" xfId="29986" xr:uid="{00000000-0005-0000-0000-0000494A0000}"/>
    <cellStyle name="40 % - Markeringsfarve4 2 3 3 4 3" xfId="14713" xr:uid="{00000000-0005-0000-0000-00004A4A0000}"/>
    <cellStyle name="40 % - Markeringsfarve4 2 3 3 4 3 2" xfId="32879" xr:uid="{00000000-0005-0000-0000-00004B4A0000}"/>
    <cellStyle name="40 % - Markeringsfarve4 2 3 3 4 4" xfId="25877" xr:uid="{00000000-0005-0000-0000-00004C4A0000}"/>
    <cellStyle name="40 % - Markeringsfarve4 2 3 3 5" xfId="8155" xr:uid="{00000000-0005-0000-0000-00004D4A0000}"/>
    <cellStyle name="40 % - Markeringsfarve4 2 3 3 5 2" xfId="16073" xr:uid="{00000000-0005-0000-0000-00004E4A0000}"/>
    <cellStyle name="40 % - Markeringsfarve4 2 3 3 5 2 2" xfId="34233" xr:uid="{00000000-0005-0000-0000-00004F4A0000}"/>
    <cellStyle name="40 % - Markeringsfarve4 2 3 3 5 3" xfId="27232" xr:uid="{00000000-0005-0000-0000-0000504A0000}"/>
    <cellStyle name="40 % - Markeringsfarve4 2 3 3 6" xfId="14709" xr:uid="{00000000-0005-0000-0000-0000514A0000}"/>
    <cellStyle name="40 % - Markeringsfarve4 2 3 3 6 2" xfId="32875" xr:uid="{00000000-0005-0000-0000-0000524A0000}"/>
    <cellStyle name="40 % - Markeringsfarve4 2 3 3 7" xfId="25873" xr:uid="{00000000-0005-0000-0000-0000534A0000}"/>
    <cellStyle name="40 % - Markeringsfarve4 2 3 4" xfId="6160" xr:uid="{00000000-0005-0000-0000-0000544A0000}"/>
    <cellStyle name="40 % - Markeringsfarve4 2 3 4 2" xfId="6161" xr:uid="{00000000-0005-0000-0000-0000554A0000}"/>
    <cellStyle name="40 % - Markeringsfarve4 2 3 4 2 2" xfId="6162" xr:uid="{00000000-0005-0000-0000-0000564A0000}"/>
    <cellStyle name="40 % - Markeringsfarve4 2 3 4 2 2 2" xfId="10185" xr:uid="{00000000-0005-0000-0000-0000574A0000}"/>
    <cellStyle name="40 % - Markeringsfarve4 2 3 4 2 2 2 2" xfId="18086" xr:uid="{00000000-0005-0000-0000-0000584A0000}"/>
    <cellStyle name="40 % - Markeringsfarve4 2 3 4 2 2 2 2 2" xfId="36246" xr:uid="{00000000-0005-0000-0000-0000594A0000}"/>
    <cellStyle name="40 % - Markeringsfarve4 2 3 4 2 2 2 3" xfId="29245" xr:uid="{00000000-0005-0000-0000-00005A4A0000}"/>
    <cellStyle name="40 % - Markeringsfarve4 2 3 4 2 2 3" xfId="14716" xr:uid="{00000000-0005-0000-0000-00005B4A0000}"/>
    <cellStyle name="40 % - Markeringsfarve4 2 3 4 2 2 3 2" xfId="32882" xr:uid="{00000000-0005-0000-0000-00005C4A0000}"/>
    <cellStyle name="40 % - Markeringsfarve4 2 3 4 2 2 4" xfId="25880" xr:uid="{00000000-0005-0000-0000-00005D4A0000}"/>
    <cellStyle name="40 % - Markeringsfarve4 2 3 4 2 3" xfId="8715" xr:uid="{00000000-0005-0000-0000-00005E4A0000}"/>
    <cellStyle name="40 % - Markeringsfarve4 2 3 4 2 3 2" xfId="16629" xr:uid="{00000000-0005-0000-0000-00005F4A0000}"/>
    <cellStyle name="40 % - Markeringsfarve4 2 3 4 2 3 2 2" xfId="34789" xr:uid="{00000000-0005-0000-0000-0000604A0000}"/>
    <cellStyle name="40 % - Markeringsfarve4 2 3 4 2 3 3" xfId="27788" xr:uid="{00000000-0005-0000-0000-0000614A0000}"/>
    <cellStyle name="40 % - Markeringsfarve4 2 3 4 2 4" xfId="14715" xr:uid="{00000000-0005-0000-0000-0000624A0000}"/>
    <cellStyle name="40 % - Markeringsfarve4 2 3 4 2 4 2" xfId="32881" xr:uid="{00000000-0005-0000-0000-0000634A0000}"/>
    <cellStyle name="40 % - Markeringsfarve4 2 3 4 2 5" xfId="25879" xr:uid="{00000000-0005-0000-0000-0000644A0000}"/>
    <cellStyle name="40 % - Markeringsfarve4 2 3 4 3" xfId="6163" xr:uid="{00000000-0005-0000-0000-0000654A0000}"/>
    <cellStyle name="40 % - Markeringsfarve4 2 3 4 3 2" xfId="9461" xr:uid="{00000000-0005-0000-0000-0000664A0000}"/>
    <cellStyle name="40 % - Markeringsfarve4 2 3 4 3 2 2" xfId="17371" xr:uid="{00000000-0005-0000-0000-0000674A0000}"/>
    <cellStyle name="40 % - Markeringsfarve4 2 3 4 3 2 2 2" xfId="35531" xr:uid="{00000000-0005-0000-0000-0000684A0000}"/>
    <cellStyle name="40 % - Markeringsfarve4 2 3 4 3 2 3" xfId="28530" xr:uid="{00000000-0005-0000-0000-0000694A0000}"/>
    <cellStyle name="40 % - Markeringsfarve4 2 3 4 3 3" xfId="14717" xr:uid="{00000000-0005-0000-0000-00006A4A0000}"/>
    <cellStyle name="40 % - Markeringsfarve4 2 3 4 3 3 2" xfId="32883" xr:uid="{00000000-0005-0000-0000-00006B4A0000}"/>
    <cellStyle name="40 % - Markeringsfarve4 2 3 4 3 4" xfId="25881" xr:uid="{00000000-0005-0000-0000-00006C4A0000}"/>
    <cellStyle name="40 % - Markeringsfarve4 2 3 4 4" xfId="6164" xr:uid="{00000000-0005-0000-0000-00006D4A0000}"/>
    <cellStyle name="40 % - Markeringsfarve4 2 3 4 4 2" xfId="10672" xr:uid="{00000000-0005-0000-0000-00006E4A0000}"/>
    <cellStyle name="40 % - Markeringsfarve4 2 3 4 4 2 2" xfId="18564" xr:uid="{00000000-0005-0000-0000-00006F4A0000}"/>
    <cellStyle name="40 % - Markeringsfarve4 2 3 4 4 2 2 2" xfId="36724" xr:uid="{00000000-0005-0000-0000-0000704A0000}"/>
    <cellStyle name="40 % - Markeringsfarve4 2 3 4 4 2 3" xfId="29723" xr:uid="{00000000-0005-0000-0000-0000714A0000}"/>
    <cellStyle name="40 % - Markeringsfarve4 2 3 4 4 3" xfId="14718" xr:uid="{00000000-0005-0000-0000-0000724A0000}"/>
    <cellStyle name="40 % - Markeringsfarve4 2 3 4 4 3 2" xfId="32884" xr:uid="{00000000-0005-0000-0000-0000734A0000}"/>
    <cellStyle name="40 % - Markeringsfarve4 2 3 4 4 4" xfId="25882" xr:uid="{00000000-0005-0000-0000-0000744A0000}"/>
    <cellStyle name="40 % - Markeringsfarve4 2 3 4 5" xfId="8156" xr:uid="{00000000-0005-0000-0000-0000754A0000}"/>
    <cellStyle name="40 % - Markeringsfarve4 2 3 4 5 2" xfId="16074" xr:uid="{00000000-0005-0000-0000-0000764A0000}"/>
    <cellStyle name="40 % - Markeringsfarve4 2 3 4 5 2 2" xfId="34234" xr:uid="{00000000-0005-0000-0000-0000774A0000}"/>
    <cellStyle name="40 % - Markeringsfarve4 2 3 4 5 3" xfId="27233" xr:uid="{00000000-0005-0000-0000-0000784A0000}"/>
    <cellStyle name="40 % - Markeringsfarve4 2 3 4 6" xfId="14714" xr:uid="{00000000-0005-0000-0000-0000794A0000}"/>
    <cellStyle name="40 % - Markeringsfarve4 2 3 4 6 2" xfId="32880" xr:uid="{00000000-0005-0000-0000-00007A4A0000}"/>
    <cellStyle name="40 % - Markeringsfarve4 2 3 4 7" xfId="25878" xr:uid="{00000000-0005-0000-0000-00007B4A0000}"/>
    <cellStyle name="40 % - Markeringsfarve4 2 3 5" xfId="6165" xr:uid="{00000000-0005-0000-0000-00007C4A0000}"/>
    <cellStyle name="40 % - Markeringsfarve4 2 3 5 2" xfId="6166" xr:uid="{00000000-0005-0000-0000-00007D4A0000}"/>
    <cellStyle name="40 % - Markeringsfarve4 2 3 5 2 2" xfId="6167" xr:uid="{00000000-0005-0000-0000-00007E4A0000}"/>
    <cellStyle name="40 % - Markeringsfarve4 2 3 5 2 2 2" xfId="10302" xr:uid="{00000000-0005-0000-0000-00007F4A0000}"/>
    <cellStyle name="40 % - Markeringsfarve4 2 3 5 2 2 2 2" xfId="18203" xr:uid="{00000000-0005-0000-0000-0000804A0000}"/>
    <cellStyle name="40 % - Markeringsfarve4 2 3 5 2 2 2 2 2" xfId="36363" xr:uid="{00000000-0005-0000-0000-0000814A0000}"/>
    <cellStyle name="40 % - Markeringsfarve4 2 3 5 2 2 2 3" xfId="29362" xr:uid="{00000000-0005-0000-0000-0000824A0000}"/>
    <cellStyle name="40 % - Markeringsfarve4 2 3 5 2 2 3" xfId="14721" xr:uid="{00000000-0005-0000-0000-0000834A0000}"/>
    <cellStyle name="40 % - Markeringsfarve4 2 3 5 2 2 3 2" xfId="32887" xr:uid="{00000000-0005-0000-0000-0000844A0000}"/>
    <cellStyle name="40 % - Markeringsfarve4 2 3 5 2 2 4" xfId="25885" xr:uid="{00000000-0005-0000-0000-0000854A0000}"/>
    <cellStyle name="40 % - Markeringsfarve4 2 3 5 2 3" xfId="8814" xr:uid="{00000000-0005-0000-0000-0000864A0000}"/>
    <cellStyle name="40 % - Markeringsfarve4 2 3 5 2 3 2" xfId="16728" xr:uid="{00000000-0005-0000-0000-0000874A0000}"/>
    <cellStyle name="40 % - Markeringsfarve4 2 3 5 2 3 2 2" xfId="34888" xr:uid="{00000000-0005-0000-0000-0000884A0000}"/>
    <cellStyle name="40 % - Markeringsfarve4 2 3 5 2 3 3" xfId="27887" xr:uid="{00000000-0005-0000-0000-0000894A0000}"/>
    <cellStyle name="40 % - Markeringsfarve4 2 3 5 2 4" xfId="14720" xr:uid="{00000000-0005-0000-0000-00008A4A0000}"/>
    <cellStyle name="40 % - Markeringsfarve4 2 3 5 2 4 2" xfId="32886" xr:uid="{00000000-0005-0000-0000-00008B4A0000}"/>
    <cellStyle name="40 % - Markeringsfarve4 2 3 5 2 5" xfId="25884" xr:uid="{00000000-0005-0000-0000-00008C4A0000}"/>
    <cellStyle name="40 % - Markeringsfarve4 2 3 5 3" xfId="6168" xr:uid="{00000000-0005-0000-0000-00008D4A0000}"/>
    <cellStyle name="40 % - Markeringsfarve4 2 3 5 3 2" xfId="9578" xr:uid="{00000000-0005-0000-0000-00008E4A0000}"/>
    <cellStyle name="40 % - Markeringsfarve4 2 3 5 3 2 2" xfId="17488" xr:uid="{00000000-0005-0000-0000-00008F4A0000}"/>
    <cellStyle name="40 % - Markeringsfarve4 2 3 5 3 2 2 2" xfId="35648" xr:uid="{00000000-0005-0000-0000-0000904A0000}"/>
    <cellStyle name="40 % - Markeringsfarve4 2 3 5 3 2 3" xfId="28647" xr:uid="{00000000-0005-0000-0000-0000914A0000}"/>
    <cellStyle name="40 % - Markeringsfarve4 2 3 5 3 3" xfId="14722" xr:uid="{00000000-0005-0000-0000-0000924A0000}"/>
    <cellStyle name="40 % - Markeringsfarve4 2 3 5 3 3 2" xfId="32888" xr:uid="{00000000-0005-0000-0000-0000934A0000}"/>
    <cellStyle name="40 % - Markeringsfarve4 2 3 5 3 4" xfId="25886" xr:uid="{00000000-0005-0000-0000-0000944A0000}"/>
    <cellStyle name="40 % - Markeringsfarve4 2 3 5 4" xfId="6169" xr:uid="{00000000-0005-0000-0000-0000954A0000}"/>
    <cellStyle name="40 % - Markeringsfarve4 2 3 5 4 2" xfId="10907" xr:uid="{00000000-0005-0000-0000-0000964A0000}"/>
    <cellStyle name="40 % - Markeringsfarve4 2 3 5 4 2 2" xfId="18789" xr:uid="{00000000-0005-0000-0000-0000974A0000}"/>
    <cellStyle name="40 % - Markeringsfarve4 2 3 5 4 2 2 2" xfId="36949" xr:uid="{00000000-0005-0000-0000-0000984A0000}"/>
    <cellStyle name="40 % - Markeringsfarve4 2 3 5 4 2 3" xfId="29948" xr:uid="{00000000-0005-0000-0000-0000994A0000}"/>
    <cellStyle name="40 % - Markeringsfarve4 2 3 5 4 3" xfId="14723" xr:uid="{00000000-0005-0000-0000-00009A4A0000}"/>
    <cellStyle name="40 % - Markeringsfarve4 2 3 5 4 3 2" xfId="32889" xr:uid="{00000000-0005-0000-0000-00009B4A0000}"/>
    <cellStyle name="40 % - Markeringsfarve4 2 3 5 4 4" xfId="25887" xr:uid="{00000000-0005-0000-0000-00009C4A0000}"/>
    <cellStyle name="40 % - Markeringsfarve4 2 3 5 5" xfId="8157" xr:uid="{00000000-0005-0000-0000-00009D4A0000}"/>
    <cellStyle name="40 % - Markeringsfarve4 2 3 5 5 2" xfId="16075" xr:uid="{00000000-0005-0000-0000-00009E4A0000}"/>
    <cellStyle name="40 % - Markeringsfarve4 2 3 5 5 2 2" xfId="34235" xr:uid="{00000000-0005-0000-0000-00009F4A0000}"/>
    <cellStyle name="40 % - Markeringsfarve4 2 3 5 5 3" xfId="27234" xr:uid="{00000000-0005-0000-0000-0000A04A0000}"/>
    <cellStyle name="40 % - Markeringsfarve4 2 3 5 6" xfId="14719" xr:uid="{00000000-0005-0000-0000-0000A14A0000}"/>
    <cellStyle name="40 % - Markeringsfarve4 2 3 5 6 2" xfId="32885" xr:uid="{00000000-0005-0000-0000-0000A24A0000}"/>
    <cellStyle name="40 % - Markeringsfarve4 2 3 5 7" xfId="25883" xr:uid="{00000000-0005-0000-0000-0000A34A0000}"/>
    <cellStyle name="40 % - Markeringsfarve4 2 3 6" xfId="6170" xr:uid="{00000000-0005-0000-0000-0000A44A0000}"/>
    <cellStyle name="40 % - Markeringsfarve4 2 3 6 2" xfId="6171" xr:uid="{00000000-0005-0000-0000-0000A54A0000}"/>
    <cellStyle name="40 % - Markeringsfarve4 2 3 6 2 2" xfId="6172" xr:uid="{00000000-0005-0000-0000-0000A64A0000}"/>
    <cellStyle name="40 % - Markeringsfarve4 2 3 6 2 2 2" xfId="10392" xr:uid="{00000000-0005-0000-0000-0000A74A0000}"/>
    <cellStyle name="40 % - Markeringsfarve4 2 3 6 2 2 2 2" xfId="18293" xr:uid="{00000000-0005-0000-0000-0000A84A0000}"/>
    <cellStyle name="40 % - Markeringsfarve4 2 3 6 2 2 2 2 2" xfId="36453" xr:uid="{00000000-0005-0000-0000-0000A94A0000}"/>
    <cellStyle name="40 % - Markeringsfarve4 2 3 6 2 2 2 3" xfId="29452" xr:uid="{00000000-0005-0000-0000-0000AA4A0000}"/>
    <cellStyle name="40 % - Markeringsfarve4 2 3 6 2 2 3" xfId="14726" xr:uid="{00000000-0005-0000-0000-0000AB4A0000}"/>
    <cellStyle name="40 % - Markeringsfarve4 2 3 6 2 2 3 2" xfId="32892" xr:uid="{00000000-0005-0000-0000-0000AC4A0000}"/>
    <cellStyle name="40 % - Markeringsfarve4 2 3 6 2 2 4" xfId="25890" xr:uid="{00000000-0005-0000-0000-0000AD4A0000}"/>
    <cellStyle name="40 % - Markeringsfarve4 2 3 6 2 3" xfId="8885" xr:uid="{00000000-0005-0000-0000-0000AE4A0000}"/>
    <cellStyle name="40 % - Markeringsfarve4 2 3 6 2 3 2" xfId="16799" xr:uid="{00000000-0005-0000-0000-0000AF4A0000}"/>
    <cellStyle name="40 % - Markeringsfarve4 2 3 6 2 3 2 2" xfId="34959" xr:uid="{00000000-0005-0000-0000-0000B04A0000}"/>
    <cellStyle name="40 % - Markeringsfarve4 2 3 6 2 3 3" xfId="27958" xr:uid="{00000000-0005-0000-0000-0000B14A0000}"/>
    <cellStyle name="40 % - Markeringsfarve4 2 3 6 2 4" xfId="14725" xr:uid="{00000000-0005-0000-0000-0000B24A0000}"/>
    <cellStyle name="40 % - Markeringsfarve4 2 3 6 2 4 2" xfId="32891" xr:uid="{00000000-0005-0000-0000-0000B34A0000}"/>
    <cellStyle name="40 % - Markeringsfarve4 2 3 6 2 5" xfId="25889" xr:uid="{00000000-0005-0000-0000-0000B44A0000}"/>
    <cellStyle name="40 % - Markeringsfarve4 2 3 6 3" xfId="6173" xr:uid="{00000000-0005-0000-0000-0000B54A0000}"/>
    <cellStyle name="40 % - Markeringsfarve4 2 3 6 3 2" xfId="9669" xr:uid="{00000000-0005-0000-0000-0000B64A0000}"/>
    <cellStyle name="40 % - Markeringsfarve4 2 3 6 3 2 2" xfId="17579" xr:uid="{00000000-0005-0000-0000-0000B74A0000}"/>
    <cellStyle name="40 % - Markeringsfarve4 2 3 6 3 2 2 2" xfId="35739" xr:uid="{00000000-0005-0000-0000-0000B84A0000}"/>
    <cellStyle name="40 % - Markeringsfarve4 2 3 6 3 2 3" xfId="28738" xr:uid="{00000000-0005-0000-0000-0000B94A0000}"/>
    <cellStyle name="40 % - Markeringsfarve4 2 3 6 3 3" xfId="14727" xr:uid="{00000000-0005-0000-0000-0000BA4A0000}"/>
    <cellStyle name="40 % - Markeringsfarve4 2 3 6 3 3 2" xfId="32893" xr:uid="{00000000-0005-0000-0000-0000BB4A0000}"/>
    <cellStyle name="40 % - Markeringsfarve4 2 3 6 3 4" xfId="25891" xr:uid="{00000000-0005-0000-0000-0000BC4A0000}"/>
    <cellStyle name="40 % - Markeringsfarve4 2 3 6 4" xfId="6174" xr:uid="{00000000-0005-0000-0000-0000BD4A0000}"/>
    <cellStyle name="40 % - Markeringsfarve4 2 3 6 4 2" xfId="10631" xr:uid="{00000000-0005-0000-0000-0000BE4A0000}"/>
    <cellStyle name="40 % - Markeringsfarve4 2 3 6 4 2 2" xfId="18524" xr:uid="{00000000-0005-0000-0000-0000BF4A0000}"/>
    <cellStyle name="40 % - Markeringsfarve4 2 3 6 4 2 2 2" xfId="36684" xr:uid="{00000000-0005-0000-0000-0000C04A0000}"/>
    <cellStyle name="40 % - Markeringsfarve4 2 3 6 4 2 3" xfId="29683" xr:uid="{00000000-0005-0000-0000-0000C14A0000}"/>
    <cellStyle name="40 % - Markeringsfarve4 2 3 6 4 3" xfId="14728" xr:uid="{00000000-0005-0000-0000-0000C24A0000}"/>
    <cellStyle name="40 % - Markeringsfarve4 2 3 6 4 3 2" xfId="32894" xr:uid="{00000000-0005-0000-0000-0000C34A0000}"/>
    <cellStyle name="40 % - Markeringsfarve4 2 3 6 4 4" xfId="25892" xr:uid="{00000000-0005-0000-0000-0000C44A0000}"/>
    <cellStyle name="40 % - Markeringsfarve4 2 3 6 5" xfId="8158" xr:uid="{00000000-0005-0000-0000-0000C54A0000}"/>
    <cellStyle name="40 % - Markeringsfarve4 2 3 6 5 2" xfId="16076" xr:uid="{00000000-0005-0000-0000-0000C64A0000}"/>
    <cellStyle name="40 % - Markeringsfarve4 2 3 6 5 2 2" xfId="34236" xr:uid="{00000000-0005-0000-0000-0000C74A0000}"/>
    <cellStyle name="40 % - Markeringsfarve4 2 3 6 5 3" xfId="27235" xr:uid="{00000000-0005-0000-0000-0000C84A0000}"/>
    <cellStyle name="40 % - Markeringsfarve4 2 3 6 6" xfId="14724" xr:uid="{00000000-0005-0000-0000-0000C94A0000}"/>
    <cellStyle name="40 % - Markeringsfarve4 2 3 6 6 2" xfId="32890" xr:uid="{00000000-0005-0000-0000-0000CA4A0000}"/>
    <cellStyle name="40 % - Markeringsfarve4 2 3 6 7" xfId="25888" xr:uid="{00000000-0005-0000-0000-0000CB4A0000}"/>
    <cellStyle name="40 % - Markeringsfarve4 2 3 7" xfId="6175" xr:uid="{00000000-0005-0000-0000-0000CC4A0000}"/>
    <cellStyle name="40 % - Markeringsfarve4 2 3 7 2" xfId="6176" xr:uid="{00000000-0005-0000-0000-0000CD4A0000}"/>
    <cellStyle name="40 % - Markeringsfarve4 2 3 7 2 2" xfId="9828" xr:uid="{00000000-0005-0000-0000-0000CE4A0000}"/>
    <cellStyle name="40 % - Markeringsfarve4 2 3 7 2 2 2" xfId="17729" xr:uid="{00000000-0005-0000-0000-0000CF4A0000}"/>
    <cellStyle name="40 % - Markeringsfarve4 2 3 7 2 2 2 2" xfId="35889" xr:uid="{00000000-0005-0000-0000-0000D04A0000}"/>
    <cellStyle name="40 % - Markeringsfarve4 2 3 7 2 2 3" xfId="28888" xr:uid="{00000000-0005-0000-0000-0000D14A0000}"/>
    <cellStyle name="40 % - Markeringsfarve4 2 3 7 2 3" xfId="14730" xr:uid="{00000000-0005-0000-0000-0000D24A0000}"/>
    <cellStyle name="40 % - Markeringsfarve4 2 3 7 2 3 2" xfId="32896" xr:uid="{00000000-0005-0000-0000-0000D34A0000}"/>
    <cellStyle name="40 % - Markeringsfarve4 2 3 7 2 4" xfId="25894" xr:uid="{00000000-0005-0000-0000-0000D44A0000}"/>
    <cellStyle name="40 % - Markeringsfarve4 2 3 7 3" xfId="8414" xr:uid="{00000000-0005-0000-0000-0000D54A0000}"/>
    <cellStyle name="40 % - Markeringsfarve4 2 3 7 3 2" xfId="16331" xr:uid="{00000000-0005-0000-0000-0000D64A0000}"/>
    <cellStyle name="40 % - Markeringsfarve4 2 3 7 3 2 2" xfId="34491" xr:uid="{00000000-0005-0000-0000-0000D74A0000}"/>
    <cellStyle name="40 % - Markeringsfarve4 2 3 7 3 3" xfId="27490" xr:uid="{00000000-0005-0000-0000-0000D84A0000}"/>
    <cellStyle name="40 % - Markeringsfarve4 2 3 7 4" xfId="14729" xr:uid="{00000000-0005-0000-0000-0000D94A0000}"/>
    <cellStyle name="40 % - Markeringsfarve4 2 3 7 4 2" xfId="32895" xr:uid="{00000000-0005-0000-0000-0000DA4A0000}"/>
    <cellStyle name="40 % - Markeringsfarve4 2 3 7 5" xfId="25893" xr:uid="{00000000-0005-0000-0000-0000DB4A0000}"/>
    <cellStyle name="40 % - Markeringsfarve4 2 3 8" xfId="6177" xr:uid="{00000000-0005-0000-0000-0000DC4A0000}"/>
    <cellStyle name="40 % - Markeringsfarve4 2 3 8 2" xfId="9056" xr:uid="{00000000-0005-0000-0000-0000DD4A0000}"/>
    <cellStyle name="40 % - Markeringsfarve4 2 3 8 2 2" xfId="16967" xr:uid="{00000000-0005-0000-0000-0000DE4A0000}"/>
    <cellStyle name="40 % - Markeringsfarve4 2 3 8 2 2 2" xfId="35127" xr:uid="{00000000-0005-0000-0000-0000DF4A0000}"/>
    <cellStyle name="40 % - Markeringsfarve4 2 3 8 2 3" xfId="28126" xr:uid="{00000000-0005-0000-0000-0000E04A0000}"/>
    <cellStyle name="40 % - Markeringsfarve4 2 3 8 3" xfId="14731" xr:uid="{00000000-0005-0000-0000-0000E14A0000}"/>
    <cellStyle name="40 % - Markeringsfarve4 2 3 8 3 2" xfId="32897" xr:uid="{00000000-0005-0000-0000-0000E24A0000}"/>
    <cellStyle name="40 % - Markeringsfarve4 2 3 8 4" xfId="25895" xr:uid="{00000000-0005-0000-0000-0000E34A0000}"/>
    <cellStyle name="40 % - Markeringsfarve4 2 3 9" xfId="6178" xr:uid="{00000000-0005-0000-0000-0000E44A0000}"/>
    <cellStyle name="40 % - Markeringsfarve4 2 3 9 2" xfId="10997" xr:uid="{00000000-0005-0000-0000-0000E54A0000}"/>
    <cellStyle name="40 % - Markeringsfarve4 2 3 9 2 2" xfId="18873" xr:uid="{00000000-0005-0000-0000-0000E64A0000}"/>
    <cellStyle name="40 % - Markeringsfarve4 2 3 9 2 2 2" xfId="37033" xr:uid="{00000000-0005-0000-0000-0000E74A0000}"/>
    <cellStyle name="40 % - Markeringsfarve4 2 3 9 2 3" xfId="30032" xr:uid="{00000000-0005-0000-0000-0000E84A0000}"/>
    <cellStyle name="40 % - Markeringsfarve4 2 3 9 3" xfId="14732" xr:uid="{00000000-0005-0000-0000-0000E94A0000}"/>
    <cellStyle name="40 % - Markeringsfarve4 2 3 9 3 2" xfId="32898" xr:uid="{00000000-0005-0000-0000-0000EA4A0000}"/>
    <cellStyle name="40 % - Markeringsfarve4 2 3 9 4" xfId="25896" xr:uid="{00000000-0005-0000-0000-0000EB4A0000}"/>
    <cellStyle name="40 % - Markeringsfarve4 2 4" xfId="1917" xr:uid="{00000000-0005-0000-0000-0000EC4A0000}"/>
    <cellStyle name="40 % - Markeringsfarve4 2 4 2" xfId="6180" xr:uid="{00000000-0005-0000-0000-0000ED4A0000}"/>
    <cellStyle name="40 % - Markeringsfarve4 2 4 2 2" xfId="6181" xr:uid="{00000000-0005-0000-0000-0000EE4A0000}"/>
    <cellStyle name="40 % - Markeringsfarve4 2 4 2 2 2" xfId="9869" xr:uid="{00000000-0005-0000-0000-0000EF4A0000}"/>
    <cellStyle name="40 % - Markeringsfarve4 2 4 2 2 2 2" xfId="17770" xr:uid="{00000000-0005-0000-0000-0000F04A0000}"/>
    <cellStyle name="40 % - Markeringsfarve4 2 4 2 2 2 2 2" xfId="35930" xr:uid="{00000000-0005-0000-0000-0000F14A0000}"/>
    <cellStyle name="40 % - Markeringsfarve4 2 4 2 2 2 3" xfId="28929" xr:uid="{00000000-0005-0000-0000-0000F24A0000}"/>
    <cellStyle name="40 % - Markeringsfarve4 2 4 2 2 3" xfId="14735" xr:uid="{00000000-0005-0000-0000-0000F34A0000}"/>
    <cellStyle name="40 % - Markeringsfarve4 2 4 2 2 3 2" xfId="32901" xr:uid="{00000000-0005-0000-0000-0000F44A0000}"/>
    <cellStyle name="40 % - Markeringsfarve4 2 4 2 2 4" xfId="25899" xr:uid="{00000000-0005-0000-0000-0000F54A0000}"/>
    <cellStyle name="40 % - Markeringsfarve4 2 4 2 3" xfId="8447" xr:uid="{00000000-0005-0000-0000-0000F64A0000}"/>
    <cellStyle name="40 % - Markeringsfarve4 2 4 2 3 2" xfId="16364" xr:uid="{00000000-0005-0000-0000-0000F74A0000}"/>
    <cellStyle name="40 % - Markeringsfarve4 2 4 2 3 2 2" xfId="34524" xr:uid="{00000000-0005-0000-0000-0000F84A0000}"/>
    <cellStyle name="40 % - Markeringsfarve4 2 4 2 3 3" xfId="27523" xr:uid="{00000000-0005-0000-0000-0000F94A0000}"/>
    <cellStyle name="40 % - Markeringsfarve4 2 4 2 4" xfId="14734" xr:uid="{00000000-0005-0000-0000-0000FA4A0000}"/>
    <cellStyle name="40 % - Markeringsfarve4 2 4 2 4 2" xfId="32900" xr:uid="{00000000-0005-0000-0000-0000FB4A0000}"/>
    <cellStyle name="40 % - Markeringsfarve4 2 4 2 5" xfId="25898" xr:uid="{00000000-0005-0000-0000-0000FC4A0000}"/>
    <cellStyle name="40 % - Markeringsfarve4 2 4 3" xfId="6182" xr:uid="{00000000-0005-0000-0000-0000FD4A0000}"/>
    <cellStyle name="40 % - Markeringsfarve4 2 4 3 2" xfId="9099" xr:uid="{00000000-0005-0000-0000-0000FE4A0000}"/>
    <cellStyle name="40 % - Markeringsfarve4 2 4 3 2 2" xfId="17010" xr:uid="{00000000-0005-0000-0000-0000FF4A0000}"/>
    <cellStyle name="40 % - Markeringsfarve4 2 4 3 2 2 2" xfId="35170" xr:uid="{00000000-0005-0000-0000-0000004B0000}"/>
    <cellStyle name="40 % - Markeringsfarve4 2 4 3 2 3" xfId="28169" xr:uid="{00000000-0005-0000-0000-0000014B0000}"/>
    <cellStyle name="40 % - Markeringsfarve4 2 4 3 3" xfId="14736" xr:uid="{00000000-0005-0000-0000-0000024B0000}"/>
    <cellStyle name="40 % - Markeringsfarve4 2 4 3 3 2" xfId="32902" xr:uid="{00000000-0005-0000-0000-0000034B0000}"/>
    <cellStyle name="40 % - Markeringsfarve4 2 4 3 4" xfId="25900" xr:uid="{00000000-0005-0000-0000-0000044B0000}"/>
    <cellStyle name="40 % - Markeringsfarve4 2 4 4" xfId="6183" xr:uid="{00000000-0005-0000-0000-0000054B0000}"/>
    <cellStyle name="40 % - Markeringsfarve4 2 4 4 2" xfId="10863" xr:uid="{00000000-0005-0000-0000-0000064B0000}"/>
    <cellStyle name="40 % - Markeringsfarve4 2 4 4 2 2" xfId="18746" xr:uid="{00000000-0005-0000-0000-0000074B0000}"/>
    <cellStyle name="40 % - Markeringsfarve4 2 4 4 2 2 2" xfId="36906" xr:uid="{00000000-0005-0000-0000-0000084B0000}"/>
    <cellStyle name="40 % - Markeringsfarve4 2 4 4 2 3" xfId="29905" xr:uid="{00000000-0005-0000-0000-0000094B0000}"/>
    <cellStyle name="40 % - Markeringsfarve4 2 4 4 3" xfId="14737" xr:uid="{00000000-0005-0000-0000-00000A4B0000}"/>
    <cellStyle name="40 % - Markeringsfarve4 2 4 4 3 2" xfId="32903" xr:uid="{00000000-0005-0000-0000-00000B4B0000}"/>
    <cellStyle name="40 % - Markeringsfarve4 2 4 4 4" xfId="25901" xr:uid="{00000000-0005-0000-0000-00000C4B0000}"/>
    <cellStyle name="40 % - Markeringsfarve4 2 4 5" xfId="8159" xr:uid="{00000000-0005-0000-0000-00000D4B0000}"/>
    <cellStyle name="40 % - Markeringsfarve4 2 4 5 2" xfId="16077" xr:uid="{00000000-0005-0000-0000-00000E4B0000}"/>
    <cellStyle name="40 % - Markeringsfarve4 2 4 5 2 2" xfId="34237" xr:uid="{00000000-0005-0000-0000-00000F4B0000}"/>
    <cellStyle name="40 % - Markeringsfarve4 2 4 5 3" xfId="27236" xr:uid="{00000000-0005-0000-0000-0000104B0000}"/>
    <cellStyle name="40 % - Markeringsfarve4 2 4 6" xfId="14733" xr:uid="{00000000-0005-0000-0000-0000114B0000}"/>
    <cellStyle name="40 % - Markeringsfarve4 2 4 6 2" xfId="32899" xr:uid="{00000000-0005-0000-0000-0000124B0000}"/>
    <cellStyle name="40 % - Markeringsfarve4 2 4 7" xfId="6179" xr:uid="{00000000-0005-0000-0000-0000134B0000}"/>
    <cellStyle name="40 % - Markeringsfarve4 2 4 7 2" xfId="25897" xr:uid="{00000000-0005-0000-0000-0000144B0000}"/>
    <cellStyle name="40 % - Markeringsfarve4 2 4 8" xfId="22035" xr:uid="{00000000-0005-0000-0000-0000154B0000}"/>
    <cellStyle name="40 % - Markeringsfarve4 2 5" xfId="6184" xr:uid="{00000000-0005-0000-0000-0000164B0000}"/>
    <cellStyle name="40 % - Markeringsfarve4 2 5 2" xfId="6185" xr:uid="{00000000-0005-0000-0000-0000174B0000}"/>
    <cellStyle name="40 % - Markeringsfarve4 2 5 2 2" xfId="6186" xr:uid="{00000000-0005-0000-0000-0000184B0000}"/>
    <cellStyle name="40 % - Markeringsfarve4 2 5 2 2 2" xfId="10036" xr:uid="{00000000-0005-0000-0000-0000194B0000}"/>
    <cellStyle name="40 % - Markeringsfarve4 2 5 2 2 2 2" xfId="17937" xr:uid="{00000000-0005-0000-0000-00001A4B0000}"/>
    <cellStyle name="40 % - Markeringsfarve4 2 5 2 2 2 2 2" xfId="36097" xr:uid="{00000000-0005-0000-0000-00001B4B0000}"/>
    <cellStyle name="40 % - Markeringsfarve4 2 5 2 2 2 3" xfId="29096" xr:uid="{00000000-0005-0000-0000-00001C4B0000}"/>
    <cellStyle name="40 % - Markeringsfarve4 2 5 2 2 3" xfId="14740" xr:uid="{00000000-0005-0000-0000-00001D4B0000}"/>
    <cellStyle name="40 % - Markeringsfarve4 2 5 2 2 3 2" xfId="32906" xr:uid="{00000000-0005-0000-0000-00001E4B0000}"/>
    <cellStyle name="40 % - Markeringsfarve4 2 5 2 2 4" xfId="25904" xr:uid="{00000000-0005-0000-0000-00001F4B0000}"/>
    <cellStyle name="40 % - Markeringsfarve4 2 5 2 3" xfId="8582" xr:uid="{00000000-0005-0000-0000-0000204B0000}"/>
    <cellStyle name="40 % - Markeringsfarve4 2 5 2 3 2" xfId="16499" xr:uid="{00000000-0005-0000-0000-0000214B0000}"/>
    <cellStyle name="40 % - Markeringsfarve4 2 5 2 3 2 2" xfId="34659" xr:uid="{00000000-0005-0000-0000-0000224B0000}"/>
    <cellStyle name="40 % - Markeringsfarve4 2 5 2 3 3" xfId="27658" xr:uid="{00000000-0005-0000-0000-0000234B0000}"/>
    <cellStyle name="40 % - Markeringsfarve4 2 5 2 4" xfId="14739" xr:uid="{00000000-0005-0000-0000-0000244B0000}"/>
    <cellStyle name="40 % - Markeringsfarve4 2 5 2 4 2" xfId="32905" xr:uid="{00000000-0005-0000-0000-0000254B0000}"/>
    <cellStyle name="40 % - Markeringsfarve4 2 5 2 5" xfId="25903" xr:uid="{00000000-0005-0000-0000-0000264B0000}"/>
    <cellStyle name="40 % - Markeringsfarve4 2 5 3" xfId="6187" xr:uid="{00000000-0005-0000-0000-0000274B0000}"/>
    <cellStyle name="40 % - Markeringsfarve4 2 5 3 2" xfId="9266" xr:uid="{00000000-0005-0000-0000-0000284B0000}"/>
    <cellStyle name="40 % - Markeringsfarve4 2 5 3 2 2" xfId="17177" xr:uid="{00000000-0005-0000-0000-0000294B0000}"/>
    <cellStyle name="40 % - Markeringsfarve4 2 5 3 2 2 2" xfId="35337" xr:uid="{00000000-0005-0000-0000-00002A4B0000}"/>
    <cellStyle name="40 % - Markeringsfarve4 2 5 3 2 3" xfId="28336" xr:uid="{00000000-0005-0000-0000-00002B4B0000}"/>
    <cellStyle name="40 % - Markeringsfarve4 2 5 3 3" xfId="14741" xr:uid="{00000000-0005-0000-0000-00002C4B0000}"/>
    <cellStyle name="40 % - Markeringsfarve4 2 5 3 3 2" xfId="32907" xr:uid="{00000000-0005-0000-0000-00002D4B0000}"/>
    <cellStyle name="40 % - Markeringsfarve4 2 5 3 4" xfId="25905" xr:uid="{00000000-0005-0000-0000-00002E4B0000}"/>
    <cellStyle name="40 % - Markeringsfarve4 2 5 4" xfId="6188" xr:uid="{00000000-0005-0000-0000-00002F4B0000}"/>
    <cellStyle name="40 % - Markeringsfarve4 2 5 4 2" xfId="10513" xr:uid="{00000000-0005-0000-0000-0000304B0000}"/>
    <cellStyle name="40 % - Markeringsfarve4 2 5 4 2 2" xfId="18407" xr:uid="{00000000-0005-0000-0000-0000314B0000}"/>
    <cellStyle name="40 % - Markeringsfarve4 2 5 4 2 2 2" xfId="36567" xr:uid="{00000000-0005-0000-0000-0000324B0000}"/>
    <cellStyle name="40 % - Markeringsfarve4 2 5 4 2 3" xfId="29566" xr:uid="{00000000-0005-0000-0000-0000334B0000}"/>
    <cellStyle name="40 % - Markeringsfarve4 2 5 4 3" xfId="14742" xr:uid="{00000000-0005-0000-0000-0000344B0000}"/>
    <cellStyle name="40 % - Markeringsfarve4 2 5 4 3 2" xfId="32908" xr:uid="{00000000-0005-0000-0000-0000354B0000}"/>
    <cellStyle name="40 % - Markeringsfarve4 2 5 4 4" xfId="25906" xr:uid="{00000000-0005-0000-0000-0000364B0000}"/>
    <cellStyle name="40 % - Markeringsfarve4 2 5 5" xfId="8160" xr:uid="{00000000-0005-0000-0000-0000374B0000}"/>
    <cellStyle name="40 % - Markeringsfarve4 2 5 5 2" xfId="16078" xr:uid="{00000000-0005-0000-0000-0000384B0000}"/>
    <cellStyle name="40 % - Markeringsfarve4 2 5 5 2 2" xfId="34238" xr:uid="{00000000-0005-0000-0000-0000394B0000}"/>
    <cellStyle name="40 % - Markeringsfarve4 2 5 5 3" xfId="27237" xr:uid="{00000000-0005-0000-0000-00003A4B0000}"/>
    <cellStyle name="40 % - Markeringsfarve4 2 5 6" xfId="14738" xr:uid="{00000000-0005-0000-0000-00003B4B0000}"/>
    <cellStyle name="40 % - Markeringsfarve4 2 5 6 2" xfId="32904" xr:uid="{00000000-0005-0000-0000-00003C4B0000}"/>
    <cellStyle name="40 % - Markeringsfarve4 2 5 7" xfId="25902" xr:uid="{00000000-0005-0000-0000-00003D4B0000}"/>
    <cellStyle name="40 % - Markeringsfarve4 2 6" xfId="6189" xr:uid="{00000000-0005-0000-0000-00003E4B0000}"/>
    <cellStyle name="40 % - Markeringsfarve4 2 6 2" xfId="6190" xr:uid="{00000000-0005-0000-0000-00003F4B0000}"/>
    <cellStyle name="40 % - Markeringsfarve4 2 6 2 2" xfId="6191" xr:uid="{00000000-0005-0000-0000-0000404B0000}"/>
    <cellStyle name="40 % - Markeringsfarve4 2 6 2 2 2" xfId="10107" xr:uid="{00000000-0005-0000-0000-0000414B0000}"/>
    <cellStyle name="40 % - Markeringsfarve4 2 6 2 2 2 2" xfId="18008" xr:uid="{00000000-0005-0000-0000-0000424B0000}"/>
    <cellStyle name="40 % - Markeringsfarve4 2 6 2 2 2 2 2" xfId="36168" xr:uid="{00000000-0005-0000-0000-0000434B0000}"/>
    <cellStyle name="40 % - Markeringsfarve4 2 6 2 2 2 3" xfId="29167" xr:uid="{00000000-0005-0000-0000-0000444B0000}"/>
    <cellStyle name="40 % - Markeringsfarve4 2 6 2 2 3" xfId="14745" xr:uid="{00000000-0005-0000-0000-0000454B0000}"/>
    <cellStyle name="40 % - Markeringsfarve4 2 6 2 2 3 2" xfId="32911" xr:uid="{00000000-0005-0000-0000-0000464B0000}"/>
    <cellStyle name="40 % - Markeringsfarve4 2 6 2 2 4" xfId="25909" xr:uid="{00000000-0005-0000-0000-0000474B0000}"/>
    <cellStyle name="40 % - Markeringsfarve4 2 6 2 3" xfId="8649" xr:uid="{00000000-0005-0000-0000-0000484B0000}"/>
    <cellStyle name="40 % - Markeringsfarve4 2 6 2 3 2" xfId="16563" xr:uid="{00000000-0005-0000-0000-0000494B0000}"/>
    <cellStyle name="40 % - Markeringsfarve4 2 6 2 3 2 2" xfId="34723" xr:uid="{00000000-0005-0000-0000-00004A4B0000}"/>
    <cellStyle name="40 % - Markeringsfarve4 2 6 2 3 3" xfId="27722" xr:uid="{00000000-0005-0000-0000-00004B4B0000}"/>
    <cellStyle name="40 % - Markeringsfarve4 2 6 2 4" xfId="14744" xr:uid="{00000000-0005-0000-0000-00004C4B0000}"/>
    <cellStyle name="40 % - Markeringsfarve4 2 6 2 4 2" xfId="32910" xr:uid="{00000000-0005-0000-0000-00004D4B0000}"/>
    <cellStyle name="40 % - Markeringsfarve4 2 6 2 5" xfId="25908" xr:uid="{00000000-0005-0000-0000-00004E4B0000}"/>
    <cellStyle name="40 % - Markeringsfarve4 2 6 3" xfId="6192" xr:uid="{00000000-0005-0000-0000-00004F4B0000}"/>
    <cellStyle name="40 % - Markeringsfarve4 2 6 3 2" xfId="9383" xr:uid="{00000000-0005-0000-0000-0000504B0000}"/>
    <cellStyle name="40 % - Markeringsfarve4 2 6 3 2 2" xfId="17293" xr:uid="{00000000-0005-0000-0000-0000514B0000}"/>
    <cellStyle name="40 % - Markeringsfarve4 2 6 3 2 2 2" xfId="35453" xr:uid="{00000000-0005-0000-0000-0000524B0000}"/>
    <cellStyle name="40 % - Markeringsfarve4 2 6 3 2 3" xfId="28452" xr:uid="{00000000-0005-0000-0000-0000534B0000}"/>
    <cellStyle name="40 % - Markeringsfarve4 2 6 3 3" xfId="14746" xr:uid="{00000000-0005-0000-0000-0000544B0000}"/>
    <cellStyle name="40 % - Markeringsfarve4 2 6 3 3 2" xfId="32912" xr:uid="{00000000-0005-0000-0000-0000554B0000}"/>
    <cellStyle name="40 % - Markeringsfarve4 2 6 3 4" xfId="25910" xr:uid="{00000000-0005-0000-0000-0000564B0000}"/>
    <cellStyle name="40 % - Markeringsfarve4 2 6 4" xfId="6193" xr:uid="{00000000-0005-0000-0000-0000574B0000}"/>
    <cellStyle name="40 % - Markeringsfarve4 2 6 4 2" xfId="10815" xr:uid="{00000000-0005-0000-0000-0000584B0000}"/>
    <cellStyle name="40 % - Markeringsfarve4 2 6 4 2 2" xfId="18702" xr:uid="{00000000-0005-0000-0000-0000594B0000}"/>
    <cellStyle name="40 % - Markeringsfarve4 2 6 4 2 2 2" xfId="36862" xr:uid="{00000000-0005-0000-0000-00005A4B0000}"/>
    <cellStyle name="40 % - Markeringsfarve4 2 6 4 2 3" xfId="29861" xr:uid="{00000000-0005-0000-0000-00005B4B0000}"/>
    <cellStyle name="40 % - Markeringsfarve4 2 6 4 3" xfId="14747" xr:uid="{00000000-0005-0000-0000-00005C4B0000}"/>
    <cellStyle name="40 % - Markeringsfarve4 2 6 4 3 2" xfId="32913" xr:uid="{00000000-0005-0000-0000-00005D4B0000}"/>
    <cellStyle name="40 % - Markeringsfarve4 2 6 4 4" xfId="25911" xr:uid="{00000000-0005-0000-0000-00005E4B0000}"/>
    <cellStyle name="40 % - Markeringsfarve4 2 6 5" xfId="8161" xr:uid="{00000000-0005-0000-0000-00005F4B0000}"/>
    <cellStyle name="40 % - Markeringsfarve4 2 6 5 2" xfId="16079" xr:uid="{00000000-0005-0000-0000-0000604B0000}"/>
    <cellStyle name="40 % - Markeringsfarve4 2 6 5 2 2" xfId="34239" xr:uid="{00000000-0005-0000-0000-0000614B0000}"/>
    <cellStyle name="40 % - Markeringsfarve4 2 6 5 3" xfId="27238" xr:uid="{00000000-0005-0000-0000-0000624B0000}"/>
    <cellStyle name="40 % - Markeringsfarve4 2 6 6" xfId="14743" xr:uid="{00000000-0005-0000-0000-0000634B0000}"/>
    <cellStyle name="40 % - Markeringsfarve4 2 6 6 2" xfId="32909" xr:uid="{00000000-0005-0000-0000-0000644B0000}"/>
    <cellStyle name="40 % - Markeringsfarve4 2 6 7" xfId="25907" xr:uid="{00000000-0005-0000-0000-0000654B0000}"/>
    <cellStyle name="40 % - Markeringsfarve4 2 7" xfId="6194" xr:uid="{00000000-0005-0000-0000-0000664B0000}"/>
    <cellStyle name="40 % - Markeringsfarve4 2 7 2" xfId="6195" xr:uid="{00000000-0005-0000-0000-0000674B0000}"/>
    <cellStyle name="40 % - Markeringsfarve4 2 7 2 2" xfId="6196" xr:uid="{00000000-0005-0000-0000-0000684B0000}"/>
    <cellStyle name="40 % - Markeringsfarve4 2 7 2 2 2" xfId="10224" xr:uid="{00000000-0005-0000-0000-0000694B0000}"/>
    <cellStyle name="40 % - Markeringsfarve4 2 7 2 2 2 2" xfId="18125" xr:uid="{00000000-0005-0000-0000-00006A4B0000}"/>
    <cellStyle name="40 % - Markeringsfarve4 2 7 2 2 2 2 2" xfId="36285" xr:uid="{00000000-0005-0000-0000-00006B4B0000}"/>
    <cellStyle name="40 % - Markeringsfarve4 2 7 2 2 2 3" xfId="29284" xr:uid="{00000000-0005-0000-0000-00006C4B0000}"/>
    <cellStyle name="40 % - Markeringsfarve4 2 7 2 2 3" xfId="14750" xr:uid="{00000000-0005-0000-0000-00006D4B0000}"/>
    <cellStyle name="40 % - Markeringsfarve4 2 7 2 2 3 2" xfId="32916" xr:uid="{00000000-0005-0000-0000-00006E4B0000}"/>
    <cellStyle name="40 % - Markeringsfarve4 2 7 2 2 4" xfId="25914" xr:uid="{00000000-0005-0000-0000-00006F4B0000}"/>
    <cellStyle name="40 % - Markeringsfarve4 2 7 2 3" xfId="8748" xr:uid="{00000000-0005-0000-0000-0000704B0000}"/>
    <cellStyle name="40 % - Markeringsfarve4 2 7 2 3 2" xfId="16662" xr:uid="{00000000-0005-0000-0000-0000714B0000}"/>
    <cellStyle name="40 % - Markeringsfarve4 2 7 2 3 2 2" xfId="34822" xr:uid="{00000000-0005-0000-0000-0000724B0000}"/>
    <cellStyle name="40 % - Markeringsfarve4 2 7 2 3 3" xfId="27821" xr:uid="{00000000-0005-0000-0000-0000734B0000}"/>
    <cellStyle name="40 % - Markeringsfarve4 2 7 2 4" xfId="14749" xr:uid="{00000000-0005-0000-0000-0000744B0000}"/>
    <cellStyle name="40 % - Markeringsfarve4 2 7 2 4 2" xfId="32915" xr:uid="{00000000-0005-0000-0000-0000754B0000}"/>
    <cellStyle name="40 % - Markeringsfarve4 2 7 2 5" xfId="25913" xr:uid="{00000000-0005-0000-0000-0000764B0000}"/>
    <cellStyle name="40 % - Markeringsfarve4 2 7 3" xfId="6197" xr:uid="{00000000-0005-0000-0000-0000774B0000}"/>
    <cellStyle name="40 % - Markeringsfarve4 2 7 3 2" xfId="9500" xr:uid="{00000000-0005-0000-0000-0000784B0000}"/>
    <cellStyle name="40 % - Markeringsfarve4 2 7 3 2 2" xfId="17410" xr:uid="{00000000-0005-0000-0000-0000794B0000}"/>
    <cellStyle name="40 % - Markeringsfarve4 2 7 3 2 2 2" xfId="35570" xr:uid="{00000000-0005-0000-0000-00007A4B0000}"/>
    <cellStyle name="40 % - Markeringsfarve4 2 7 3 2 3" xfId="28569" xr:uid="{00000000-0005-0000-0000-00007B4B0000}"/>
    <cellStyle name="40 % - Markeringsfarve4 2 7 3 3" xfId="14751" xr:uid="{00000000-0005-0000-0000-00007C4B0000}"/>
    <cellStyle name="40 % - Markeringsfarve4 2 7 3 3 2" xfId="32917" xr:uid="{00000000-0005-0000-0000-00007D4B0000}"/>
    <cellStyle name="40 % - Markeringsfarve4 2 7 3 4" xfId="25915" xr:uid="{00000000-0005-0000-0000-00007E4B0000}"/>
    <cellStyle name="40 % - Markeringsfarve4 2 7 4" xfId="6198" xr:uid="{00000000-0005-0000-0000-00007F4B0000}"/>
    <cellStyle name="40 % - Markeringsfarve4 2 7 4 2" xfId="10465" xr:uid="{00000000-0005-0000-0000-0000804B0000}"/>
    <cellStyle name="40 % - Markeringsfarve4 2 7 4 2 2" xfId="18362" xr:uid="{00000000-0005-0000-0000-0000814B0000}"/>
    <cellStyle name="40 % - Markeringsfarve4 2 7 4 2 2 2" xfId="36522" xr:uid="{00000000-0005-0000-0000-0000824B0000}"/>
    <cellStyle name="40 % - Markeringsfarve4 2 7 4 2 3" xfId="29521" xr:uid="{00000000-0005-0000-0000-0000834B0000}"/>
    <cellStyle name="40 % - Markeringsfarve4 2 7 4 3" xfId="14752" xr:uid="{00000000-0005-0000-0000-0000844B0000}"/>
    <cellStyle name="40 % - Markeringsfarve4 2 7 4 3 2" xfId="32918" xr:uid="{00000000-0005-0000-0000-0000854B0000}"/>
    <cellStyle name="40 % - Markeringsfarve4 2 7 4 4" xfId="25916" xr:uid="{00000000-0005-0000-0000-0000864B0000}"/>
    <cellStyle name="40 % - Markeringsfarve4 2 7 5" xfId="8162" xr:uid="{00000000-0005-0000-0000-0000874B0000}"/>
    <cellStyle name="40 % - Markeringsfarve4 2 7 5 2" xfId="16080" xr:uid="{00000000-0005-0000-0000-0000884B0000}"/>
    <cellStyle name="40 % - Markeringsfarve4 2 7 5 2 2" xfId="34240" xr:uid="{00000000-0005-0000-0000-0000894B0000}"/>
    <cellStyle name="40 % - Markeringsfarve4 2 7 5 3" xfId="27239" xr:uid="{00000000-0005-0000-0000-00008A4B0000}"/>
    <cellStyle name="40 % - Markeringsfarve4 2 7 6" xfId="14748" xr:uid="{00000000-0005-0000-0000-00008B4B0000}"/>
    <cellStyle name="40 % - Markeringsfarve4 2 7 6 2" xfId="32914" xr:uid="{00000000-0005-0000-0000-00008C4B0000}"/>
    <cellStyle name="40 % - Markeringsfarve4 2 7 7" xfId="25912" xr:uid="{00000000-0005-0000-0000-00008D4B0000}"/>
    <cellStyle name="40 % - Markeringsfarve4 2 8" xfId="6199" xr:uid="{00000000-0005-0000-0000-00008E4B0000}"/>
    <cellStyle name="40 % - Markeringsfarve4 2 8 2" xfId="6200" xr:uid="{00000000-0005-0000-0000-00008F4B0000}"/>
    <cellStyle name="40 % - Markeringsfarve4 2 8 2 2" xfId="6201" xr:uid="{00000000-0005-0000-0000-0000904B0000}"/>
    <cellStyle name="40 % - Markeringsfarve4 2 8 2 2 2" xfId="10390" xr:uid="{00000000-0005-0000-0000-0000914B0000}"/>
    <cellStyle name="40 % - Markeringsfarve4 2 8 2 2 2 2" xfId="18291" xr:uid="{00000000-0005-0000-0000-0000924B0000}"/>
    <cellStyle name="40 % - Markeringsfarve4 2 8 2 2 2 2 2" xfId="36451" xr:uid="{00000000-0005-0000-0000-0000934B0000}"/>
    <cellStyle name="40 % - Markeringsfarve4 2 8 2 2 2 3" xfId="29450" xr:uid="{00000000-0005-0000-0000-0000944B0000}"/>
    <cellStyle name="40 % - Markeringsfarve4 2 8 2 2 3" xfId="14755" xr:uid="{00000000-0005-0000-0000-0000954B0000}"/>
    <cellStyle name="40 % - Markeringsfarve4 2 8 2 2 3 2" xfId="32921" xr:uid="{00000000-0005-0000-0000-0000964B0000}"/>
    <cellStyle name="40 % - Markeringsfarve4 2 8 2 2 4" xfId="25919" xr:uid="{00000000-0005-0000-0000-0000974B0000}"/>
    <cellStyle name="40 % - Markeringsfarve4 2 8 2 3" xfId="8883" xr:uid="{00000000-0005-0000-0000-0000984B0000}"/>
    <cellStyle name="40 % - Markeringsfarve4 2 8 2 3 2" xfId="16797" xr:uid="{00000000-0005-0000-0000-0000994B0000}"/>
    <cellStyle name="40 % - Markeringsfarve4 2 8 2 3 2 2" xfId="34957" xr:uid="{00000000-0005-0000-0000-00009A4B0000}"/>
    <cellStyle name="40 % - Markeringsfarve4 2 8 2 3 3" xfId="27956" xr:uid="{00000000-0005-0000-0000-00009B4B0000}"/>
    <cellStyle name="40 % - Markeringsfarve4 2 8 2 4" xfId="14754" xr:uid="{00000000-0005-0000-0000-00009C4B0000}"/>
    <cellStyle name="40 % - Markeringsfarve4 2 8 2 4 2" xfId="32920" xr:uid="{00000000-0005-0000-0000-00009D4B0000}"/>
    <cellStyle name="40 % - Markeringsfarve4 2 8 2 5" xfId="25918" xr:uid="{00000000-0005-0000-0000-00009E4B0000}"/>
    <cellStyle name="40 % - Markeringsfarve4 2 8 3" xfId="6202" xr:uid="{00000000-0005-0000-0000-00009F4B0000}"/>
    <cellStyle name="40 % - Markeringsfarve4 2 8 3 2" xfId="9667" xr:uid="{00000000-0005-0000-0000-0000A04B0000}"/>
    <cellStyle name="40 % - Markeringsfarve4 2 8 3 2 2" xfId="17577" xr:uid="{00000000-0005-0000-0000-0000A14B0000}"/>
    <cellStyle name="40 % - Markeringsfarve4 2 8 3 2 2 2" xfId="35737" xr:uid="{00000000-0005-0000-0000-0000A24B0000}"/>
    <cellStyle name="40 % - Markeringsfarve4 2 8 3 2 3" xfId="28736" xr:uid="{00000000-0005-0000-0000-0000A34B0000}"/>
    <cellStyle name="40 % - Markeringsfarve4 2 8 3 3" xfId="14756" xr:uid="{00000000-0005-0000-0000-0000A44B0000}"/>
    <cellStyle name="40 % - Markeringsfarve4 2 8 3 3 2" xfId="32922" xr:uid="{00000000-0005-0000-0000-0000A54B0000}"/>
    <cellStyle name="40 % - Markeringsfarve4 2 8 3 4" xfId="25920" xr:uid="{00000000-0005-0000-0000-0000A64B0000}"/>
    <cellStyle name="40 % - Markeringsfarve4 2 8 4" xfId="6203" xr:uid="{00000000-0005-0000-0000-0000A74B0000}"/>
    <cellStyle name="40 % - Markeringsfarve4 2 8 4 2" xfId="8939" xr:uid="{00000000-0005-0000-0000-0000A84B0000}"/>
    <cellStyle name="40 % - Markeringsfarve4 2 8 4 2 2" xfId="16852" xr:uid="{00000000-0005-0000-0000-0000A94B0000}"/>
    <cellStyle name="40 % - Markeringsfarve4 2 8 4 2 2 2" xfId="35012" xr:uid="{00000000-0005-0000-0000-0000AA4B0000}"/>
    <cellStyle name="40 % - Markeringsfarve4 2 8 4 2 3" xfId="28011" xr:uid="{00000000-0005-0000-0000-0000AB4B0000}"/>
    <cellStyle name="40 % - Markeringsfarve4 2 8 4 3" xfId="14757" xr:uid="{00000000-0005-0000-0000-0000AC4B0000}"/>
    <cellStyle name="40 % - Markeringsfarve4 2 8 4 3 2" xfId="32923" xr:uid="{00000000-0005-0000-0000-0000AD4B0000}"/>
    <cellStyle name="40 % - Markeringsfarve4 2 8 4 4" xfId="25921" xr:uid="{00000000-0005-0000-0000-0000AE4B0000}"/>
    <cellStyle name="40 % - Markeringsfarve4 2 8 5" xfId="8163" xr:uid="{00000000-0005-0000-0000-0000AF4B0000}"/>
    <cellStyle name="40 % - Markeringsfarve4 2 8 5 2" xfId="16081" xr:uid="{00000000-0005-0000-0000-0000B04B0000}"/>
    <cellStyle name="40 % - Markeringsfarve4 2 8 5 2 2" xfId="34241" xr:uid="{00000000-0005-0000-0000-0000B14B0000}"/>
    <cellStyle name="40 % - Markeringsfarve4 2 8 5 3" xfId="27240" xr:uid="{00000000-0005-0000-0000-0000B24B0000}"/>
    <cellStyle name="40 % - Markeringsfarve4 2 8 6" xfId="14753" xr:uid="{00000000-0005-0000-0000-0000B34B0000}"/>
    <cellStyle name="40 % - Markeringsfarve4 2 8 6 2" xfId="32919" xr:uid="{00000000-0005-0000-0000-0000B44B0000}"/>
    <cellStyle name="40 % - Markeringsfarve4 2 8 7" xfId="25917" xr:uid="{00000000-0005-0000-0000-0000B54B0000}"/>
    <cellStyle name="40 % - Markeringsfarve4 2 9" xfId="6204" xr:uid="{00000000-0005-0000-0000-0000B64B0000}"/>
    <cellStyle name="40 % - Markeringsfarve4 2 9 2" xfId="6205" xr:uid="{00000000-0005-0000-0000-0000B74B0000}"/>
    <cellStyle name="40 % - Markeringsfarve4 2 9 2 2" xfId="9750" xr:uid="{00000000-0005-0000-0000-0000B84B0000}"/>
    <cellStyle name="40 % - Markeringsfarve4 2 9 2 2 2" xfId="17651" xr:uid="{00000000-0005-0000-0000-0000B94B0000}"/>
    <cellStyle name="40 % - Markeringsfarve4 2 9 2 2 2 2" xfId="35811" xr:uid="{00000000-0005-0000-0000-0000BA4B0000}"/>
    <cellStyle name="40 % - Markeringsfarve4 2 9 2 2 3" xfId="28810" xr:uid="{00000000-0005-0000-0000-0000BB4B0000}"/>
    <cellStyle name="40 % - Markeringsfarve4 2 9 2 3" xfId="14759" xr:uid="{00000000-0005-0000-0000-0000BC4B0000}"/>
    <cellStyle name="40 % - Markeringsfarve4 2 9 2 3 2" xfId="32925" xr:uid="{00000000-0005-0000-0000-0000BD4B0000}"/>
    <cellStyle name="40 % - Markeringsfarve4 2 9 2 4" xfId="25923" xr:uid="{00000000-0005-0000-0000-0000BE4B0000}"/>
    <cellStyle name="40 % - Markeringsfarve4 2 9 3" xfId="8348" xr:uid="{00000000-0005-0000-0000-0000BF4B0000}"/>
    <cellStyle name="40 % - Markeringsfarve4 2 9 3 2" xfId="16265" xr:uid="{00000000-0005-0000-0000-0000C04B0000}"/>
    <cellStyle name="40 % - Markeringsfarve4 2 9 3 2 2" xfId="34425" xr:uid="{00000000-0005-0000-0000-0000C14B0000}"/>
    <cellStyle name="40 % - Markeringsfarve4 2 9 3 3" xfId="27424" xr:uid="{00000000-0005-0000-0000-0000C24B0000}"/>
    <cellStyle name="40 % - Markeringsfarve4 2 9 4" xfId="14758" xr:uid="{00000000-0005-0000-0000-0000C34B0000}"/>
    <cellStyle name="40 % - Markeringsfarve4 2 9 4 2" xfId="32924" xr:uid="{00000000-0005-0000-0000-0000C44B0000}"/>
    <cellStyle name="40 % - Markeringsfarve4 2 9 5" xfId="25922" xr:uid="{00000000-0005-0000-0000-0000C54B0000}"/>
    <cellStyle name="40 % - Markeringsfarve4 3" xfId="1918" xr:uid="{00000000-0005-0000-0000-0000C64B0000}"/>
    <cellStyle name="40 % - Markeringsfarve4 3 10" xfId="6207" xr:uid="{00000000-0005-0000-0000-0000C74B0000}"/>
    <cellStyle name="40 % - Markeringsfarve4 3 10 2" xfId="8963" xr:uid="{00000000-0005-0000-0000-0000C84B0000}"/>
    <cellStyle name="40 % - Markeringsfarve4 3 10 2 2" xfId="16875" xr:uid="{00000000-0005-0000-0000-0000C94B0000}"/>
    <cellStyle name="40 % - Markeringsfarve4 3 10 2 2 2" xfId="35035" xr:uid="{00000000-0005-0000-0000-0000CA4B0000}"/>
    <cellStyle name="40 % - Markeringsfarve4 3 10 2 3" xfId="28034" xr:uid="{00000000-0005-0000-0000-0000CB4B0000}"/>
    <cellStyle name="40 % - Markeringsfarve4 3 10 3" xfId="14761" xr:uid="{00000000-0005-0000-0000-0000CC4B0000}"/>
    <cellStyle name="40 % - Markeringsfarve4 3 10 3 2" xfId="32927" xr:uid="{00000000-0005-0000-0000-0000CD4B0000}"/>
    <cellStyle name="40 % - Markeringsfarve4 3 10 4" xfId="25925" xr:uid="{00000000-0005-0000-0000-0000CE4B0000}"/>
    <cellStyle name="40 % - Markeringsfarve4 3 11" xfId="6208" xr:uid="{00000000-0005-0000-0000-0000CF4B0000}"/>
    <cellStyle name="40 % - Markeringsfarve4 3 11 2" xfId="10765" xr:uid="{00000000-0005-0000-0000-0000D04B0000}"/>
    <cellStyle name="40 % - Markeringsfarve4 3 11 2 2" xfId="18653" xr:uid="{00000000-0005-0000-0000-0000D14B0000}"/>
    <cellStyle name="40 % - Markeringsfarve4 3 11 2 2 2" xfId="36813" xr:uid="{00000000-0005-0000-0000-0000D24B0000}"/>
    <cellStyle name="40 % - Markeringsfarve4 3 11 2 3" xfId="29812" xr:uid="{00000000-0005-0000-0000-0000D34B0000}"/>
    <cellStyle name="40 % - Markeringsfarve4 3 11 3" xfId="14762" xr:uid="{00000000-0005-0000-0000-0000D44B0000}"/>
    <cellStyle name="40 % - Markeringsfarve4 3 11 3 2" xfId="32928" xr:uid="{00000000-0005-0000-0000-0000D54B0000}"/>
    <cellStyle name="40 % - Markeringsfarve4 3 11 4" xfId="25926" xr:uid="{00000000-0005-0000-0000-0000D64B0000}"/>
    <cellStyle name="40 % - Markeringsfarve4 3 12" xfId="8164" xr:uid="{00000000-0005-0000-0000-0000D74B0000}"/>
    <cellStyle name="40 % - Markeringsfarve4 3 12 2" xfId="16082" xr:uid="{00000000-0005-0000-0000-0000D84B0000}"/>
    <cellStyle name="40 % - Markeringsfarve4 3 12 2 2" xfId="34242" xr:uid="{00000000-0005-0000-0000-0000D94B0000}"/>
    <cellStyle name="40 % - Markeringsfarve4 3 12 3" xfId="27241" xr:uid="{00000000-0005-0000-0000-0000DA4B0000}"/>
    <cellStyle name="40 % - Markeringsfarve4 3 13" xfId="14760" xr:uid="{00000000-0005-0000-0000-0000DB4B0000}"/>
    <cellStyle name="40 % - Markeringsfarve4 3 13 2" xfId="32926" xr:uid="{00000000-0005-0000-0000-0000DC4B0000}"/>
    <cellStyle name="40 % - Markeringsfarve4 3 14" xfId="6206" xr:uid="{00000000-0005-0000-0000-0000DD4B0000}"/>
    <cellStyle name="40 % - Markeringsfarve4 3 14 2" xfId="25924" xr:uid="{00000000-0005-0000-0000-0000DE4B0000}"/>
    <cellStyle name="40 % - Markeringsfarve4 3 15" xfId="22036" xr:uid="{00000000-0005-0000-0000-0000DF4B0000}"/>
    <cellStyle name="40 % - Markeringsfarve4 3 2" xfId="1919" xr:uid="{00000000-0005-0000-0000-0000E04B0000}"/>
    <cellStyle name="40 % - Markeringsfarve4 3 2 10" xfId="8165" xr:uid="{00000000-0005-0000-0000-0000E14B0000}"/>
    <cellStyle name="40 % - Markeringsfarve4 3 2 10 2" xfId="16083" xr:uid="{00000000-0005-0000-0000-0000E24B0000}"/>
    <cellStyle name="40 % - Markeringsfarve4 3 2 10 2 2" xfId="34243" xr:uid="{00000000-0005-0000-0000-0000E34B0000}"/>
    <cellStyle name="40 % - Markeringsfarve4 3 2 10 3" xfId="27242" xr:uid="{00000000-0005-0000-0000-0000E44B0000}"/>
    <cellStyle name="40 % - Markeringsfarve4 3 2 11" xfId="14763" xr:uid="{00000000-0005-0000-0000-0000E54B0000}"/>
    <cellStyle name="40 % - Markeringsfarve4 3 2 11 2" xfId="32929" xr:uid="{00000000-0005-0000-0000-0000E64B0000}"/>
    <cellStyle name="40 % - Markeringsfarve4 3 2 12" xfId="6209" xr:uid="{00000000-0005-0000-0000-0000E74B0000}"/>
    <cellStyle name="40 % - Markeringsfarve4 3 2 12 2" xfId="25927" xr:uid="{00000000-0005-0000-0000-0000E84B0000}"/>
    <cellStyle name="40 % - Markeringsfarve4 3 2 13" xfId="22037" xr:uid="{00000000-0005-0000-0000-0000E94B0000}"/>
    <cellStyle name="40 % - Markeringsfarve4 3 2 2" xfId="6210" xr:uid="{00000000-0005-0000-0000-0000EA4B0000}"/>
    <cellStyle name="40 % - Markeringsfarve4 3 2 2 2" xfId="6211" xr:uid="{00000000-0005-0000-0000-0000EB4B0000}"/>
    <cellStyle name="40 % - Markeringsfarve4 3 2 2 2 2" xfId="6212" xr:uid="{00000000-0005-0000-0000-0000EC4B0000}"/>
    <cellStyle name="40 % - Markeringsfarve4 3 2 2 2 2 2" xfId="9896" xr:uid="{00000000-0005-0000-0000-0000ED4B0000}"/>
    <cellStyle name="40 % - Markeringsfarve4 3 2 2 2 2 2 2" xfId="17797" xr:uid="{00000000-0005-0000-0000-0000EE4B0000}"/>
    <cellStyle name="40 % - Markeringsfarve4 3 2 2 2 2 2 2 2" xfId="35957" xr:uid="{00000000-0005-0000-0000-0000EF4B0000}"/>
    <cellStyle name="40 % - Markeringsfarve4 3 2 2 2 2 2 3" xfId="28956" xr:uid="{00000000-0005-0000-0000-0000F04B0000}"/>
    <cellStyle name="40 % - Markeringsfarve4 3 2 2 2 2 3" xfId="14766" xr:uid="{00000000-0005-0000-0000-0000F14B0000}"/>
    <cellStyle name="40 % - Markeringsfarve4 3 2 2 2 2 3 2" xfId="32932" xr:uid="{00000000-0005-0000-0000-0000F24B0000}"/>
    <cellStyle name="40 % - Markeringsfarve4 3 2 2 2 2 4" xfId="25930" xr:uid="{00000000-0005-0000-0000-0000F34B0000}"/>
    <cellStyle name="40 % - Markeringsfarve4 3 2 2 2 3" xfId="8470" xr:uid="{00000000-0005-0000-0000-0000F44B0000}"/>
    <cellStyle name="40 % - Markeringsfarve4 3 2 2 2 3 2" xfId="16387" xr:uid="{00000000-0005-0000-0000-0000F54B0000}"/>
    <cellStyle name="40 % - Markeringsfarve4 3 2 2 2 3 2 2" xfId="34547" xr:uid="{00000000-0005-0000-0000-0000F64B0000}"/>
    <cellStyle name="40 % - Markeringsfarve4 3 2 2 2 3 3" xfId="27546" xr:uid="{00000000-0005-0000-0000-0000F74B0000}"/>
    <cellStyle name="40 % - Markeringsfarve4 3 2 2 2 4" xfId="14765" xr:uid="{00000000-0005-0000-0000-0000F84B0000}"/>
    <cellStyle name="40 % - Markeringsfarve4 3 2 2 2 4 2" xfId="32931" xr:uid="{00000000-0005-0000-0000-0000F94B0000}"/>
    <cellStyle name="40 % - Markeringsfarve4 3 2 2 2 5" xfId="25929" xr:uid="{00000000-0005-0000-0000-0000FA4B0000}"/>
    <cellStyle name="40 % - Markeringsfarve4 3 2 2 3" xfId="6213" xr:uid="{00000000-0005-0000-0000-0000FB4B0000}"/>
    <cellStyle name="40 % - Markeringsfarve4 3 2 2 3 2" xfId="9126" xr:uid="{00000000-0005-0000-0000-0000FC4B0000}"/>
    <cellStyle name="40 % - Markeringsfarve4 3 2 2 3 2 2" xfId="17037" xr:uid="{00000000-0005-0000-0000-0000FD4B0000}"/>
    <cellStyle name="40 % - Markeringsfarve4 3 2 2 3 2 2 2" xfId="35197" xr:uid="{00000000-0005-0000-0000-0000FE4B0000}"/>
    <cellStyle name="40 % - Markeringsfarve4 3 2 2 3 2 3" xfId="28196" xr:uid="{00000000-0005-0000-0000-0000FF4B0000}"/>
    <cellStyle name="40 % - Markeringsfarve4 3 2 2 3 3" xfId="14767" xr:uid="{00000000-0005-0000-0000-0000004C0000}"/>
    <cellStyle name="40 % - Markeringsfarve4 3 2 2 3 3 2" xfId="32933" xr:uid="{00000000-0005-0000-0000-0000014C0000}"/>
    <cellStyle name="40 % - Markeringsfarve4 3 2 2 3 4" xfId="25931" xr:uid="{00000000-0005-0000-0000-0000024C0000}"/>
    <cellStyle name="40 % - Markeringsfarve4 3 2 2 4" xfId="6214" xr:uid="{00000000-0005-0000-0000-0000034C0000}"/>
    <cellStyle name="40 % - Markeringsfarve4 3 2 2 4 2" xfId="10714" xr:uid="{00000000-0005-0000-0000-0000044C0000}"/>
    <cellStyle name="40 % - Markeringsfarve4 3 2 2 4 2 2" xfId="18603" xr:uid="{00000000-0005-0000-0000-0000054C0000}"/>
    <cellStyle name="40 % - Markeringsfarve4 3 2 2 4 2 2 2" xfId="36763" xr:uid="{00000000-0005-0000-0000-0000064C0000}"/>
    <cellStyle name="40 % - Markeringsfarve4 3 2 2 4 2 3" xfId="29762" xr:uid="{00000000-0005-0000-0000-0000074C0000}"/>
    <cellStyle name="40 % - Markeringsfarve4 3 2 2 4 3" xfId="14768" xr:uid="{00000000-0005-0000-0000-0000084C0000}"/>
    <cellStyle name="40 % - Markeringsfarve4 3 2 2 4 3 2" xfId="32934" xr:uid="{00000000-0005-0000-0000-0000094C0000}"/>
    <cellStyle name="40 % - Markeringsfarve4 3 2 2 4 4" xfId="25932" xr:uid="{00000000-0005-0000-0000-00000A4C0000}"/>
    <cellStyle name="40 % - Markeringsfarve4 3 2 2 5" xfId="8166" xr:uid="{00000000-0005-0000-0000-00000B4C0000}"/>
    <cellStyle name="40 % - Markeringsfarve4 3 2 2 5 2" xfId="16084" xr:uid="{00000000-0005-0000-0000-00000C4C0000}"/>
    <cellStyle name="40 % - Markeringsfarve4 3 2 2 5 2 2" xfId="34244" xr:uid="{00000000-0005-0000-0000-00000D4C0000}"/>
    <cellStyle name="40 % - Markeringsfarve4 3 2 2 5 3" xfId="27243" xr:uid="{00000000-0005-0000-0000-00000E4C0000}"/>
    <cellStyle name="40 % - Markeringsfarve4 3 2 2 6" xfId="14764" xr:uid="{00000000-0005-0000-0000-00000F4C0000}"/>
    <cellStyle name="40 % - Markeringsfarve4 3 2 2 6 2" xfId="32930" xr:uid="{00000000-0005-0000-0000-0000104C0000}"/>
    <cellStyle name="40 % - Markeringsfarve4 3 2 2 7" xfId="25928" xr:uid="{00000000-0005-0000-0000-0000114C0000}"/>
    <cellStyle name="40 % - Markeringsfarve4 3 2 3" xfId="6215" xr:uid="{00000000-0005-0000-0000-0000124C0000}"/>
    <cellStyle name="40 % - Markeringsfarve4 3 2 3 2" xfId="6216" xr:uid="{00000000-0005-0000-0000-0000134C0000}"/>
    <cellStyle name="40 % - Markeringsfarve4 3 2 3 2 2" xfId="6217" xr:uid="{00000000-0005-0000-0000-0000144C0000}"/>
    <cellStyle name="40 % - Markeringsfarve4 3 2 3 2 2 2" xfId="10040" xr:uid="{00000000-0005-0000-0000-0000154C0000}"/>
    <cellStyle name="40 % - Markeringsfarve4 3 2 3 2 2 2 2" xfId="17941" xr:uid="{00000000-0005-0000-0000-0000164C0000}"/>
    <cellStyle name="40 % - Markeringsfarve4 3 2 3 2 2 2 2 2" xfId="36101" xr:uid="{00000000-0005-0000-0000-0000174C0000}"/>
    <cellStyle name="40 % - Markeringsfarve4 3 2 3 2 2 2 3" xfId="29100" xr:uid="{00000000-0005-0000-0000-0000184C0000}"/>
    <cellStyle name="40 % - Markeringsfarve4 3 2 3 2 2 3" xfId="14771" xr:uid="{00000000-0005-0000-0000-0000194C0000}"/>
    <cellStyle name="40 % - Markeringsfarve4 3 2 3 2 2 3 2" xfId="32937" xr:uid="{00000000-0005-0000-0000-00001A4C0000}"/>
    <cellStyle name="40 % - Markeringsfarve4 3 2 3 2 2 4" xfId="25935" xr:uid="{00000000-0005-0000-0000-00001B4C0000}"/>
    <cellStyle name="40 % - Markeringsfarve4 3 2 3 2 3" xfId="8586" xr:uid="{00000000-0005-0000-0000-00001C4C0000}"/>
    <cellStyle name="40 % - Markeringsfarve4 3 2 3 2 3 2" xfId="16503" xr:uid="{00000000-0005-0000-0000-00001D4C0000}"/>
    <cellStyle name="40 % - Markeringsfarve4 3 2 3 2 3 2 2" xfId="34663" xr:uid="{00000000-0005-0000-0000-00001E4C0000}"/>
    <cellStyle name="40 % - Markeringsfarve4 3 2 3 2 3 3" xfId="27662" xr:uid="{00000000-0005-0000-0000-00001F4C0000}"/>
    <cellStyle name="40 % - Markeringsfarve4 3 2 3 2 4" xfId="14770" xr:uid="{00000000-0005-0000-0000-0000204C0000}"/>
    <cellStyle name="40 % - Markeringsfarve4 3 2 3 2 4 2" xfId="32936" xr:uid="{00000000-0005-0000-0000-0000214C0000}"/>
    <cellStyle name="40 % - Markeringsfarve4 3 2 3 2 5" xfId="25934" xr:uid="{00000000-0005-0000-0000-0000224C0000}"/>
    <cellStyle name="40 % - Markeringsfarve4 3 2 3 3" xfId="6218" xr:uid="{00000000-0005-0000-0000-0000234C0000}"/>
    <cellStyle name="40 % - Markeringsfarve4 3 2 3 3 2" xfId="9270" xr:uid="{00000000-0005-0000-0000-0000244C0000}"/>
    <cellStyle name="40 % - Markeringsfarve4 3 2 3 3 2 2" xfId="17181" xr:uid="{00000000-0005-0000-0000-0000254C0000}"/>
    <cellStyle name="40 % - Markeringsfarve4 3 2 3 3 2 2 2" xfId="35341" xr:uid="{00000000-0005-0000-0000-0000264C0000}"/>
    <cellStyle name="40 % - Markeringsfarve4 3 2 3 3 2 3" xfId="28340" xr:uid="{00000000-0005-0000-0000-0000274C0000}"/>
    <cellStyle name="40 % - Markeringsfarve4 3 2 3 3 3" xfId="14772" xr:uid="{00000000-0005-0000-0000-0000284C0000}"/>
    <cellStyle name="40 % - Markeringsfarve4 3 2 3 3 3 2" xfId="32938" xr:uid="{00000000-0005-0000-0000-0000294C0000}"/>
    <cellStyle name="40 % - Markeringsfarve4 3 2 3 3 4" xfId="25936" xr:uid="{00000000-0005-0000-0000-00002A4C0000}"/>
    <cellStyle name="40 % - Markeringsfarve4 3 2 3 4" xfId="6219" xr:uid="{00000000-0005-0000-0000-00002B4C0000}"/>
    <cellStyle name="40 % - Markeringsfarve4 3 2 3 4 2" xfId="10939" xr:uid="{00000000-0005-0000-0000-00002C4C0000}"/>
    <cellStyle name="40 % - Markeringsfarve4 3 2 3 4 2 2" xfId="18819" xr:uid="{00000000-0005-0000-0000-00002D4C0000}"/>
    <cellStyle name="40 % - Markeringsfarve4 3 2 3 4 2 2 2" xfId="36979" xr:uid="{00000000-0005-0000-0000-00002E4C0000}"/>
    <cellStyle name="40 % - Markeringsfarve4 3 2 3 4 2 3" xfId="29978" xr:uid="{00000000-0005-0000-0000-00002F4C0000}"/>
    <cellStyle name="40 % - Markeringsfarve4 3 2 3 4 3" xfId="14773" xr:uid="{00000000-0005-0000-0000-0000304C0000}"/>
    <cellStyle name="40 % - Markeringsfarve4 3 2 3 4 3 2" xfId="32939" xr:uid="{00000000-0005-0000-0000-0000314C0000}"/>
    <cellStyle name="40 % - Markeringsfarve4 3 2 3 4 4" xfId="25937" xr:uid="{00000000-0005-0000-0000-0000324C0000}"/>
    <cellStyle name="40 % - Markeringsfarve4 3 2 3 5" xfId="8167" xr:uid="{00000000-0005-0000-0000-0000334C0000}"/>
    <cellStyle name="40 % - Markeringsfarve4 3 2 3 5 2" xfId="16085" xr:uid="{00000000-0005-0000-0000-0000344C0000}"/>
    <cellStyle name="40 % - Markeringsfarve4 3 2 3 5 2 2" xfId="34245" xr:uid="{00000000-0005-0000-0000-0000354C0000}"/>
    <cellStyle name="40 % - Markeringsfarve4 3 2 3 5 3" xfId="27244" xr:uid="{00000000-0005-0000-0000-0000364C0000}"/>
    <cellStyle name="40 % - Markeringsfarve4 3 2 3 6" xfId="14769" xr:uid="{00000000-0005-0000-0000-0000374C0000}"/>
    <cellStyle name="40 % - Markeringsfarve4 3 2 3 6 2" xfId="32935" xr:uid="{00000000-0005-0000-0000-0000384C0000}"/>
    <cellStyle name="40 % - Markeringsfarve4 3 2 3 7" xfId="25933" xr:uid="{00000000-0005-0000-0000-0000394C0000}"/>
    <cellStyle name="40 % - Markeringsfarve4 3 2 4" xfId="6220" xr:uid="{00000000-0005-0000-0000-00003A4C0000}"/>
    <cellStyle name="40 % - Markeringsfarve4 3 2 4 2" xfId="6221" xr:uid="{00000000-0005-0000-0000-00003B4C0000}"/>
    <cellStyle name="40 % - Markeringsfarve4 3 2 4 2 2" xfId="6222" xr:uid="{00000000-0005-0000-0000-00003C4C0000}"/>
    <cellStyle name="40 % - Markeringsfarve4 3 2 4 2 2 2" xfId="10134" xr:uid="{00000000-0005-0000-0000-00003D4C0000}"/>
    <cellStyle name="40 % - Markeringsfarve4 3 2 4 2 2 2 2" xfId="18035" xr:uid="{00000000-0005-0000-0000-00003E4C0000}"/>
    <cellStyle name="40 % - Markeringsfarve4 3 2 4 2 2 2 2 2" xfId="36195" xr:uid="{00000000-0005-0000-0000-00003F4C0000}"/>
    <cellStyle name="40 % - Markeringsfarve4 3 2 4 2 2 2 3" xfId="29194" xr:uid="{00000000-0005-0000-0000-0000404C0000}"/>
    <cellStyle name="40 % - Markeringsfarve4 3 2 4 2 2 3" xfId="14776" xr:uid="{00000000-0005-0000-0000-0000414C0000}"/>
    <cellStyle name="40 % - Markeringsfarve4 3 2 4 2 2 3 2" xfId="32942" xr:uid="{00000000-0005-0000-0000-0000424C0000}"/>
    <cellStyle name="40 % - Markeringsfarve4 3 2 4 2 2 4" xfId="25940" xr:uid="{00000000-0005-0000-0000-0000434C0000}"/>
    <cellStyle name="40 % - Markeringsfarve4 3 2 4 2 3" xfId="8672" xr:uid="{00000000-0005-0000-0000-0000444C0000}"/>
    <cellStyle name="40 % - Markeringsfarve4 3 2 4 2 3 2" xfId="16586" xr:uid="{00000000-0005-0000-0000-0000454C0000}"/>
    <cellStyle name="40 % - Markeringsfarve4 3 2 4 2 3 2 2" xfId="34746" xr:uid="{00000000-0005-0000-0000-0000464C0000}"/>
    <cellStyle name="40 % - Markeringsfarve4 3 2 4 2 3 3" xfId="27745" xr:uid="{00000000-0005-0000-0000-0000474C0000}"/>
    <cellStyle name="40 % - Markeringsfarve4 3 2 4 2 4" xfId="14775" xr:uid="{00000000-0005-0000-0000-0000484C0000}"/>
    <cellStyle name="40 % - Markeringsfarve4 3 2 4 2 4 2" xfId="32941" xr:uid="{00000000-0005-0000-0000-0000494C0000}"/>
    <cellStyle name="40 % - Markeringsfarve4 3 2 4 2 5" xfId="25939" xr:uid="{00000000-0005-0000-0000-00004A4C0000}"/>
    <cellStyle name="40 % - Markeringsfarve4 3 2 4 3" xfId="6223" xr:uid="{00000000-0005-0000-0000-00004B4C0000}"/>
    <cellStyle name="40 % - Markeringsfarve4 3 2 4 3 2" xfId="9410" xr:uid="{00000000-0005-0000-0000-00004C4C0000}"/>
    <cellStyle name="40 % - Markeringsfarve4 3 2 4 3 2 2" xfId="17320" xr:uid="{00000000-0005-0000-0000-00004D4C0000}"/>
    <cellStyle name="40 % - Markeringsfarve4 3 2 4 3 2 2 2" xfId="35480" xr:uid="{00000000-0005-0000-0000-00004E4C0000}"/>
    <cellStyle name="40 % - Markeringsfarve4 3 2 4 3 2 3" xfId="28479" xr:uid="{00000000-0005-0000-0000-00004F4C0000}"/>
    <cellStyle name="40 % - Markeringsfarve4 3 2 4 3 3" xfId="14777" xr:uid="{00000000-0005-0000-0000-0000504C0000}"/>
    <cellStyle name="40 % - Markeringsfarve4 3 2 4 3 3 2" xfId="32943" xr:uid="{00000000-0005-0000-0000-0000514C0000}"/>
    <cellStyle name="40 % - Markeringsfarve4 3 2 4 3 4" xfId="25941" xr:uid="{00000000-0005-0000-0000-0000524C0000}"/>
    <cellStyle name="40 % - Markeringsfarve4 3 2 4 4" xfId="6224" xr:uid="{00000000-0005-0000-0000-0000534C0000}"/>
    <cellStyle name="40 % - Markeringsfarve4 3 2 4 4 2" xfId="10664" xr:uid="{00000000-0005-0000-0000-0000544C0000}"/>
    <cellStyle name="40 % - Markeringsfarve4 3 2 4 4 2 2" xfId="18556" xr:uid="{00000000-0005-0000-0000-0000554C0000}"/>
    <cellStyle name="40 % - Markeringsfarve4 3 2 4 4 2 2 2" xfId="36716" xr:uid="{00000000-0005-0000-0000-0000564C0000}"/>
    <cellStyle name="40 % - Markeringsfarve4 3 2 4 4 2 3" xfId="29715" xr:uid="{00000000-0005-0000-0000-0000574C0000}"/>
    <cellStyle name="40 % - Markeringsfarve4 3 2 4 4 3" xfId="14778" xr:uid="{00000000-0005-0000-0000-0000584C0000}"/>
    <cellStyle name="40 % - Markeringsfarve4 3 2 4 4 3 2" xfId="32944" xr:uid="{00000000-0005-0000-0000-0000594C0000}"/>
    <cellStyle name="40 % - Markeringsfarve4 3 2 4 4 4" xfId="25942" xr:uid="{00000000-0005-0000-0000-00005A4C0000}"/>
    <cellStyle name="40 % - Markeringsfarve4 3 2 4 5" xfId="8168" xr:uid="{00000000-0005-0000-0000-00005B4C0000}"/>
    <cellStyle name="40 % - Markeringsfarve4 3 2 4 5 2" xfId="16086" xr:uid="{00000000-0005-0000-0000-00005C4C0000}"/>
    <cellStyle name="40 % - Markeringsfarve4 3 2 4 5 2 2" xfId="34246" xr:uid="{00000000-0005-0000-0000-00005D4C0000}"/>
    <cellStyle name="40 % - Markeringsfarve4 3 2 4 5 3" xfId="27245" xr:uid="{00000000-0005-0000-0000-00005E4C0000}"/>
    <cellStyle name="40 % - Markeringsfarve4 3 2 4 6" xfId="14774" xr:uid="{00000000-0005-0000-0000-00005F4C0000}"/>
    <cellStyle name="40 % - Markeringsfarve4 3 2 4 6 2" xfId="32940" xr:uid="{00000000-0005-0000-0000-0000604C0000}"/>
    <cellStyle name="40 % - Markeringsfarve4 3 2 4 7" xfId="25938" xr:uid="{00000000-0005-0000-0000-0000614C0000}"/>
    <cellStyle name="40 % - Markeringsfarve4 3 2 5" xfId="6225" xr:uid="{00000000-0005-0000-0000-0000624C0000}"/>
    <cellStyle name="40 % - Markeringsfarve4 3 2 5 2" xfId="6226" xr:uid="{00000000-0005-0000-0000-0000634C0000}"/>
    <cellStyle name="40 % - Markeringsfarve4 3 2 5 2 2" xfId="6227" xr:uid="{00000000-0005-0000-0000-0000644C0000}"/>
    <cellStyle name="40 % - Markeringsfarve4 3 2 5 2 2 2" xfId="10251" xr:uid="{00000000-0005-0000-0000-0000654C0000}"/>
    <cellStyle name="40 % - Markeringsfarve4 3 2 5 2 2 2 2" xfId="18152" xr:uid="{00000000-0005-0000-0000-0000664C0000}"/>
    <cellStyle name="40 % - Markeringsfarve4 3 2 5 2 2 2 2 2" xfId="36312" xr:uid="{00000000-0005-0000-0000-0000674C0000}"/>
    <cellStyle name="40 % - Markeringsfarve4 3 2 5 2 2 2 3" xfId="29311" xr:uid="{00000000-0005-0000-0000-0000684C0000}"/>
    <cellStyle name="40 % - Markeringsfarve4 3 2 5 2 2 3" xfId="14781" xr:uid="{00000000-0005-0000-0000-0000694C0000}"/>
    <cellStyle name="40 % - Markeringsfarve4 3 2 5 2 2 3 2" xfId="32947" xr:uid="{00000000-0005-0000-0000-00006A4C0000}"/>
    <cellStyle name="40 % - Markeringsfarve4 3 2 5 2 2 4" xfId="25945" xr:uid="{00000000-0005-0000-0000-00006B4C0000}"/>
    <cellStyle name="40 % - Markeringsfarve4 3 2 5 2 3" xfId="8771" xr:uid="{00000000-0005-0000-0000-00006C4C0000}"/>
    <cellStyle name="40 % - Markeringsfarve4 3 2 5 2 3 2" xfId="16685" xr:uid="{00000000-0005-0000-0000-00006D4C0000}"/>
    <cellStyle name="40 % - Markeringsfarve4 3 2 5 2 3 2 2" xfId="34845" xr:uid="{00000000-0005-0000-0000-00006E4C0000}"/>
    <cellStyle name="40 % - Markeringsfarve4 3 2 5 2 3 3" xfId="27844" xr:uid="{00000000-0005-0000-0000-00006F4C0000}"/>
    <cellStyle name="40 % - Markeringsfarve4 3 2 5 2 4" xfId="14780" xr:uid="{00000000-0005-0000-0000-0000704C0000}"/>
    <cellStyle name="40 % - Markeringsfarve4 3 2 5 2 4 2" xfId="32946" xr:uid="{00000000-0005-0000-0000-0000714C0000}"/>
    <cellStyle name="40 % - Markeringsfarve4 3 2 5 2 5" xfId="25944" xr:uid="{00000000-0005-0000-0000-0000724C0000}"/>
    <cellStyle name="40 % - Markeringsfarve4 3 2 5 3" xfId="6228" xr:uid="{00000000-0005-0000-0000-0000734C0000}"/>
    <cellStyle name="40 % - Markeringsfarve4 3 2 5 3 2" xfId="9527" xr:uid="{00000000-0005-0000-0000-0000744C0000}"/>
    <cellStyle name="40 % - Markeringsfarve4 3 2 5 3 2 2" xfId="17437" xr:uid="{00000000-0005-0000-0000-0000754C0000}"/>
    <cellStyle name="40 % - Markeringsfarve4 3 2 5 3 2 2 2" xfId="35597" xr:uid="{00000000-0005-0000-0000-0000764C0000}"/>
    <cellStyle name="40 % - Markeringsfarve4 3 2 5 3 2 3" xfId="28596" xr:uid="{00000000-0005-0000-0000-0000774C0000}"/>
    <cellStyle name="40 % - Markeringsfarve4 3 2 5 3 3" xfId="14782" xr:uid="{00000000-0005-0000-0000-0000784C0000}"/>
    <cellStyle name="40 % - Markeringsfarve4 3 2 5 3 3 2" xfId="32948" xr:uid="{00000000-0005-0000-0000-0000794C0000}"/>
    <cellStyle name="40 % - Markeringsfarve4 3 2 5 3 4" xfId="25946" xr:uid="{00000000-0005-0000-0000-00007A4C0000}"/>
    <cellStyle name="40 % - Markeringsfarve4 3 2 5 4" xfId="6229" xr:uid="{00000000-0005-0000-0000-00007B4C0000}"/>
    <cellStyle name="40 % - Markeringsfarve4 3 2 5 4 2" xfId="10899" xr:uid="{00000000-0005-0000-0000-00007C4C0000}"/>
    <cellStyle name="40 % - Markeringsfarve4 3 2 5 4 2 2" xfId="18781" xr:uid="{00000000-0005-0000-0000-00007D4C0000}"/>
    <cellStyle name="40 % - Markeringsfarve4 3 2 5 4 2 2 2" xfId="36941" xr:uid="{00000000-0005-0000-0000-00007E4C0000}"/>
    <cellStyle name="40 % - Markeringsfarve4 3 2 5 4 2 3" xfId="29940" xr:uid="{00000000-0005-0000-0000-00007F4C0000}"/>
    <cellStyle name="40 % - Markeringsfarve4 3 2 5 4 3" xfId="14783" xr:uid="{00000000-0005-0000-0000-0000804C0000}"/>
    <cellStyle name="40 % - Markeringsfarve4 3 2 5 4 3 2" xfId="32949" xr:uid="{00000000-0005-0000-0000-0000814C0000}"/>
    <cellStyle name="40 % - Markeringsfarve4 3 2 5 4 4" xfId="25947" xr:uid="{00000000-0005-0000-0000-0000824C0000}"/>
    <cellStyle name="40 % - Markeringsfarve4 3 2 5 5" xfId="8169" xr:uid="{00000000-0005-0000-0000-0000834C0000}"/>
    <cellStyle name="40 % - Markeringsfarve4 3 2 5 5 2" xfId="16087" xr:uid="{00000000-0005-0000-0000-0000844C0000}"/>
    <cellStyle name="40 % - Markeringsfarve4 3 2 5 5 2 2" xfId="34247" xr:uid="{00000000-0005-0000-0000-0000854C0000}"/>
    <cellStyle name="40 % - Markeringsfarve4 3 2 5 5 3" xfId="27246" xr:uid="{00000000-0005-0000-0000-0000864C0000}"/>
    <cellStyle name="40 % - Markeringsfarve4 3 2 5 6" xfId="14779" xr:uid="{00000000-0005-0000-0000-0000874C0000}"/>
    <cellStyle name="40 % - Markeringsfarve4 3 2 5 6 2" xfId="32945" xr:uid="{00000000-0005-0000-0000-0000884C0000}"/>
    <cellStyle name="40 % - Markeringsfarve4 3 2 5 7" xfId="25943" xr:uid="{00000000-0005-0000-0000-0000894C0000}"/>
    <cellStyle name="40 % - Markeringsfarve4 3 2 6" xfId="6230" xr:uid="{00000000-0005-0000-0000-00008A4C0000}"/>
    <cellStyle name="40 % - Markeringsfarve4 3 2 6 2" xfId="6231" xr:uid="{00000000-0005-0000-0000-00008B4C0000}"/>
    <cellStyle name="40 % - Markeringsfarve4 3 2 6 2 2" xfId="6232" xr:uid="{00000000-0005-0000-0000-00008C4C0000}"/>
    <cellStyle name="40 % - Markeringsfarve4 3 2 6 2 2 2" xfId="10394" xr:uid="{00000000-0005-0000-0000-00008D4C0000}"/>
    <cellStyle name="40 % - Markeringsfarve4 3 2 6 2 2 2 2" xfId="18295" xr:uid="{00000000-0005-0000-0000-00008E4C0000}"/>
    <cellStyle name="40 % - Markeringsfarve4 3 2 6 2 2 2 2 2" xfId="36455" xr:uid="{00000000-0005-0000-0000-00008F4C0000}"/>
    <cellStyle name="40 % - Markeringsfarve4 3 2 6 2 2 2 3" xfId="29454" xr:uid="{00000000-0005-0000-0000-0000904C0000}"/>
    <cellStyle name="40 % - Markeringsfarve4 3 2 6 2 2 3" xfId="14786" xr:uid="{00000000-0005-0000-0000-0000914C0000}"/>
    <cellStyle name="40 % - Markeringsfarve4 3 2 6 2 2 3 2" xfId="32952" xr:uid="{00000000-0005-0000-0000-0000924C0000}"/>
    <cellStyle name="40 % - Markeringsfarve4 3 2 6 2 2 4" xfId="25950" xr:uid="{00000000-0005-0000-0000-0000934C0000}"/>
    <cellStyle name="40 % - Markeringsfarve4 3 2 6 2 3" xfId="8887" xr:uid="{00000000-0005-0000-0000-0000944C0000}"/>
    <cellStyle name="40 % - Markeringsfarve4 3 2 6 2 3 2" xfId="16801" xr:uid="{00000000-0005-0000-0000-0000954C0000}"/>
    <cellStyle name="40 % - Markeringsfarve4 3 2 6 2 3 2 2" xfId="34961" xr:uid="{00000000-0005-0000-0000-0000964C0000}"/>
    <cellStyle name="40 % - Markeringsfarve4 3 2 6 2 3 3" xfId="27960" xr:uid="{00000000-0005-0000-0000-0000974C0000}"/>
    <cellStyle name="40 % - Markeringsfarve4 3 2 6 2 4" xfId="14785" xr:uid="{00000000-0005-0000-0000-0000984C0000}"/>
    <cellStyle name="40 % - Markeringsfarve4 3 2 6 2 4 2" xfId="32951" xr:uid="{00000000-0005-0000-0000-0000994C0000}"/>
    <cellStyle name="40 % - Markeringsfarve4 3 2 6 2 5" xfId="25949" xr:uid="{00000000-0005-0000-0000-00009A4C0000}"/>
    <cellStyle name="40 % - Markeringsfarve4 3 2 6 3" xfId="6233" xr:uid="{00000000-0005-0000-0000-00009B4C0000}"/>
    <cellStyle name="40 % - Markeringsfarve4 3 2 6 3 2" xfId="9671" xr:uid="{00000000-0005-0000-0000-00009C4C0000}"/>
    <cellStyle name="40 % - Markeringsfarve4 3 2 6 3 2 2" xfId="17581" xr:uid="{00000000-0005-0000-0000-00009D4C0000}"/>
    <cellStyle name="40 % - Markeringsfarve4 3 2 6 3 2 2 2" xfId="35741" xr:uid="{00000000-0005-0000-0000-00009E4C0000}"/>
    <cellStyle name="40 % - Markeringsfarve4 3 2 6 3 2 3" xfId="28740" xr:uid="{00000000-0005-0000-0000-00009F4C0000}"/>
    <cellStyle name="40 % - Markeringsfarve4 3 2 6 3 3" xfId="14787" xr:uid="{00000000-0005-0000-0000-0000A04C0000}"/>
    <cellStyle name="40 % - Markeringsfarve4 3 2 6 3 3 2" xfId="32953" xr:uid="{00000000-0005-0000-0000-0000A14C0000}"/>
    <cellStyle name="40 % - Markeringsfarve4 3 2 6 3 4" xfId="25951" xr:uid="{00000000-0005-0000-0000-0000A24C0000}"/>
    <cellStyle name="40 % - Markeringsfarve4 3 2 6 4" xfId="6234" xr:uid="{00000000-0005-0000-0000-0000A34C0000}"/>
    <cellStyle name="40 % - Markeringsfarve4 3 2 6 4 2" xfId="10622" xr:uid="{00000000-0005-0000-0000-0000A44C0000}"/>
    <cellStyle name="40 % - Markeringsfarve4 3 2 6 4 2 2" xfId="18515" xr:uid="{00000000-0005-0000-0000-0000A54C0000}"/>
    <cellStyle name="40 % - Markeringsfarve4 3 2 6 4 2 2 2" xfId="36675" xr:uid="{00000000-0005-0000-0000-0000A64C0000}"/>
    <cellStyle name="40 % - Markeringsfarve4 3 2 6 4 2 3" xfId="29674" xr:uid="{00000000-0005-0000-0000-0000A74C0000}"/>
    <cellStyle name="40 % - Markeringsfarve4 3 2 6 4 3" xfId="14788" xr:uid="{00000000-0005-0000-0000-0000A84C0000}"/>
    <cellStyle name="40 % - Markeringsfarve4 3 2 6 4 3 2" xfId="32954" xr:uid="{00000000-0005-0000-0000-0000A94C0000}"/>
    <cellStyle name="40 % - Markeringsfarve4 3 2 6 4 4" xfId="25952" xr:uid="{00000000-0005-0000-0000-0000AA4C0000}"/>
    <cellStyle name="40 % - Markeringsfarve4 3 2 6 5" xfId="8170" xr:uid="{00000000-0005-0000-0000-0000AB4C0000}"/>
    <cellStyle name="40 % - Markeringsfarve4 3 2 6 5 2" xfId="16088" xr:uid="{00000000-0005-0000-0000-0000AC4C0000}"/>
    <cellStyle name="40 % - Markeringsfarve4 3 2 6 5 2 2" xfId="34248" xr:uid="{00000000-0005-0000-0000-0000AD4C0000}"/>
    <cellStyle name="40 % - Markeringsfarve4 3 2 6 5 3" xfId="27247" xr:uid="{00000000-0005-0000-0000-0000AE4C0000}"/>
    <cellStyle name="40 % - Markeringsfarve4 3 2 6 6" xfId="14784" xr:uid="{00000000-0005-0000-0000-0000AF4C0000}"/>
    <cellStyle name="40 % - Markeringsfarve4 3 2 6 6 2" xfId="32950" xr:uid="{00000000-0005-0000-0000-0000B04C0000}"/>
    <cellStyle name="40 % - Markeringsfarve4 3 2 6 7" xfId="25948" xr:uid="{00000000-0005-0000-0000-0000B14C0000}"/>
    <cellStyle name="40 % - Markeringsfarve4 3 2 7" xfId="6235" xr:uid="{00000000-0005-0000-0000-0000B24C0000}"/>
    <cellStyle name="40 % - Markeringsfarve4 3 2 7 2" xfId="6236" xr:uid="{00000000-0005-0000-0000-0000B34C0000}"/>
    <cellStyle name="40 % - Markeringsfarve4 3 2 7 2 2" xfId="9777" xr:uid="{00000000-0005-0000-0000-0000B44C0000}"/>
    <cellStyle name="40 % - Markeringsfarve4 3 2 7 2 2 2" xfId="17678" xr:uid="{00000000-0005-0000-0000-0000B54C0000}"/>
    <cellStyle name="40 % - Markeringsfarve4 3 2 7 2 2 2 2" xfId="35838" xr:uid="{00000000-0005-0000-0000-0000B64C0000}"/>
    <cellStyle name="40 % - Markeringsfarve4 3 2 7 2 2 3" xfId="28837" xr:uid="{00000000-0005-0000-0000-0000B74C0000}"/>
    <cellStyle name="40 % - Markeringsfarve4 3 2 7 2 3" xfId="14790" xr:uid="{00000000-0005-0000-0000-0000B84C0000}"/>
    <cellStyle name="40 % - Markeringsfarve4 3 2 7 2 3 2" xfId="32956" xr:uid="{00000000-0005-0000-0000-0000B94C0000}"/>
    <cellStyle name="40 % - Markeringsfarve4 3 2 7 2 4" xfId="25954" xr:uid="{00000000-0005-0000-0000-0000BA4C0000}"/>
    <cellStyle name="40 % - Markeringsfarve4 3 2 7 3" xfId="8371" xr:uid="{00000000-0005-0000-0000-0000BB4C0000}"/>
    <cellStyle name="40 % - Markeringsfarve4 3 2 7 3 2" xfId="16288" xr:uid="{00000000-0005-0000-0000-0000BC4C0000}"/>
    <cellStyle name="40 % - Markeringsfarve4 3 2 7 3 2 2" xfId="34448" xr:uid="{00000000-0005-0000-0000-0000BD4C0000}"/>
    <cellStyle name="40 % - Markeringsfarve4 3 2 7 3 3" xfId="27447" xr:uid="{00000000-0005-0000-0000-0000BE4C0000}"/>
    <cellStyle name="40 % - Markeringsfarve4 3 2 7 4" xfId="14789" xr:uid="{00000000-0005-0000-0000-0000BF4C0000}"/>
    <cellStyle name="40 % - Markeringsfarve4 3 2 7 4 2" xfId="32955" xr:uid="{00000000-0005-0000-0000-0000C04C0000}"/>
    <cellStyle name="40 % - Markeringsfarve4 3 2 7 5" xfId="25953" xr:uid="{00000000-0005-0000-0000-0000C14C0000}"/>
    <cellStyle name="40 % - Markeringsfarve4 3 2 8" xfId="6237" xr:uid="{00000000-0005-0000-0000-0000C24C0000}"/>
    <cellStyle name="40 % - Markeringsfarve4 3 2 8 2" xfId="9005" xr:uid="{00000000-0005-0000-0000-0000C34C0000}"/>
    <cellStyle name="40 % - Markeringsfarve4 3 2 8 2 2" xfId="16916" xr:uid="{00000000-0005-0000-0000-0000C44C0000}"/>
    <cellStyle name="40 % - Markeringsfarve4 3 2 8 2 2 2" xfId="35076" xr:uid="{00000000-0005-0000-0000-0000C54C0000}"/>
    <cellStyle name="40 % - Markeringsfarve4 3 2 8 2 3" xfId="28075" xr:uid="{00000000-0005-0000-0000-0000C64C0000}"/>
    <cellStyle name="40 % - Markeringsfarve4 3 2 8 3" xfId="14791" xr:uid="{00000000-0005-0000-0000-0000C74C0000}"/>
    <cellStyle name="40 % - Markeringsfarve4 3 2 8 3 2" xfId="32957" xr:uid="{00000000-0005-0000-0000-0000C84C0000}"/>
    <cellStyle name="40 % - Markeringsfarve4 3 2 8 4" xfId="25955" xr:uid="{00000000-0005-0000-0000-0000C94C0000}"/>
    <cellStyle name="40 % - Markeringsfarve4 3 2 9" xfId="6238" xr:uid="{00000000-0005-0000-0000-0000CA4C0000}"/>
    <cellStyle name="40 % - Markeringsfarve4 3 2 9 2" xfId="10994" xr:uid="{00000000-0005-0000-0000-0000CB4C0000}"/>
    <cellStyle name="40 % - Markeringsfarve4 3 2 9 2 2" xfId="18870" xr:uid="{00000000-0005-0000-0000-0000CC4C0000}"/>
    <cellStyle name="40 % - Markeringsfarve4 3 2 9 2 2 2" xfId="37030" xr:uid="{00000000-0005-0000-0000-0000CD4C0000}"/>
    <cellStyle name="40 % - Markeringsfarve4 3 2 9 2 3" xfId="30029" xr:uid="{00000000-0005-0000-0000-0000CE4C0000}"/>
    <cellStyle name="40 % - Markeringsfarve4 3 2 9 3" xfId="14792" xr:uid="{00000000-0005-0000-0000-0000CF4C0000}"/>
    <cellStyle name="40 % - Markeringsfarve4 3 2 9 3 2" xfId="32958" xr:uid="{00000000-0005-0000-0000-0000D04C0000}"/>
    <cellStyle name="40 % - Markeringsfarve4 3 2 9 4" xfId="25956" xr:uid="{00000000-0005-0000-0000-0000D14C0000}"/>
    <cellStyle name="40 % - Markeringsfarve4 3 3" xfId="6239" xr:uid="{00000000-0005-0000-0000-0000D24C0000}"/>
    <cellStyle name="40 % - Markeringsfarve4 3 3 10" xfId="8171" xr:uid="{00000000-0005-0000-0000-0000D34C0000}"/>
    <cellStyle name="40 % - Markeringsfarve4 3 3 10 2" xfId="16089" xr:uid="{00000000-0005-0000-0000-0000D44C0000}"/>
    <cellStyle name="40 % - Markeringsfarve4 3 3 10 2 2" xfId="34249" xr:uid="{00000000-0005-0000-0000-0000D54C0000}"/>
    <cellStyle name="40 % - Markeringsfarve4 3 3 10 3" xfId="27248" xr:uid="{00000000-0005-0000-0000-0000D64C0000}"/>
    <cellStyle name="40 % - Markeringsfarve4 3 3 11" xfId="14793" xr:uid="{00000000-0005-0000-0000-0000D74C0000}"/>
    <cellStyle name="40 % - Markeringsfarve4 3 3 11 2" xfId="32959" xr:uid="{00000000-0005-0000-0000-0000D84C0000}"/>
    <cellStyle name="40 % - Markeringsfarve4 3 3 12" xfId="25957" xr:uid="{00000000-0005-0000-0000-0000D94C0000}"/>
    <cellStyle name="40 % - Markeringsfarve4 3 3 2" xfId="6240" xr:uid="{00000000-0005-0000-0000-0000DA4C0000}"/>
    <cellStyle name="40 % - Markeringsfarve4 3 3 2 2" xfId="6241" xr:uid="{00000000-0005-0000-0000-0000DB4C0000}"/>
    <cellStyle name="40 % - Markeringsfarve4 3 3 2 2 2" xfId="6242" xr:uid="{00000000-0005-0000-0000-0000DC4C0000}"/>
    <cellStyle name="40 % - Markeringsfarve4 3 3 2 2 2 2" xfId="9935" xr:uid="{00000000-0005-0000-0000-0000DD4C0000}"/>
    <cellStyle name="40 % - Markeringsfarve4 3 3 2 2 2 2 2" xfId="17836" xr:uid="{00000000-0005-0000-0000-0000DE4C0000}"/>
    <cellStyle name="40 % - Markeringsfarve4 3 3 2 2 2 2 2 2" xfId="35996" xr:uid="{00000000-0005-0000-0000-0000DF4C0000}"/>
    <cellStyle name="40 % - Markeringsfarve4 3 3 2 2 2 2 3" xfId="28995" xr:uid="{00000000-0005-0000-0000-0000E04C0000}"/>
    <cellStyle name="40 % - Markeringsfarve4 3 3 2 2 2 3" xfId="14796" xr:uid="{00000000-0005-0000-0000-0000E14C0000}"/>
    <cellStyle name="40 % - Markeringsfarve4 3 3 2 2 2 3 2" xfId="32962" xr:uid="{00000000-0005-0000-0000-0000E24C0000}"/>
    <cellStyle name="40 % - Markeringsfarve4 3 3 2 2 2 4" xfId="25960" xr:uid="{00000000-0005-0000-0000-0000E34C0000}"/>
    <cellStyle name="40 % - Markeringsfarve4 3 3 2 2 3" xfId="8503" xr:uid="{00000000-0005-0000-0000-0000E44C0000}"/>
    <cellStyle name="40 % - Markeringsfarve4 3 3 2 2 3 2" xfId="16420" xr:uid="{00000000-0005-0000-0000-0000E54C0000}"/>
    <cellStyle name="40 % - Markeringsfarve4 3 3 2 2 3 2 2" xfId="34580" xr:uid="{00000000-0005-0000-0000-0000E64C0000}"/>
    <cellStyle name="40 % - Markeringsfarve4 3 3 2 2 3 3" xfId="27579" xr:uid="{00000000-0005-0000-0000-0000E74C0000}"/>
    <cellStyle name="40 % - Markeringsfarve4 3 3 2 2 4" xfId="14795" xr:uid="{00000000-0005-0000-0000-0000E84C0000}"/>
    <cellStyle name="40 % - Markeringsfarve4 3 3 2 2 4 2" xfId="32961" xr:uid="{00000000-0005-0000-0000-0000E94C0000}"/>
    <cellStyle name="40 % - Markeringsfarve4 3 3 2 2 5" xfId="25959" xr:uid="{00000000-0005-0000-0000-0000EA4C0000}"/>
    <cellStyle name="40 % - Markeringsfarve4 3 3 2 3" xfId="6243" xr:uid="{00000000-0005-0000-0000-0000EB4C0000}"/>
    <cellStyle name="40 % - Markeringsfarve4 3 3 2 3 2" xfId="9165" xr:uid="{00000000-0005-0000-0000-0000EC4C0000}"/>
    <cellStyle name="40 % - Markeringsfarve4 3 3 2 3 2 2" xfId="17076" xr:uid="{00000000-0005-0000-0000-0000ED4C0000}"/>
    <cellStyle name="40 % - Markeringsfarve4 3 3 2 3 2 2 2" xfId="35236" xr:uid="{00000000-0005-0000-0000-0000EE4C0000}"/>
    <cellStyle name="40 % - Markeringsfarve4 3 3 2 3 2 3" xfId="28235" xr:uid="{00000000-0005-0000-0000-0000EF4C0000}"/>
    <cellStyle name="40 % - Markeringsfarve4 3 3 2 3 3" xfId="14797" xr:uid="{00000000-0005-0000-0000-0000F04C0000}"/>
    <cellStyle name="40 % - Markeringsfarve4 3 3 2 3 3 2" xfId="32963" xr:uid="{00000000-0005-0000-0000-0000F14C0000}"/>
    <cellStyle name="40 % - Markeringsfarve4 3 3 2 3 4" xfId="25961" xr:uid="{00000000-0005-0000-0000-0000F24C0000}"/>
    <cellStyle name="40 % - Markeringsfarve4 3 3 2 4" xfId="6244" xr:uid="{00000000-0005-0000-0000-0000F34C0000}"/>
    <cellStyle name="40 % - Markeringsfarve4 3 3 2 4 2" xfId="10510" xr:uid="{00000000-0005-0000-0000-0000F44C0000}"/>
    <cellStyle name="40 % - Markeringsfarve4 3 3 2 4 2 2" xfId="18404" xr:uid="{00000000-0005-0000-0000-0000F54C0000}"/>
    <cellStyle name="40 % - Markeringsfarve4 3 3 2 4 2 2 2" xfId="36564" xr:uid="{00000000-0005-0000-0000-0000F64C0000}"/>
    <cellStyle name="40 % - Markeringsfarve4 3 3 2 4 2 3" xfId="29563" xr:uid="{00000000-0005-0000-0000-0000F74C0000}"/>
    <cellStyle name="40 % - Markeringsfarve4 3 3 2 4 3" xfId="14798" xr:uid="{00000000-0005-0000-0000-0000F84C0000}"/>
    <cellStyle name="40 % - Markeringsfarve4 3 3 2 4 3 2" xfId="32964" xr:uid="{00000000-0005-0000-0000-0000F94C0000}"/>
    <cellStyle name="40 % - Markeringsfarve4 3 3 2 4 4" xfId="25962" xr:uid="{00000000-0005-0000-0000-0000FA4C0000}"/>
    <cellStyle name="40 % - Markeringsfarve4 3 3 2 5" xfId="8172" xr:uid="{00000000-0005-0000-0000-0000FB4C0000}"/>
    <cellStyle name="40 % - Markeringsfarve4 3 3 2 5 2" xfId="16090" xr:uid="{00000000-0005-0000-0000-0000FC4C0000}"/>
    <cellStyle name="40 % - Markeringsfarve4 3 3 2 5 2 2" xfId="34250" xr:uid="{00000000-0005-0000-0000-0000FD4C0000}"/>
    <cellStyle name="40 % - Markeringsfarve4 3 3 2 5 3" xfId="27249" xr:uid="{00000000-0005-0000-0000-0000FE4C0000}"/>
    <cellStyle name="40 % - Markeringsfarve4 3 3 2 6" xfId="14794" xr:uid="{00000000-0005-0000-0000-0000FF4C0000}"/>
    <cellStyle name="40 % - Markeringsfarve4 3 3 2 6 2" xfId="32960" xr:uid="{00000000-0005-0000-0000-0000004D0000}"/>
    <cellStyle name="40 % - Markeringsfarve4 3 3 2 7" xfId="25958" xr:uid="{00000000-0005-0000-0000-0000014D0000}"/>
    <cellStyle name="40 % - Markeringsfarve4 3 3 3" xfId="6245" xr:uid="{00000000-0005-0000-0000-0000024D0000}"/>
    <cellStyle name="40 % - Markeringsfarve4 3 3 3 2" xfId="6246" xr:uid="{00000000-0005-0000-0000-0000034D0000}"/>
    <cellStyle name="40 % - Markeringsfarve4 3 3 3 2 2" xfId="6247" xr:uid="{00000000-0005-0000-0000-0000044D0000}"/>
    <cellStyle name="40 % - Markeringsfarve4 3 3 3 2 2 2" xfId="10041" xr:uid="{00000000-0005-0000-0000-0000054D0000}"/>
    <cellStyle name="40 % - Markeringsfarve4 3 3 3 2 2 2 2" xfId="17942" xr:uid="{00000000-0005-0000-0000-0000064D0000}"/>
    <cellStyle name="40 % - Markeringsfarve4 3 3 3 2 2 2 2 2" xfId="36102" xr:uid="{00000000-0005-0000-0000-0000074D0000}"/>
    <cellStyle name="40 % - Markeringsfarve4 3 3 3 2 2 2 3" xfId="29101" xr:uid="{00000000-0005-0000-0000-0000084D0000}"/>
    <cellStyle name="40 % - Markeringsfarve4 3 3 3 2 2 3" xfId="14801" xr:uid="{00000000-0005-0000-0000-0000094D0000}"/>
    <cellStyle name="40 % - Markeringsfarve4 3 3 3 2 2 3 2" xfId="32967" xr:uid="{00000000-0005-0000-0000-00000A4D0000}"/>
    <cellStyle name="40 % - Markeringsfarve4 3 3 3 2 2 4" xfId="25965" xr:uid="{00000000-0005-0000-0000-00000B4D0000}"/>
    <cellStyle name="40 % - Markeringsfarve4 3 3 3 2 3" xfId="8587" xr:uid="{00000000-0005-0000-0000-00000C4D0000}"/>
    <cellStyle name="40 % - Markeringsfarve4 3 3 3 2 3 2" xfId="16504" xr:uid="{00000000-0005-0000-0000-00000D4D0000}"/>
    <cellStyle name="40 % - Markeringsfarve4 3 3 3 2 3 2 2" xfId="34664" xr:uid="{00000000-0005-0000-0000-00000E4D0000}"/>
    <cellStyle name="40 % - Markeringsfarve4 3 3 3 2 3 3" xfId="27663" xr:uid="{00000000-0005-0000-0000-00000F4D0000}"/>
    <cellStyle name="40 % - Markeringsfarve4 3 3 3 2 4" xfId="14800" xr:uid="{00000000-0005-0000-0000-0000104D0000}"/>
    <cellStyle name="40 % - Markeringsfarve4 3 3 3 2 4 2" xfId="32966" xr:uid="{00000000-0005-0000-0000-0000114D0000}"/>
    <cellStyle name="40 % - Markeringsfarve4 3 3 3 2 5" xfId="25964" xr:uid="{00000000-0005-0000-0000-0000124D0000}"/>
    <cellStyle name="40 % - Markeringsfarve4 3 3 3 3" xfId="6248" xr:uid="{00000000-0005-0000-0000-0000134D0000}"/>
    <cellStyle name="40 % - Markeringsfarve4 3 3 3 3 2" xfId="9271" xr:uid="{00000000-0005-0000-0000-0000144D0000}"/>
    <cellStyle name="40 % - Markeringsfarve4 3 3 3 3 2 2" xfId="17182" xr:uid="{00000000-0005-0000-0000-0000154D0000}"/>
    <cellStyle name="40 % - Markeringsfarve4 3 3 3 3 2 2 2" xfId="35342" xr:uid="{00000000-0005-0000-0000-0000164D0000}"/>
    <cellStyle name="40 % - Markeringsfarve4 3 3 3 3 2 3" xfId="28341" xr:uid="{00000000-0005-0000-0000-0000174D0000}"/>
    <cellStyle name="40 % - Markeringsfarve4 3 3 3 3 3" xfId="14802" xr:uid="{00000000-0005-0000-0000-0000184D0000}"/>
    <cellStyle name="40 % - Markeringsfarve4 3 3 3 3 3 2" xfId="32968" xr:uid="{00000000-0005-0000-0000-0000194D0000}"/>
    <cellStyle name="40 % - Markeringsfarve4 3 3 3 3 4" xfId="25966" xr:uid="{00000000-0005-0000-0000-00001A4D0000}"/>
    <cellStyle name="40 % - Markeringsfarve4 3 3 3 4" xfId="6249" xr:uid="{00000000-0005-0000-0000-00001B4D0000}"/>
    <cellStyle name="40 % - Markeringsfarve4 3 3 3 4 2" xfId="10807" xr:uid="{00000000-0005-0000-0000-00001C4D0000}"/>
    <cellStyle name="40 % - Markeringsfarve4 3 3 3 4 2 2" xfId="18694" xr:uid="{00000000-0005-0000-0000-00001D4D0000}"/>
    <cellStyle name="40 % - Markeringsfarve4 3 3 3 4 2 2 2" xfId="36854" xr:uid="{00000000-0005-0000-0000-00001E4D0000}"/>
    <cellStyle name="40 % - Markeringsfarve4 3 3 3 4 2 3" xfId="29853" xr:uid="{00000000-0005-0000-0000-00001F4D0000}"/>
    <cellStyle name="40 % - Markeringsfarve4 3 3 3 4 3" xfId="14803" xr:uid="{00000000-0005-0000-0000-0000204D0000}"/>
    <cellStyle name="40 % - Markeringsfarve4 3 3 3 4 3 2" xfId="32969" xr:uid="{00000000-0005-0000-0000-0000214D0000}"/>
    <cellStyle name="40 % - Markeringsfarve4 3 3 3 4 4" xfId="25967" xr:uid="{00000000-0005-0000-0000-0000224D0000}"/>
    <cellStyle name="40 % - Markeringsfarve4 3 3 3 5" xfId="8173" xr:uid="{00000000-0005-0000-0000-0000234D0000}"/>
    <cellStyle name="40 % - Markeringsfarve4 3 3 3 5 2" xfId="16091" xr:uid="{00000000-0005-0000-0000-0000244D0000}"/>
    <cellStyle name="40 % - Markeringsfarve4 3 3 3 5 2 2" xfId="34251" xr:uid="{00000000-0005-0000-0000-0000254D0000}"/>
    <cellStyle name="40 % - Markeringsfarve4 3 3 3 5 3" xfId="27250" xr:uid="{00000000-0005-0000-0000-0000264D0000}"/>
    <cellStyle name="40 % - Markeringsfarve4 3 3 3 6" xfId="14799" xr:uid="{00000000-0005-0000-0000-0000274D0000}"/>
    <cellStyle name="40 % - Markeringsfarve4 3 3 3 6 2" xfId="32965" xr:uid="{00000000-0005-0000-0000-0000284D0000}"/>
    <cellStyle name="40 % - Markeringsfarve4 3 3 3 7" xfId="25963" xr:uid="{00000000-0005-0000-0000-0000294D0000}"/>
    <cellStyle name="40 % - Markeringsfarve4 3 3 4" xfId="6250" xr:uid="{00000000-0005-0000-0000-00002A4D0000}"/>
    <cellStyle name="40 % - Markeringsfarve4 3 3 4 2" xfId="6251" xr:uid="{00000000-0005-0000-0000-00002B4D0000}"/>
    <cellStyle name="40 % - Markeringsfarve4 3 3 4 2 2" xfId="6252" xr:uid="{00000000-0005-0000-0000-00002C4D0000}"/>
    <cellStyle name="40 % - Markeringsfarve4 3 3 4 2 2 2" xfId="10173" xr:uid="{00000000-0005-0000-0000-00002D4D0000}"/>
    <cellStyle name="40 % - Markeringsfarve4 3 3 4 2 2 2 2" xfId="18074" xr:uid="{00000000-0005-0000-0000-00002E4D0000}"/>
    <cellStyle name="40 % - Markeringsfarve4 3 3 4 2 2 2 2 2" xfId="36234" xr:uid="{00000000-0005-0000-0000-00002F4D0000}"/>
    <cellStyle name="40 % - Markeringsfarve4 3 3 4 2 2 2 3" xfId="29233" xr:uid="{00000000-0005-0000-0000-0000304D0000}"/>
    <cellStyle name="40 % - Markeringsfarve4 3 3 4 2 2 3" xfId="14806" xr:uid="{00000000-0005-0000-0000-0000314D0000}"/>
    <cellStyle name="40 % - Markeringsfarve4 3 3 4 2 2 3 2" xfId="32972" xr:uid="{00000000-0005-0000-0000-0000324D0000}"/>
    <cellStyle name="40 % - Markeringsfarve4 3 3 4 2 2 4" xfId="25970" xr:uid="{00000000-0005-0000-0000-0000334D0000}"/>
    <cellStyle name="40 % - Markeringsfarve4 3 3 4 2 3" xfId="8705" xr:uid="{00000000-0005-0000-0000-0000344D0000}"/>
    <cellStyle name="40 % - Markeringsfarve4 3 3 4 2 3 2" xfId="16619" xr:uid="{00000000-0005-0000-0000-0000354D0000}"/>
    <cellStyle name="40 % - Markeringsfarve4 3 3 4 2 3 2 2" xfId="34779" xr:uid="{00000000-0005-0000-0000-0000364D0000}"/>
    <cellStyle name="40 % - Markeringsfarve4 3 3 4 2 3 3" xfId="27778" xr:uid="{00000000-0005-0000-0000-0000374D0000}"/>
    <cellStyle name="40 % - Markeringsfarve4 3 3 4 2 4" xfId="14805" xr:uid="{00000000-0005-0000-0000-0000384D0000}"/>
    <cellStyle name="40 % - Markeringsfarve4 3 3 4 2 4 2" xfId="32971" xr:uid="{00000000-0005-0000-0000-0000394D0000}"/>
    <cellStyle name="40 % - Markeringsfarve4 3 3 4 2 5" xfId="25969" xr:uid="{00000000-0005-0000-0000-00003A4D0000}"/>
    <cellStyle name="40 % - Markeringsfarve4 3 3 4 3" xfId="6253" xr:uid="{00000000-0005-0000-0000-00003B4D0000}"/>
    <cellStyle name="40 % - Markeringsfarve4 3 3 4 3 2" xfId="9449" xr:uid="{00000000-0005-0000-0000-00003C4D0000}"/>
    <cellStyle name="40 % - Markeringsfarve4 3 3 4 3 2 2" xfId="17359" xr:uid="{00000000-0005-0000-0000-00003D4D0000}"/>
    <cellStyle name="40 % - Markeringsfarve4 3 3 4 3 2 2 2" xfId="35519" xr:uid="{00000000-0005-0000-0000-00003E4D0000}"/>
    <cellStyle name="40 % - Markeringsfarve4 3 3 4 3 2 3" xfId="28518" xr:uid="{00000000-0005-0000-0000-00003F4D0000}"/>
    <cellStyle name="40 % - Markeringsfarve4 3 3 4 3 3" xfId="14807" xr:uid="{00000000-0005-0000-0000-0000404D0000}"/>
    <cellStyle name="40 % - Markeringsfarve4 3 3 4 3 3 2" xfId="32973" xr:uid="{00000000-0005-0000-0000-0000414D0000}"/>
    <cellStyle name="40 % - Markeringsfarve4 3 3 4 3 4" xfId="25971" xr:uid="{00000000-0005-0000-0000-0000424D0000}"/>
    <cellStyle name="40 % - Markeringsfarve4 3 3 4 4" xfId="6254" xr:uid="{00000000-0005-0000-0000-0000434D0000}"/>
    <cellStyle name="40 % - Markeringsfarve4 3 3 4 4 2" xfId="10456" xr:uid="{00000000-0005-0000-0000-0000444D0000}"/>
    <cellStyle name="40 % - Markeringsfarve4 3 3 4 4 2 2" xfId="18353" xr:uid="{00000000-0005-0000-0000-0000454D0000}"/>
    <cellStyle name="40 % - Markeringsfarve4 3 3 4 4 2 2 2" xfId="36513" xr:uid="{00000000-0005-0000-0000-0000464D0000}"/>
    <cellStyle name="40 % - Markeringsfarve4 3 3 4 4 2 3" xfId="29512" xr:uid="{00000000-0005-0000-0000-0000474D0000}"/>
    <cellStyle name="40 % - Markeringsfarve4 3 3 4 4 3" xfId="14808" xr:uid="{00000000-0005-0000-0000-0000484D0000}"/>
    <cellStyle name="40 % - Markeringsfarve4 3 3 4 4 3 2" xfId="32974" xr:uid="{00000000-0005-0000-0000-0000494D0000}"/>
    <cellStyle name="40 % - Markeringsfarve4 3 3 4 4 4" xfId="25972" xr:uid="{00000000-0005-0000-0000-00004A4D0000}"/>
    <cellStyle name="40 % - Markeringsfarve4 3 3 4 5" xfId="8174" xr:uid="{00000000-0005-0000-0000-00004B4D0000}"/>
    <cellStyle name="40 % - Markeringsfarve4 3 3 4 5 2" xfId="16092" xr:uid="{00000000-0005-0000-0000-00004C4D0000}"/>
    <cellStyle name="40 % - Markeringsfarve4 3 3 4 5 2 2" xfId="34252" xr:uid="{00000000-0005-0000-0000-00004D4D0000}"/>
    <cellStyle name="40 % - Markeringsfarve4 3 3 4 5 3" xfId="27251" xr:uid="{00000000-0005-0000-0000-00004E4D0000}"/>
    <cellStyle name="40 % - Markeringsfarve4 3 3 4 6" xfId="14804" xr:uid="{00000000-0005-0000-0000-00004F4D0000}"/>
    <cellStyle name="40 % - Markeringsfarve4 3 3 4 6 2" xfId="32970" xr:uid="{00000000-0005-0000-0000-0000504D0000}"/>
    <cellStyle name="40 % - Markeringsfarve4 3 3 4 7" xfId="25968" xr:uid="{00000000-0005-0000-0000-0000514D0000}"/>
    <cellStyle name="40 % - Markeringsfarve4 3 3 5" xfId="6255" xr:uid="{00000000-0005-0000-0000-0000524D0000}"/>
    <cellStyle name="40 % - Markeringsfarve4 3 3 5 2" xfId="6256" xr:uid="{00000000-0005-0000-0000-0000534D0000}"/>
    <cellStyle name="40 % - Markeringsfarve4 3 3 5 2 2" xfId="6257" xr:uid="{00000000-0005-0000-0000-0000544D0000}"/>
    <cellStyle name="40 % - Markeringsfarve4 3 3 5 2 2 2" xfId="10290" xr:uid="{00000000-0005-0000-0000-0000554D0000}"/>
    <cellStyle name="40 % - Markeringsfarve4 3 3 5 2 2 2 2" xfId="18191" xr:uid="{00000000-0005-0000-0000-0000564D0000}"/>
    <cellStyle name="40 % - Markeringsfarve4 3 3 5 2 2 2 2 2" xfId="36351" xr:uid="{00000000-0005-0000-0000-0000574D0000}"/>
    <cellStyle name="40 % - Markeringsfarve4 3 3 5 2 2 2 3" xfId="29350" xr:uid="{00000000-0005-0000-0000-0000584D0000}"/>
    <cellStyle name="40 % - Markeringsfarve4 3 3 5 2 2 3" xfId="14811" xr:uid="{00000000-0005-0000-0000-0000594D0000}"/>
    <cellStyle name="40 % - Markeringsfarve4 3 3 5 2 2 3 2" xfId="32977" xr:uid="{00000000-0005-0000-0000-00005A4D0000}"/>
    <cellStyle name="40 % - Markeringsfarve4 3 3 5 2 2 4" xfId="25975" xr:uid="{00000000-0005-0000-0000-00005B4D0000}"/>
    <cellStyle name="40 % - Markeringsfarve4 3 3 5 2 3" xfId="8804" xr:uid="{00000000-0005-0000-0000-00005C4D0000}"/>
    <cellStyle name="40 % - Markeringsfarve4 3 3 5 2 3 2" xfId="16718" xr:uid="{00000000-0005-0000-0000-00005D4D0000}"/>
    <cellStyle name="40 % - Markeringsfarve4 3 3 5 2 3 2 2" xfId="34878" xr:uid="{00000000-0005-0000-0000-00005E4D0000}"/>
    <cellStyle name="40 % - Markeringsfarve4 3 3 5 2 3 3" xfId="27877" xr:uid="{00000000-0005-0000-0000-00005F4D0000}"/>
    <cellStyle name="40 % - Markeringsfarve4 3 3 5 2 4" xfId="14810" xr:uid="{00000000-0005-0000-0000-0000604D0000}"/>
    <cellStyle name="40 % - Markeringsfarve4 3 3 5 2 4 2" xfId="32976" xr:uid="{00000000-0005-0000-0000-0000614D0000}"/>
    <cellStyle name="40 % - Markeringsfarve4 3 3 5 2 5" xfId="25974" xr:uid="{00000000-0005-0000-0000-0000624D0000}"/>
    <cellStyle name="40 % - Markeringsfarve4 3 3 5 3" xfId="6258" xr:uid="{00000000-0005-0000-0000-0000634D0000}"/>
    <cellStyle name="40 % - Markeringsfarve4 3 3 5 3 2" xfId="9566" xr:uid="{00000000-0005-0000-0000-0000644D0000}"/>
    <cellStyle name="40 % - Markeringsfarve4 3 3 5 3 2 2" xfId="17476" xr:uid="{00000000-0005-0000-0000-0000654D0000}"/>
    <cellStyle name="40 % - Markeringsfarve4 3 3 5 3 2 2 2" xfId="35636" xr:uid="{00000000-0005-0000-0000-0000664D0000}"/>
    <cellStyle name="40 % - Markeringsfarve4 3 3 5 3 2 3" xfId="28635" xr:uid="{00000000-0005-0000-0000-0000674D0000}"/>
    <cellStyle name="40 % - Markeringsfarve4 3 3 5 3 3" xfId="14812" xr:uid="{00000000-0005-0000-0000-0000684D0000}"/>
    <cellStyle name="40 % - Markeringsfarve4 3 3 5 3 3 2" xfId="32978" xr:uid="{00000000-0005-0000-0000-0000694D0000}"/>
    <cellStyle name="40 % - Markeringsfarve4 3 3 5 3 4" xfId="25976" xr:uid="{00000000-0005-0000-0000-00006A4D0000}"/>
    <cellStyle name="40 % - Markeringsfarve4 3 3 5 4" xfId="6259" xr:uid="{00000000-0005-0000-0000-00006B4D0000}"/>
    <cellStyle name="40 % - Markeringsfarve4 3 3 5 4 2" xfId="10793" xr:uid="{00000000-0005-0000-0000-00006C4D0000}"/>
    <cellStyle name="40 % - Markeringsfarve4 3 3 5 4 2 2" xfId="18680" xr:uid="{00000000-0005-0000-0000-00006D4D0000}"/>
    <cellStyle name="40 % - Markeringsfarve4 3 3 5 4 2 2 2" xfId="36840" xr:uid="{00000000-0005-0000-0000-00006E4D0000}"/>
    <cellStyle name="40 % - Markeringsfarve4 3 3 5 4 2 3" xfId="29839" xr:uid="{00000000-0005-0000-0000-00006F4D0000}"/>
    <cellStyle name="40 % - Markeringsfarve4 3 3 5 4 3" xfId="14813" xr:uid="{00000000-0005-0000-0000-0000704D0000}"/>
    <cellStyle name="40 % - Markeringsfarve4 3 3 5 4 3 2" xfId="32979" xr:uid="{00000000-0005-0000-0000-0000714D0000}"/>
    <cellStyle name="40 % - Markeringsfarve4 3 3 5 4 4" xfId="25977" xr:uid="{00000000-0005-0000-0000-0000724D0000}"/>
    <cellStyle name="40 % - Markeringsfarve4 3 3 5 5" xfId="8175" xr:uid="{00000000-0005-0000-0000-0000734D0000}"/>
    <cellStyle name="40 % - Markeringsfarve4 3 3 5 5 2" xfId="16093" xr:uid="{00000000-0005-0000-0000-0000744D0000}"/>
    <cellStyle name="40 % - Markeringsfarve4 3 3 5 5 2 2" xfId="34253" xr:uid="{00000000-0005-0000-0000-0000754D0000}"/>
    <cellStyle name="40 % - Markeringsfarve4 3 3 5 5 3" xfId="27252" xr:uid="{00000000-0005-0000-0000-0000764D0000}"/>
    <cellStyle name="40 % - Markeringsfarve4 3 3 5 6" xfId="14809" xr:uid="{00000000-0005-0000-0000-0000774D0000}"/>
    <cellStyle name="40 % - Markeringsfarve4 3 3 5 6 2" xfId="32975" xr:uid="{00000000-0005-0000-0000-0000784D0000}"/>
    <cellStyle name="40 % - Markeringsfarve4 3 3 5 7" xfId="25973" xr:uid="{00000000-0005-0000-0000-0000794D0000}"/>
    <cellStyle name="40 % - Markeringsfarve4 3 3 6" xfId="6260" xr:uid="{00000000-0005-0000-0000-00007A4D0000}"/>
    <cellStyle name="40 % - Markeringsfarve4 3 3 6 2" xfId="6261" xr:uid="{00000000-0005-0000-0000-00007B4D0000}"/>
    <cellStyle name="40 % - Markeringsfarve4 3 3 6 2 2" xfId="6262" xr:uid="{00000000-0005-0000-0000-00007C4D0000}"/>
    <cellStyle name="40 % - Markeringsfarve4 3 3 6 2 2 2" xfId="10395" xr:uid="{00000000-0005-0000-0000-00007D4D0000}"/>
    <cellStyle name="40 % - Markeringsfarve4 3 3 6 2 2 2 2" xfId="18296" xr:uid="{00000000-0005-0000-0000-00007E4D0000}"/>
    <cellStyle name="40 % - Markeringsfarve4 3 3 6 2 2 2 2 2" xfId="36456" xr:uid="{00000000-0005-0000-0000-00007F4D0000}"/>
    <cellStyle name="40 % - Markeringsfarve4 3 3 6 2 2 2 3" xfId="29455" xr:uid="{00000000-0005-0000-0000-0000804D0000}"/>
    <cellStyle name="40 % - Markeringsfarve4 3 3 6 2 2 3" xfId="14816" xr:uid="{00000000-0005-0000-0000-0000814D0000}"/>
    <cellStyle name="40 % - Markeringsfarve4 3 3 6 2 2 3 2" xfId="32982" xr:uid="{00000000-0005-0000-0000-0000824D0000}"/>
    <cellStyle name="40 % - Markeringsfarve4 3 3 6 2 2 4" xfId="25980" xr:uid="{00000000-0005-0000-0000-0000834D0000}"/>
    <cellStyle name="40 % - Markeringsfarve4 3 3 6 2 3" xfId="8888" xr:uid="{00000000-0005-0000-0000-0000844D0000}"/>
    <cellStyle name="40 % - Markeringsfarve4 3 3 6 2 3 2" xfId="16802" xr:uid="{00000000-0005-0000-0000-0000854D0000}"/>
    <cellStyle name="40 % - Markeringsfarve4 3 3 6 2 3 2 2" xfId="34962" xr:uid="{00000000-0005-0000-0000-0000864D0000}"/>
    <cellStyle name="40 % - Markeringsfarve4 3 3 6 2 3 3" xfId="27961" xr:uid="{00000000-0005-0000-0000-0000874D0000}"/>
    <cellStyle name="40 % - Markeringsfarve4 3 3 6 2 4" xfId="14815" xr:uid="{00000000-0005-0000-0000-0000884D0000}"/>
    <cellStyle name="40 % - Markeringsfarve4 3 3 6 2 4 2" xfId="32981" xr:uid="{00000000-0005-0000-0000-0000894D0000}"/>
    <cellStyle name="40 % - Markeringsfarve4 3 3 6 2 5" xfId="25979" xr:uid="{00000000-0005-0000-0000-00008A4D0000}"/>
    <cellStyle name="40 % - Markeringsfarve4 3 3 6 3" xfId="6263" xr:uid="{00000000-0005-0000-0000-00008B4D0000}"/>
    <cellStyle name="40 % - Markeringsfarve4 3 3 6 3 2" xfId="9672" xr:uid="{00000000-0005-0000-0000-00008C4D0000}"/>
    <cellStyle name="40 % - Markeringsfarve4 3 3 6 3 2 2" xfId="17582" xr:uid="{00000000-0005-0000-0000-00008D4D0000}"/>
    <cellStyle name="40 % - Markeringsfarve4 3 3 6 3 2 2 2" xfId="35742" xr:uid="{00000000-0005-0000-0000-00008E4D0000}"/>
    <cellStyle name="40 % - Markeringsfarve4 3 3 6 3 2 3" xfId="28741" xr:uid="{00000000-0005-0000-0000-00008F4D0000}"/>
    <cellStyle name="40 % - Markeringsfarve4 3 3 6 3 3" xfId="14817" xr:uid="{00000000-0005-0000-0000-0000904D0000}"/>
    <cellStyle name="40 % - Markeringsfarve4 3 3 6 3 3 2" xfId="32983" xr:uid="{00000000-0005-0000-0000-0000914D0000}"/>
    <cellStyle name="40 % - Markeringsfarve4 3 3 6 3 4" xfId="25981" xr:uid="{00000000-0005-0000-0000-0000924D0000}"/>
    <cellStyle name="40 % - Markeringsfarve4 3 3 6 4" xfId="6264" xr:uid="{00000000-0005-0000-0000-0000934D0000}"/>
    <cellStyle name="40 % - Markeringsfarve4 3 3 6 4 2" xfId="10996" xr:uid="{00000000-0005-0000-0000-0000944D0000}"/>
    <cellStyle name="40 % - Markeringsfarve4 3 3 6 4 2 2" xfId="18872" xr:uid="{00000000-0005-0000-0000-0000954D0000}"/>
    <cellStyle name="40 % - Markeringsfarve4 3 3 6 4 2 2 2" xfId="37032" xr:uid="{00000000-0005-0000-0000-0000964D0000}"/>
    <cellStyle name="40 % - Markeringsfarve4 3 3 6 4 2 3" xfId="30031" xr:uid="{00000000-0005-0000-0000-0000974D0000}"/>
    <cellStyle name="40 % - Markeringsfarve4 3 3 6 4 3" xfId="14818" xr:uid="{00000000-0005-0000-0000-0000984D0000}"/>
    <cellStyle name="40 % - Markeringsfarve4 3 3 6 4 3 2" xfId="32984" xr:uid="{00000000-0005-0000-0000-0000994D0000}"/>
    <cellStyle name="40 % - Markeringsfarve4 3 3 6 4 4" xfId="25982" xr:uid="{00000000-0005-0000-0000-00009A4D0000}"/>
    <cellStyle name="40 % - Markeringsfarve4 3 3 6 5" xfId="8176" xr:uid="{00000000-0005-0000-0000-00009B4D0000}"/>
    <cellStyle name="40 % - Markeringsfarve4 3 3 6 5 2" xfId="16094" xr:uid="{00000000-0005-0000-0000-00009C4D0000}"/>
    <cellStyle name="40 % - Markeringsfarve4 3 3 6 5 2 2" xfId="34254" xr:uid="{00000000-0005-0000-0000-00009D4D0000}"/>
    <cellStyle name="40 % - Markeringsfarve4 3 3 6 5 3" xfId="27253" xr:uid="{00000000-0005-0000-0000-00009E4D0000}"/>
    <cellStyle name="40 % - Markeringsfarve4 3 3 6 6" xfId="14814" xr:uid="{00000000-0005-0000-0000-00009F4D0000}"/>
    <cellStyle name="40 % - Markeringsfarve4 3 3 6 6 2" xfId="32980" xr:uid="{00000000-0005-0000-0000-0000A04D0000}"/>
    <cellStyle name="40 % - Markeringsfarve4 3 3 6 7" xfId="25978" xr:uid="{00000000-0005-0000-0000-0000A14D0000}"/>
    <cellStyle name="40 % - Markeringsfarve4 3 3 7" xfId="6265" xr:uid="{00000000-0005-0000-0000-0000A24D0000}"/>
    <cellStyle name="40 % - Markeringsfarve4 3 3 7 2" xfId="6266" xr:uid="{00000000-0005-0000-0000-0000A34D0000}"/>
    <cellStyle name="40 % - Markeringsfarve4 3 3 7 2 2" xfId="9816" xr:uid="{00000000-0005-0000-0000-0000A44D0000}"/>
    <cellStyle name="40 % - Markeringsfarve4 3 3 7 2 2 2" xfId="17717" xr:uid="{00000000-0005-0000-0000-0000A54D0000}"/>
    <cellStyle name="40 % - Markeringsfarve4 3 3 7 2 2 2 2" xfId="35877" xr:uid="{00000000-0005-0000-0000-0000A64D0000}"/>
    <cellStyle name="40 % - Markeringsfarve4 3 3 7 2 2 3" xfId="28876" xr:uid="{00000000-0005-0000-0000-0000A74D0000}"/>
    <cellStyle name="40 % - Markeringsfarve4 3 3 7 2 3" xfId="14820" xr:uid="{00000000-0005-0000-0000-0000A84D0000}"/>
    <cellStyle name="40 % - Markeringsfarve4 3 3 7 2 3 2" xfId="32986" xr:uid="{00000000-0005-0000-0000-0000A94D0000}"/>
    <cellStyle name="40 % - Markeringsfarve4 3 3 7 2 4" xfId="25984" xr:uid="{00000000-0005-0000-0000-0000AA4D0000}"/>
    <cellStyle name="40 % - Markeringsfarve4 3 3 7 3" xfId="8404" xr:uid="{00000000-0005-0000-0000-0000AB4D0000}"/>
    <cellStyle name="40 % - Markeringsfarve4 3 3 7 3 2" xfId="16321" xr:uid="{00000000-0005-0000-0000-0000AC4D0000}"/>
    <cellStyle name="40 % - Markeringsfarve4 3 3 7 3 2 2" xfId="34481" xr:uid="{00000000-0005-0000-0000-0000AD4D0000}"/>
    <cellStyle name="40 % - Markeringsfarve4 3 3 7 3 3" xfId="27480" xr:uid="{00000000-0005-0000-0000-0000AE4D0000}"/>
    <cellStyle name="40 % - Markeringsfarve4 3 3 7 4" xfId="14819" xr:uid="{00000000-0005-0000-0000-0000AF4D0000}"/>
    <cellStyle name="40 % - Markeringsfarve4 3 3 7 4 2" xfId="32985" xr:uid="{00000000-0005-0000-0000-0000B04D0000}"/>
    <cellStyle name="40 % - Markeringsfarve4 3 3 7 5" xfId="25983" xr:uid="{00000000-0005-0000-0000-0000B14D0000}"/>
    <cellStyle name="40 % - Markeringsfarve4 3 3 8" xfId="6267" xr:uid="{00000000-0005-0000-0000-0000B24D0000}"/>
    <cellStyle name="40 % - Markeringsfarve4 3 3 8 2" xfId="9044" xr:uid="{00000000-0005-0000-0000-0000B34D0000}"/>
    <cellStyle name="40 % - Markeringsfarve4 3 3 8 2 2" xfId="16955" xr:uid="{00000000-0005-0000-0000-0000B44D0000}"/>
    <cellStyle name="40 % - Markeringsfarve4 3 3 8 2 2 2" xfId="35115" xr:uid="{00000000-0005-0000-0000-0000B54D0000}"/>
    <cellStyle name="40 % - Markeringsfarve4 3 3 8 2 3" xfId="28114" xr:uid="{00000000-0005-0000-0000-0000B64D0000}"/>
    <cellStyle name="40 % - Markeringsfarve4 3 3 8 3" xfId="14821" xr:uid="{00000000-0005-0000-0000-0000B74D0000}"/>
    <cellStyle name="40 % - Markeringsfarve4 3 3 8 3 2" xfId="32987" xr:uid="{00000000-0005-0000-0000-0000B84D0000}"/>
    <cellStyle name="40 % - Markeringsfarve4 3 3 8 4" xfId="25985" xr:uid="{00000000-0005-0000-0000-0000B94D0000}"/>
    <cellStyle name="40 % - Markeringsfarve4 3 3 9" xfId="6268" xr:uid="{00000000-0005-0000-0000-0000BA4D0000}"/>
    <cellStyle name="40 % - Markeringsfarve4 3 3 9 2" xfId="10860" xr:uid="{00000000-0005-0000-0000-0000BB4D0000}"/>
    <cellStyle name="40 % - Markeringsfarve4 3 3 9 2 2" xfId="18743" xr:uid="{00000000-0005-0000-0000-0000BC4D0000}"/>
    <cellStyle name="40 % - Markeringsfarve4 3 3 9 2 2 2" xfId="36903" xr:uid="{00000000-0005-0000-0000-0000BD4D0000}"/>
    <cellStyle name="40 % - Markeringsfarve4 3 3 9 2 3" xfId="29902" xr:uid="{00000000-0005-0000-0000-0000BE4D0000}"/>
    <cellStyle name="40 % - Markeringsfarve4 3 3 9 3" xfId="14822" xr:uid="{00000000-0005-0000-0000-0000BF4D0000}"/>
    <cellStyle name="40 % - Markeringsfarve4 3 3 9 3 2" xfId="32988" xr:uid="{00000000-0005-0000-0000-0000C04D0000}"/>
    <cellStyle name="40 % - Markeringsfarve4 3 3 9 4" xfId="25986" xr:uid="{00000000-0005-0000-0000-0000C14D0000}"/>
    <cellStyle name="40 % - Markeringsfarve4 3 4" xfId="6269" xr:uid="{00000000-0005-0000-0000-0000C24D0000}"/>
    <cellStyle name="40 % - Markeringsfarve4 3 4 2" xfId="6270" xr:uid="{00000000-0005-0000-0000-0000C34D0000}"/>
    <cellStyle name="40 % - Markeringsfarve4 3 4 2 2" xfId="6271" xr:uid="{00000000-0005-0000-0000-0000C44D0000}"/>
    <cellStyle name="40 % - Markeringsfarve4 3 4 2 2 2" xfId="9857" xr:uid="{00000000-0005-0000-0000-0000C54D0000}"/>
    <cellStyle name="40 % - Markeringsfarve4 3 4 2 2 2 2" xfId="17758" xr:uid="{00000000-0005-0000-0000-0000C64D0000}"/>
    <cellStyle name="40 % - Markeringsfarve4 3 4 2 2 2 2 2" xfId="35918" xr:uid="{00000000-0005-0000-0000-0000C74D0000}"/>
    <cellStyle name="40 % - Markeringsfarve4 3 4 2 2 2 3" xfId="28917" xr:uid="{00000000-0005-0000-0000-0000C84D0000}"/>
    <cellStyle name="40 % - Markeringsfarve4 3 4 2 2 3" xfId="14825" xr:uid="{00000000-0005-0000-0000-0000C94D0000}"/>
    <cellStyle name="40 % - Markeringsfarve4 3 4 2 2 3 2" xfId="32991" xr:uid="{00000000-0005-0000-0000-0000CA4D0000}"/>
    <cellStyle name="40 % - Markeringsfarve4 3 4 2 2 4" xfId="25989" xr:uid="{00000000-0005-0000-0000-0000CB4D0000}"/>
    <cellStyle name="40 % - Markeringsfarve4 3 4 2 3" xfId="8437" xr:uid="{00000000-0005-0000-0000-0000CC4D0000}"/>
    <cellStyle name="40 % - Markeringsfarve4 3 4 2 3 2" xfId="16354" xr:uid="{00000000-0005-0000-0000-0000CD4D0000}"/>
    <cellStyle name="40 % - Markeringsfarve4 3 4 2 3 2 2" xfId="34514" xr:uid="{00000000-0005-0000-0000-0000CE4D0000}"/>
    <cellStyle name="40 % - Markeringsfarve4 3 4 2 3 3" xfId="27513" xr:uid="{00000000-0005-0000-0000-0000CF4D0000}"/>
    <cellStyle name="40 % - Markeringsfarve4 3 4 2 4" xfId="14824" xr:uid="{00000000-0005-0000-0000-0000D04D0000}"/>
    <cellStyle name="40 % - Markeringsfarve4 3 4 2 4 2" xfId="32990" xr:uid="{00000000-0005-0000-0000-0000D14D0000}"/>
    <cellStyle name="40 % - Markeringsfarve4 3 4 2 5" xfId="25988" xr:uid="{00000000-0005-0000-0000-0000D24D0000}"/>
    <cellStyle name="40 % - Markeringsfarve4 3 4 3" xfId="6272" xr:uid="{00000000-0005-0000-0000-0000D34D0000}"/>
    <cellStyle name="40 % - Markeringsfarve4 3 4 3 2" xfId="9087" xr:uid="{00000000-0005-0000-0000-0000D44D0000}"/>
    <cellStyle name="40 % - Markeringsfarve4 3 4 3 2 2" xfId="16998" xr:uid="{00000000-0005-0000-0000-0000D54D0000}"/>
    <cellStyle name="40 % - Markeringsfarve4 3 4 3 2 2 2" xfId="35158" xr:uid="{00000000-0005-0000-0000-0000D64D0000}"/>
    <cellStyle name="40 % - Markeringsfarve4 3 4 3 2 3" xfId="28157" xr:uid="{00000000-0005-0000-0000-0000D74D0000}"/>
    <cellStyle name="40 % - Markeringsfarve4 3 4 3 3" xfId="14826" xr:uid="{00000000-0005-0000-0000-0000D84D0000}"/>
    <cellStyle name="40 % - Markeringsfarve4 3 4 3 3 2" xfId="32992" xr:uid="{00000000-0005-0000-0000-0000D94D0000}"/>
    <cellStyle name="40 % - Markeringsfarve4 3 4 3 4" xfId="25990" xr:uid="{00000000-0005-0000-0000-0000DA4D0000}"/>
    <cellStyle name="40 % - Markeringsfarve4 3 4 4" xfId="6273" xr:uid="{00000000-0005-0000-0000-0000DB4D0000}"/>
    <cellStyle name="40 % - Markeringsfarve4 3 4 4 2" xfId="10716" xr:uid="{00000000-0005-0000-0000-0000DC4D0000}"/>
    <cellStyle name="40 % - Markeringsfarve4 3 4 4 2 2" xfId="18605" xr:uid="{00000000-0005-0000-0000-0000DD4D0000}"/>
    <cellStyle name="40 % - Markeringsfarve4 3 4 4 2 2 2" xfId="36765" xr:uid="{00000000-0005-0000-0000-0000DE4D0000}"/>
    <cellStyle name="40 % - Markeringsfarve4 3 4 4 2 3" xfId="29764" xr:uid="{00000000-0005-0000-0000-0000DF4D0000}"/>
    <cellStyle name="40 % - Markeringsfarve4 3 4 4 3" xfId="14827" xr:uid="{00000000-0005-0000-0000-0000E04D0000}"/>
    <cellStyle name="40 % - Markeringsfarve4 3 4 4 3 2" xfId="32993" xr:uid="{00000000-0005-0000-0000-0000E14D0000}"/>
    <cellStyle name="40 % - Markeringsfarve4 3 4 4 4" xfId="25991" xr:uid="{00000000-0005-0000-0000-0000E24D0000}"/>
    <cellStyle name="40 % - Markeringsfarve4 3 4 5" xfId="8177" xr:uid="{00000000-0005-0000-0000-0000E34D0000}"/>
    <cellStyle name="40 % - Markeringsfarve4 3 4 5 2" xfId="16095" xr:uid="{00000000-0005-0000-0000-0000E44D0000}"/>
    <cellStyle name="40 % - Markeringsfarve4 3 4 5 2 2" xfId="34255" xr:uid="{00000000-0005-0000-0000-0000E54D0000}"/>
    <cellStyle name="40 % - Markeringsfarve4 3 4 5 3" xfId="27254" xr:uid="{00000000-0005-0000-0000-0000E64D0000}"/>
    <cellStyle name="40 % - Markeringsfarve4 3 4 6" xfId="14823" xr:uid="{00000000-0005-0000-0000-0000E74D0000}"/>
    <cellStyle name="40 % - Markeringsfarve4 3 4 6 2" xfId="32989" xr:uid="{00000000-0005-0000-0000-0000E84D0000}"/>
    <cellStyle name="40 % - Markeringsfarve4 3 4 7" xfId="25987" xr:uid="{00000000-0005-0000-0000-0000E94D0000}"/>
    <cellStyle name="40 % - Markeringsfarve4 3 5" xfId="6274" xr:uid="{00000000-0005-0000-0000-0000EA4D0000}"/>
    <cellStyle name="40 % - Markeringsfarve4 3 5 2" xfId="6275" xr:uid="{00000000-0005-0000-0000-0000EB4D0000}"/>
    <cellStyle name="40 % - Markeringsfarve4 3 5 2 2" xfId="6276" xr:uid="{00000000-0005-0000-0000-0000EC4D0000}"/>
    <cellStyle name="40 % - Markeringsfarve4 3 5 2 2 2" xfId="10039" xr:uid="{00000000-0005-0000-0000-0000ED4D0000}"/>
    <cellStyle name="40 % - Markeringsfarve4 3 5 2 2 2 2" xfId="17940" xr:uid="{00000000-0005-0000-0000-0000EE4D0000}"/>
    <cellStyle name="40 % - Markeringsfarve4 3 5 2 2 2 2 2" xfId="36100" xr:uid="{00000000-0005-0000-0000-0000EF4D0000}"/>
    <cellStyle name="40 % - Markeringsfarve4 3 5 2 2 2 3" xfId="29099" xr:uid="{00000000-0005-0000-0000-0000F04D0000}"/>
    <cellStyle name="40 % - Markeringsfarve4 3 5 2 2 3" xfId="14830" xr:uid="{00000000-0005-0000-0000-0000F14D0000}"/>
    <cellStyle name="40 % - Markeringsfarve4 3 5 2 2 3 2" xfId="32996" xr:uid="{00000000-0005-0000-0000-0000F24D0000}"/>
    <cellStyle name="40 % - Markeringsfarve4 3 5 2 2 4" xfId="25994" xr:uid="{00000000-0005-0000-0000-0000F34D0000}"/>
    <cellStyle name="40 % - Markeringsfarve4 3 5 2 3" xfId="8585" xr:uid="{00000000-0005-0000-0000-0000F44D0000}"/>
    <cellStyle name="40 % - Markeringsfarve4 3 5 2 3 2" xfId="16502" xr:uid="{00000000-0005-0000-0000-0000F54D0000}"/>
    <cellStyle name="40 % - Markeringsfarve4 3 5 2 3 2 2" xfId="34662" xr:uid="{00000000-0005-0000-0000-0000F64D0000}"/>
    <cellStyle name="40 % - Markeringsfarve4 3 5 2 3 3" xfId="27661" xr:uid="{00000000-0005-0000-0000-0000F74D0000}"/>
    <cellStyle name="40 % - Markeringsfarve4 3 5 2 4" xfId="14829" xr:uid="{00000000-0005-0000-0000-0000F84D0000}"/>
    <cellStyle name="40 % - Markeringsfarve4 3 5 2 4 2" xfId="32995" xr:uid="{00000000-0005-0000-0000-0000F94D0000}"/>
    <cellStyle name="40 % - Markeringsfarve4 3 5 2 5" xfId="25993" xr:uid="{00000000-0005-0000-0000-0000FA4D0000}"/>
    <cellStyle name="40 % - Markeringsfarve4 3 5 3" xfId="6277" xr:uid="{00000000-0005-0000-0000-0000FB4D0000}"/>
    <cellStyle name="40 % - Markeringsfarve4 3 5 3 2" xfId="9269" xr:uid="{00000000-0005-0000-0000-0000FC4D0000}"/>
    <cellStyle name="40 % - Markeringsfarve4 3 5 3 2 2" xfId="17180" xr:uid="{00000000-0005-0000-0000-0000FD4D0000}"/>
    <cellStyle name="40 % - Markeringsfarve4 3 5 3 2 2 2" xfId="35340" xr:uid="{00000000-0005-0000-0000-0000FE4D0000}"/>
    <cellStyle name="40 % - Markeringsfarve4 3 5 3 2 3" xfId="28339" xr:uid="{00000000-0005-0000-0000-0000FF4D0000}"/>
    <cellStyle name="40 % - Markeringsfarve4 3 5 3 3" xfId="14831" xr:uid="{00000000-0005-0000-0000-0000004E0000}"/>
    <cellStyle name="40 % - Markeringsfarve4 3 5 3 3 2" xfId="32997" xr:uid="{00000000-0005-0000-0000-0000014E0000}"/>
    <cellStyle name="40 % - Markeringsfarve4 3 5 3 4" xfId="25995" xr:uid="{00000000-0005-0000-0000-0000024E0000}"/>
    <cellStyle name="40 % - Markeringsfarve4 3 5 4" xfId="6278" xr:uid="{00000000-0005-0000-0000-0000034E0000}"/>
    <cellStyle name="40 % - Markeringsfarve4 3 5 4 2" xfId="10967" xr:uid="{00000000-0005-0000-0000-0000044E0000}"/>
    <cellStyle name="40 % - Markeringsfarve4 3 5 4 2 2" xfId="18846" xr:uid="{00000000-0005-0000-0000-0000054E0000}"/>
    <cellStyle name="40 % - Markeringsfarve4 3 5 4 2 2 2" xfId="37006" xr:uid="{00000000-0005-0000-0000-0000064E0000}"/>
    <cellStyle name="40 % - Markeringsfarve4 3 5 4 2 3" xfId="30005" xr:uid="{00000000-0005-0000-0000-0000074E0000}"/>
    <cellStyle name="40 % - Markeringsfarve4 3 5 4 3" xfId="14832" xr:uid="{00000000-0005-0000-0000-0000084E0000}"/>
    <cellStyle name="40 % - Markeringsfarve4 3 5 4 3 2" xfId="32998" xr:uid="{00000000-0005-0000-0000-0000094E0000}"/>
    <cellStyle name="40 % - Markeringsfarve4 3 5 4 4" xfId="25996" xr:uid="{00000000-0005-0000-0000-00000A4E0000}"/>
    <cellStyle name="40 % - Markeringsfarve4 3 5 5" xfId="8178" xr:uid="{00000000-0005-0000-0000-00000B4E0000}"/>
    <cellStyle name="40 % - Markeringsfarve4 3 5 5 2" xfId="16096" xr:uid="{00000000-0005-0000-0000-00000C4E0000}"/>
    <cellStyle name="40 % - Markeringsfarve4 3 5 5 2 2" xfId="34256" xr:uid="{00000000-0005-0000-0000-00000D4E0000}"/>
    <cellStyle name="40 % - Markeringsfarve4 3 5 5 3" xfId="27255" xr:uid="{00000000-0005-0000-0000-00000E4E0000}"/>
    <cellStyle name="40 % - Markeringsfarve4 3 5 6" xfId="14828" xr:uid="{00000000-0005-0000-0000-00000F4E0000}"/>
    <cellStyle name="40 % - Markeringsfarve4 3 5 6 2" xfId="32994" xr:uid="{00000000-0005-0000-0000-0000104E0000}"/>
    <cellStyle name="40 % - Markeringsfarve4 3 5 7" xfId="25992" xr:uid="{00000000-0005-0000-0000-0000114E0000}"/>
    <cellStyle name="40 % - Markeringsfarve4 3 6" xfId="6279" xr:uid="{00000000-0005-0000-0000-0000124E0000}"/>
    <cellStyle name="40 % - Markeringsfarve4 3 6 2" xfId="6280" xr:uid="{00000000-0005-0000-0000-0000134E0000}"/>
    <cellStyle name="40 % - Markeringsfarve4 3 6 2 2" xfId="6281" xr:uid="{00000000-0005-0000-0000-0000144E0000}"/>
    <cellStyle name="40 % - Markeringsfarve4 3 6 2 2 2" xfId="10095" xr:uid="{00000000-0005-0000-0000-0000154E0000}"/>
    <cellStyle name="40 % - Markeringsfarve4 3 6 2 2 2 2" xfId="17996" xr:uid="{00000000-0005-0000-0000-0000164E0000}"/>
    <cellStyle name="40 % - Markeringsfarve4 3 6 2 2 2 2 2" xfId="36156" xr:uid="{00000000-0005-0000-0000-0000174E0000}"/>
    <cellStyle name="40 % - Markeringsfarve4 3 6 2 2 2 3" xfId="29155" xr:uid="{00000000-0005-0000-0000-0000184E0000}"/>
    <cellStyle name="40 % - Markeringsfarve4 3 6 2 2 3" xfId="14835" xr:uid="{00000000-0005-0000-0000-0000194E0000}"/>
    <cellStyle name="40 % - Markeringsfarve4 3 6 2 2 3 2" xfId="33001" xr:uid="{00000000-0005-0000-0000-00001A4E0000}"/>
    <cellStyle name="40 % - Markeringsfarve4 3 6 2 2 4" xfId="25999" xr:uid="{00000000-0005-0000-0000-00001B4E0000}"/>
    <cellStyle name="40 % - Markeringsfarve4 3 6 2 3" xfId="8639" xr:uid="{00000000-0005-0000-0000-00001C4E0000}"/>
    <cellStyle name="40 % - Markeringsfarve4 3 6 2 3 2" xfId="16553" xr:uid="{00000000-0005-0000-0000-00001D4E0000}"/>
    <cellStyle name="40 % - Markeringsfarve4 3 6 2 3 2 2" xfId="34713" xr:uid="{00000000-0005-0000-0000-00001E4E0000}"/>
    <cellStyle name="40 % - Markeringsfarve4 3 6 2 3 3" xfId="27712" xr:uid="{00000000-0005-0000-0000-00001F4E0000}"/>
    <cellStyle name="40 % - Markeringsfarve4 3 6 2 4" xfId="14834" xr:uid="{00000000-0005-0000-0000-0000204E0000}"/>
    <cellStyle name="40 % - Markeringsfarve4 3 6 2 4 2" xfId="33000" xr:uid="{00000000-0005-0000-0000-0000214E0000}"/>
    <cellStyle name="40 % - Markeringsfarve4 3 6 2 5" xfId="25998" xr:uid="{00000000-0005-0000-0000-0000224E0000}"/>
    <cellStyle name="40 % - Markeringsfarve4 3 6 3" xfId="6282" xr:uid="{00000000-0005-0000-0000-0000234E0000}"/>
    <cellStyle name="40 % - Markeringsfarve4 3 6 3 2" xfId="9371" xr:uid="{00000000-0005-0000-0000-0000244E0000}"/>
    <cellStyle name="40 % - Markeringsfarve4 3 6 3 2 2" xfId="17281" xr:uid="{00000000-0005-0000-0000-0000254E0000}"/>
    <cellStyle name="40 % - Markeringsfarve4 3 6 3 2 2 2" xfId="35441" xr:uid="{00000000-0005-0000-0000-0000264E0000}"/>
    <cellStyle name="40 % - Markeringsfarve4 3 6 3 2 3" xfId="28440" xr:uid="{00000000-0005-0000-0000-0000274E0000}"/>
    <cellStyle name="40 % - Markeringsfarve4 3 6 3 3" xfId="14836" xr:uid="{00000000-0005-0000-0000-0000284E0000}"/>
    <cellStyle name="40 % - Markeringsfarve4 3 6 3 3 2" xfId="33002" xr:uid="{00000000-0005-0000-0000-0000294E0000}"/>
    <cellStyle name="40 % - Markeringsfarve4 3 6 3 4" xfId="26000" xr:uid="{00000000-0005-0000-0000-00002A4E0000}"/>
    <cellStyle name="40 % - Markeringsfarve4 3 6 4" xfId="6283" xr:uid="{00000000-0005-0000-0000-00002B4E0000}"/>
    <cellStyle name="40 % - Markeringsfarve4 3 6 4 2" xfId="10691" xr:uid="{00000000-0005-0000-0000-00002C4E0000}"/>
    <cellStyle name="40 % - Markeringsfarve4 3 6 4 2 2" xfId="18582" xr:uid="{00000000-0005-0000-0000-00002D4E0000}"/>
    <cellStyle name="40 % - Markeringsfarve4 3 6 4 2 2 2" xfId="36742" xr:uid="{00000000-0005-0000-0000-00002E4E0000}"/>
    <cellStyle name="40 % - Markeringsfarve4 3 6 4 2 3" xfId="29741" xr:uid="{00000000-0005-0000-0000-00002F4E0000}"/>
    <cellStyle name="40 % - Markeringsfarve4 3 6 4 3" xfId="14837" xr:uid="{00000000-0005-0000-0000-0000304E0000}"/>
    <cellStyle name="40 % - Markeringsfarve4 3 6 4 3 2" xfId="33003" xr:uid="{00000000-0005-0000-0000-0000314E0000}"/>
    <cellStyle name="40 % - Markeringsfarve4 3 6 4 4" xfId="26001" xr:uid="{00000000-0005-0000-0000-0000324E0000}"/>
    <cellStyle name="40 % - Markeringsfarve4 3 6 5" xfId="8179" xr:uid="{00000000-0005-0000-0000-0000334E0000}"/>
    <cellStyle name="40 % - Markeringsfarve4 3 6 5 2" xfId="16097" xr:uid="{00000000-0005-0000-0000-0000344E0000}"/>
    <cellStyle name="40 % - Markeringsfarve4 3 6 5 2 2" xfId="34257" xr:uid="{00000000-0005-0000-0000-0000354E0000}"/>
    <cellStyle name="40 % - Markeringsfarve4 3 6 5 3" xfId="27256" xr:uid="{00000000-0005-0000-0000-0000364E0000}"/>
    <cellStyle name="40 % - Markeringsfarve4 3 6 6" xfId="14833" xr:uid="{00000000-0005-0000-0000-0000374E0000}"/>
    <cellStyle name="40 % - Markeringsfarve4 3 6 6 2" xfId="32999" xr:uid="{00000000-0005-0000-0000-0000384E0000}"/>
    <cellStyle name="40 % - Markeringsfarve4 3 6 7" xfId="25997" xr:uid="{00000000-0005-0000-0000-0000394E0000}"/>
    <cellStyle name="40 % - Markeringsfarve4 3 7" xfId="6284" xr:uid="{00000000-0005-0000-0000-00003A4E0000}"/>
    <cellStyle name="40 % - Markeringsfarve4 3 7 2" xfId="6285" xr:uid="{00000000-0005-0000-0000-00003B4E0000}"/>
    <cellStyle name="40 % - Markeringsfarve4 3 7 2 2" xfId="6286" xr:uid="{00000000-0005-0000-0000-00003C4E0000}"/>
    <cellStyle name="40 % - Markeringsfarve4 3 7 2 2 2" xfId="10212" xr:uid="{00000000-0005-0000-0000-00003D4E0000}"/>
    <cellStyle name="40 % - Markeringsfarve4 3 7 2 2 2 2" xfId="18113" xr:uid="{00000000-0005-0000-0000-00003E4E0000}"/>
    <cellStyle name="40 % - Markeringsfarve4 3 7 2 2 2 2 2" xfId="36273" xr:uid="{00000000-0005-0000-0000-00003F4E0000}"/>
    <cellStyle name="40 % - Markeringsfarve4 3 7 2 2 2 3" xfId="29272" xr:uid="{00000000-0005-0000-0000-0000404E0000}"/>
    <cellStyle name="40 % - Markeringsfarve4 3 7 2 2 3" xfId="14840" xr:uid="{00000000-0005-0000-0000-0000414E0000}"/>
    <cellStyle name="40 % - Markeringsfarve4 3 7 2 2 3 2" xfId="33006" xr:uid="{00000000-0005-0000-0000-0000424E0000}"/>
    <cellStyle name="40 % - Markeringsfarve4 3 7 2 2 4" xfId="26004" xr:uid="{00000000-0005-0000-0000-0000434E0000}"/>
    <cellStyle name="40 % - Markeringsfarve4 3 7 2 3" xfId="8738" xr:uid="{00000000-0005-0000-0000-0000444E0000}"/>
    <cellStyle name="40 % - Markeringsfarve4 3 7 2 3 2" xfId="16652" xr:uid="{00000000-0005-0000-0000-0000454E0000}"/>
    <cellStyle name="40 % - Markeringsfarve4 3 7 2 3 2 2" xfId="34812" xr:uid="{00000000-0005-0000-0000-0000464E0000}"/>
    <cellStyle name="40 % - Markeringsfarve4 3 7 2 3 3" xfId="27811" xr:uid="{00000000-0005-0000-0000-0000474E0000}"/>
    <cellStyle name="40 % - Markeringsfarve4 3 7 2 4" xfId="14839" xr:uid="{00000000-0005-0000-0000-0000484E0000}"/>
    <cellStyle name="40 % - Markeringsfarve4 3 7 2 4 2" xfId="33005" xr:uid="{00000000-0005-0000-0000-0000494E0000}"/>
    <cellStyle name="40 % - Markeringsfarve4 3 7 2 5" xfId="26003" xr:uid="{00000000-0005-0000-0000-00004A4E0000}"/>
    <cellStyle name="40 % - Markeringsfarve4 3 7 3" xfId="6287" xr:uid="{00000000-0005-0000-0000-00004B4E0000}"/>
    <cellStyle name="40 % - Markeringsfarve4 3 7 3 2" xfId="9488" xr:uid="{00000000-0005-0000-0000-00004C4E0000}"/>
    <cellStyle name="40 % - Markeringsfarve4 3 7 3 2 2" xfId="17398" xr:uid="{00000000-0005-0000-0000-00004D4E0000}"/>
    <cellStyle name="40 % - Markeringsfarve4 3 7 3 2 2 2" xfId="35558" xr:uid="{00000000-0005-0000-0000-00004E4E0000}"/>
    <cellStyle name="40 % - Markeringsfarve4 3 7 3 2 3" xfId="28557" xr:uid="{00000000-0005-0000-0000-00004F4E0000}"/>
    <cellStyle name="40 % - Markeringsfarve4 3 7 3 3" xfId="14841" xr:uid="{00000000-0005-0000-0000-0000504E0000}"/>
    <cellStyle name="40 % - Markeringsfarve4 3 7 3 3 2" xfId="33007" xr:uid="{00000000-0005-0000-0000-0000514E0000}"/>
    <cellStyle name="40 % - Markeringsfarve4 3 7 3 4" xfId="26005" xr:uid="{00000000-0005-0000-0000-0000524E0000}"/>
    <cellStyle name="40 % - Markeringsfarve4 3 7 4" xfId="6288" xr:uid="{00000000-0005-0000-0000-0000534E0000}"/>
    <cellStyle name="40 % - Markeringsfarve4 3 7 4 2" xfId="10925" xr:uid="{00000000-0005-0000-0000-0000544E0000}"/>
    <cellStyle name="40 % - Markeringsfarve4 3 7 4 2 2" xfId="18806" xr:uid="{00000000-0005-0000-0000-0000554E0000}"/>
    <cellStyle name="40 % - Markeringsfarve4 3 7 4 2 2 2" xfId="36966" xr:uid="{00000000-0005-0000-0000-0000564E0000}"/>
    <cellStyle name="40 % - Markeringsfarve4 3 7 4 2 3" xfId="29965" xr:uid="{00000000-0005-0000-0000-0000574E0000}"/>
    <cellStyle name="40 % - Markeringsfarve4 3 7 4 3" xfId="14842" xr:uid="{00000000-0005-0000-0000-0000584E0000}"/>
    <cellStyle name="40 % - Markeringsfarve4 3 7 4 3 2" xfId="33008" xr:uid="{00000000-0005-0000-0000-0000594E0000}"/>
    <cellStyle name="40 % - Markeringsfarve4 3 7 4 4" xfId="26006" xr:uid="{00000000-0005-0000-0000-00005A4E0000}"/>
    <cellStyle name="40 % - Markeringsfarve4 3 7 5" xfId="8180" xr:uid="{00000000-0005-0000-0000-00005B4E0000}"/>
    <cellStyle name="40 % - Markeringsfarve4 3 7 5 2" xfId="16098" xr:uid="{00000000-0005-0000-0000-00005C4E0000}"/>
    <cellStyle name="40 % - Markeringsfarve4 3 7 5 2 2" xfId="34258" xr:uid="{00000000-0005-0000-0000-00005D4E0000}"/>
    <cellStyle name="40 % - Markeringsfarve4 3 7 5 3" xfId="27257" xr:uid="{00000000-0005-0000-0000-00005E4E0000}"/>
    <cellStyle name="40 % - Markeringsfarve4 3 7 6" xfId="14838" xr:uid="{00000000-0005-0000-0000-00005F4E0000}"/>
    <cellStyle name="40 % - Markeringsfarve4 3 7 6 2" xfId="33004" xr:uid="{00000000-0005-0000-0000-0000604E0000}"/>
    <cellStyle name="40 % - Markeringsfarve4 3 7 7" xfId="26002" xr:uid="{00000000-0005-0000-0000-0000614E0000}"/>
    <cellStyle name="40 % - Markeringsfarve4 3 8" xfId="6289" xr:uid="{00000000-0005-0000-0000-0000624E0000}"/>
    <cellStyle name="40 % - Markeringsfarve4 3 8 2" xfId="6290" xr:uid="{00000000-0005-0000-0000-0000634E0000}"/>
    <cellStyle name="40 % - Markeringsfarve4 3 8 2 2" xfId="6291" xr:uid="{00000000-0005-0000-0000-0000644E0000}"/>
    <cellStyle name="40 % - Markeringsfarve4 3 8 2 2 2" xfId="10393" xr:uid="{00000000-0005-0000-0000-0000654E0000}"/>
    <cellStyle name="40 % - Markeringsfarve4 3 8 2 2 2 2" xfId="18294" xr:uid="{00000000-0005-0000-0000-0000664E0000}"/>
    <cellStyle name="40 % - Markeringsfarve4 3 8 2 2 2 2 2" xfId="36454" xr:uid="{00000000-0005-0000-0000-0000674E0000}"/>
    <cellStyle name="40 % - Markeringsfarve4 3 8 2 2 2 3" xfId="29453" xr:uid="{00000000-0005-0000-0000-0000684E0000}"/>
    <cellStyle name="40 % - Markeringsfarve4 3 8 2 2 3" xfId="14845" xr:uid="{00000000-0005-0000-0000-0000694E0000}"/>
    <cellStyle name="40 % - Markeringsfarve4 3 8 2 2 3 2" xfId="33011" xr:uid="{00000000-0005-0000-0000-00006A4E0000}"/>
    <cellStyle name="40 % - Markeringsfarve4 3 8 2 2 4" xfId="26009" xr:uid="{00000000-0005-0000-0000-00006B4E0000}"/>
    <cellStyle name="40 % - Markeringsfarve4 3 8 2 3" xfId="8886" xr:uid="{00000000-0005-0000-0000-00006C4E0000}"/>
    <cellStyle name="40 % - Markeringsfarve4 3 8 2 3 2" xfId="16800" xr:uid="{00000000-0005-0000-0000-00006D4E0000}"/>
    <cellStyle name="40 % - Markeringsfarve4 3 8 2 3 2 2" xfId="34960" xr:uid="{00000000-0005-0000-0000-00006E4E0000}"/>
    <cellStyle name="40 % - Markeringsfarve4 3 8 2 3 3" xfId="27959" xr:uid="{00000000-0005-0000-0000-00006F4E0000}"/>
    <cellStyle name="40 % - Markeringsfarve4 3 8 2 4" xfId="14844" xr:uid="{00000000-0005-0000-0000-0000704E0000}"/>
    <cellStyle name="40 % - Markeringsfarve4 3 8 2 4 2" xfId="33010" xr:uid="{00000000-0005-0000-0000-0000714E0000}"/>
    <cellStyle name="40 % - Markeringsfarve4 3 8 2 5" xfId="26008" xr:uid="{00000000-0005-0000-0000-0000724E0000}"/>
    <cellStyle name="40 % - Markeringsfarve4 3 8 3" xfId="6292" xr:uid="{00000000-0005-0000-0000-0000734E0000}"/>
    <cellStyle name="40 % - Markeringsfarve4 3 8 3 2" xfId="9670" xr:uid="{00000000-0005-0000-0000-0000744E0000}"/>
    <cellStyle name="40 % - Markeringsfarve4 3 8 3 2 2" xfId="17580" xr:uid="{00000000-0005-0000-0000-0000754E0000}"/>
    <cellStyle name="40 % - Markeringsfarve4 3 8 3 2 2 2" xfId="35740" xr:uid="{00000000-0005-0000-0000-0000764E0000}"/>
    <cellStyle name="40 % - Markeringsfarve4 3 8 3 2 3" xfId="28739" xr:uid="{00000000-0005-0000-0000-0000774E0000}"/>
    <cellStyle name="40 % - Markeringsfarve4 3 8 3 3" xfId="14846" xr:uid="{00000000-0005-0000-0000-0000784E0000}"/>
    <cellStyle name="40 % - Markeringsfarve4 3 8 3 3 2" xfId="33012" xr:uid="{00000000-0005-0000-0000-0000794E0000}"/>
    <cellStyle name="40 % - Markeringsfarve4 3 8 3 4" xfId="26010" xr:uid="{00000000-0005-0000-0000-00007A4E0000}"/>
    <cellStyle name="40 % - Markeringsfarve4 3 8 4" xfId="6293" xr:uid="{00000000-0005-0000-0000-00007B4E0000}"/>
    <cellStyle name="40 % - Markeringsfarve4 3 8 4 2" xfId="10650" xr:uid="{00000000-0005-0000-0000-00007C4E0000}"/>
    <cellStyle name="40 % - Markeringsfarve4 3 8 4 2 2" xfId="18543" xr:uid="{00000000-0005-0000-0000-00007D4E0000}"/>
    <cellStyle name="40 % - Markeringsfarve4 3 8 4 2 2 2" xfId="36703" xr:uid="{00000000-0005-0000-0000-00007E4E0000}"/>
    <cellStyle name="40 % - Markeringsfarve4 3 8 4 2 3" xfId="29702" xr:uid="{00000000-0005-0000-0000-00007F4E0000}"/>
    <cellStyle name="40 % - Markeringsfarve4 3 8 4 3" xfId="14847" xr:uid="{00000000-0005-0000-0000-0000804E0000}"/>
    <cellStyle name="40 % - Markeringsfarve4 3 8 4 3 2" xfId="33013" xr:uid="{00000000-0005-0000-0000-0000814E0000}"/>
    <cellStyle name="40 % - Markeringsfarve4 3 8 4 4" xfId="26011" xr:uid="{00000000-0005-0000-0000-0000824E0000}"/>
    <cellStyle name="40 % - Markeringsfarve4 3 8 5" xfId="8181" xr:uid="{00000000-0005-0000-0000-0000834E0000}"/>
    <cellStyle name="40 % - Markeringsfarve4 3 8 5 2" xfId="16099" xr:uid="{00000000-0005-0000-0000-0000844E0000}"/>
    <cellStyle name="40 % - Markeringsfarve4 3 8 5 2 2" xfId="34259" xr:uid="{00000000-0005-0000-0000-0000854E0000}"/>
    <cellStyle name="40 % - Markeringsfarve4 3 8 5 3" xfId="27258" xr:uid="{00000000-0005-0000-0000-0000864E0000}"/>
    <cellStyle name="40 % - Markeringsfarve4 3 8 6" xfId="14843" xr:uid="{00000000-0005-0000-0000-0000874E0000}"/>
    <cellStyle name="40 % - Markeringsfarve4 3 8 6 2" xfId="33009" xr:uid="{00000000-0005-0000-0000-0000884E0000}"/>
    <cellStyle name="40 % - Markeringsfarve4 3 8 7" xfId="26007" xr:uid="{00000000-0005-0000-0000-0000894E0000}"/>
    <cellStyle name="40 % - Markeringsfarve4 3 9" xfId="6294" xr:uid="{00000000-0005-0000-0000-00008A4E0000}"/>
    <cellStyle name="40 % - Markeringsfarve4 3 9 2" xfId="6295" xr:uid="{00000000-0005-0000-0000-00008B4E0000}"/>
    <cellStyle name="40 % - Markeringsfarve4 3 9 2 2" xfId="9738" xr:uid="{00000000-0005-0000-0000-00008C4E0000}"/>
    <cellStyle name="40 % - Markeringsfarve4 3 9 2 2 2" xfId="17639" xr:uid="{00000000-0005-0000-0000-00008D4E0000}"/>
    <cellStyle name="40 % - Markeringsfarve4 3 9 2 2 2 2" xfId="35799" xr:uid="{00000000-0005-0000-0000-00008E4E0000}"/>
    <cellStyle name="40 % - Markeringsfarve4 3 9 2 2 3" xfId="28798" xr:uid="{00000000-0005-0000-0000-00008F4E0000}"/>
    <cellStyle name="40 % - Markeringsfarve4 3 9 2 3" xfId="14849" xr:uid="{00000000-0005-0000-0000-0000904E0000}"/>
    <cellStyle name="40 % - Markeringsfarve4 3 9 2 3 2" xfId="33015" xr:uid="{00000000-0005-0000-0000-0000914E0000}"/>
    <cellStyle name="40 % - Markeringsfarve4 3 9 2 4" xfId="26013" xr:uid="{00000000-0005-0000-0000-0000924E0000}"/>
    <cellStyle name="40 % - Markeringsfarve4 3 9 3" xfId="8338" xr:uid="{00000000-0005-0000-0000-0000934E0000}"/>
    <cellStyle name="40 % - Markeringsfarve4 3 9 3 2" xfId="16255" xr:uid="{00000000-0005-0000-0000-0000944E0000}"/>
    <cellStyle name="40 % - Markeringsfarve4 3 9 3 2 2" xfId="34415" xr:uid="{00000000-0005-0000-0000-0000954E0000}"/>
    <cellStyle name="40 % - Markeringsfarve4 3 9 3 3" xfId="27414" xr:uid="{00000000-0005-0000-0000-0000964E0000}"/>
    <cellStyle name="40 % - Markeringsfarve4 3 9 4" xfId="14848" xr:uid="{00000000-0005-0000-0000-0000974E0000}"/>
    <cellStyle name="40 % - Markeringsfarve4 3 9 4 2" xfId="33014" xr:uid="{00000000-0005-0000-0000-0000984E0000}"/>
    <cellStyle name="40 % - Markeringsfarve4 3 9 5" xfId="26012" xr:uid="{00000000-0005-0000-0000-0000994E0000}"/>
    <cellStyle name="40 % - Markeringsfarve4 4" xfId="1920" xr:uid="{00000000-0005-0000-0000-00009A4E0000}"/>
    <cellStyle name="40 % - Markeringsfarve4 4 10" xfId="8182" xr:uid="{00000000-0005-0000-0000-00009B4E0000}"/>
    <cellStyle name="40 % - Markeringsfarve4 4 10 2" xfId="16100" xr:uid="{00000000-0005-0000-0000-00009C4E0000}"/>
    <cellStyle name="40 % - Markeringsfarve4 4 10 2 2" xfId="34260" xr:uid="{00000000-0005-0000-0000-00009D4E0000}"/>
    <cellStyle name="40 % - Markeringsfarve4 4 10 3" xfId="27259" xr:uid="{00000000-0005-0000-0000-00009E4E0000}"/>
    <cellStyle name="40 % - Markeringsfarve4 4 11" xfId="14850" xr:uid="{00000000-0005-0000-0000-00009F4E0000}"/>
    <cellStyle name="40 % - Markeringsfarve4 4 11 2" xfId="33016" xr:uid="{00000000-0005-0000-0000-0000A04E0000}"/>
    <cellStyle name="40 % - Markeringsfarve4 4 12" xfId="6296" xr:uid="{00000000-0005-0000-0000-0000A14E0000}"/>
    <cellStyle name="40 % - Markeringsfarve4 4 12 2" xfId="26014" xr:uid="{00000000-0005-0000-0000-0000A24E0000}"/>
    <cellStyle name="40 % - Markeringsfarve4 4 13" xfId="22038" xr:uid="{00000000-0005-0000-0000-0000A34E0000}"/>
    <cellStyle name="40 % - Markeringsfarve4 4 2" xfId="1921" xr:uid="{00000000-0005-0000-0000-0000A44E0000}"/>
    <cellStyle name="40 % - Markeringsfarve4 4 2 2" xfId="6298" xr:uid="{00000000-0005-0000-0000-0000A54E0000}"/>
    <cellStyle name="40 % - Markeringsfarve4 4 2 2 2" xfId="6299" xr:uid="{00000000-0005-0000-0000-0000A64E0000}"/>
    <cellStyle name="40 % - Markeringsfarve4 4 2 2 2 2" xfId="9882" xr:uid="{00000000-0005-0000-0000-0000A74E0000}"/>
    <cellStyle name="40 % - Markeringsfarve4 4 2 2 2 2 2" xfId="17783" xr:uid="{00000000-0005-0000-0000-0000A84E0000}"/>
    <cellStyle name="40 % - Markeringsfarve4 4 2 2 2 2 2 2" xfId="35943" xr:uid="{00000000-0005-0000-0000-0000A94E0000}"/>
    <cellStyle name="40 % - Markeringsfarve4 4 2 2 2 2 3" xfId="28942" xr:uid="{00000000-0005-0000-0000-0000AA4E0000}"/>
    <cellStyle name="40 % - Markeringsfarve4 4 2 2 2 3" xfId="14853" xr:uid="{00000000-0005-0000-0000-0000AB4E0000}"/>
    <cellStyle name="40 % - Markeringsfarve4 4 2 2 2 3 2" xfId="33019" xr:uid="{00000000-0005-0000-0000-0000AC4E0000}"/>
    <cellStyle name="40 % - Markeringsfarve4 4 2 2 2 4" xfId="26017" xr:uid="{00000000-0005-0000-0000-0000AD4E0000}"/>
    <cellStyle name="40 % - Markeringsfarve4 4 2 2 3" xfId="8458" xr:uid="{00000000-0005-0000-0000-0000AE4E0000}"/>
    <cellStyle name="40 % - Markeringsfarve4 4 2 2 3 2" xfId="16375" xr:uid="{00000000-0005-0000-0000-0000AF4E0000}"/>
    <cellStyle name="40 % - Markeringsfarve4 4 2 2 3 2 2" xfId="34535" xr:uid="{00000000-0005-0000-0000-0000B04E0000}"/>
    <cellStyle name="40 % - Markeringsfarve4 4 2 2 3 3" xfId="27534" xr:uid="{00000000-0005-0000-0000-0000B14E0000}"/>
    <cellStyle name="40 % - Markeringsfarve4 4 2 2 4" xfId="14852" xr:uid="{00000000-0005-0000-0000-0000B24E0000}"/>
    <cellStyle name="40 % - Markeringsfarve4 4 2 2 4 2" xfId="33018" xr:uid="{00000000-0005-0000-0000-0000B34E0000}"/>
    <cellStyle name="40 % - Markeringsfarve4 4 2 2 5" xfId="26016" xr:uid="{00000000-0005-0000-0000-0000B44E0000}"/>
    <cellStyle name="40 % - Markeringsfarve4 4 2 3" xfId="6300" xr:uid="{00000000-0005-0000-0000-0000B54E0000}"/>
    <cellStyle name="40 % - Markeringsfarve4 4 2 3 2" xfId="9112" xr:uid="{00000000-0005-0000-0000-0000B64E0000}"/>
    <cellStyle name="40 % - Markeringsfarve4 4 2 3 2 2" xfId="17023" xr:uid="{00000000-0005-0000-0000-0000B74E0000}"/>
    <cellStyle name="40 % - Markeringsfarve4 4 2 3 2 2 2" xfId="35183" xr:uid="{00000000-0005-0000-0000-0000B84E0000}"/>
    <cellStyle name="40 % - Markeringsfarve4 4 2 3 2 3" xfId="28182" xr:uid="{00000000-0005-0000-0000-0000B94E0000}"/>
    <cellStyle name="40 % - Markeringsfarve4 4 2 3 3" xfId="14854" xr:uid="{00000000-0005-0000-0000-0000BA4E0000}"/>
    <cellStyle name="40 % - Markeringsfarve4 4 2 3 3 2" xfId="33020" xr:uid="{00000000-0005-0000-0000-0000BB4E0000}"/>
    <cellStyle name="40 % - Markeringsfarve4 4 2 3 4" xfId="26018" xr:uid="{00000000-0005-0000-0000-0000BC4E0000}"/>
    <cellStyle name="40 % - Markeringsfarve4 4 2 4" xfId="6301" xr:uid="{00000000-0005-0000-0000-0000BD4E0000}"/>
    <cellStyle name="40 % - Markeringsfarve4 4 2 4 2" xfId="10512" xr:uid="{00000000-0005-0000-0000-0000BE4E0000}"/>
    <cellStyle name="40 % - Markeringsfarve4 4 2 4 2 2" xfId="18406" xr:uid="{00000000-0005-0000-0000-0000BF4E0000}"/>
    <cellStyle name="40 % - Markeringsfarve4 4 2 4 2 2 2" xfId="36566" xr:uid="{00000000-0005-0000-0000-0000C04E0000}"/>
    <cellStyle name="40 % - Markeringsfarve4 4 2 4 2 3" xfId="29565" xr:uid="{00000000-0005-0000-0000-0000C14E0000}"/>
    <cellStyle name="40 % - Markeringsfarve4 4 2 4 3" xfId="14855" xr:uid="{00000000-0005-0000-0000-0000C24E0000}"/>
    <cellStyle name="40 % - Markeringsfarve4 4 2 4 3 2" xfId="33021" xr:uid="{00000000-0005-0000-0000-0000C34E0000}"/>
    <cellStyle name="40 % - Markeringsfarve4 4 2 4 4" xfId="26019" xr:uid="{00000000-0005-0000-0000-0000C44E0000}"/>
    <cellStyle name="40 % - Markeringsfarve4 4 2 5" xfId="8183" xr:uid="{00000000-0005-0000-0000-0000C54E0000}"/>
    <cellStyle name="40 % - Markeringsfarve4 4 2 5 2" xfId="16101" xr:uid="{00000000-0005-0000-0000-0000C64E0000}"/>
    <cellStyle name="40 % - Markeringsfarve4 4 2 5 2 2" xfId="34261" xr:uid="{00000000-0005-0000-0000-0000C74E0000}"/>
    <cellStyle name="40 % - Markeringsfarve4 4 2 5 3" xfId="27260" xr:uid="{00000000-0005-0000-0000-0000C84E0000}"/>
    <cellStyle name="40 % - Markeringsfarve4 4 2 6" xfId="14851" xr:uid="{00000000-0005-0000-0000-0000C94E0000}"/>
    <cellStyle name="40 % - Markeringsfarve4 4 2 6 2" xfId="33017" xr:uid="{00000000-0005-0000-0000-0000CA4E0000}"/>
    <cellStyle name="40 % - Markeringsfarve4 4 2 7" xfId="6297" xr:uid="{00000000-0005-0000-0000-0000CB4E0000}"/>
    <cellStyle name="40 % - Markeringsfarve4 4 2 7 2" xfId="26015" xr:uid="{00000000-0005-0000-0000-0000CC4E0000}"/>
    <cellStyle name="40 % - Markeringsfarve4 4 2 8" xfId="22039" xr:uid="{00000000-0005-0000-0000-0000CD4E0000}"/>
    <cellStyle name="40 % - Markeringsfarve4 4 3" xfId="6302" xr:uid="{00000000-0005-0000-0000-0000CE4E0000}"/>
    <cellStyle name="40 % - Markeringsfarve4 4 3 2" xfId="6303" xr:uid="{00000000-0005-0000-0000-0000CF4E0000}"/>
    <cellStyle name="40 % - Markeringsfarve4 4 3 2 2" xfId="6304" xr:uid="{00000000-0005-0000-0000-0000D04E0000}"/>
    <cellStyle name="40 % - Markeringsfarve4 4 3 2 2 2" xfId="10042" xr:uid="{00000000-0005-0000-0000-0000D14E0000}"/>
    <cellStyle name="40 % - Markeringsfarve4 4 3 2 2 2 2" xfId="17943" xr:uid="{00000000-0005-0000-0000-0000D24E0000}"/>
    <cellStyle name="40 % - Markeringsfarve4 4 3 2 2 2 2 2" xfId="36103" xr:uid="{00000000-0005-0000-0000-0000D34E0000}"/>
    <cellStyle name="40 % - Markeringsfarve4 4 3 2 2 2 3" xfId="29102" xr:uid="{00000000-0005-0000-0000-0000D44E0000}"/>
    <cellStyle name="40 % - Markeringsfarve4 4 3 2 2 3" xfId="14858" xr:uid="{00000000-0005-0000-0000-0000D54E0000}"/>
    <cellStyle name="40 % - Markeringsfarve4 4 3 2 2 3 2" xfId="33024" xr:uid="{00000000-0005-0000-0000-0000D64E0000}"/>
    <cellStyle name="40 % - Markeringsfarve4 4 3 2 2 4" xfId="26022" xr:uid="{00000000-0005-0000-0000-0000D74E0000}"/>
    <cellStyle name="40 % - Markeringsfarve4 4 3 2 3" xfId="8588" xr:uid="{00000000-0005-0000-0000-0000D84E0000}"/>
    <cellStyle name="40 % - Markeringsfarve4 4 3 2 3 2" xfId="16505" xr:uid="{00000000-0005-0000-0000-0000D94E0000}"/>
    <cellStyle name="40 % - Markeringsfarve4 4 3 2 3 2 2" xfId="34665" xr:uid="{00000000-0005-0000-0000-0000DA4E0000}"/>
    <cellStyle name="40 % - Markeringsfarve4 4 3 2 3 3" xfId="27664" xr:uid="{00000000-0005-0000-0000-0000DB4E0000}"/>
    <cellStyle name="40 % - Markeringsfarve4 4 3 2 4" xfId="14857" xr:uid="{00000000-0005-0000-0000-0000DC4E0000}"/>
    <cellStyle name="40 % - Markeringsfarve4 4 3 2 4 2" xfId="33023" xr:uid="{00000000-0005-0000-0000-0000DD4E0000}"/>
    <cellStyle name="40 % - Markeringsfarve4 4 3 2 5" xfId="26021" xr:uid="{00000000-0005-0000-0000-0000DE4E0000}"/>
    <cellStyle name="40 % - Markeringsfarve4 4 3 3" xfId="6305" xr:uid="{00000000-0005-0000-0000-0000DF4E0000}"/>
    <cellStyle name="40 % - Markeringsfarve4 4 3 3 2" xfId="9272" xr:uid="{00000000-0005-0000-0000-0000E04E0000}"/>
    <cellStyle name="40 % - Markeringsfarve4 4 3 3 2 2" xfId="17183" xr:uid="{00000000-0005-0000-0000-0000E14E0000}"/>
    <cellStyle name="40 % - Markeringsfarve4 4 3 3 2 2 2" xfId="35343" xr:uid="{00000000-0005-0000-0000-0000E24E0000}"/>
    <cellStyle name="40 % - Markeringsfarve4 4 3 3 2 3" xfId="28342" xr:uid="{00000000-0005-0000-0000-0000E34E0000}"/>
    <cellStyle name="40 % - Markeringsfarve4 4 3 3 3" xfId="14859" xr:uid="{00000000-0005-0000-0000-0000E44E0000}"/>
    <cellStyle name="40 % - Markeringsfarve4 4 3 3 3 2" xfId="33025" xr:uid="{00000000-0005-0000-0000-0000E54E0000}"/>
    <cellStyle name="40 % - Markeringsfarve4 4 3 3 4" xfId="26023" xr:uid="{00000000-0005-0000-0000-0000E64E0000}"/>
    <cellStyle name="40 % - Markeringsfarve4 4 3 4" xfId="6306" xr:uid="{00000000-0005-0000-0000-0000E74E0000}"/>
    <cellStyle name="40 % - Markeringsfarve4 4 3 4 2" xfId="10835" xr:uid="{00000000-0005-0000-0000-0000E84E0000}"/>
    <cellStyle name="40 % - Markeringsfarve4 4 3 4 2 2" xfId="18721" xr:uid="{00000000-0005-0000-0000-0000E94E0000}"/>
    <cellStyle name="40 % - Markeringsfarve4 4 3 4 2 2 2" xfId="36881" xr:uid="{00000000-0005-0000-0000-0000EA4E0000}"/>
    <cellStyle name="40 % - Markeringsfarve4 4 3 4 2 3" xfId="29880" xr:uid="{00000000-0005-0000-0000-0000EB4E0000}"/>
    <cellStyle name="40 % - Markeringsfarve4 4 3 4 3" xfId="14860" xr:uid="{00000000-0005-0000-0000-0000EC4E0000}"/>
    <cellStyle name="40 % - Markeringsfarve4 4 3 4 3 2" xfId="33026" xr:uid="{00000000-0005-0000-0000-0000ED4E0000}"/>
    <cellStyle name="40 % - Markeringsfarve4 4 3 4 4" xfId="26024" xr:uid="{00000000-0005-0000-0000-0000EE4E0000}"/>
    <cellStyle name="40 % - Markeringsfarve4 4 3 5" xfId="8184" xr:uid="{00000000-0005-0000-0000-0000EF4E0000}"/>
    <cellStyle name="40 % - Markeringsfarve4 4 3 5 2" xfId="16102" xr:uid="{00000000-0005-0000-0000-0000F04E0000}"/>
    <cellStyle name="40 % - Markeringsfarve4 4 3 5 2 2" xfId="34262" xr:uid="{00000000-0005-0000-0000-0000F14E0000}"/>
    <cellStyle name="40 % - Markeringsfarve4 4 3 5 3" xfId="27261" xr:uid="{00000000-0005-0000-0000-0000F24E0000}"/>
    <cellStyle name="40 % - Markeringsfarve4 4 3 6" xfId="14856" xr:uid="{00000000-0005-0000-0000-0000F34E0000}"/>
    <cellStyle name="40 % - Markeringsfarve4 4 3 6 2" xfId="33022" xr:uid="{00000000-0005-0000-0000-0000F44E0000}"/>
    <cellStyle name="40 % - Markeringsfarve4 4 3 7" xfId="26020" xr:uid="{00000000-0005-0000-0000-0000F54E0000}"/>
    <cellStyle name="40 % - Markeringsfarve4 4 4" xfId="6307" xr:uid="{00000000-0005-0000-0000-0000F64E0000}"/>
    <cellStyle name="40 % - Markeringsfarve4 4 4 2" xfId="6308" xr:uid="{00000000-0005-0000-0000-0000F74E0000}"/>
    <cellStyle name="40 % - Markeringsfarve4 4 4 2 2" xfId="6309" xr:uid="{00000000-0005-0000-0000-0000F84E0000}"/>
    <cellStyle name="40 % - Markeringsfarve4 4 4 2 2 2" xfId="10120" xr:uid="{00000000-0005-0000-0000-0000F94E0000}"/>
    <cellStyle name="40 % - Markeringsfarve4 4 4 2 2 2 2" xfId="18021" xr:uid="{00000000-0005-0000-0000-0000FA4E0000}"/>
    <cellStyle name="40 % - Markeringsfarve4 4 4 2 2 2 2 2" xfId="36181" xr:uid="{00000000-0005-0000-0000-0000FB4E0000}"/>
    <cellStyle name="40 % - Markeringsfarve4 4 4 2 2 2 3" xfId="29180" xr:uid="{00000000-0005-0000-0000-0000FC4E0000}"/>
    <cellStyle name="40 % - Markeringsfarve4 4 4 2 2 3" xfId="14863" xr:uid="{00000000-0005-0000-0000-0000FD4E0000}"/>
    <cellStyle name="40 % - Markeringsfarve4 4 4 2 2 3 2" xfId="33029" xr:uid="{00000000-0005-0000-0000-0000FE4E0000}"/>
    <cellStyle name="40 % - Markeringsfarve4 4 4 2 2 4" xfId="26027" xr:uid="{00000000-0005-0000-0000-0000FF4E0000}"/>
    <cellStyle name="40 % - Markeringsfarve4 4 4 2 3" xfId="8660" xr:uid="{00000000-0005-0000-0000-0000004F0000}"/>
    <cellStyle name="40 % - Markeringsfarve4 4 4 2 3 2" xfId="16574" xr:uid="{00000000-0005-0000-0000-0000014F0000}"/>
    <cellStyle name="40 % - Markeringsfarve4 4 4 2 3 2 2" xfId="34734" xr:uid="{00000000-0005-0000-0000-0000024F0000}"/>
    <cellStyle name="40 % - Markeringsfarve4 4 4 2 3 3" xfId="27733" xr:uid="{00000000-0005-0000-0000-0000034F0000}"/>
    <cellStyle name="40 % - Markeringsfarve4 4 4 2 4" xfId="14862" xr:uid="{00000000-0005-0000-0000-0000044F0000}"/>
    <cellStyle name="40 % - Markeringsfarve4 4 4 2 4 2" xfId="33028" xr:uid="{00000000-0005-0000-0000-0000054F0000}"/>
    <cellStyle name="40 % - Markeringsfarve4 4 4 2 5" xfId="26026" xr:uid="{00000000-0005-0000-0000-0000064F0000}"/>
    <cellStyle name="40 % - Markeringsfarve4 4 4 3" xfId="6310" xr:uid="{00000000-0005-0000-0000-0000074F0000}"/>
    <cellStyle name="40 % - Markeringsfarve4 4 4 3 2" xfId="9396" xr:uid="{00000000-0005-0000-0000-0000084F0000}"/>
    <cellStyle name="40 % - Markeringsfarve4 4 4 3 2 2" xfId="17306" xr:uid="{00000000-0005-0000-0000-0000094F0000}"/>
    <cellStyle name="40 % - Markeringsfarve4 4 4 3 2 2 2" xfId="35466" xr:uid="{00000000-0005-0000-0000-00000A4F0000}"/>
    <cellStyle name="40 % - Markeringsfarve4 4 4 3 2 3" xfId="28465" xr:uid="{00000000-0005-0000-0000-00000B4F0000}"/>
    <cellStyle name="40 % - Markeringsfarve4 4 4 3 3" xfId="14864" xr:uid="{00000000-0005-0000-0000-00000C4F0000}"/>
    <cellStyle name="40 % - Markeringsfarve4 4 4 3 3 2" xfId="33030" xr:uid="{00000000-0005-0000-0000-00000D4F0000}"/>
    <cellStyle name="40 % - Markeringsfarve4 4 4 3 4" xfId="26028" xr:uid="{00000000-0005-0000-0000-00000E4F0000}"/>
    <cellStyle name="40 % - Markeringsfarve4 4 4 4" xfId="6311" xr:uid="{00000000-0005-0000-0000-00000F4F0000}"/>
    <cellStyle name="40 % - Markeringsfarve4 4 4 4 2" xfId="10486" xr:uid="{00000000-0005-0000-0000-0000104F0000}"/>
    <cellStyle name="40 % - Markeringsfarve4 4 4 4 2 2" xfId="18382" xr:uid="{00000000-0005-0000-0000-0000114F0000}"/>
    <cellStyle name="40 % - Markeringsfarve4 4 4 4 2 2 2" xfId="36542" xr:uid="{00000000-0005-0000-0000-0000124F0000}"/>
    <cellStyle name="40 % - Markeringsfarve4 4 4 4 2 3" xfId="29541" xr:uid="{00000000-0005-0000-0000-0000134F0000}"/>
    <cellStyle name="40 % - Markeringsfarve4 4 4 4 3" xfId="14865" xr:uid="{00000000-0005-0000-0000-0000144F0000}"/>
    <cellStyle name="40 % - Markeringsfarve4 4 4 4 3 2" xfId="33031" xr:uid="{00000000-0005-0000-0000-0000154F0000}"/>
    <cellStyle name="40 % - Markeringsfarve4 4 4 4 4" xfId="26029" xr:uid="{00000000-0005-0000-0000-0000164F0000}"/>
    <cellStyle name="40 % - Markeringsfarve4 4 4 5" xfId="8185" xr:uid="{00000000-0005-0000-0000-0000174F0000}"/>
    <cellStyle name="40 % - Markeringsfarve4 4 4 5 2" xfId="16103" xr:uid="{00000000-0005-0000-0000-0000184F0000}"/>
    <cellStyle name="40 % - Markeringsfarve4 4 4 5 2 2" xfId="34263" xr:uid="{00000000-0005-0000-0000-0000194F0000}"/>
    <cellStyle name="40 % - Markeringsfarve4 4 4 5 3" xfId="27262" xr:uid="{00000000-0005-0000-0000-00001A4F0000}"/>
    <cellStyle name="40 % - Markeringsfarve4 4 4 6" xfId="14861" xr:uid="{00000000-0005-0000-0000-00001B4F0000}"/>
    <cellStyle name="40 % - Markeringsfarve4 4 4 6 2" xfId="33027" xr:uid="{00000000-0005-0000-0000-00001C4F0000}"/>
    <cellStyle name="40 % - Markeringsfarve4 4 4 7" xfId="26025" xr:uid="{00000000-0005-0000-0000-00001D4F0000}"/>
    <cellStyle name="40 % - Markeringsfarve4 4 5" xfId="6312" xr:uid="{00000000-0005-0000-0000-00001E4F0000}"/>
    <cellStyle name="40 % - Markeringsfarve4 4 5 2" xfId="6313" xr:uid="{00000000-0005-0000-0000-00001F4F0000}"/>
    <cellStyle name="40 % - Markeringsfarve4 4 5 2 2" xfId="6314" xr:uid="{00000000-0005-0000-0000-0000204F0000}"/>
    <cellStyle name="40 % - Markeringsfarve4 4 5 2 2 2" xfId="10237" xr:uid="{00000000-0005-0000-0000-0000214F0000}"/>
    <cellStyle name="40 % - Markeringsfarve4 4 5 2 2 2 2" xfId="18138" xr:uid="{00000000-0005-0000-0000-0000224F0000}"/>
    <cellStyle name="40 % - Markeringsfarve4 4 5 2 2 2 2 2" xfId="36298" xr:uid="{00000000-0005-0000-0000-0000234F0000}"/>
    <cellStyle name="40 % - Markeringsfarve4 4 5 2 2 2 3" xfId="29297" xr:uid="{00000000-0005-0000-0000-0000244F0000}"/>
    <cellStyle name="40 % - Markeringsfarve4 4 5 2 2 3" xfId="14868" xr:uid="{00000000-0005-0000-0000-0000254F0000}"/>
    <cellStyle name="40 % - Markeringsfarve4 4 5 2 2 3 2" xfId="33034" xr:uid="{00000000-0005-0000-0000-0000264F0000}"/>
    <cellStyle name="40 % - Markeringsfarve4 4 5 2 2 4" xfId="26032" xr:uid="{00000000-0005-0000-0000-0000274F0000}"/>
    <cellStyle name="40 % - Markeringsfarve4 4 5 2 3" xfId="8759" xr:uid="{00000000-0005-0000-0000-0000284F0000}"/>
    <cellStyle name="40 % - Markeringsfarve4 4 5 2 3 2" xfId="16673" xr:uid="{00000000-0005-0000-0000-0000294F0000}"/>
    <cellStyle name="40 % - Markeringsfarve4 4 5 2 3 2 2" xfId="34833" xr:uid="{00000000-0005-0000-0000-00002A4F0000}"/>
    <cellStyle name="40 % - Markeringsfarve4 4 5 2 3 3" xfId="27832" xr:uid="{00000000-0005-0000-0000-00002B4F0000}"/>
    <cellStyle name="40 % - Markeringsfarve4 4 5 2 4" xfId="14867" xr:uid="{00000000-0005-0000-0000-00002C4F0000}"/>
    <cellStyle name="40 % - Markeringsfarve4 4 5 2 4 2" xfId="33033" xr:uid="{00000000-0005-0000-0000-00002D4F0000}"/>
    <cellStyle name="40 % - Markeringsfarve4 4 5 2 5" xfId="26031" xr:uid="{00000000-0005-0000-0000-00002E4F0000}"/>
    <cellStyle name="40 % - Markeringsfarve4 4 5 3" xfId="6315" xr:uid="{00000000-0005-0000-0000-00002F4F0000}"/>
    <cellStyle name="40 % - Markeringsfarve4 4 5 3 2" xfId="9513" xr:uid="{00000000-0005-0000-0000-0000304F0000}"/>
    <cellStyle name="40 % - Markeringsfarve4 4 5 3 2 2" xfId="17423" xr:uid="{00000000-0005-0000-0000-0000314F0000}"/>
    <cellStyle name="40 % - Markeringsfarve4 4 5 3 2 2 2" xfId="35583" xr:uid="{00000000-0005-0000-0000-0000324F0000}"/>
    <cellStyle name="40 % - Markeringsfarve4 4 5 3 2 3" xfId="28582" xr:uid="{00000000-0005-0000-0000-0000334F0000}"/>
    <cellStyle name="40 % - Markeringsfarve4 4 5 3 3" xfId="14869" xr:uid="{00000000-0005-0000-0000-0000344F0000}"/>
    <cellStyle name="40 % - Markeringsfarve4 4 5 3 3 2" xfId="33035" xr:uid="{00000000-0005-0000-0000-0000354F0000}"/>
    <cellStyle name="40 % - Markeringsfarve4 4 5 3 4" xfId="26033" xr:uid="{00000000-0005-0000-0000-0000364F0000}"/>
    <cellStyle name="40 % - Markeringsfarve4 4 5 4" xfId="6316" xr:uid="{00000000-0005-0000-0000-0000374F0000}"/>
    <cellStyle name="40 % - Markeringsfarve4 4 5 4 2" xfId="10439" xr:uid="{00000000-0005-0000-0000-0000384F0000}"/>
    <cellStyle name="40 % - Markeringsfarve4 4 5 4 2 2" xfId="18336" xr:uid="{00000000-0005-0000-0000-0000394F0000}"/>
    <cellStyle name="40 % - Markeringsfarve4 4 5 4 2 2 2" xfId="36496" xr:uid="{00000000-0005-0000-0000-00003A4F0000}"/>
    <cellStyle name="40 % - Markeringsfarve4 4 5 4 2 3" xfId="29495" xr:uid="{00000000-0005-0000-0000-00003B4F0000}"/>
    <cellStyle name="40 % - Markeringsfarve4 4 5 4 3" xfId="14870" xr:uid="{00000000-0005-0000-0000-00003C4F0000}"/>
    <cellStyle name="40 % - Markeringsfarve4 4 5 4 3 2" xfId="33036" xr:uid="{00000000-0005-0000-0000-00003D4F0000}"/>
    <cellStyle name="40 % - Markeringsfarve4 4 5 4 4" xfId="26034" xr:uid="{00000000-0005-0000-0000-00003E4F0000}"/>
    <cellStyle name="40 % - Markeringsfarve4 4 5 5" xfId="8186" xr:uid="{00000000-0005-0000-0000-00003F4F0000}"/>
    <cellStyle name="40 % - Markeringsfarve4 4 5 5 2" xfId="16104" xr:uid="{00000000-0005-0000-0000-0000404F0000}"/>
    <cellStyle name="40 % - Markeringsfarve4 4 5 5 2 2" xfId="34264" xr:uid="{00000000-0005-0000-0000-0000414F0000}"/>
    <cellStyle name="40 % - Markeringsfarve4 4 5 5 3" xfId="27263" xr:uid="{00000000-0005-0000-0000-0000424F0000}"/>
    <cellStyle name="40 % - Markeringsfarve4 4 5 6" xfId="14866" xr:uid="{00000000-0005-0000-0000-0000434F0000}"/>
    <cellStyle name="40 % - Markeringsfarve4 4 5 6 2" xfId="33032" xr:uid="{00000000-0005-0000-0000-0000444F0000}"/>
    <cellStyle name="40 % - Markeringsfarve4 4 5 7" xfId="26030" xr:uid="{00000000-0005-0000-0000-0000454F0000}"/>
    <cellStyle name="40 % - Markeringsfarve4 4 6" xfId="6317" xr:uid="{00000000-0005-0000-0000-0000464F0000}"/>
    <cellStyle name="40 % - Markeringsfarve4 4 6 2" xfId="6318" xr:uid="{00000000-0005-0000-0000-0000474F0000}"/>
    <cellStyle name="40 % - Markeringsfarve4 4 6 2 2" xfId="6319" xr:uid="{00000000-0005-0000-0000-0000484F0000}"/>
    <cellStyle name="40 % - Markeringsfarve4 4 6 2 2 2" xfId="10396" xr:uid="{00000000-0005-0000-0000-0000494F0000}"/>
    <cellStyle name="40 % - Markeringsfarve4 4 6 2 2 2 2" xfId="18297" xr:uid="{00000000-0005-0000-0000-00004A4F0000}"/>
    <cellStyle name="40 % - Markeringsfarve4 4 6 2 2 2 2 2" xfId="36457" xr:uid="{00000000-0005-0000-0000-00004B4F0000}"/>
    <cellStyle name="40 % - Markeringsfarve4 4 6 2 2 2 3" xfId="29456" xr:uid="{00000000-0005-0000-0000-00004C4F0000}"/>
    <cellStyle name="40 % - Markeringsfarve4 4 6 2 2 3" xfId="14873" xr:uid="{00000000-0005-0000-0000-00004D4F0000}"/>
    <cellStyle name="40 % - Markeringsfarve4 4 6 2 2 3 2" xfId="33039" xr:uid="{00000000-0005-0000-0000-00004E4F0000}"/>
    <cellStyle name="40 % - Markeringsfarve4 4 6 2 2 4" xfId="26037" xr:uid="{00000000-0005-0000-0000-00004F4F0000}"/>
    <cellStyle name="40 % - Markeringsfarve4 4 6 2 3" xfId="8889" xr:uid="{00000000-0005-0000-0000-0000504F0000}"/>
    <cellStyle name="40 % - Markeringsfarve4 4 6 2 3 2" xfId="16803" xr:uid="{00000000-0005-0000-0000-0000514F0000}"/>
    <cellStyle name="40 % - Markeringsfarve4 4 6 2 3 2 2" xfId="34963" xr:uid="{00000000-0005-0000-0000-0000524F0000}"/>
    <cellStyle name="40 % - Markeringsfarve4 4 6 2 3 3" xfId="27962" xr:uid="{00000000-0005-0000-0000-0000534F0000}"/>
    <cellStyle name="40 % - Markeringsfarve4 4 6 2 4" xfId="14872" xr:uid="{00000000-0005-0000-0000-0000544F0000}"/>
    <cellStyle name="40 % - Markeringsfarve4 4 6 2 4 2" xfId="33038" xr:uid="{00000000-0005-0000-0000-0000554F0000}"/>
    <cellStyle name="40 % - Markeringsfarve4 4 6 2 5" xfId="26036" xr:uid="{00000000-0005-0000-0000-0000564F0000}"/>
    <cellStyle name="40 % - Markeringsfarve4 4 6 3" xfId="6320" xr:uid="{00000000-0005-0000-0000-0000574F0000}"/>
    <cellStyle name="40 % - Markeringsfarve4 4 6 3 2" xfId="9673" xr:uid="{00000000-0005-0000-0000-0000584F0000}"/>
    <cellStyle name="40 % - Markeringsfarve4 4 6 3 2 2" xfId="17583" xr:uid="{00000000-0005-0000-0000-0000594F0000}"/>
    <cellStyle name="40 % - Markeringsfarve4 4 6 3 2 2 2" xfId="35743" xr:uid="{00000000-0005-0000-0000-00005A4F0000}"/>
    <cellStyle name="40 % - Markeringsfarve4 4 6 3 2 3" xfId="28742" xr:uid="{00000000-0005-0000-0000-00005B4F0000}"/>
    <cellStyle name="40 % - Markeringsfarve4 4 6 3 3" xfId="14874" xr:uid="{00000000-0005-0000-0000-00005C4F0000}"/>
    <cellStyle name="40 % - Markeringsfarve4 4 6 3 3 2" xfId="33040" xr:uid="{00000000-0005-0000-0000-00005D4F0000}"/>
    <cellStyle name="40 % - Markeringsfarve4 4 6 3 4" xfId="26038" xr:uid="{00000000-0005-0000-0000-00005E4F0000}"/>
    <cellStyle name="40 % - Markeringsfarve4 4 6 4" xfId="6321" xr:uid="{00000000-0005-0000-0000-00005F4F0000}"/>
    <cellStyle name="40 % - Markeringsfarve4 4 6 4 2" xfId="10780" xr:uid="{00000000-0005-0000-0000-0000604F0000}"/>
    <cellStyle name="40 % - Markeringsfarve4 4 6 4 2 2" xfId="18668" xr:uid="{00000000-0005-0000-0000-0000614F0000}"/>
    <cellStyle name="40 % - Markeringsfarve4 4 6 4 2 2 2" xfId="36828" xr:uid="{00000000-0005-0000-0000-0000624F0000}"/>
    <cellStyle name="40 % - Markeringsfarve4 4 6 4 2 3" xfId="29827" xr:uid="{00000000-0005-0000-0000-0000634F0000}"/>
    <cellStyle name="40 % - Markeringsfarve4 4 6 4 3" xfId="14875" xr:uid="{00000000-0005-0000-0000-0000644F0000}"/>
    <cellStyle name="40 % - Markeringsfarve4 4 6 4 3 2" xfId="33041" xr:uid="{00000000-0005-0000-0000-0000654F0000}"/>
    <cellStyle name="40 % - Markeringsfarve4 4 6 4 4" xfId="26039" xr:uid="{00000000-0005-0000-0000-0000664F0000}"/>
    <cellStyle name="40 % - Markeringsfarve4 4 6 5" xfId="8187" xr:uid="{00000000-0005-0000-0000-0000674F0000}"/>
    <cellStyle name="40 % - Markeringsfarve4 4 6 5 2" xfId="16105" xr:uid="{00000000-0005-0000-0000-0000684F0000}"/>
    <cellStyle name="40 % - Markeringsfarve4 4 6 5 2 2" xfId="34265" xr:uid="{00000000-0005-0000-0000-0000694F0000}"/>
    <cellStyle name="40 % - Markeringsfarve4 4 6 5 3" xfId="27264" xr:uid="{00000000-0005-0000-0000-00006A4F0000}"/>
    <cellStyle name="40 % - Markeringsfarve4 4 6 6" xfId="14871" xr:uid="{00000000-0005-0000-0000-00006B4F0000}"/>
    <cellStyle name="40 % - Markeringsfarve4 4 6 6 2" xfId="33037" xr:uid="{00000000-0005-0000-0000-00006C4F0000}"/>
    <cellStyle name="40 % - Markeringsfarve4 4 6 7" xfId="26035" xr:uid="{00000000-0005-0000-0000-00006D4F0000}"/>
    <cellStyle name="40 % - Markeringsfarve4 4 7" xfId="6322" xr:uid="{00000000-0005-0000-0000-00006E4F0000}"/>
    <cellStyle name="40 % - Markeringsfarve4 4 7 2" xfId="6323" xr:uid="{00000000-0005-0000-0000-00006F4F0000}"/>
    <cellStyle name="40 % - Markeringsfarve4 4 7 2 2" xfId="9763" xr:uid="{00000000-0005-0000-0000-0000704F0000}"/>
    <cellStyle name="40 % - Markeringsfarve4 4 7 2 2 2" xfId="17664" xr:uid="{00000000-0005-0000-0000-0000714F0000}"/>
    <cellStyle name="40 % - Markeringsfarve4 4 7 2 2 2 2" xfId="35824" xr:uid="{00000000-0005-0000-0000-0000724F0000}"/>
    <cellStyle name="40 % - Markeringsfarve4 4 7 2 2 3" xfId="28823" xr:uid="{00000000-0005-0000-0000-0000734F0000}"/>
    <cellStyle name="40 % - Markeringsfarve4 4 7 2 3" xfId="14877" xr:uid="{00000000-0005-0000-0000-0000744F0000}"/>
    <cellStyle name="40 % - Markeringsfarve4 4 7 2 3 2" xfId="33043" xr:uid="{00000000-0005-0000-0000-0000754F0000}"/>
    <cellStyle name="40 % - Markeringsfarve4 4 7 2 4" xfId="26041" xr:uid="{00000000-0005-0000-0000-0000764F0000}"/>
    <cellStyle name="40 % - Markeringsfarve4 4 7 3" xfId="8359" xr:uid="{00000000-0005-0000-0000-0000774F0000}"/>
    <cellStyle name="40 % - Markeringsfarve4 4 7 3 2" xfId="16276" xr:uid="{00000000-0005-0000-0000-0000784F0000}"/>
    <cellStyle name="40 % - Markeringsfarve4 4 7 3 2 2" xfId="34436" xr:uid="{00000000-0005-0000-0000-0000794F0000}"/>
    <cellStyle name="40 % - Markeringsfarve4 4 7 3 3" xfId="27435" xr:uid="{00000000-0005-0000-0000-00007A4F0000}"/>
    <cellStyle name="40 % - Markeringsfarve4 4 7 4" xfId="14876" xr:uid="{00000000-0005-0000-0000-00007B4F0000}"/>
    <cellStyle name="40 % - Markeringsfarve4 4 7 4 2" xfId="33042" xr:uid="{00000000-0005-0000-0000-00007C4F0000}"/>
    <cellStyle name="40 % - Markeringsfarve4 4 7 5" xfId="26040" xr:uid="{00000000-0005-0000-0000-00007D4F0000}"/>
    <cellStyle name="40 % - Markeringsfarve4 4 8" xfId="6324" xr:uid="{00000000-0005-0000-0000-00007E4F0000}"/>
    <cellStyle name="40 % - Markeringsfarve4 4 8 2" xfId="8991" xr:uid="{00000000-0005-0000-0000-00007F4F0000}"/>
    <cellStyle name="40 % - Markeringsfarve4 4 8 2 2" xfId="16902" xr:uid="{00000000-0005-0000-0000-0000804F0000}"/>
    <cellStyle name="40 % - Markeringsfarve4 4 8 2 2 2" xfId="35062" xr:uid="{00000000-0005-0000-0000-0000814F0000}"/>
    <cellStyle name="40 % - Markeringsfarve4 4 8 2 3" xfId="28061" xr:uid="{00000000-0005-0000-0000-0000824F0000}"/>
    <cellStyle name="40 % - Markeringsfarve4 4 8 3" xfId="14878" xr:uid="{00000000-0005-0000-0000-0000834F0000}"/>
    <cellStyle name="40 % - Markeringsfarve4 4 8 3 2" xfId="33044" xr:uid="{00000000-0005-0000-0000-0000844F0000}"/>
    <cellStyle name="40 % - Markeringsfarve4 4 8 4" xfId="26042" xr:uid="{00000000-0005-0000-0000-0000854F0000}"/>
    <cellStyle name="40 % - Markeringsfarve4 4 9" xfId="6325" xr:uid="{00000000-0005-0000-0000-0000864F0000}"/>
    <cellStyle name="40 % - Markeringsfarve4 4 9 2" xfId="10862" xr:uid="{00000000-0005-0000-0000-0000874F0000}"/>
    <cellStyle name="40 % - Markeringsfarve4 4 9 2 2" xfId="18745" xr:uid="{00000000-0005-0000-0000-0000884F0000}"/>
    <cellStyle name="40 % - Markeringsfarve4 4 9 2 2 2" xfId="36905" xr:uid="{00000000-0005-0000-0000-0000894F0000}"/>
    <cellStyle name="40 % - Markeringsfarve4 4 9 2 3" xfId="29904" xr:uid="{00000000-0005-0000-0000-00008A4F0000}"/>
    <cellStyle name="40 % - Markeringsfarve4 4 9 3" xfId="14879" xr:uid="{00000000-0005-0000-0000-00008B4F0000}"/>
    <cellStyle name="40 % - Markeringsfarve4 4 9 3 2" xfId="33045" xr:uid="{00000000-0005-0000-0000-00008C4F0000}"/>
    <cellStyle name="40 % - Markeringsfarve4 4 9 4" xfId="26043" xr:uid="{00000000-0005-0000-0000-00008D4F0000}"/>
    <cellStyle name="40 % - Markeringsfarve4 5" xfId="1922" xr:uid="{00000000-0005-0000-0000-00008E4F0000}"/>
    <cellStyle name="40 % - Markeringsfarve4 5 10" xfId="8188" xr:uid="{00000000-0005-0000-0000-00008F4F0000}"/>
    <cellStyle name="40 % - Markeringsfarve4 5 10 2" xfId="16106" xr:uid="{00000000-0005-0000-0000-0000904F0000}"/>
    <cellStyle name="40 % - Markeringsfarve4 5 10 2 2" xfId="34266" xr:uid="{00000000-0005-0000-0000-0000914F0000}"/>
    <cellStyle name="40 % - Markeringsfarve4 5 10 3" xfId="27265" xr:uid="{00000000-0005-0000-0000-0000924F0000}"/>
    <cellStyle name="40 % - Markeringsfarve4 5 11" xfId="14880" xr:uid="{00000000-0005-0000-0000-0000934F0000}"/>
    <cellStyle name="40 % - Markeringsfarve4 5 11 2" xfId="33046" xr:uid="{00000000-0005-0000-0000-0000944F0000}"/>
    <cellStyle name="40 % - Markeringsfarve4 5 12" xfId="6326" xr:uid="{00000000-0005-0000-0000-0000954F0000}"/>
    <cellStyle name="40 % - Markeringsfarve4 5 12 2" xfId="26044" xr:uid="{00000000-0005-0000-0000-0000964F0000}"/>
    <cellStyle name="40 % - Markeringsfarve4 5 13" xfId="22040" xr:uid="{00000000-0005-0000-0000-0000974F0000}"/>
    <cellStyle name="40 % - Markeringsfarve4 5 2" xfId="1923" xr:uid="{00000000-0005-0000-0000-0000984F0000}"/>
    <cellStyle name="40 % - Markeringsfarve4 5 2 2" xfId="6328" xr:uid="{00000000-0005-0000-0000-0000994F0000}"/>
    <cellStyle name="40 % - Markeringsfarve4 5 2 2 2" xfId="6329" xr:uid="{00000000-0005-0000-0000-00009A4F0000}"/>
    <cellStyle name="40 % - Markeringsfarve4 5 2 2 2 2" xfId="9921" xr:uid="{00000000-0005-0000-0000-00009B4F0000}"/>
    <cellStyle name="40 % - Markeringsfarve4 5 2 2 2 2 2" xfId="17822" xr:uid="{00000000-0005-0000-0000-00009C4F0000}"/>
    <cellStyle name="40 % - Markeringsfarve4 5 2 2 2 2 2 2" xfId="35982" xr:uid="{00000000-0005-0000-0000-00009D4F0000}"/>
    <cellStyle name="40 % - Markeringsfarve4 5 2 2 2 2 3" xfId="28981" xr:uid="{00000000-0005-0000-0000-00009E4F0000}"/>
    <cellStyle name="40 % - Markeringsfarve4 5 2 2 2 3" xfId="14883" xr:uid="{00000000-0005-0000-0000-00009F4F0000}"/>
    <cellStyle name="40 % - Markeringsfarve4 5 2 2 2 3 2" xfId="33049" xr:uid="{00000000-0005-0000-0000-0000A04F0000}"/>
    <cellStyle name="40 % - Markeringsfarve4 5 2 2 2 4" xfId="26047" xr:uid="{00000000-0005-0000-0000-0000A14F0000}"/>
    <cellStyle name="40 % - Markeringsfarve4 5 2 2 3" xfId="8491" xr:uid="{00000000-0005-0000-0000-0000A24F0000}"/>
    <cellStyle name="40 % - Markeringsfarve4 5 2 2 3 2" xfId="16408" xr:uid="{00000000-0005-0000-0000-0000A34F0000}"/>
    <cellStyle name="40 % - Markeringsfarve4 5 2 2 3 2 2" xfId="34568" xr:uid="{00000000-0005-0000-0000-0000A44F0000}"/>
    <cellStyle name="40 % - Markeringsfarve4 5 2 2 3 3" xfId="27567" xr:uid="{00000000-0005-0000-0000-0000A54F0000}"/>
    <cellStyle name="40 % - Markeringsfarve4 5 2 2 4" xfId="14882" xr:uid="{00000000-0005-0000-0000-0000A64F0000}"/>
    <cellStyle name="40 % - Markeringsfarve4 5 2 2 4 2" xfId="33048" xr:uid="{00000000-0005-0000-0000-0000A74F0000}"/>
    <cellStyle name="40 % - Markeringsfarve4 5 2 2 5" xfId="26046" xr:uid="{00000000-0005-0000-0000-0000A84F0000}"/>
    <cellStyle name="40 % - Markeringsfarve4 5 2 3" xfId="6330" xr:uid="{00000000-0005-0000-0000-0000A94F0000}"/>
    <cellStyle name="40 % - Markeringsfarve4 5 2 3 2" xfId="9151" xr:uid="{00000000-0005-0000-0000-0000AA4F0000}"/>
    <cellStyle name="40 % - Markeringsfarve4 5 2 3 2 2" xfId="17062" xr:uid="{00000000-0005-0000-0000-0000AB4F0000}"/>
    <cellStyle name="40 % - Markeringsfarve4 5 2 3 2 2 2" xfId="35222" xr:uid="{00000000-0005-0000-0000-0000AC4F0000}"/>
    <cellStyle name="40 % - Markeringsfarve4 5 2 3 2 3" xfId="28221" xr:uid="{00000000-0005-0000-0000-0000AD4F0000}"/>
    <cellStyle name="40 % - Markeringsfarve4 5 2 3 3" xfId="14884" xr:uid="{00000000-0005-0000-0000-0000AE4F0000}"/>
    <cellStyle name="40 % - Markeringsfarve4 5 2 3 3 2" xfId="33050" xr:uid="{00000000-0005-0000-0000-0000AF4F0000}"/>
    <cellStyle name="40 % - Markeringsfarve4 5 2 3 4" xfId="26048" xr:uid="{00000000-0005-0000-0000-0000B04F0000}"/>
    <cellStyle name="40 % - Markeringsfarve4 5 2 4" xfId="6331" xr:uid="{00000000-0005-0000-0000-0000B14F0000}"/>
    <cellStyle name="40 % - Markeringsfarve4 5 2 4 2" xfId="10715" xr:uid="{00000000-0005-0000-0000-0000B24F0000}"/>
    <cellStyle name="40 % - Markeringsfarve4 5 2 4 2 2" xfId="18604" xr:uid="{00000000-0005-0000-0000-0000B34F0000}"/>
    <cellStyle name="40 % - Markeringsfarve4 5 2 4 2 2 2" xfId="36764" xr:uid="{00000000-0005-0000-0000-0000B44F0000}"/>
    <cellStyle name="40 % - Markeringsfarve4 5 2 4 2 3" xfId="29763" xr:uid="{00000000-0005-0000-0000-0000B54F0000}"/>
    <cellStyle name="40 % - Markeringsfarve4 5 2 4 3" xfId="14885" xr:uid="{00000000-0005-0000-0000-0000B64F0000}"/>
    <cellStyle name="40 % - Markeringsfarve4 5 2 4 3 2" xfId="33051" xr:uid="{00000000-0005-0000-0000-0000B74F0000}"/>
    <cellStyle name="40 % - Markeringsfarve4 5 2 4 4" xfId="26049" xr:uid="{00000000-0005-0000-0000-0000B84F0000}"/>
    <cellStyle name="40 % - Markeringsfarve4 5 2 5" xfId="8189" xr:uid="{00000000-0005-0000-0000-0000B94F0000}"/>
    <cellStyle name="40 % - Markeringsfarve4 5 2 5 2" xfId="16107" xr:uid="{00000000-0005-0000-0000-0000BA4F0000}"/>
    <cellStyle name="40 % - Markeringsfarve4 5 2 5 2 2" xfId="34267" xr:uid="{00000000-0005-0000-0000-0000BB4F0000}"/>
    <cellStyle name="40 % - Markeringsfarve4 5 2 5 3" xfId="27266" xr:uid="{00000000-0005-0000-0000-0000BC4F0000}"/>
    <cellStyle name="40 % - Markeringsfarve4 5 2 6" xfId="14881" xr:uid="{00000000-0005-0000-0000-0000BD4F0000}"/>
    <cellStyle name="40 % - Markeringsfarve4 5 2 6 2" xfId="33047" xr:uid="{00000000-0005-0000-0000-0000BE4F0000}"/>
    <cellStyle name="40 % - Markeringsfarve4 5 2 7" xfId="6327" xr:uid="{00000000-0005-0000-0000-0000BF4F0000}"/>
    <cellStyle name="40 % - Markeringsfarve4 5 2 7 2" xfId="26045" xr:uid="{00000000-0005-0000-0000-0000C04F0000}"/>
    <cellStyle name="40 % - Markeringsfarve4 5 2 8" xfId="22041" xr:uid="{00000000-0005-0000-0000-0000C14F0000}"/>
    <cellStyle name="40 % - Markeringsfarve4 5 3" xfId="6332" xr:uid="{00000000-0005-0000-0000-0000C24F0000}"/>
    <cellStyle name="40 % - Markeringsfarve4 5 3 2" xfId="6333" xr:uid="{00000000-0005-0000-0000-0000C34F0000}"/>
    <cellStyle name="40 % - Markeringsfarve4 5 3 2 2" xfId="6334" xr:uid="{00000000-0005-0000-0000-0000C44F0000}"/>
    <cellStyle name="40 % - Markeringsfarve4 5 3 2 2 2" xfId="10043" xr:uid="{00000000-0005-0000-0000-0000C54F0000}"/>
    <cellStyle name="40 % - Markeringsfarve4 5 3 2 2 2 2" xfId="17944" xr:uid="{00000000-0005-0000-0000-0000C64F0000}"/>
    <cellStyle name="40 % - Markeringsfarve4 5 3 2 2 2 2 2" xfId="36104" xr:uid="{00000000-0005-0000-0000-0000C74F0000}"/>
    <cellStyle name="40 % - Markeringsfarve4 5 3 2 2 2 3" xfId="29103" xr:uid="{00000000-0005-0000-0000-0000C84F0000}"/>
    <cellStyle name="40 % - Markeringsfarve4 5 3 2 2 3" xfId="14888" xr:uid="{00000000-0005-0000-0000-0000C94F0000}"/>
    <cellStyle name="40 % - Markeringsfarve4 5 3 2 2 3 2" xfId="33054" xr:uid="{00000000-0005-0000-0000-0000CA4F0000}"/>
    <cellStyle name="40 % - Markeringsfarve4 5 3 2 2 4" xfId="26052" xr:uid="{00000000-0005-0000-0000-0000CB4F0000}"/>
    <cellStyle name="40 % - Markeringsfarve4 5 3 2 3" xfId="8589" xr:uid="{00000000-0005-0000-0000-0000CC4F0000}"/>
    <cellStyle name="40 % - Markeringsfarve4 5 3 2 3 2" xfId="16506" xr:uid="{00000000-0005-0000-0000-0000CD4F0000}"/>
    <cellStyle name="40 % - Markeringsfarve4 5 3 2 3 2 2" xfId="34666" xr:uid="{00000000-0005-0000-0000-0000CE4F0000}"/>
    <cellStyle name="40 % - Markeringsfarve4 5 3 2 3 3" xfId="27665" xr:uid="{00000000-0005-0000-0000-0000CF4F0000}"/>
    <cellStyle name="40 % - Markeringsfarve4 5 3 2 4" xfId="14887" xr:uid="{00000000-0005-0000-0000-0000D04F0000}"/>
    <cellStyle name="40 % - Markeringsfarve4 5 3 2 4 2" xfId="33053" xr:uid="{00000000-0005-0000-0000-0000D14F0000}"/>
    <cellStyle name="40 % - Markeringsfarve4 5 3 2 5" xfId="26051" xr:uid="{00000000-0005-0000-0000-0000D24F0000}"/>
    <cellStyle name="40 % - Markeringsfarve4 5 3 3" xfId="6335" xr:uid="{00000000-0005-0000-0000-0000D34F0000}"/>
    <cellStyle name="40 % - Markeringsfarve4 5 3 3 2" xfId="9273" xr:uid="{00000000-0005-0000-0000-0000D44F0000}"/>
    <cellStyle name="40 % - Markeringsfarve4 5 3 3 2 2" xfId="17184" xr:uid="{00000000-0005-0000-0000-0000D54F0000}"/>
    <cellStyle name="40 % - Markeringsfarve4 5 3 3 2 2 2" xfId="35344" xr:uid="{00000000-0005-0000-0000-0000D64F0000}"/>
    <cellStyle name="40 % - Markeringsfarve4 5 3 3 2 3" xfId="28343" xr:uid="{00000000-0005-0000-0000-0000D74F0000}"/>
    <cellStyle name="40 % - Markeringsfarve4 5 3 3 3" xfId="14889" xr:uid="{00000000-0005-0000-0000-0000D84F0000}"/>
    <cellStyle name="40 % - Markeringsfarve4 5 3 3 3 2" xfId="33055" xr:uid="{00000000-0005-0000-0000-0000D94F0000}"/>
    <cellStyle name="40 % - Markeringsfarve4 5 3 3 4" xfId="26053" xr:uid="{00000000-0005-0000-0000-0000DA4F0000}"/>
    <cellStyle name="40 % - Markeringsfarve4 5 3 4" xfId="6336" xr:uid="{00000000-0005-0000-0000-0000DB4F0000}"/>
    <cellStyle name="40 % - Markeringsfarve4 5 3 4 2" xfId="10953" xr:uid="{00000000-0005-0000-0000-0000DC4F0000}"/>
    <cellStyle name="40 % - Markeringsfarve4 5 3 4 2 2" xfId="18833" xr:uid="{00000000-0005-0000-0000-0000DD4F0000}"/>
    <cellStyle name="40 % - Markeringsfarve4 5 3 4 2 2 2" xfId="36993" xr:uid="{00000000-0005-0000-0000-0000DE4F0000}"/>
    <cellStyle name="40 % - Markeringsfarve4 5 3 4 2 3" xfId="29992" xr:uid="{00000000-0005-0000-0000-0000DF4F0000}"/>
    <cellStyle name="40 % - Markeringsfarve4 5 3 4 3" xfId="14890" xr:uid="{00000000-0005-0000-0000-0000E04F0000}"/>
    <cellStyle name="40 % - Markeringsfarve4 5 3 4 3 2" xfId="33056" xr:uid="{00000000-0005-0000-0000-0000E14F0000}"/>
    <cellStyle name="40 % - Markeringsfarve4 5 3 4 4" xfId="26054" xr:uid="{00000000-0005-0000-0000-0000E24F0000}"/>
    <cellStyle name="40 % - Markeringsfarve4 5 3 5" xfId="8190" xr:uid="{00000000-0005-0000-0000-0000E34F0000}"/>
    <cellStyle name="40 % - Markeringsfarve4 5 3 5 2" xfId="16108" xr:uid="{00000000-0005-0000-0000-0000E44F0000}"/>
    <cellStyle name="40 % - Markeringsfarve4 5 3 5 2 2" xfId="34268" xr:uid="{00000000-0005-0000-0000-0000E54F0000}"/>
    <cellStyle name="40 % - Markeringsfarve4 5 3 5 3" xfId="27267" xr:uid="{00000000-0005-0000-0000-0000E64F0000}"/>
    <cellStyle name="40 % - Markeringsfarve4 5 3 6" xfId="14886" xr:uid="{00000000-0005-0000-0000-0000E74F0000}"/>
    <cellStyle name="40 % - Markeringsfarve4 5 3 6 2" xfId="33052" xr:uid="{00000000-0005-0000-0000-0000E84F0000}"/>
    <cellStyle name="40 % - Markeringsfarve4 5 3 7" xfId="26050" xr:uid="{00000000-0005-0000-0000-0000E94F0000}"/>
    <cellStyle name="40 % - Markeringsfarve4 5 4" xfId="6337" xr:uid="{00000000-0005-0000-0000-0000EA4F0000}"/>
    <cellStyle name="40 % - Markeringsfarve4 5 4 2" xfId="6338" xr:uid="{00000000-0005-0000-0000-0000EB4F0000}"/>
    <cellStyle name="40 % - Markeringsfarve4 5 4 2 2" xfId="6339" xr:uid="{00000000-0005-0000-0000-0000EC4F0000}"/>
    <cellStyle name="40 % - Markeringsfarve4 5 4 2 2 2" xfId="10159" xr:uid="{00000000-0005-0000-0000-0000ED4F0000}"/>
    <cellStyle name="40 % - Markeringsfarve4 5 4 2 2 2 2" xfId="18060" xr:uid="{00000000-0005-0000-0000-0000EE4F0000}"/>
    <cellStyle name="40 % - Markeringsfarve4 5 4 2 2 2 2 2" xfId="36220" xr:uid="{00000000-0005-0000-0000-0000EF4F0000}"/>
    <cellStyle name="40 % - Markeringsfarve4 5 4 2 2 2 3" xfId="29219" xr:uid="{00000000-0005-0000-0000-0000F04F0000}"/>
    <cellStyle name="40 % - Markeringsfarve4 5 4 2 2 3" xfId="14893" xr:uid="{00000000-0005-0000-0000-0000F14F0000}"/>
    <cellStyle name="40 % - Markeringsfarve4 5 4 2 2 3 2" xfId="33059" xr:uid="{00000000-0005-0000-0000-0000F24F0000}"/>
    <cellStyle name="40 % - Markeringsfarve4 5 4 2 2 4" xfId="26057" xr:uid="{00000000-0005-0000-0000-0000F34F0000}"/>
    <cellStyle name="40 % - Markeringsfarve4 5 4 2 3" xfId="8693" xr:uid="{00000000-0005-0000-0000-0000F44F0000}"/>
    <cellStyle name="40 % - Markeringsfarve4 5 4 2 3 2" xfId="16607" xr:uid="{00000000-0005-0000-0000-0000F54F0000}"/>
    <cellStyle name="40 % - Markeringsfarve4 5 4 2 3 2 2" xfId="34767" xr:uid="{00000000-0005-0000-0000-0000F64F0000}"/>
    <cellStyle name="40 % - Markeringsfarve4 5 4 2 3 3" xfId="27766" xr:uid="{00000000-0005-0000-0000-0000F74F0000}"/>
    <cellStyle name="40 % - Markeringsfarve4 5 4 2 4" xfId="14892" xr:uid="{00000000-0005-0000-0000-0000F84F0000}"/>
    <cellStyle name="40 % - Markeringsfarve4 5 4 2 4 2" xfId="33058" xr:uid="{00000000-0005-0000-0000-0000F94F0000}"/>
    <cellStyle name="40 % - Markeringsfarve4 5 4 2 5" xfId="26056" xr:uid="{00000000-0005-0000-0000-0000FA4F0000}"/>
    <cellStyle name="40 % - Markeringsfarve4 5 4 3" xfId="6340" xr:uid="{00000000-0005-0000-0000-0000FB4F0000}"/>
    <cellStyle name="40 % - Markeringsfarve4 5 4 3 2" xfId="9435" xr:uid="{00000000-0005-0000-0000-0000FC4F0000}"/>
    <cellStyle name="40 % - Markeringsfarve4 5 4 3 2 2" xfId="17345" xr:uid="{00000000-0005-0000-0000-0000FD4F0000}"/>
    <cellStyle name="40 % - Markeringsfarve4 5 4 3 2 2 2" xfId="35505" xr:uid="{00000000-0005-0000-0000-0000FE4F0000}"/>
    <cellStyle name="40 % - Markeringsfarve4 5 4 3 2 3" xfId="28504" xr:uid="{00000000-0005-0000-0000-0000FF4F0000}"/>
    <cellStyle name="40 % - Markeringsfarve4 5 4 3 3" xfId="14894" xr:uid="{00000000-0005-0000-0000-000000500000}"/>
    <cellStyle name="40 % - Markeringsfarve4 5 4 3 3 2" xfId="33060" xr:uid="{00000000-0005-0000-0000-000001500000}"/>
    <cellStyle name="40 % - Markeringsfarve4 5 4 3 4" xfId="26058" xr:uid="{00000000-0005-0000-0000-000002500000}"/>
    <cellStyle name="40 % - Markeringsfarve4 5 4 4" xfId="6341" xr:uid="{00000000-0005-0000-0000-000003500000}"/>
    <cellStyle name="40 % - Markeringsfarve4 5 4 4 2" xfId="10678" xr:uid="{00000000-0005-0000-0000-000004500000}"/>
    <cellStyle name="40 % - Markeringsfarve4 5 4 4 2 2" xfId="18570" xr:uid="{00000000-0005-0000-0000-000005500000}"/>
    <cellStyle name="40 % - Markeringsfarve4 5 4 4 2 2 2" xfId="36730" xr:uid="{00000000-0005-0000-0000-000006500000}"/>
    <cellStyle name="40 % - Markeringsfarve4 5 4 4 2 3" xfId="29729" xr:uid="{00000000-0005-0000-0000-000007500000}"/>
    <cellStyle name="40 % - Markeringsfarve4 5 4 4 3" xfId="14895" xr:uid="{00000000-0005-0000-0000-000008500000}"/>
    <cellStyle name="40 % - Markeringsfarve4 5 4 4 3 2" xfId="33061" xr:uid="{00000000-0005-0000-0000-000009500000}"/>
    <cellStyle name="40 % - Markeringsfarve4 5 4 4 4" xfId="26059" xr:uid="{00000000-0005-0000-0000-00000A500000}"/>
    <cellStyle name="40 % - Markeringsfarve4 5 4 5" xfId="8191" xr:uid="{00000000-0005-0000-0000-00000B500000}"/>
    <cellStyle name="40 % - Markeringsfarve4 5 4 5 2" xfId="16109" xr:uid="{00000000-0005-0000-0000-00000C500000}"/>
    <cellStyle name="40 % - Markeringsfarve4 5 4 5 2 2" xfId="34269" xr:uid="{00000000-0005-0000-0000-00000D500000}"/>
    <cellStyle name="40 % - Markeringsfarve4 5 4 5 3" xfId="27268" xr:uid="{00000000-0005-0000-0000-00000E500000}"/>
    <cellStyle name="40 % - Markeringsfarve4 5 4 6" xfId="14891" xr:uid="{00000000-0005-0000-0000-00000F500000}"/>
    <cellStyle name="40 % - Markeringsfarve4 5 4 6 2" xfId="33057" xr:uid="{00000000-0005-0000-0000-000010500000}"/>
    <cellStyle name="40 % - Markeringsfarve4 5 4 7" xfId="26055" xr:uid="{00000000-0005-0000-0000-000011500000}"/>
    <cellStyle name="40 % - Markeringsfarve4 5 5" xfId="6342" xr:uid="{00000000-0005-0000-0000-000012500000}"/>
    <cellStyle name="40 % - Markeringsfarve4 5 5 2" xfId="6343" xr:uid="{00000000-0005-0000-0000-000013500000}"/>
    <cellStyle name="40 % - Markeringsfarve4 5 5 2 2" xfId="6344" xr:uid="{00000000-0005-0000-0000-000014500000}"/>
    <cellStyle name="40 % - Markeringsfarve4 5 5 2 2 2" xfId="10276" xr:uid="{00000000-0005-0000-0000-000015500000}"/>
    <cellStyle name="40 % - Markeringsfarve4 5 5 2 2 2 2" xfId="18177" xr:uid="{00000000-0005-0000-0000-000016500000}"/>
    <cellStyle name="40 % - Markeringsfarve4 5 5 2 2 2 2 2" xfId="36337" xr:uid="{00000000-0005-0000-0000-000017500000}"/>
    <cellStyle name="40 % - Markeringsfarve4 5 5 2 2 2 3" xfId="29336" xr:uid="{00000000-0005-0000-0000-000018500000}"/>
    <cellStyle name="40 % - Markeringsfarve4 5 5 2 2 3" xfId="14898" xr:uid="{00000000-0005-0000-0000-000019500000}"/>
    <cellStyle name="40 % - Markeringsfarve4 5 5 2 2 3 2" xfId="33064" xr:uid="{00000000-0005-0000-0000-00001A500000}"/>
    <cellStyle name="40 % - Markeringsfarve4 5 5 2 2 4" xfId="26062" xr:uid="{00000000-0005-0000-0000-00001B500000}"/>
    <cellStyle name="40 % - Markeringsfarve4 5 5 2 3" xfId="8792" xr:uid="{00000000-0005-0000-0000-00001C500000}"/>
    <cellStyle name="40 % - Markeringsfarve4 5 5 2 3 2" xfId="16706" xr:uid="{00000000-0005-0000-0000-00001D500000}"/>
    <cellStyle name="40 % - Markeringsfarve4 5 5 2 3 2 2" xfId="34866" xr:uid="{00000000-0005-0000-0000-00001E500000}"/>
    <cellStyle name="40 % - Markeringsfarve4 5 5 2 3 3" xfId="27865" xr:uid="{00000000-0005-0000-0000-00001F500000}"/>
    <cellStyle name="40 % - Markeringsfarve4 5 5 2 4" xfId="14897" xr:uid="{00000000-0005-0000-0000-000020500000}"/>
    <cellStyle name="40 % - Markeringsfarve4 5 5 2 4 2" xfId="33063" xr:uid="{00000000-0005-0000-0000-000021500000}"/>
    <cellStyle name="40 % - Markeringsfarve4 5 5 2 5" xfId="26061" xr:uid="{00000000-0005-0000-0000-000022500000}"/>
    <cellStyle name="40 % - Markeringsfarve4 5 5 3" xfId="6345" xr:uid="{00000000-0005-0000-0000-000023500000}"/>
    <cellStyle name="40 % - Markeringsfarve4 5 5 3 2" xfId="9552" xr:uid="{00000000-0005-0000-0000-000024500000}"/>
    <cellStyle name="40 % - Markeringsfarve4 5 5 3 2 2" xfId="17462" xr:uid="{00000000-0005-0000-0000-000025500000}"/>
    <cellStyle name="40 % - Markeringsfarve4 5 5 3 2 2 2" xfId="35622" xr:uid="{00000000-0005-0000-0000-000026500000}"/>
    <cellStyle name="40 % - Markeringsfarve4 5 5 3 2 3" xfId="28621" xr:uid="{00000000-0005-0000-0000-000027500000}"/>
    <cellStyle name="40 % - Markeringsfarve4 5 5 3 3" xfId="14899" xr:uid="{00000000-0005-0000-0000-000028500000}"/>
    <cellStyle name="40 % - Markeringsfarve4 5 5 3 3 2" xfId="33065" xr:uid="{00000000-0005-0000-0000-000029500000}"/>
    <cellStyle name="40 % - Markeringsfarve4 5 5 3 4" xfId="26063" xr:uid="{00000000-0005-0000-0000-00002A500000}"/>
    <cellStyle name="40 % - Markeringsfarve4 5 5 4" xfId="6346" xr:uid="{00000000-0005-0000-0000-00002B500000}"/>
    <cellStyle name="40 % - Markeringsfarve4 5 5 4 2" xfId="10912" xr:uid="{00000000-0005-0000-0000-00002C500000}"/>
    <cellStyle name="40 % - Markeringsfarve4 5 5 4 2 2" xfId="18793" xr:uid="{00000000-0005-0000-0000-00002D500000}"/>
    <cellStyle name="40 % - Markeringsfarve4 5 5 4 2 2 2" xfId="36953" xr:uid="{00000000-0005-0000-0000-00002E500000}"/>
    <cellStyle name="40 % - Markeringsfarve4 5 5 4 2 3" xfId="29952" xr:uid="{00000000-0005-0000-0000-00002F500000}"/>
    <cellStyle name="40 % - Markeringsfarve4 5 5 4 3" xfId="14900" xr:uid="{00000000-0005-0000-0000-000030500000}"/>
    <cellStyle name="40 % - Markeringsfarve4 5 5 4 3 2" xfId="33066" xr:uid="{00000000-0005-0000-0000-000031500000}"/>
    <cellStyle name="40 % - Markeringsfarve4 5 5 4 4" xfId="26064" xr:uid="{00000000-0005-0000-0000-000032500000}"/>
    <cellStyle name="40 % - Markeringsfarve4 5 5 5" xfId="8192" xr:uid="{00000000-0005-0000-0000-000033500000}"/>
    <cellStyle name="40 % - Markeringsfarve4 5 5 5 2" xfId="16110" xr:uid="{00000000-0005-0000-0000-000034500000}"/>
    <cellStyle name="40 % - Markeringsfarve4 5 5 5 2 2" xfId="34270" xr:uid="{00000000-0005-0000-0000-000035500000}"/>
    <cellStyle name="40 % - Markeringsfarve4 5 5 5 3" xfId="27269" xr:uid="{00000000-0005-0000-0000-000036500000}"/>
    <cellStyle name="40 % - Markeringsfarve4 5 5 6" xfId="14896" xr:uid="{00000000-0005-0000-0000-000037500000}"/>
    <cellStyle name="40 % - Markeringsfarve4 5 5 6 2" xfId="33062" xr:uid="{00000000-0005-0000-0000-000038500000}"/>
    <cellStyle name="40 % - Markeringsfarve4 5 5 7" xfId="26060" xr:uid="{00000000-0005-0000-0000-000039500000}"/>
    <cellStyle name="40 % - Markeringsfarve4 5 6" xfId="6347" xr:uid="{00000000-0005-0000-0000-00003A500000}"/>
    <cellStyle name="40 % - Markeringsfarve4 5 6 2" xfId="6348" xr:uid="{00000000-0005-0000-0000-00003B500000}"/>
    <cellStyle name="40 % - Markeringsfarve4 5 6 2 2" xfId="6349" xr:uid="{00000000-0005-0000-0000-00003C500000}"/>
    <cellStyle name="40 % - Markeringsfarve4 5 6 2 2 2" xfId="10397" xr:uid="{00000000-0005-0000-0000-00003D500000}"/>
    <cellStyle name="40 % - Markeringsfarve4 5 6 2 2 2 2" xfId="18298" xr:uid="{00000000-0005-0000-0000-00003E500000}"/>
    <cellStyle name="40 % - Markeringsfarve4 5 6 2 2 2 2 2" xfId="36458" xr:uid="{00000000-0005-0000-0000-00003F500000}"/>
    <cellStyle name="40 % - Markeringsfarve4 5 6 2 2 2 3" xfId="29457" xr:uid="{00000000-0005-0000-0000-000040500000}"/>
    <cellStyle name="40 % - Markeringsfarve4 5 6 2 2 3" xfId="14903" xr:uid="{00000000-0005-0000-0000-000041500000}"/>
    <cellStyle name="40 % - Markeringsfarve4 5 6 2 2 3 2" xfId="33069" xr:uid="{00000000-0005-0000-0000-000042500000}"/>
    <cellStyle name="40 % - Markeringsfarve4 5 6 2 2 4" xfId="26067" xr:uid="{00000000-0005-0000-0000-000043500000}"/>
    <cellStyle name="40 % - Markeringsfarve4 5 6 2 3" xfId="8890" xr:uid="{00000000-0005-0000-0000-000044500000}"/>
    <cellStyle name="40 % - Markeringsfarve4 5 6 2 3 2" xfId="16804" xr:uid="{00000000-0005-0000-0000-000045500000}"/>
    <cellStyle name="40 % - Markeringsfarve4 5 6 2 3 2 2" xfId="34964" xr:uid="{00000000-0005-0000-0000-000046500000}"/>
    <cellStyle name="40 % - Markeringsfarve4 5 6 2 3 3" xfId="27963" xr:uid="{00000000-0005-0000-0000-000047500000}"/>
    <cellStyle name="40 % - Markeringsfarve4 5 6 2 4" xfId="14902" xr:uid="{00000000-0005-0000-0000-000048500000}"/>
    <cellStyle name="40 % - Markeringsfarve4 5 6 2 4 2" xfId="33068" xr:uid="{00000000-0005-0000-0000-000049500000}"/>
    <cellStyle name="40 % - Markeringsfarve4 5 6 2 5" xfId="26066" xr:uid="{00000000-0005-0000-0000-00004A500000}"/>
    <cellStyle name="40 % - Markeringsfarve4 5 6 3" xfId="6350" xr:uid="{00000000-0005-0000-0000-00004B500000}"/>
    <cellStyle name="40 % - Markeringsfarve4 5 6 3 2" xfId="9674" xr:uid="{00000000-0005-0000-0000-00004C500000}"/>
    <cellStyle name="40 % - Markeringsfarve4 5 6 3 2 2" xfId="17584" xr:uid="{00000000-0005-0000-0000-00004D500000}"/>
    <cellStyle name="40 % - Markeringsfarve4 5 6 3 2 2 2" xfId="35744" xr:uid="{00000000-0005-0000-0000-00004E500000}"/>
    <cellStyle name="40 % - Markeringsfarve4 5 6 3 2 3" xfId="28743" xr:uid="{00000000-0005-0000-0000-00004F500000}"/>
    <cellStyle name="40 % - Markeringsfarve4 5 6 3 3" xfId="14904" xr:uid="{00000000-0005-0000-0000-000050500000}"/>
    <cellStyle name="40 % - Markeringsfarve4 5 6 3 3 2" xfId="33070" xr:uid="{00000000-0005-0000-0000-000051500000}"/>
    <cellStyle name="40 % - Markeringsfarve4 5 6 3 4" xfId="26068" xr:uid="{00000000-0005-0000-0000-000052500000}"/>
    <cellStyle name="40 % - Markeringsfarve4 5 6 4" xfId="6351" xr:uid="{00000000-0005-0000-0000-000053500000}"/>
    <cellStyle name="40 % - Markeringsfarve4 5 6 4 2" xfId="10636" xr:uid="{00000000-0005-0000-0000-000054500000}"/>
    <cellStyle name="40 % - Markeringsfarve4 5 6 4 2 2" xfId="18529" xr:uid="{00000000-0005-0000-0000-000055500000}"/>
    <cellStyle name="40 % - Markeringsfarve4 5 6 4 2 2 2" xfId="36689" xr:uid="{00000000-0005-0000-0000-000056500000}"/>
    <cellStyle name="40 % - Markeringsfarve4 5 6 4 2 3" xfId="29688" xr:uid="{00000000-0005-0000-0000-000057500000}"/>
    <cellStyle name="40 % - Markeringsfarve4 5 6 4 3" xfId="14905" xr:uid="{00000000-0005-0000-0000-000058500000}"/>
    <cellStyle name="40 % - Markeringsfarve4 5 6 4 3 2" xfId="33071" xr:uid="{00000000-0005-0000-0000-000059500000}"/>
    <cellStyle name="40 % - Markeringsfarve4 5 6 4 4" xfId="26069" xr:uid="{00000000-0005-0000-0000-00005A500000}"/>
    <cellStyle name="40 % - Markeringsfarve4 5 6 5" xfId="8193" xr:uid="{00000000-0005-0000-0000-00005B500000}"/>
    <cellStyle name="40 % - Markeringsfarve4 5 6 5 2" xfId="16111" xr:uid="{00000000-0005-0000-0000-00005C500000}"/>
    <cellStyle name="40 % - Markeringsfarve4 5 6 5 2 2" xfId="34271" xr:uid="{00000000-0005-0000-0000-00005D500000}"/>
    <cellStyle name="40 % - Markeringsfarve4 5 6 5 3" xfId="27270" xr:uid="{00000000-0005-0000-0000-00005E500000}"/>
    <cellStyle name="40 % - Markeringsfarve4 5 6 6" xfId="14901" xr:uid="{00000000-0005-0000-0000-00005F500000}"/>
    <cellStyle name="40 % - Markeringsfarve4 5 6 6 2" xfId="33067" xr:uid="{00000000-0005-0000-0000-000060500000}"/>
    <cellStyle name="40 % - Markeringsfarve4 5 6 7" xfId="26065" xr:uid="{00000000-0005-0000-0000-000061500000}"/>
    <cellStyle name="40 % - Markeringsfarve4 5 7" xfId="6352" xr:uid="{00000000-0005-0000-0000-000062500000}"/>
    <cellStyle name="40 % - Markeringsfarve4 5 7 2" xfId="6353" xr:uid="{00000000-0005-0000-0000-000063500000}"/>
    <cellStyle name="40 % - Markeringsfarve4 5 7 2 2" xfId="9802" xr:uid="{00000000-0005-0000-0000-000064500000}"/>
    <cellStyle name="40 % - Markeringsfarve4 5 7 2 2 2" xfId="17703" xr:uid="{00000000-0005-0000-0000-000065500000}"/>
    <cellStyle name="40 % - Markeringsfarve4 5 7 2 2 2 2" xfId="35863" xr:uid="{00000000-0005-0000-0000-000066500000}"/>
    <cellStyle name="40 % - Markeringsfarve4 5 7 2 2 3" xfId="28862" xr:uid="{00000000-0005-0000-0000-000067500000}"/>
    <cellStyle name="40 % - Markeringsfarve4 5 7 2 3" xfId="14907" xr:uid="{00000000-0005-0000-0000-000068500000}"/>
    <cellStyle name="40 % - Markeringsfarve4 5 7 2 3 2" xfId="33073" xr:uid="{00000000-0005-0000-0000-000069500000}"/>
    <cellStyle name="40 % - Markeringsfarve4 5 7 2 4" xfId="26071" xr:uid="{00000000-0005-0000-0000-00006A500000}"/>
    <cellStyle name="40 % - Markeringsfarve4 5 7 3" xfId="8392" xr:uid="{00000000-0005-0000-0000-00006B500000}"/>
    <cellStyle name="40 % - Markeringsfarve4 5 7 3 2" xfId="16309" xr:uid="{00000000-0005-0000-0000-00006C500000}"/>
    <cellStyle name="40 % - Markeringsfarve4 5 7 3 2 2" xfId="34469" xr:uid="{00000000-0005-0000-0000-00006D500000}"/>
    <cellStyle name="40 % - Markeringsfarve4 5 7 3 3" xfId="27468" xr:uid="{00000000-0005-0000-0000-00006E500000}"/>
    <cellStyle name="40 % - Markeringsfarve4 5 7 4" xfId="14906" xr:uid="{00000000-0005-0000-0000-00006F500000}"/>
    <cellStyle name="40 % - Markeringsfarve4 5 7 4 2" xfId="33072" xr:uid="{00000000-0005-0000-0000-000070500000}"/>
    <cellStyle name="40 % - Markeringsfarve4 5 7 5" xfId="26070" xr:uid="{00000000-0005-0000-0000-000071500000}"/>
    <cellStyle name="40 % - Markeringsfarve4 5 8" xfId="6354" xr:uid="{00000000-0005-0000-0000-000072500000}"/>
    <cellStyle name="40 % - Markeringsfarve4 5 8 2" xfId="9030" xr:uid="{00000000-0005-0000-0000-000073500000}"/>
    <cellStyle name="40 % - Markeringsfarve4 5 8 2 2" xfId="16941" xr:uid="{00000000-0005-0000-0000-000074500000}"/>
    <cellStyle name="40 % - Markeringsfarve4 5 8 2 2 2" xfId="35101" xr:uid="{00000000-0005-0000-0000-000075500000}"/>
    <cellStyle name="40 % - Markeringsfarve4 5 8 2 3" xfId="28100" xr:uid="{00000000-0005-0000-0000-000076500000}"/>
    <cellStyle name="40 % - Markeringsfarve4 5 8 3" xfId="14908" xr:uid="{00000000-0005-0000-0000-000077500000}"/>
    <cellStyle name="40 % - Markeringsfarve4 5 8 3 2" xfId="33074" xr:uid="{00000000-0005-0000-0000-000078500000}"/>
    <cellStyle name="40 % - Markeringsfarve4 5 8 4" xfId="26072" xr:uid="{00000000-0005-0000-0000-000079500000}"/>
    <cellStyle name="40 % - Markeringsfarve4 5 9" xfId="6355" xr:uid="{00000000-0005-0000-0000-00007A500000}"/>
    <cellStyle name="40 % - Markeringsfarve4 5 9 2" xfId="10995" xr:uid="{00000000-0005-0000-0000-00007B500000}"/>
    <cellStyle name="40 % - Markeringsfarve4 5 9 2 2" xfId="18871" xr:uid="{00000000-0005-0000-0000-00007C500000}"/>
    <cellStyle name="40 % - Markeringsfarve4 5 9 2 2 2" xfId="37031" xr:uid="{00000000-0005-0000-0000-00007D500000}"/>
    <cellStyle name="40 % - Markeringsfarve4 5 9 2 3" xfId="30030" xr:uid="{00000000-0005-0000-0000-00007E500000}"/>
    <cellStyle name="40 % - Markeringsfarve4 5 9 3" xfId="14909" xr:uid="{00000000-0005-0000-0000-00007F500000}"/>
    <cellStyle name="40 % - Markeringsfarve4 5 9 3 2" xfId="33075" xr:uid="{00000000-0005-0000-0000-000080500000}"/>
    <cellStyle name="40 % - Markeringsfarve4 5 9 4" xfId="26073" xr:uid="{00000000-0005-0000-0000-000081500000}"/>
    <cellStyle name="40 % - Markeringsfarve4 6" xfId="1924" xr:uid="{00000000-0005-0000-0000-000082500000}"/>
    <cellStyle name="40 % - Markeringsfarve4 6 2" xfId="1925" xr:uid="{00000000-0005-0000-0000-000083500000}"/>
    <cellStyle name="40 % - Markeringsfarve4 6 2 2" xfId="6358" xr:uid="{00000000-0005-0000-0000-000084500000}"/>
    <cellStyle name="40 % - Markeringsfarve4 6 2 2 2" xfId="9843" xr:uid="{00000000-0005-0000-0000-000085500000}"/>
    <cellStyle name="40 % - Markeringsfarve4 6 2 2 2 2" xfId="17744" xr:uid="{00000000-0005-0000-0000-000086500000}"/>
    <cellStyle name="40 % - Markeringsfarve4 6 2 2 2 2 2" xfId="35904" xr:uid="{00000000-0005-0000-0000-000087500000}"/>
    <cellStyle name="40 % - Markeringsfarve4 6 2 2 2 3" xfId="28903" xr:uid="{00000000-0005-0000-0000-000088500000}"/>
    <cellStyle name="40 % - Markeringsfarve4 6 2 2 3" xfId="14912" xr:uid="{00000000-0005-0000-0000-000089500000}"/>
    <cellStyle name="40 % - Markeringsfarve4 6 2 2 3 2" xfId="33078" xr:uid="{00000000-0005-0000-0000-00008A500000}"/>
    <cellStyle name="40 % - Markeringsfarve4 6 2 2 4" xfId="26076" xr:uid="{00000000-0005-0000-0000-00008B500000}"/>
    <cellStyle name="40 % - Markeringsfarve4 6 2 3" xfId="8425" xr:uid="{00000000-0005-0000-0000-00008C500000}"/>
    <cellStyle name="40 % - Markeringsfarve4 6 2 3 2" xfId="16342" xr:uid="{00000000-0005-0000-0000-00008D500000}"/>
    <cellStyle name="40 % - Markeringsfarve4 6 2 3 2 2" xfId="34502" xr:uid="{00000000-0005-0000-0000-00008E500000}"/>
    <cellStyle name="40 % - Markeringsfarve4 6 2 3 3" xfId="27501" xr:uid="{00000000-0005-0000-0000-00008F500000}"/>
    <cellStyle name="40 % - Markeringsfarve4 6 2 4" xfId="14911" xr:uid="{00000000-0005-0000-0000-000090500000}"/>
    <cellStyle name="40 % - Markeringsfarve4 6 2 4 2" xfId="33077" xr:uid="{00000000-0005-0000-0000-000091500000}"/>
    <cellStyle name="40 % - Markeringsfarve4 6 2 5" xfId="6357" xr:uid="{00000000-0005-0000-0000-000092500000}"/>
    <cellStyle name="40 % - Markeringsfarve4 6 2 5 2" xfId="26075" xr:uid="{00000000-0005-0000-0000-000093500000}"/>
    <cellStyle name="40 % - Markeringsfarve4 6 2 6" xfId="22043" xr:uid="{00000000-0005-0000-0000-000094500000}"/>
    <cellStyle name="40 % - Markeringsfarve4 6 3" xfId="6359" xr:uid="{00000000-0005-0000-0000-000095500000}"/>
    <cellStyle name="40 % - Markeringsfarve4 6 3 2" xfId="9073" xr:uid="{00000000-0005-0000-0000-000096500000}"/>
    <cellStyle name="40 % - Markeringsfarve4 6 3 2 2" xfId="16984" xr:uid="{00000000-0005-0000-0000-000097500000}"/>
    <cellStyle name="40 % - Markeringsfarve4 6 3 2 2 2" xfId="35144" xr:uid="{00000000-0005-0000-0000-000098500000}"/>
    <cellStyle name="40 % - Markeringsfarve4 6 3 2 3" xfId="28143" xr:uid="{00000000-0005-0000-0000-000099500000}"/>
    <cellStyle name="40 % - Markeringsfarve4 6 3 3" xfId="14913" xr:uid="{00000000-0005-0000-0000-00009A500000}"/>
    <cellStyle name="40 % - Markeringsfarve4 6 3 3 2" xfId="33079" xr:uid="{00000000-0005-0000-0000-00009B500000}"/>
    <cellStyle name="40 % - Markeringsfarve4 6 3 4" xfId="26077" xr:uid="{00000000-0005-0000-0000-00009C500000}"/>
    <cellStyle name="40 % - Markeringsfarve4 6 4" xfId="6360" xr:uid="{00000000-0005-0000-0000-00009D500000}"/>
    <cellStyle name="40 % - Markeringsfarve4 6 4 2" xfId="10861" xr:uid="{00000000-0005-0000-0000-00009E500000}"/>
    <cellStyle name="40 % - Markeringsfarve4 6 4 2 2" xfId="18744" xr:uid="{00000000-0005-0000-0000-00009F500000}"/>
    <cellStyle name="40 % - Markeringsfarve4 6 4 2 2 2" xfId="36904" xr:uid="{00000000-0005-0000-0000-0000A0500000}"/>
    <cellStyle name="40 % - Markeringsfarve4 6 4 2 3" xfId="29903" xr:uid="{00000000-0005-0000-0000-0000A1500000}"/>
    <cellStyle name="40 % - Markeringsfarve4 6 4 3" xfId="14914" xr:uid="{00000000-0005-0000-0000-0000A2500000}"/>
    <cellStyle name="40 % - Markeringsfarve4 6 4 3 2" xfId="33080" xr:uid="{00000000-0005-0000-0000-0000A3500000}"/>
    <cellStyle name="40 % - Markeringsfarve4 6 4 4" xfId="26078" xr:uid="{00000000-0005-0000-0000-0000A4500000}"/>
    <cellStyle name="40 % - Markeringsfarve4 6 5" xfId="8194" xr:uid="{00000000-0005-0000-0000-0000A5500000}"/>
    <cellStyle name="40 % - Markeringsfarve4 6 5 2" xfId="16112" xr:uid="{00000000-0005-0000-0000-0000A6500000}"/>
    <cellStyle name="40 % - Markeringsfarve4 6 5 2 2" xfId="34272" xr:uid="{00000000-0005-0000-0000-0000A7500000}"/>
    <cellStyle name="40 % - Markeringsfarve4 6 5 3" xfId="27271" xr:uid="{00000000-0005-0000-0000-0000A8500000}"/>
    <cellStyle name="40 % - Markeringsfarve4 6 6" xfId="14910" xr:uid="{00000000-0005-0000-0000-0000A9500000}"/>
    <cellStyle name="40 % - Markeringsfarve4 6 6 2" xfId="33076" xr:uid="{00000000-0005-0000-0000-0000AA500000}"/>
    <cellStyle name="40 % - Markeringsfarve4 6 7" xfId="6356" xr:uid="{00000000-0005-0000-0000-0000AB500000}"/>
    <cellStyle name="40 % - Markeringsfarve4 6 7 2" xfId="26074" xr:uid="{00000000-0005-0000-0000-0000AC500000}"/>
    <cellStyle name="40 % - Markeringsfarve4 6 8" xfId="22042" xr:uid="{00000000-0005-0000-0000-0000AD500000}"/>
    <cellStyle name="40 % - Markeringsfarve4 7" xfId="1926" xr:uid="{00000000-0005-0000-0000-0000AE500000}"/>
    <cellStyle name="40 % - Markeringsfarve4 7 2" xfId="6362" xr:uid="{00000000-0005-0000-0000-0000AF500000}"/>
    <cellStyle name="40 % - Markeringsfarve4 7 2 2" xfId="6363" xr:uid="{00000000-0005-0000-0000-0000B0500000}"/>
    <cellStyle name="40 % - Markeringsfarve4 7 2 2 2" xfId="10035" xr:uid="{00000000-0005-0000-0000-0000B1500000}"/>
    <cellStyle name="40 % - Markeringsfarve4 7 2 2 2 2" xfId="17936" xr:uid="{00000000-0005-0000-0000-0000B2500000}"/>
    <cellStyle name="40 % - Markeringsfarve4 7 2 2 2 2 2" xfId="36096" xr:uid="{00000000-0005-0000-0000-0000B3500000}"/>
    <cellStyle name="40 % - Markeringsfarve4 7 2 2 2 3" xfId="29095" xr:uid="{00000000-0005-0000-0000-0000B4500000}"/>
    <cellStyle name="40 % - Markeringsfarve4 7 2 2 3" xfId="14917" xr:uid="{00000000-0005-0000-0000-0000B5500000}"/>
    <cellStyle name="40 % - Markeringsfarve4 7 2 2 3 2" xfId="33083" xr:uid="{00000000-0005-0000-0000-0000B6500000}"/>
    <cellStyle name="40 % - Markeringsfarve4 7 2 2 4" xfId="26081" xr:uid="{00000000-0005-0000-0000-0000B7500000}"/>
    <cellStyle name="40 % - Markeringsfarve4 7 2 3" xfId="8581" xr:uid="{00000000-0005-0000-0000-0000B8500000}"/>
    <cellStyle name="40 % - Markeringsfarve4 7 2 3 2" xfId="16498" xr:uid="{00000000-0005-0000-0000-0000B9500000}"/>
    <cellStyle name="40 % - Markeringsfarve4 7 2 3 2 2" xfId="34658" xr:uid="{00000000-0005-0000-0000-0000BA500000}"/>
    <cellStyle name="40 % - Markeringsfarve4 7 2 3 3" xfId="27657" xr:uid="{00000000-0005-0000-0000-0000BB500000}"/>
    <cellStyle name="40 % - Markeringsfarve4 7 2 4" xfId="14916" xr:uid="{00000000-0005-0000-0000-0000BC500000}"/>
    <cellStyle name="40 % - Markeringsfarve4 7 2 4 2" xfId="33082" xr:uid="{00000000-0005-0000-0000-0000BD500000}"/>
    <cellStyle name="40 % - Markeringsfarve4 7 2 5" xfId="26080" xr:uid="{00000000-0005-0000-0000-0000BE500000}"/>
    <cellStyle name="40 % - Markeringsfarve4 7 3" xfId="6364" xr:uid="{00000000-0005-0000-0000-0000BF500000}"/>
    <cellStyle name="40 % - Markeringsfarve4 7 3 2" xfId="9265" xr:uid="{00000000-0005-0000-0000-0000C0500000}"/>
    <cellStyle name="40 % - Markeringsfarve4 7 3 2 2" xfId="17176" xr:uid="{00000000-0005-0000-0000-0000C1500000}"/>
    <cellStyle name="40 % - Markeringsfarve4 7 3 2 2 2" xfId="35336" xr:uid="{00000000-0005-0000-0000-0000C2500000}"/>
    <cellStyle name="40 % - Markeringsfarve4 7 3 2 3" xfId="28335" xr:uid="{00000000-0005-0000-0000-0000C3500000}"/>
    <cellStyle name="40 % - Markeringsfarve4 7 3 3" xfId="14918" xr:uid="{00000000-0005-0000-0000-0000C4500000}"/>
    <cellStyle name="40 % - Markeringsfarve4 7 3 3 2" xfId="33084" xr:uid="{00000000-0005-0000-0000-0000C5500000}"/>
    <cellStyle name="40 % - Markeringsfarve4 7 3 4" xfId="26082" xr:uid="{00000000-0005-0000-0000-0000C6500000}"/>
    <cellStyle name="40 % - Markeringsfarve4 7 4" xfId="6365" xr:uid="{00000000-0005-0000-0000-0000C7500000}"/>
    <cellStyle name="40 % - Markeringsfarve4 7 4 2" xfId="10511" xr:uid="{00000000-0005-0000-0000-0000C8500000}"/>
    <cellStyle name="40 % - Markeringsfarve4 7 4 2 2" xfId="18405" xr:uid="{00000000-0005-0000-0000-0000C9500000}"/>
    <cellStyle name="40 % - Markeringsfarve4 7 4 2 2 2" xfId="36565" xr:uid="{00000000-0005-0000-0000-0000CA500000}"/>
    <cellStyle name="40 % - Markeringsfarve4 7 4 2 3" xfId="29564" xr:uid="{00000000-0005-0000-0000-0000CB500000}"/>
    <cellStyle name="40 % - Markeringsfarve4 7 4 3" xfId="14919" xr:uid="{00000000-0005-0000-0000-0000CC500000}"/>
    <cellStyle name="40 % - Markeringsfarve4 7 4 3 2" xfId="33085" xr:uid="{00000000-0005-0000-0000-0000CD500000}"/>
    <cellStyle name="40 % - Markeringsfarve4 7 4 4" xfId="26083" xr:uid="{00000000-0005-0000-0000-0000CE500000}"/>
    <cellStyle name="40 % - Markeringsfarve4 7 5" xfId="8195" xr:uid="{00000000-0005-0000-0000-0000CF500000}"/>
    <cellStyle name="40 % - Markeringsfarve4 7 5 2" xfId="16113" xr:uid="{00000000-0005-0000-0000-0000D0500000}"/>
    <cellStyle name="40 % - Markeringsfarve4 7 5 2 2" xfId="34273" xr:uid="{00000000-0005-0000-0000-0000D1500000}"/>
    <cellStyle name="40 % - Markeringsfarve4 7 5 3" xfId="27272" xr:uid="{00000000-0005-0000-0000-0000D2500000}"/>
    <cellStyle name="40 % - Markeringsfarve4 7 6" xfId="14915" xr:uid="{00000000-0005-0000-0000-0000D3500000}"/>
    <cellStyle name="40 % - Markeringsfarve4 7 6 2" xfId="33081" xr:uid="{00000000-0005-0000-0000-0000D4500000}"/>
    <cellStyle name="40 % - Markeringsfarve4 7 7" xfId="6361" xr:uid="{00000000-0005-0000-0000-0000D5500000}"/>
    <cellStyle name="40 % - Markeringsfarve4 7 7 2" xfId="26079" xr:uid="{00000000-0005-0000-0000-0000D6500000}"/>
    <cellStyle name="40 % - Markeringsfarve4 7 8" xfId="22044" xr:uid="{00000000-0005-0000-0000-0000D7500000}"/>
    <cellStyle name="40 % - Markeringsfarve4 8" xfId="6366" xr:uid="{00000000-0005-0000-0000-0000D8500000}"/>
    <cellStyle name="40 % - Markeringsfarve4 8 2" xfId="6367" xr:uid="{00000000-0005-0000-0000-0000D9500000}"/>
    <cellStyle name="40 % - Markeringsfarve4 8 2 2" xfId="6368" xr:uid="{00000000-0005-0000-0000-0000DA500000}"/>
    <cellStyle name="40 % - Markeringsfarve4 8 2 2 2" xfId="10081" xr:uid="{00000000-0005-0000-0000-0000DB500000}"/>
    <cellStyle name="40 % - Markeringsfarve4 8 2 2 2 2" xfId="17982" xr:uid="{00000000-0005-0000-0000-0000DC500000}"/>
    <cellStyle name="40 % - Markeringsfarve4 8 2 2 2 2 2" xfId="36142" xr:uid="{00000000-0005-0000-0000-0000DD500000}"/>
    <cellStyle name="40 % - Markeringsfarve4 8 2 2 2 3" xfId="29141" xr:uid="{00000000-0005-0000-0000-0000DE500000}"/>
    <cellStyle name="40 % - Markeringsfarve4 8 2 2 3" xfId="14922" xr:uid="{00000000-0005-0000-0000-0000DF500000}"/>
    <cellStyle name="40 % - Markeringsfarve4 8 2 2 3 2" xfId="33088" xr:uid="{00000000-0005-0000-0000-0000E0500000}"/>
    <cellStyle name="40 % - Markeringsfarve4 8 2 2 4" xfId="26086" xr:uid="{00000000-0005-0000-0000-0000E1500000}"/>
    <cellStyle name="40 % - Markeringsfarve4 8 2 3" xfId="8627" xr:uid="{00000000-0005-0000-0000-0000E2500000}"/>
    <cellStyle name="40 % - Markeringsfarve4 8 2 3 2" xfId="16541" xr:uid="{00000000-0005-0000-0000-0000E3500000}"/>
    <cellStyle name="40 % - Markeringsfarve4 8 2 3 2 2" xfId="34701" xr:uid="{00000000-0005-0000-0000-0000E4500000}"/>
    <cellStyle name="40 % - Markeringsfarve4 8 2 3 3" xfId="27700" xr:uid="{00000000-0005-0000-0000-0000E5500000}"/>
    <cellStyle name="40 % - Markeringsfarve4 8 2 4" xfId="14921" xr:uid="{00000000-0005-0000-0000-0000E6500000}"/>
    <cellStyle name="40 % - Markeringsfarve4 8 2 4 2" xfId="33087" xr:uid="{00000000-0005-0000-0000-0000E7500000}"/>
    <cellStyle name="40 % - Markeringsfarve4 8 2 5" xfId="26085" xr:uid="{00000000-0005-0000-0000-0000E8500000}"/>
    <cellStyle name="40 % - Markeringsfarve4 8 3" xfId="6369" xr:uid="{00000000-0005-0000-0000-0000E9500000}"/>
    <cellStyle name="40 % - Markeringsfarve4 8 3 2" xfId="9357" xr:uid="{00000000-0005-0000-0000-0000EA500000}"/>
    <cellStyle name="40 % - Markeringsfarve4 8 3 2 2" xfId="17267" xr:uid="{00000000-0005-0000-0000-0000EB500000}"/>
    <cellStyle name="40 % - Markeringsfarve4 8 3 2 2 2" xfId="35427" xr:uid="{00000000-0005-0000-0000-0000EC500000}"/>
    <cellStyle name="40 % - Markeringsfarve4 8 3 2 3" xfId="28426" xr:uid="{00000000-0005-0000-0000-0000ED500000}"/>
    <cellStyle name="40 % - Markeringsfarve4 8 3 3" xfId="14923" xr:uid="{00000000-0005-0000-0000-0000EE500000}"/>
    <cellStyle name="40 % - Markeringsfarve4 8 3 3 2" xfId="33089" xr:uid="{00000000-0005-0000-0000-0000EF500000}"/>
    <cellStyle name="40 % - Markeringsfarve4 8 3 4" xfId="26087" xr:uid="{00000000-0005-0000-0000-0000F0500000}"/>
    <cellStyle name="40 % - Markeringsfarve4 8 4" xfId="6370" xr:uid="{00000000-0005-0000-0000-0000F1500000}"/>
    <cellStyle name="40 % - Markeringsfarve4 8 4 2" xfId="10820" xr:uid="{00000000-0005-0000-0000-0000F2500000}"/>
    <cellStyle name="40 % - Markeringsfarve4 8 4 2 2" xfId="18707" xr:uid="{00000000-0005-0000-0000-0000F3500000}"/>
    <cellStyle name="40 % - Markeringsfarve4 8 4 2 2 2" xfId="36867" xr:uid="{00000000-0005-0000-0000-0000F4500000}"/>
    <cellStyle name="40 % - Markeringsfarve4 8 4 2 3" xfId="29866" xr:uid="{00000000-0005-0000-0000-0000F5500000}"/>
    <cellStyle name="40 % - Markeringsfarve4 8 4 3" xfId="14924" xr:uid="{00000000-0005-0000-0000-0000F6500000}"/>
    <cellStyle name="40 % - Markeringsfarve4 8 4 3 2" xfId="33090" xr:uid="{00000000-0005-0000-0000-0000F7500000}"/>
    <cellStyle name="40 % - Markeringsfarve4 8 4 4" xfId="26088" xr:uid="{00000000-0005-0000-0000-0000F8500000}"/>
    <cellStyle name="40 % - Markeringsfarve4 8 5" xfId="8196" xr:uid="{00000000-0005-0000-0000-0000F9500000}"/>
    <cellStyle name="40 % - Markeringsfarve4 8 5 2" xfId="16114" xr:uid="{00000000-0005-0000-0000-0000FA500000}"/>
    <cellStyle name="40 % - Markeringsfarve4 8 5 2 2" xfId="34274" xr:uid="{00000000-0005-0000-0000-0000FB500000}"/>
    <cellStyle name="40 % - Markeringsfarve4 8 5 3" xfId="27273" xr:uid="{00000000-0005-0000-0000-0000FC500000}"/>
    <cellStyle name="40 % - Markeringsfarve4 8 6" xfId="14920" xr:uid="{00000000-0005-0000-0000-0000FD500000}"/>
    <cellStyle name="40 % - Markeringsfarve4 8 6 2" xfId="33086" xr:uid="{00000000-0005-0000-0000-0000FE500000}"/>
    <cellStyle name="40 % - Markeringsfarve4 8 7" xfId="26084" xr:uid="{00000000-0005-0000-0000-0000FF500000}"/>
    <cellStyle name="40 % - Markeringsfarve4 9" xfId="6371" xr:uid="{00000000-0005-0000-0000-000000510000}"/>
    <cellStyle name="40 % - Markeringsfarve4 9 2" xfId="6372" xr:uid="{00000000-0005-0000-0000-000001510000}"/>
    <cellStyle name="40 % - Markeringsfarve4 9 2 2" xfId="6373" xr:uid="{00000000-0005-0000-0000-000002510000}"/>
    <cellStyle name="40 % - Markeringsfarve4 9 2 2 2" xfId="10198" xr:uid="{00000000-0005-0000-0000-000003510000}"/>
    <cellStyle name="40 % - Markeringsfarve4 9 2 2 2 2" xfId="18099" xr:uid="{00000000-0005-0000-0000-000004510000}"/>
    <cellStyle name="40 % - Markeringsfarve4 9 2 2 2 2 2" xfId="36259" xr:uid="{00000000-0005-0000-0000-000005510000}"/>
    <cellStyle name="40 % - Markeringsfarve4 9 2 2 2 3" xfId="29258" xr:uid="{00000000-0005-0000-0000-000006510000}"/>
    <cellStyle name="40 % - Markeringsfarve4 9 2 2 3" xfId="14927" xr:uid="{00000000-0005-0000-0000-000007510000}"/>
    <cellStyle name="40 % - Markeringsfarve4 9 2 2 3 2" xfId="33093" xr:uid="{00000000-0005-0000-0000-000008510000}"/>
    <cellStyle name="40 % - Markeringsfarve4 9 2 2 4" xfId="26091" xr:uid="{00000000-0005-0000-0000-000009510000}"/>
    <cellStyle name="40 % - Markeringsfarve4 9 2 3" xfId="8726" xr:uid="{00000000-0005-0000-0000-00000A510000}"/>
    <cellStyle name="40 % - Markeringsfarve4 9 2 3 2" xfId="16640" xr:uid="{00000000-0005-0000-0000-00000B510000}"/>
    <cellStyle name="40 % - Markeringsfarve4 9 2 3 2 2" xfId="34800" xr:uid="{00000000-0005-0000-0000-00000C510000}"/>
    <cellStyle name="40 % - Markeringsfarve4 9 2 3 3" xfId="27799" xr:uid="{00000000-0005-0000-0000-00000D510000}"/>
    <cellStyle name="40 % - Markeringsfarve4 9 2 4" xfId="14926" xr:uid="{00000000-0005-0000-0000-00000E510000}"/>
    <cellStyle name="40 % - Markeringsfarve4 9 2 4 2" xfId="33092" xr:uid="{00000000-0005-0000-0000-00000F510000}"/>
    <cellStyle name="40 % - Markeringsfarve4 9 2 5" xfId="26090" xr:uid="{00000000-0005-0000-0000-000010510000}"/>
    <cellStyle name="40 % - Markeringsfarve4 9 3" xfId="6374" xr:uid="{00000000-0005-0000-0000-000011510000}"/>
    <cellStyle name="40 % - Markeringsfarve4 9 3 2" xfId="9474" xr:uid="{00000000-0005-0000-0000-000012510000}"/>
    <cellStyle name="40 % - Markeringsfarve4 9 3 2 2" xfId="17384" xr:uid="{00000000-0005-0000-0000-000013510000}"/>
    <cellStyle name="40 % - Markeringsfarve4 9 3 2 2 2" xfId="35544" xr:uid="{00000000-0005-0000-0000-000014510000}"/>
    <cellStyle name="40 % - Markeringsfarve4 9 3 2 3" xfId="28543" xr:uid="{00000000-0005-0000-0000-000015510000}"/>
    <cellStyle name="40 % - Markeringsfarve4 9 3 3" xfId="14928" xr:uid="{00000000-0005-0000-0000-000016510000}"/>
    <cellStyle name="40 % - Markeringsfarve4 9 3 3 2" xfId="33094" xr:uid="{00000000-0005-0000-0000-000017510000}"/>
    <cellStyle name="40 % - Markeringsfarve4 9 3 4" xfId="26092" xr:uid="{00000000-0005-0000-0000-000018510000}"/>
    <cellStyle name="40 % - Markeringsfarve4 9 4" xfId="6375" xr:uid="{00000000-0005-0000-0000-000019510000}"/>
    <cellStyle name="40 % - Markeringsfarve4 9 4 2" xfId="10471" xr:uid="{00000000-0005-0000-0000-00001A510000}"/>
    <cellStyle name="40 % - Markeringsfarve4 9 4 2 2" xfId="18368" xr:uid="{00000000-0005-0000-0000-00001B510000}"/>
    <cellStyle name="40 % - Markeringsfarve4 9 4 2 2 2" xfId="36528" xr:uid="{00000000-0005-0000-0000-00001C510000}"/>
    <cellStyle name="40 % - Markeringsfarve4 9 4 2 3" xfId="29527" xr:uid="{00000000-0005-0000-0000-00001D510000}"/>
    <cellStyle name="40 % - Markeringsfarve4 9 4 3" xfId="14929" xr:uid="{00000000-0005-0000-0000-00001E510000}"/>
    <cellStyle name="40 % - Markeringsfarve4 9 4 3 2" xfId="33095" xr:uid="{00000000-0005-0000-0000-00001F510000}"/>
    <cellStyle name="40 % - Markeringsfarve4 9 4 4" xfId="26093" xr:uid="{00000000-0005-0000-0000-000020510000}"/>
    <cellStyle name="40 % - Markeringsfarve4 9 5" xfId="8197" xr:uid="{00000000-0005-0000-0000-000021510000}"/>
    <cellStyle name="40 % - Markeringsfarve4 9 5 2" xfId="16115" xr:uid="{00000000-0005-0000-0000-000022510000}"/>
    <cellStyle name="40 % - Markeringsfarve4 9 5 2 2" xfId="34275" xr:uid="{00000000-0005-0000-0000-000023510000}"/>
    <cellStyle name="40 % - Markeringsfarve4 9 5 3" xfId="27274" xr:uid="{00000000-0005-0000-0000-000024510000}"/>
    <cellStyle name="40 % - Markeringsfarve4 9 6" xfId="14925" xr:uid="{00000000-0005-0000-0000-000025510000}"/>
    <cellStyle name="40 % - Markeringsfarve4 9 6 2" xfId="33091" xr:uid="{00000000-0005-0000-0000-000026510000}"/>
    <cellStyle name="40 % - Markeringsfarve4 9 7" xfId="26089" xr:uid="{00000000-0005-0000-0000-000027510000}"/>
    <cellStyle name="40 % - Markeringsfarve5 10" xfId="6377" xr:uid="{00000000-0005-0000-0000-000028510000}"/>
    <cellStyle name="40 % - Markeringsfarve5 10 2" xfId="6378" xr:uid="{00000000-0005-0000-0000-000029510000}"/>
    <cellStyle name="40 % - Markeringsfarve5 10 2 2" xfId="6379" xr:uid="{00000000-0005-0000-0000-00002A510000}"/>
    <cellStyle name="40 % - Markeringsfarve5 10 2 2 2" xfId="10398" xr:uid="{00000000-0005-0000-0000-00002B510000}"/>
    <cellStyle name="40 % - Markeringsfarve5 10 2 2 2 2" xfId="18299" xr:uid="{00000000-0005-0000-0000-00002C510000}"/>
    <cellStyle name="40 % - Markeringsfarve5 10 2 2 2 2 2" xfId="36459" xr:uid="{00000000-0005-0000-0000-00002D510000}"/>
    <cellStyle name="40 % - Markeringsfarve5 10 2 2 2 3" xfId="29458" xr:uid="{00000000-0005-0000-0000-00002E510000}"/>
    <cellStyle name="40 % - Markeringsfarve5 10 2 2 3" xfId="14933" xr:uid="{00000000-0005-0000-0000-00002F510000}"/>
    <cellStyle name="40 % - Markeringsfarve5 10 2 2 3 2" xfId="33099" xr:uid="{00000000-0005-0000-0000-000030510000}"/>
    <cellStyle name="40 % - Markeringsfarve5 10 2 2 4" xfId="26097" xr:uid="{00000000-0005-0000-0000-000031510000}"/>
    <cellStyle name="40 % - Markeringsfarve5 10 2 3" xfId="8891" xr:uid="{00000000-0005-0000-0000-000032510000}"/>
    <cellStyle name="40 % - Markeringsfarve5 10 2 3 2" xfId="16805" xr:uid="{00000000-0005-0000-0000-000033510000}"/>
    <cellStyle name="40 % - Markeringsfarve5 10 2 3 2 2" xfId="34965" xr:uid="{00000000-0005-0000-0000-000034510000}"/>
    <cellStyle name="40 % - Markeringsfarve5 10 2 3 3" xfId="27964" xr:uid="{00000000-0005-0000-0000-000035510000}"/>
    <cellStyle name="40 % - Markeringsfarve5 10 2 4" xfId="14932" xr:uid="{00000000-0005-0000-0000-000036510000}"/>
    <cellStyle name="40 % - Markeringsfarve5 10 2 4 2" xfId="33098" xr:uid="{00000000-0005-0000-0000-000037510000}"/>
    <cellStyle name="40 % - Markeringsfarve5 10 2 5" xfId="26096" xr:uid="{00000000-0005-0000-0000-000038510000}"/>
    <cellStyle name="40 % - Markeringsfarve5 10 3" xfId="6380" xr:uid="{00000000-0005-0000-0000-000039510000}"/>
    <cellStyle name="40 % - Markeringsfarve5 10 3 2" xfId="9675" xr:uid="{00000000-0005-0000-0000-00003A510000}"/>
    <cellStyle name="40 % - Markeringsfarve5 10 3 2 2" xfId="17585" xr:uid="{00000000-0005-0000-0000-00003B510000}"/>
    <cellStyle name="40 % - Markeringsfarve5 10 3 2 2 2" xfId="35745" xr:uid="{00000000-0005-0000-0000-00003C510000}"/>
    <cellStyle name="40 % - Markeringsfarve5 10 3 2 3" xfId="28744" xr:uid="{00000000-0005-0000-0000-00003D510000}"/>
    <cellStyle name="40 % - Markeringsfarve5 10 3 3" xfId="14934" xr:uid="{00000000-0005-0000-0000-00003E510000}"/>
    <cellStyle name="40 % - Markeringsfarve5 10 3 3 2" xfId="33100" xr:uid="{00000000-0005-0000-0000-00003F510000}"/>
    <cellStyle name="40 % - Markeringsfarve5 10 3 4" xfId="26098" xr:uid="{00000000-0005-0000-0000-000040510000}"/>
    <cellStyle name="40 % - Markeringsfarve5 10 4" xfId="6381" xr:uid="{00000000-0005-0000-0000-000041510000}"/>
    <cellStyle name="40 % - Markeringsfarve5 10 4 2" xfId="8925" xr:uid="{00000000-0005-0000-0000-000042510000}"/>
    <cellStyle name="40 % - Markeringsfarve5 10 4 2 2" xfId="16838" xr:uid="{00000000-0005-0000-0000-000043510000}"/>
    <cellStyle name="40 % - Markeringsfarve5 10 4 2 2 2" xfId="34998" xr:uid="{00000000-0005-0000-0000-000044510000}"/>
    <cellStyle name="40 % - Markeringsfarve5 10 4 2 3" xfId="27997" xr:uid="{00000000-0005-0000-0000-000045510000}"/>
    <cellStyle name="40 % - Markeringsfarve5 10 4 3" xfId="14935" xr:uid="{00000000-0005-0000-0000-000046510000}"/>
    <cellStyle name="40 % - Markeringsfarve5 10 4 3 2" xfId="33101" xr:uid="{00000000-0005-0000-0000-000047510000}"/>
    <cellStyle name="40 % - Markeringsfarve5 10 4 4" xfId="26099" xr:uid="{00000000-0005-0000-0000-000048510000}"/>
    <cellStyle name="40 % - Markeringsfarve5 10 5" xfId="8199" xr:uid="{00000000-0005-0000-0000-000049510000}"/>
    <cellStyle name="40 % - Markeringsfarve5 10 5 2" xfId="16117" xr:uid="{00000000-0005-0000-0000-00004A510000}"/>
    <cellStyle name="40 % - Markeringsfarve5 10 5 2 2" xfId="34277" xr:uid="{00000000-0005-0000-0000-00004B510000}"/>
    <cellStyle name="40 % - Markeringsfarve5 10 5 3" xfId="27276" xr:uid="{00000000-0005-0000-0000-00004C510000}"/>
    <cellStyle name="40 % - Markeringsfarve5 10 6" xfId="14931" xr:uid="{00000000-0005-0000-0000-00004D510000}"/>
    <cellStyle name="40 % - Markeringsfarve5 10 6 2" xfId="33097" xr:uid="{00000000-0005-0000-0000-00004E510000}"/>
    <cellStyle name="40 % - Markeringsfarve5 10 7" xfId="26095" xr:uid="{00000000-0005-0000-0000-00004F510000}"/>
    <cellStyle name="40 % - Markeringsfarve5 11" xfId="6382" xr:uid="{00000000-0005-0000-0000-000050510000}"/>
    <cellStyle name="40 % - Markeringsfarve5 11 2" xfId="6383" xr:uid="{00000000-0005-0000-0000-000051510000}"/>
    <cellStyle name="40 % - Markeringsfarve5 11 2 2" xfId="9725" xr:uid="{00000000-0005-0000-0000-000052510000}"/>
    <cellStyle name="40 % - Markeringsfarve5 11 2 2 2" xfId="17626" xr:uid="{00000000-0005-0000-0000-000053510000}"/>
    <cellStyle name="40 % - Markeringsfarve5 11 2 2 2 2" xfId="35786" xr:uid="{00000000-0005-0000-0000-000054510000}"/>
    <cellStyle name="40 % - Markeringsfarve5 11 2 2 3" xfId="28785" xr:uid="{00000000-0005-0000-0000-000055510000}"/>
    <cellStyle name="40 % - Markeringsfarve5 11 2 3" xfId="14937" xr:uid="{00000000-0005-0000-0000-000056510000}"/>
    <cellStyle name="40 % - Markeringsfarve5 11 2 3 2" xfId="33103" xr:uid="{00000000-0005-0000-0000-000057510000}"/>
    <cellStyle name="40 % - Markeringsfarve5 11 2 4" xfId="26101" xr:uid="{00000000-0005-0000-0000-000058510000}"/>
    <cellStyle name="40 % - Markeringsfarve5 11 3" xfId="6384" xr:uid="{00000000-0005-0000-0000-000059510000}"/>
    <cellStyle name="40 % - Markeringsfarve5 11 3 2" xfId="10770" xr:uid="{00000000-0005-0000-0000-00005A510000}"/>
    <cellStyle name="40 % - Markeringsfarve5 11 3 2 2" xfId="18658" xr:uid="{00000000-0005-0000-0000-00005B510000}"/>
    <cellStyle name="40 % - Markeringsfarve5 11 3 2 2 2" xfId="36818" xr:uid="{00000000-0005-0000-0000-00005C510000}"/>
    <cellStyle name="40 % - Markeringsfarve5 11 3 2 3" xfId="29817" xr:uid="{00000000-0005-0000-0000-00005D510000}"/>
    <cellStyle name="40 % - Markeringsfarve5 11 3 3" xfId="14938" xr:uid="{00000000-0005-0000-0000-00005E510000}"/>
    <cellStyle name="40 % - Markeringsfarve5 11 3 3 2" xfId="33104" xr:uid="{00000000-0005-0000-0000-00005F510000}"/>
    <cellStyle name="40 % - Markeringsfarve5 11 3 4" xfId="26102" xr:uid="{00000000-0005-0000-0000-000060510000}"/>
    <cellStyle name="40 % - Markeringsfarve5 11 4" xfId="8200" xr:uid="{00000000-0005-0000-0000-000061510000}"/>
    <cellStyle name="40 % - Markeringsfarve5 11 4 2" xfId="16118" xr:uid="{00000000-0005-0000-0000-000062510000}"/>
    <cellStyle name="40 % - Markeringsfarve5 11 4 2 2" xfId="34278" xr:uid="{00000000-0005-0000-0000-000063510000}"/>
    <cellStyle name="40 % - Markeringsfarve5 11 4 3" xfId="27277" xr:uid="{00000000-0005-0000-0000-000064510000}"/>
    <cellStyle name="40 % - Markeringsfarve5 11 5" xfId="14936" xr:uid="{00000000-0005-0000-0000-000065510000}"/>
    <cellStyle name="40 % - Markeringsfarve5 11 5 2" xfId="33102" xr:uid="{00000000-0005-0000-0000-000066510000}"/>
    <cellStyle name="40 % - Markeringsfarve5 11 6" xfId="26100" xr:uid="{00000000-0005-0000-0000-000067510000}"/>
    <cellStyle name="40 % - Markeringsfarve5 12" xfId="6385" xr:uid="{00000000-0005-0000-0000-000068510000}"/>
    <cellStyle name="40 % - Markeringsfarve5 12 2" xfId="6386" xr:uid="{00000000-0005-0000-0000-000069510000}"/>
    <cellStyle name="40 % - Markeringsfarve5 12 2 2" xfId="10991" xr:uid="{00000000-0005-0000-0000-00006A510000}"/>
    <cellStyle name="40 % - Markeringsfarve5 12 2 2 2" xfId="18867" xr:uid="{00000000-0005-0000-0000-00006B510000}"/>
    <cellStyle name="40 % - Markeringsfarve5 12 2 2 2 2" xfId="37027" xr:uid="{00000000-0005-0000-0000-00006C510000}"/>
    <cellStyle name="40 % - Markeringsfarve5 12 2 2 3" xfId="30026" xr:uid="{00000000-0005-0000-0000-00006D510000}"/>
    <cellStyle name="40 % - Markeringsfarve5 12 2 3" xfId="14940" xr:uid="{00000000-0005-0000-0000-00006E510000}"/>
    <cellStyle name="40 % - Markeringsfarve5 12 2 3 2" xfId="33106" xr:uid="{00000000-0005-0000-0000-00006F510000}"/>
    <cellStyle name="40 % - Markeringsfarve5 12 2 4" xfId="26104" xr:uid="{00000000-0005-0000-0000-000070510000}"/>
    <cellStyle name="40 % - Markeringsfarve5 12 3" xfId="8201" xr:uid="{00000000-0005-0000-0000-000071510000}"/>
    <cellStyle name="40 % - Markeringsfarve5 12 3 2" xfId="16119" xr:uid="{00000000-0005-0000-0000-000072510000}"/>
    <cellStyle name="40 % - Markeringsfarve5 12 3 2 2" xfId="34279" xr:uid="{00000000-0005-0000-0000-000073510000}"/>
    <cellStyle name="40 % - Markeringsfarve5 12 3 3" xfId="27278" xr:uid="{00000000-0005-0000-0000-000074510000}"/>
    <cellStyle name="40 % - Markeringsfarve5 12 4" xfId="14939" xr:uid="{00000000-0005-0000-0000-000075510000}"/>
    <cellStyle name="40 % - Markeringsfarve5 12 4 2" xfId="33105" xr:uid="{00000000-0005-0000-0000-000076510000}"/>
    <cellStyle name="40 % - Markeringsfarve5 12 5" xfId="26103" xr:uid="{00000000-0005-0000-0000-000077510000}"/>
    <cellStyle name="40 % - Markeringsfarve5 13" xfId="6387" xr:uid="{00000000-0005-0000-0000-000078510000}"/>
    <cellStyle name="40 % - Markeringsfarve5 13 2" xfId="6388" xr:uid="{00000000-0005-0000-0000-000079510000}"/>
    <cellStyle name="40 % - Markeringsfarve5 13 2 2" xfId="10711" xr:uid="{00000000-0005-0000-0000-00007A510000}"/>
    <cellStyle name="40 % - Markeringsfarve5 13 2 2 2" xfId="18600" xr:uid="{00000000-0005-0000-0000-00007B510000}"/>
    <cellStyle name="40 % - Markeringsfarve5 13 2 2 2 2" xfId="36760" xr:uid="{00000000-0005-0000-0000-00007C510000}"/>
    <cellStyle name="40 % - Markeringsfarve5 13 2 2 3" xfId="29759" xr:uid="{00000000-0005-0000-0000-00007D510000}"/>
    <cellStyle name="40 % - Markeringsfarve5 13 2 3" xfId="14942" xr:uid="{00000000-0005-0000-0000-00007E510000}"/>
    <cellStyle name="40 % - Markeringsfarve5 13 2 3 2" xfId="33108" xr:uid="{00000000-0005-0000-0000-00007F510000}"/>
    <cellStyle name="40 % - Markeringsfarve5 13 2 4" xfId="26106" xr:uid="{00000000-0005-0000-0000-000080510000}"/>
    <cellStyle name="40 % - Markeringsfarve5 13 3" xfId="8202" xr:uid="{00000000-0005-0000-0000-000081510000}"/>
    <cellStyle name="40 % - Markeringsfarve5 13 3 2" xfId="16120" xr:uid="{00000000-0005-0000-0000-000082510000}"/>
    <cellStyle name="40 % - Markeringsfarve5 13 3 2 2" xfId="34280" xr:uid="{00000000-0005-0000-0000-000083510000}"/>
    <cellStyle name="40 % - Markeringsfarve5 13 3 3" xfId="27279" xr:uid="{00000000-0005-0000-0000-000084510000}"/>
    <cellStyle name="40 % - Markeringsfarve5 13 4" xfId="14941" xr:uid="{00000000-0005-0000-0000-000085510000}"/>
    <cellStyle name="40 % - Markeringsfarve5 13 4 2" xfId="33107" xr:uid="{00000000-0005-0000-0000-000086510000}"/>
    <cellStyle name="40 % - Markeringsfarve5 13 5" xfId="26105" xr:uid="{00000000-0005-0000-0000-000087510000}"/>
    <cellStyle name="40 % - Markeringsfarve5 14" xfId="6389" xr:uid="{00000000-0005-0000-0000-000088510000}"/>
    <cellStyle name="40 % - Markeringsfarve5 14 2" xfId="6390" xr:uid="{00000000-0005-0000-0000-000089510000}"/>
    <cellStyle name="40 % - Markeringsfarve5 14 2 2" xfId="10700" xr:uid="{00000000-0005-0000-0000-00008A510000}"/>
    <cellStyle name="40 % - Markeringsfarve5 14 2 2 2" xfId="18591" xr:uid="{00000000-0005-0000-0000-00008B510000}"/>
    <cellStyle name="40 % - Markeringsfarve5 14 2 2 2 2" xfId="36751" xr:uid="{00000000-0005-0000-0000-00008C510000}"/>
    <cellStyle name="40 % - Markeringsfarve5 14 2 2 3" xfId="29750" xr:uid="{00000000-0005-0000-0000-00008D510000}"/>
    <cellStyle name="40 % - Markeringsfarve5 14 2 3" xfId="14944" xr:uid="{00000000-0005-0000-0000-00008E510000}"/>
    <cellStyle name="40 % - Markeringsfarve5 14 2 3 2" xfId="33110" xr:uid="{00000000-0005-0000-0000-00008F510000}"/>
    <cellStyle name="40 % - Markeringsfarve5 14 2 4" xfId="26108" xr:uid="{00000000-0005-0000-0000-000090510000}"/>
    <cellStyle name="40 % - Markeringsfarve5 14 3" xfId="8198" xr:uid="{00000000-0005-0000-0000-000091510000}"/>
    <cellStyle name="40 % - Markeringsfarve5 14 3 2" xfId="16116" xr:uid="{00000000-0005-0000-0000-000092510000}"/>
    <cellStyle name="40 % - Markeringsfarve5 14 3 2 2" xfId="34276" xr:uid="{00000000-0005-0000-0000-000093510000}"/>
    <cellStyle name="40 % - Markeringsfarve5 14 3 3" xfId="27275" xr:uid="{00000000-0005-0000-0000-000094510000}"/>
    <cellStyle name="40 % - Markeringsfarve5 14 4" xfId="14943" xr:uid="{00000000-0005-0000-0000-000095510000}"/>
    <cellStyle name="40 % - Markeringsfarve5 14 4 2" xfId="33109" xr:uid="{00000000-0005-0000-0000-000096510000}"/>
    <cellStyle name="40 % - Markeringsfarve5 14 5" xfId="26107" xr:uid="{00000000-0005-0000-0000-000097510000}"/>
    <cellStyle name="40 % - Markeringsfarve5 15" xfId="6391" xr:uid="{00000000-0005-0000-0000-000098510000}"/>
    <cellStyle name="40 % - Markeringsfarve5 15 2" xfId="8949" xr:uid="{00000000-0005-0000-0000-000099510000}"/>
    <cellStyle name="40 % - Markeringsfarve5 15 2 2" xfId="16862" xr:uid="{00000000-0005-0000-0000-00009A510000}"/>
    <cellStyle name="40 % - Markeringsfarve5 15 2 2 2" xfId="35022" xr:uid="{00000000-0005-0000-0000-00009B510000}"/>
    <cellStyle name="40 % - Markeringsfarve5 15 2 3" xfId="28021" xr:uid="{00000000-0005-0000-0000-00009C510000}"/>
    <cellStyle name="40 % - Markeringsfarve5 15 3" xfId="14945" xr:uid="{00000000-0005-0000-0000-00009D510000}"/>
    <cellStyle name="40 % - Markeringsfarve5 15 3 2" xfId="33111" xr:uid="{00000000-0005-0000-0000-00009E510000}"/>
    <cellStyle name="40 % - Markeringsfarve5 15 4" xfId="26109" xr:uid="{00000000-0005-0000-0000-00009F510000}"/>
    <cellStyle name="40 % - Markeringsfarve5 16" xfId="6392" xr:uid="{00000000-0005-0000-0000-0000A0510000}"/>
    <cellStyle name="40 % - Markeringsfarve5 16 2" xfId="10775" xr:uid="{00000000-0005-0000-0000-0000A1510000}"/>
    <cellStyle name="40 % - Markeringsfarve5 16 2 2" xfId="18663" xr:uid="{00000000-0005-0000-0000-0000A2510000}"/>
    <cellStyle name="40 % - Markeringsfarve5 16 2 2 2" xfId="36823" xr:uid="{00000000-0005-0000-0000-0000A3510000}"/>
    <cellStyle name="40 % - Markeringsfarve5 16 2 3" xfId="29822" xr:uid="{00000000-0005-0000-0000-0000A4510000}"/>
    <cellStyle name="40 % - Markeringsfarve5 16 3" xfId="14946" xr:uid="{00000000-0005-0000-0000-0000A5510000}"/>
    <cellStyle name="40 % - Markeringsfarve5 16 3 2" xfId="33112" xr:uid="{00000000-0005-0000-0000-0000A6510000}"/>
    <cellStyle name="40 % - Markeringsfarve5 16 4" xfId="26110" xr:uid="{00000000-0005-0000-0000-0000A7510000}"/>
    <cellStyle name="40 % - Markeringsfarve5 17" xfId="6393" xr:uid="{00000000-0005-0000-0000-0000A8510000}"/>
    <cellStyle name="40 % - Markeringsfarve5 17 2" xfId="8969" xr:uid="{00000000-0005-0000-0000-0000A9510000}"/>
    <cellStyle name="40 % - Markeringsfarve5 17 2 2" xfId="16880" xr:uid="{00000000-0005-0000-0000-0000AA510000}"/>
    <cellStyle name="40 % - Markeringsfarve5 17 2 2 2" xfId="35040" xr:uid="{00000000-0005-0000-0000-0000AB510000}"/>
    <cellStyle name="40 % - Markeringsfarve5 17 2 3" xfId="28039" xr:uid="{00000000-0005-0000-0000-0000AC510000}"/>
    <cellStyle name="40 % - Markeringsfarve5 17 3" xfId="14947" xr:uid="{00000000-0005-0000-0000-0000AD510000}"/>
    <cellStyle name="40 % - Markeringsfarve5 17 3 2" xfId="33113" xr:uid="{00000000-0005-0000-0000-0000AE510000}"/>
    <cellStyle name="40 % - Markeringsfarve5 17 4" xfId="26111" xr:uid="{00000000-0005-0000-0000-0000AF510000}"/>
    <cellStyle name="40 % - Markeringsfarve5 18" xfId="7628" xr:uid="{00000000-0005-0000-0000-0000B0510000}"/>
    <cellStyle name="40 % - Markeringsfarve5 18 2" xfId="15549" xr:uid="{00000000-0005-0000-0000-0000B1510000}"/>
    <cellStyle name="40 % - Markeringsfarve5 18 2 2" xfId="33709" xr:uid="{00000000-0005-0000-0000-0000B2510000}"/>
    <cellStyle name="40 % - Markeringsfarve5 18 3" xfId="26708" xr:uid="{00000000-0005-0000-0000-0000B3510000}"/>
    <cellStyle name="40 % - Markeringsfarve5 19" xfId="6376" xr:uid="{00000000-0005-0000-0000-0000B4510000}"/>
    <cellStyle name="40 % - Markeringsfarve5 19 2" xfId="14930" xr:uid="{00000000-0005-0000-0000-0000B5510000}"/>
    <cellStyle name="40 % - Markeringsfarve5 19 2 2" xfId="33096" xr:uid="{00000000-0005-0000-0000-0000B6510000}"/>
    <cellStyle name="40 % - Markeringsfarve5 19 3" xfId="26094" xr:uid="{00000000-0005-0000-0000-0000B7510000}"/>
    <cellStyle name="40 % - Markeringsfarve5 2" xfId="1927" xr:uid="{00000000-0005-0000-0000-0000B8510000}"/>
    <cellStyle name="40 % - Markeringsfarve5 2 10" xfId="6395" xr:uid="{00000000-0005-0000-0000-0000B9510000}"/>
    <cellStyle name="40 % - Markeringsfarve5 2 10 2" xfId="8979" xr:uid="{00000000-0005-0000-0000-0000BA510000}"/>
    <cellStyle name="40 % - Markeringsfarve5 2 10 2 2" xfId="16890" xr:uid="{00000000-0005-0000-0000-0000BB510000}"/>
    <cellStyle name="40 % - Markeringsfarve5 2 10 2 2 2" xfId="35050" xr:uid="{00000000-0005-0000-0000-0000BC510000}"/>
    <cellStyle name="40 % - Markeringsfarve5 2 10 2 3" xfId="28049" xr:uid="{00000000-0005-0000-0000-0000BD510000}"/>
    <cellStyle name="40 % - Markeringsfarve5 2 10 3" xfId="14949" xr:uid="{00000000-0005-0000-0000-0000BE510000}"/>
    <cellStyle name="40 % - Markeringsfarve5 2 10 3 2" xfId="33115" xr:uid="{00000000-0005-0000-0000-0000BF510000}"/>
    <cellStyle name="40 % - Markeringsfarve5 2 10 4" xfId="26113" xr:uid="{00000000-0005-0000-0000-0000C0510000}"/>
    <cellStyle name="40 % - Markeringsfarve5 2 11" xfId="6396" xr:uid="{00000000-0005-0000-0000-0000C1510000}"/>
    <cellStyle name="40 % - Markeringsfarve5 2 11 2" xfId="10943" xr:uid="{00000000-0005-0000-0000-0000C2510000}"/>
    <cellStyle name="40 % - Markeringsfarve5 2 11 2 2" xfId="18823" xr:uid="{00000000-0005-0000-0000-0000C3510000}"/>
    <cellStyle name="40 % - Markeringsfarve5 2 11 2 2 2" xfId="36983" xr:uid="{00000000-0005-0000-0000-0000C4510000}"/>
    <cellStyle name="40 % - Markeringsfarve5 2 11 2 3" xfId="29982" xr:uid="{00000000-0005-0000-0000-0000C5510000}"/>
    <cellStyle name="40 % - Markeringsfarve5 2 11 3" xfId="14950" xr:uid="{00000000-0005-0000-0000-0000C6510000}"/>
    <cellStyle name="40 % - Markeringsfarve5 2 11 3 2" xfId="33116" xr:uid="{00000000-0005-0000-0000-0000C7510000}"/>
    <cellStyle name="40 % - Markeringsfarve5 2 11 4" xfId="26114" xr:uid="{00000000-0005-0000-0000-0000C8510000}"/>
    <cellStyle name="40 % - Markeringsfarve5 2 12" xfId="8203" xr:uid="{00000000-0005-0000-0000-0000C9510000}"/>
    <cellStyle name="40 % - Markeringsfarve5 2 12 2" xfId="16121" xr:uid="{00000000-0005-0000-0000-0000CA510000}"/>
    <cellStyle name="40 % - Markeringsfarve5 2 12 2 2" xfId="34281" xr:uid="{00000000-0005-0000-0000-0000CB510000}"/>
    <cellStyle name="40 % - Markeringsfarve5 2 12 3" xfId="27280" xr:uid="{00000000-0005-0000-0000-0000CC510000}"/>
    <cellStyle name="40 % - Markeringsfarve5 2 13" xfId="14948" xr:uid="{00000000-0005-0000-0000-0000CD510000}"/>
    <cellStyle name="40 % - Markeringsfarve5 2 13 2" xfId="33114" xr:uid="{00000000-0005-0000-0000-0000CE510000}"/>
    <cellStyle name="40 % - Markeringsfarve5 2 14" xfId="6394" xr:uid="{00000000-0005-0000-0000-0000CF510000}"/>
    <cellStyle name="40 % - Markeringsfarve5 2 14 2" xfId="26112" xr:uid="{00000000-0005-0000-0000-0000D0510000}"/>
    <cellStyle name="40 % - Markeringsfarve5 2 15" xfId="22045" xr:uid="{00000000-0005-0000-0000-0000D1510000}"/>
    <cellStyle name="40 % - Markeringsfarve5 2 2" xfId="1928" xr:uid="{00000000-0005-0000-0000-0000D2510000}"/>
    <cellStyle name="40 % - Markeringsfarve5 2 2 10" xfId="8204" xr:uid="{00000000-0005-0000-0000-0000D3510000}"/>
    <cellStyle name="40 % - Markeringsfarve5 2 2 10 2" xfId="16122" xr:uid="{00000000-0005-0000-0000-0000D4510000}"/>
    <cellStyle name="40 % - Markeringsfarve5 2 2 10 2 2" xfId="34282" xr:uid="{00000000-0005-0000-0000-0000D5510000}"/>
    <cellStyle name="40 % - Markeringsfarve5 2 2 10 3" xfId="27281" xr:uid="{00000000-0005-0000-0000-0000D6510000}"/>
    <cellStyle name="40 % - Markeringsfarve5 2 2 11" xfId="14951" xr:uid="{00000000-0005-0000-0000-0000D7510000}"/>
    <cellStyle name="40 % - Markeringsfarve5 2 2 11 2" xfId="33117" xr:uid="{00000000-0005-0000-0000-0000D8510000}"/>
    <cellStyle name="40 % - Markeringsfarve5 2 2 12" xfId="6397" xr:uid="{00000000-0005-0000-0000-0000D9510000}"/>
    <cellStyle name="40 % - Markeringsfarve5 2 2 12 2" xfId="26115" xr:uid="{00000000-0005-0000-0000-0000DA510000}"/>
    <cellStyle name="40 % - Markeringsfarve5 2 2 13" xfId="22046" xr:uid="{00000000-0005-0000-0000-0000DB510000}"/>
    <cellStyle name="40 % - Markeringsfarve5 2 2 2" xfId="1929" xr:uid="{00000000-0005-0000-0000-0000DC510000}"/>
    <cellStyle name="40 % - Markeringsfarve5 2 2 2 2" xfId="6399" xr:uid="{00000000-0005-0000-0000-0000DD510000}"/>
    <cellStyle name="40 % - Markeringsfarve5 2 2 2 2 2" xfId="6400" xr:uid="{00000000-0005-0000-0000-0000DE510000}"/>
    <cellStyle name="40 % - Markeringsfarve5 2 2 2 2 2 2" xfId="9910" xr:uid="{00000000-0005-0000-0000-0000DF510000}"/>
    <cellStyle name="40 % - Markeringsfarve5 2 2 2 2 2 2 2" xfId="17811" xr:uid="{00000000-0005-0000-0000-0000E0510000}"/>
    <cellStyle name="40 % - Markeringsfarve5 2 2 2 2 2 2 2 2" xfId="35971" xr:uid="{00000000-0005-0000-0000-0000E1510000}"/>
    <cellStyle name="40 % - Markeringsfarve5 2 2 2 2 2 2 3" xfId="28970" xr:uid="{00000000-0005-0000-0000-0000E2510000}"/>
    <cellStyle name="40 % - Markeringsfarve5 2 2 2 2 2 3" xfId="14954" xr:uid="{00000000-0005-0000-0000-0000E3510000}"/>
    <cellStyle name="40 % - Markeringsfarve5 2 2 2 2 2 3 2" xfId="33120" xr:uid="{00000000-0005-0000-0000-0000E4510000}"/>
    <cellStyle name="40 % - Markeringsfarve5 2 2 2 2 2 4" xfId="26118" xr:uid="{00000000-0005-0000-0000-0000E5510000}"/>
    <cellStyle name="40 % - Markeringsfarve5 2 2 2 2 3" xfId="8481" xr:uid="{00000000-0005-0000-0000-0000E6510000}"/>
    <cellStyle name="40 % - Markeringsfarve5 2 2 2 2 3 2" xfId="16398" xr:uid="{00000000-0005-0000-0000-0000E7510000}"/>
    <cellStyle name="40 % - Markeringsfarve5 2 2 2 2 3 2 2" xfId="34558" xr:uid="{00000000-0005-0000-0000-0000E8510000}"/>
    <cellStyle name="40 % - Markeringsfarve5 2 2 2 2 3 3" xfId="27557" xr:uid="{00000000-0005-0000-0000-0000E9510000}"/>
    <cellStyle name="40 % - Markeringsfarve5 2 2 2 2 4" xfId="14953" xr:uid="{00000000-0005-0000-0000-0000EA510000}"/>
    <cellStyle name="40 % - Markeringsfarve5 2 2 2 2 4 2" xfId="33119" xr:uid="{00000000-0005-0000-0000-0000EB510000}"/>
    <cellStyle name="40 % - Markeringsfarve5 2 2 2 2 5" xfId="26117" xr:uid="{00000000-0005-0000-0000-0000EC510000}"/>
    <cellStyle name="40 % - Markeringsfarve5 2 2 2 3" xfId="6401" xr:uid="{00000000-0005-0000-0000-0000ED510000}"/>
    <cellStyle name="40 % - Markeringsfarve5 2 2 2 3 2" xfId="9140" xr:uid="{00000000-0005-0000-0000-0000EE510000}"/>
    <cellStyle name="40 % - Markeringsfarve5 2 2 2 3 2 2" xfId="17051" xr:uid="{00000000-0005-0000-0000-0000EF510000}"/>
    <cellStyle name="40 % - Markeringsfarve5 2 2 2 3 2 2 2" xfId="35211" xr:uid="{00000000-0005-0000-0000-0000F0510000}"/>
    <cellStyle name="40 % - Markeringsfarve5 2 2 2 3 2 3" xfId="28210" xr:uid="{00000000-0005-0000-0000-0000F1510000}"/>
    <cellStyle name="40 % - Markeringsfarve5 2 2 2 3 3" xfId="14955" xr:uid="{00000000-0005-0000-0000-0000F2510000}"/>
    <cellStyle name="40 % - Markeringsfarve5 2 2 2 3 3 2" xfId="33121" xr:uid="{00000000-0005-0000-0000-0000F3510000}"/>
    <cellStyle name="40 % - Markeringsfarve5 2 2 2 3 4" xfId="26119" xr:uid="{00000000-0005-0000-0000-0000F4510000}"/>
    <cellStyle name="40 % - Markeringsfarve5 2 2 2 4" xfId="6402" xr:uid="{00000000-0005-0000-0000-0000F5510000}"/>
    <cellStyle name="40 % - Markeringsfarve5 2 2 2 4 2" xfId="10901" xr:uid="{00000000-0005-0000-0000-0000F6510000}"/>
    <cellStyle name="40 % - Markeringsfarve5 2 2 2 4 2 2" xfId="18783" xr:uid="{00000000-0005-0000-0000-0000F7510000}"/>
    <cellStyle name="40 % - Markeringsfarve5 2 2 2 4 2 2 2" xfId="36943" xr:uid="{00000000-0005-0000-0000-0000F8510000}"/>
    <cellStyle name="40 % - Markeringsfarve5 2 2 2 4 2 3" xfId="29942" xr:uid="{00000000-0005-0000-0000-0000F9510000}"/>
    <cellStyle name="40 % - Markeringsfarve5 2 2 2 4 3" xfId="14956" xr:uid="{00000000-0005-0000-0000-0000FA510000}"/>
    <cellStyle name="40 % - Markeringsfarve5 2 2 2 4 3 2" xfId="33122" xr:uid="{00000000-0005-0000-0000-0000FB510000}"/>
    <cellStyle name="40 % - Markeringsfarve5 2 2 2 4 4" xfId="26120" xr:uid="{00000000-0005-0000-0000-0000FC510000}"/>
    <cellStyle name="40 % - Markeringsfarve5 2 2 2 5" xfId="8205" xr:uid="{00000000-0005-0000-0000-0000FD510000}"/>
    <cellStyle name="40 % - Markeringsfarve5 2 2 2 5 2" xfId="16123" xr:uid="{00000000-0005-0000-0000-0000FE510000}"/>
    <cellStyle name="40 % - Markeringsfarve5 2 2 2 5 2 2" xfId="34283" xr:uid="{00000000-0005-0000-0000-0000FF510000}"/>
    <cellStyle name="40 % - Markeringsfarve5 2 2 2 5 3" xfId="27282" xr:uid="{00000000-0005-0000-0000-000000520000}"/>
    <cellStyle name="40 % - Markeringsfarve5 2 2 2 6" xfId="14952" xr:uid="{00000000-0005-0000-0000-000001520000}"/>
    <cellStyle name="40 % - Markeringsfarve5 2 2 2 6 2" xfId="33118" xr:uid="{00000000-0005-0000-0000-000002520000}"/>
    <cellStyle name="40 % - Markeringsfarve5 2 2 2 7" xfId="6398" xr:uid="{00000000-0005-0000-0000-000003520000}"/>
    <cellStyle name="40 % - Markeringsfarve5 2 2 2 7 2" xfId="26116" xr:uid="{00000000-0005-0000-0000-000004520000}"/>
    <cellStyle name="40 % - Markeringsfarve5 2 2 2 8" xfId="22047" xr:uid="{00000000-0005-0000-0000-000005520000}"/>
    <cellStyle name="40 % - Markeringsfarve5 2 2 3" xfId="6403" xr:uid="{00000000-0005-0000-0000-000006520000}"/>
    <cellStyle name="40 % - Markeringsfarve5 2 2 3 2" xfId="6404" xr:uid="{00000000-0005-0000-0000-000007520000}"/>
    <cellStyle name="40 % - Markeringsfarve5 2 2 3 2 2" xfId="6405" xr:uid="{00000000-0005-0000-0000-000008520000}"/>
    <cellStyle name="40 % - Markeringsfarve5 2 2 3 2 2 2" xfId="10046" xr:uid="{00000000-0005-0000-0000-000009520000}"/>
    <cellStyle name="40 % - Markeringsfarve5 2 2 3 2 2 2 2" xfId="17947" xr:uid="{00000000-0005-0000-0000-00000A520000}"/>
    <cellStyle name="40 % - Markeringsfarve5 2 2 3 2 2 2 2 2" xfId="36107" xr:uid="{00000000-0005-0000-0000-00000B520000}"/>
    <cellStyle name="40 % - Markeringsfarve5 2 2 3 2 2 2 3" xfId="29106" xr:uid="{00000000-0005-0000-0000-00000C520000}"/>
    <cellStyle name="40 % - Markeringsfarve5 2 2 3 2 2 3" xfId="14959" xr:uid="{00000000-0005-0000-0000-00000D520000}"/>
    <cellStyle name="40 % - Markeringsfarve5 2 2 3 2 2 3 2" xfId="33125" xr:uid="{00000000-0005-0000-0000-00000E520000}"/>
    <cellStyle name="40 % - Markeringsfarve5 2 2 3 2 2 4" xfId="26123" xr:uid="{00000000-0005-0000-0000-00000F520000}"/>
    <cellStyle name="40 % - Markeringsfarve5 2 2 3 2 3" xfId="8592" xr:uid="{00000000-0005-0000-0000-000010520000}"/>
    <cellStyle name="40 % - Markeringsfarve5 2 2 3 2 3 2" xfId="16509" xr:uid="{00000000-0005-0000-0000-000011520000}"/>
    <cellStyle name="40 % - Markeringsfarve5 2 2 3 2 3 2 2" xfId="34669" xr:uid="{00000000-0005-0000-0000-000012520000}"/>
    <cellStyle name="40 % - Markeringsfarve5 2 2 3 2 3 3" xfId="27668" xr:uid="{00000000-0005-0000-0000-000013520000}"/>
    <cellStyle name="40 % - Markeringsfarve5 2 2 3 2 4" xfId="14958" xr:uid="{00000000-0005-0000-0000-000014520000}"/>
    <cellStyle name="40 % - Markeringsfarve5 2 2 3 2 4 2" xfId="33124" xr:uid="{00000000-0005-0000-0000-000015520000}"/>
    <cellStyle name="40 % - Markeringsfarve5 2 2 3 2 5" xfId="26122" xr:uid="{00000000-0005-0000-0000-000016520000}"/>
    <cellStyle name="40 % - Markeringsfarve5 2 2 3 3" xfId="6406" xr:uid="{00000000-0005-0000-0000-000017520000}"/>
    <cellStyle name="40 % - Markeringsfarve5 2 2 3 3 2" xfId="9276" xr:uid="{00000000-0005-0000-0000-000018520000}"/>
    <cellStyle name="40 % - Markeringsfarve5 2 2 3 3 2 2" xfId="17187" xr:uid="{00000000-0005-0000-0000-000019520000}"/>
    <cellStyle name="40 % - Markeringsfarve5 2 2 3 3 2 2 2" xfId="35347" xr:uid="{00000000-0005-0000-0000-00001A520000}"/>
    <cellStyle name="40 % - Markeringsfarve5 2 2 3 3 2 3" xfId="28346" xr:uid="{00000000-0005-0000-0000-00001B520000}"/>
    <cellStyle name="40 % - Markeringsfarve5 2 2 3 3 3" xfId="14960" xr:uid="{00000000-0005-0000-0000-00001C520000}"/>
    <cellStyle name="40 % - Markeringsfarve5 2 2 3 3 3 2" xfId="33126" xr:uid="{00000000-0005-0000-0000-00001D520000}"/>
    <cellStyle name="40 % - Markeringsfarve5 2 2 3 3 4" xfId="26124" xr:uid="{00000000-0005-0000-0000-00001E520000}"/>
    <cellStyle name="40 % - Markeringsfarve5 2 2 3 4" xfId="6407" xr:uid="{00000000-0005-0000-0000-00001F520000}"/>
    <cellStyle name="40 % - Markeringsfarve5 2 2 3 4 2" xfId="10625" xr:uid="{00000000-0005-0000-0000-000020520000}"/>
    <cellStyle name="40 % - Markeringsfarve5 2 2 3 4 2 2" xfId="18518" xr:uid="{00000000-0005-0000-0000-000021520000}"/>
    <cellStyle name="40 % - Markeringsfarve5 2 2 3 4 2 2 2" xfId="36678" xr:uid="{00000000-0005-0000-0000-000022520000}"/>
    <cellStyle name="40 % - Markeringsfarve5 2 2 3 4 2 3" xfId="29677" xr:uid="{00000000-0005-0000-0000-000023520000}"/>
    <cellStyle name="40 % - Markeringsfarve5 2 2 3 4 3" xfId="14961" xr:uid="{00000000-0005-0000-0000-000024520000}"/>
    <cellStyle name="40 % - Markeringsfarve5 2 2 3 4 3 2" xfId="33127" xr:uid="{00000000-0005-0000-0000-000025520000}"/>
    <cellStyle name="40 % - Markeringsfarve5 2 2 3 4 4" xfId="26125" xr:uid="{00000000-0005-0000-0000-000026520000}"/>
    <cellStyle name="40 % - Markeringsfarve5 2 2 3 5" xfId="8206" xr:uid="{00000000-0005-0000-0000-000027520000}"/>
    <cellStyle name="40 % - Markeringsfarve5 2 2 3 5 2" xfId="16124" xr:uid="{00000000-0005-0000-0000-000028520000}"/>
    <cellStyle name="40 % - Markeringsfarve5 2 2 3 5 2 2" xfId="34284" xr:uid="{00000000-0005-0000-0000-000029520000}"/>
    <cellStyle name="40 % - Markeringsfarve5 2 2 3 5 3" xfId="27283" xr:uid="{00000000-0005-0000-0000-00002A520000}"/>
    <cellStyle name="40 % - Markeringsfarve5 2 2 3 6" xfId="14957" xr:uid="{00000000-0005-0000-0000-00002B520000}"/>
    <cellStyle name="40 % - Markeringsfarve5 2 2 3 6 2" xfId="33123" xr:uid="{00000000-0005-0000-0000-00002C520000}"/>
    <cellStyle name="40 % - Markeringsfarve5 2 2 3 7" xfId="26121" xr:uid="{00000000-0005-0000-0000-00002D520000}"/>
    <cellStyle name="40 % - Markeringsfarve5 2 2 4" xfId="6408" xr:uid="{00000000-0005-0000-0000-00002E520000}"/>
    <cellStyle name="40 % - Markeringsfarve5 2 2 4 2" xfId="6409" xr:uid="{00000000-0005-0000-0000-00002F520000}"/>
    <cellStyle name="40 % - Markeringsfarve5 2 2 4 2 2" xfId="6410" xr:uid="{00000000-0005-0000-0000-000030520000}"/>
    <cellStyle name="40 % - Markeringsfarve5 2 2 4 2 2 2" xfId="10148" xr:uid="{00000000-0005-0000-0000-000031520000}"/>
    <cellStyle name="40 % - Markeringsfarve5 2 2 4 2 2 2 2" xfId="18049" xr:uid="{00000000-0005-0000-0000-000032520000}"/>
    <cellStyle name="40 % - Markeringsfarve5 2 2 4 2 2 2 2 2" xfId="36209" xr:uid="{00000000-0005-0000-0000-000033520000}"/>
    <cellStyle name="40 % - Markeringsfarve5 2 2 4 2 2 2 3" xfId="29208" xr:uid="{00000000-0005-0000-0000-000034520000}"/>
    <cellStyle name="40 % - Markeringsfarve5 2 2 4 2 2 3" xfId="14964" xr:uid="{00000000-0005-0000-0000-000035520000}"/>
    <cellStyle name="40 % - Markeringsfarve5 2 2 4 2 2 3 2" xfId="33130" xr:uid="{00000000-0005-0000-0000-000036520000}"/>
    <cellStyle name="40 % - Markeringsfarve5 2 2 4 2 2 4" xfId="26128" xr:uid="{00000000-0005-0000-0000-000037520000}"/>
    <cellStyle name="40 % - Markeringsfarve5 2 2 4 2 3" xfId="8683" xr:uid="{00000000-0005-0000-0000-000038520000}"/>
    <cellStyle name="40 % - Markeringsfarve5 2 2 4 2 3 2" xfId="16597" xr:uid="{00000000-0005-0000-0000-000039520000}"/>
    <cellStyle name="40 % - Markeringsfarve5 2 2 4 2 3 2 2" xfId="34757" xr:uid="{00000000-0005-0000-0000-00003A520000}"/>
    <cellStyle name="40 % - Markeringsfarve5 2 2 4 2 3 3" xfId="27756" xr:uid="{00000000-0005-0000-0000-00003B520000}"/>
    <cellStyle name="40 % - Markeringsfarve5 2 2 4 2 4" xfId="14963" xr:uid="{00000000-0005-0000-0000-00003C520000}"/>
    <cellStyle name="40 % - Markeringsfarve5 2 2 4 2 4 2" xfId="33129" xr:uid="{00000000-0005-0000-0000-00003D520000}"/>
    <cellStyle name="40 % - Markeringsfarve5 2 2 4 2 5" xfId="26127" xr:uid="{00000000-0005-0000-0000-00003E520000}"/>
    <cellStyle name="40 % - Markeringsfarve5 2 2 4 3" xfId="6411" xr:uid="{00000000-0005-0000-0000-00003F520000}"/>
    <cellStyle name="40 % - Markeringsfarve5 2 2 4 3 2" xfId="9424" xr:uid="{00000000-0005-0000-0000-000040520000}"/>
    <cellStyle name="40 % - Markeringsfarve5 2 2 4 3 2 2" xfId="17334" xr:uid="{00000000-0005-0000-0000-000041520000}"/>
    <cellStyle name="40 % - Markeringsfarve5 2 2 4 3 2 2 2" xfId="35494" xr:uid="{00000000-0005-0000-0000-000042520000}"/>
    <cellStyle name="40 % - Markeringsfarve5 2 2 4 3 2 3" xfId="28493" xr:uid="{00000000-0005-0000-0000-000043520000}"/>
    <cellStyle name="40 % - Markeringsfarve5 2 2 4 3 3" xfId="14965" xr:uid="{00000000-0005-0000-0000-000044520000}"/>
    <cellStyle name="40 % - Markeringsfarve5 2 2 4 3 3 2" xfId="33131" xr:uid="{00000000-0005-0000-0000-000045520000}"/>
    <cellStyle name="40 % - Markeringsfarve5 2 2 4 3 4" xfId="26129" xr:uid="{00000000-0005-0000-0000-000046520000}"/>
    <cellStyle name="40 % - Markeringsfarve5 2 2 4 4" xfId="6412" xr:uid="{00000000-0005-0000-0000-000047520000}"/>
    <cellStyle name="40 % - Markeringsfarve5 2 2 4 4 2" xfId="10857" xr:uid="{00000000-0005-0000-0000-000048520000}"/>
    <cellStyle name="40 % - Markeringsfarve5 2 2 4 4 2 2" xfId="18740" xr:uid="{00000000-0005-0000-0000-000049520000}"/>
    <cellStyle name="40 % - Markeringsfarve5 2 2 4 4 2 2 2" xfId="36900" xr:uid="{00000000-0005-0000-0000-00004A520000}"/>
    <cellStyle name="40 % - Markeringsfarve5 2 2 4 4 2 3" xfId="29899" xr:uid="{00000000-0005-0000-0000-00004B520000}"/>
    <cellStyle name="40 % - Markeringsfarve5 2 2 4 4 3" xfId="14966" xr:uid="{00000000-0005-0000-0000-00004C520000}"/>
    <cellStyle name="40 % - Markeringsfarve5 2 2 4 4 3 2" xfId="33132" xr:uid="{00000000-0005-0000-0000-00004D520000}"/>
    <cellStyle name="40 % - Markeringsfarve5 2 2 4 4 4" xfId="26130" xr:uid="{00000000-0005-0000-0000-00004E520000}"/>
    <cellStyle name="40 % - Markeringsfarve5 2 2 4 5" xfId="8207" xr:uid="{00000000-0005-0000-0000-00004F520000}"/>
    <cellStyle name="40 % - Markeringsfarve5 2 2 4 5 2" xfId="16125" xr:uid="{00000000-0005-0000-0000-000050520000}"/>
    <cellStyle name="40 % - Markeringsfarve5 2 2 4 5 2 2" xfId="34285" xr:uid="{00000000-0005-0000-0000-000051520000}"/>
    <cellStyle name="40 % - Markeringsfarve5 2 2 4 5 3" xfId="27284" xr:uid="{00000000-0005-0000-0000-000052520000}"/>
    <cellStyle name="40 % - Markeringsfarve5 2 2 4 6" xfId="14962" xr:uid="{00000000-0005-0000-0000-000053520000}"/>
    <cellStyle name="40 % - Markeringsfarve5 2 2 4 6 2" xfId="33128" xr:uid="{00000000-0005-0000-0000-000054520000}"/>
    <cellStyle name="40 % - Markeringsfarve5 2 2 4 7" xfId="26126" xr:uid="{00000000-0005-0000-0000-000055520000}"/>
    <cellStyle name="40 % - Markeringsfarve5 2 2 5" xfId="6413" xr:uid="{00000000-0005-0000-0000-000056520000}"/>
    <cellStyle name="40 % - Markeringsfarve5 2 2 5 2" xfId="6414" xr:uid="{00000000-0005-0000-0000-000057520000}"/>
    <cellStyle name="40 % - Markeringsfarve5 2 2 5 2 2" xfId="6415" xr:uid="{00000000-0005-0000-0000-000058520000}"/>
    <cellStyle name="40 % - Markeringsfarve5 2 2 5 2 2 2" xfId="10265" xr:uid="{00000000-0005-0000-0000-000059520000}"/>
    <cellStyle name="40 % - Markeringsfarve5 2 2 5 2 2 2 2" xfId="18166" xr:uid="{00000000-0005-0000-0000-00005A520000}"/>
    <cellStyle name="40 % - Markeringsfarve5 2 2 5 2 2 2 2 2" xfId="36326" xr:uid="{00000000-0005-0000-0000-00005B520000}"/>
    <cellStyle name="40 % - Markeringsfarve5 2 2 5 2 2 2 3" xfId="29325" xr:uid="{00000000-0005-0000-0000-00005C520000}"/>
    <cellStyle name="40 % - Markeringsfarve5 2 2 5 2 2 3" xfId="14969" xr:uid="{00000000-0005-0000-0000-00005D520000}"/>
    <cellStyle name="40 % - Markeringsfarve5 2 2 5 2 2 3 2" xfId="33135" xr:uid="{00000000-0005-0000-0000-00005E520000}"/>
    <cellStyle name="40 % - Markeringsfarve5 2 2 5 2 2 4" xfId="26133" xr:uid="{00000000-0005-0000-0000-00005F520000}"/>
    <cellStyle name="40 % - Markeringsfarve5 2 2 5 2 3" xfId="8782" xr:uid="{00000000-0005-0000-0000-000060520000}"/>
    <cellStyle name="40 % - Markeringsfarve5 2 2 5 2 3 2" xfId="16696" xr:uid="{00000000-0005-0000-0000-000061520000}"/>
    <cellStyle name="40 % - Markeringsfarve5 2 2 5 2 3 2 2" xfId="34856" xr:uid="{00000000-0005-0000-0000-000062520000}"/>
    <cellStyle name="40 % - Markeringsfarve5 2 2 5 2 3 3" xfId="27855" xr:uid="{00000000-0005-0000-0000-000063520000}"/>
    <cellStyle name="40 % - Markeringsfarve5 2 2 5 2 4" xfId="14968" xr:uid="{00000000-0005-0000-0000-000064520000}"/>
    <cellStyle name="40 % - Markeringsfarve5 2 2 5 2 4 2" xfId="33134" xr:uid="{00000000-0005-0000-0000-000065520000}"/>
    <cellStyle name="40 % - Markeringsfarve5 2 2 5 2 5" xfId="26132" xr:uid="{00000000-0005-0000-0000-000066520000}"/>
    <cellStyle name="40 % - Markeringsfarve5 2 2 5 3" xfId="6416" xr:uid="{00000000-0005-0000-0000-000067520000}"/>
    <cellStyle name="40 % - Markeringsfarve5 2 2 5 3 2" xfId="9541" xr:uid="{00000000-0005-0000-0000-000068520000}"/>
    <cellStyle name="40 % - Markeringsfarve5 2 2 5 3 2 2" xfId="17451" xr:uid="{00000000-0005-0000-0000-000069520000}"/>
    <cellStyle name="40 % - Markeringsfarve5 2 2 5 3 2 2 2" xfId="35611" xr:uid="{00000000-0005-0000-0000-00006A520000}"/>
    <cellStyle name="40 % - Markeringsfarve5 2 2 5 3 2 3" xfId="28610" xr:uid="{00000000-0005-0000-0000-00006B520000}"/>
    <cellStyle name="40 % - Markeringsfarve5 2 2 5 3 3" xfId="14970" xr:uid="{00000000-0005-0000-0000-00006C520000}"/>
    <cellStyle name="40 % - Markeringsfarve5 2 2 5 3 3 2" xfId="33136" xr:uid="{00000000-0005-0000-0000-00006D520000}"/>
    <cellStyle name="40 % - Markeringsfarve5 2 2 5 3 4" xfId="26134" xr:uid="{00000000-0005-0000-0000-00006E520000}"/>
    <cellStyle name="40 % - Markeringsfarve5 2 2 5 4" xfId="6417" xr:uid="{00000000-0005-0000-0000-00006F520000}"/>
    <cellStyle name="40 % - Markeringsfarve5 2 2 5 4 2" xfId="10507" xr:uid="{00000000-0005-0000-0000-000070520000}"/>
    <cellStyle name="40 % - Markeringsfarve5 2 2 5 4 2 2" xfId="18401" xr:uid="{00000000-0005-0000-0000-000071520000}"/>
    <cellStyle name="40 % - Markeringsfarve5 2 2 5 4 2 2 2" xfId="36561" xr:uid="{00000000-0005-0000-0000-000072520000}"/>
    <cellStyle name="40 % - Markeringsfarve5 2 2 5 4 2 3" xfId="29560" xr:uid="{00000000-0005-0000-0000-000073520000}"/>
    <cellStyle name="40 % - Markeringsfarve5 2 2 5 4 3" xfId="14971" xr:uid="{00000000-0005-0000-0000-000074520000}"/>
    <cellStyle name="40 % - Markeringsfarve5 2 2 5 4 3 2" xfId="33137" xr:uid="{00000000-0005-0000-0000-000075520000}"/>
    <cellStyle name="40 % - Markeringsfarve5 2 2 5 4 4" xfId="26135" xr:uid="{00000000-0005-0000-0000-000076520000}"/>
    <cellStyle name="40 % - Markeringsfarve5 2 2 5 5" xfId="8208" xr:uid="{00000000-0005-0000-0000-000077520000}"/>
    <cellStyle name="40 % - Markeringsfarve5 2 2 5 5 2" xfId="16126" xr:uid="{00000000-0005-0000-0000-000078520000}"/>
    <cellStyle name="40 % - Markeringsfarve5 2 2 5 5 2 2" xfId="34286" xr:uid="{00000000-0005-0000-0000-000079520000}"/>
    <cellStyle name="40 % - Markeringsfarve5 2 2 5 5 3" xfId="27285" xr:uid="{00000000-0005-0000-0000-00007A520000}"/>
    <cellStyle name="40 % - Markeringsfarve5 2 2 5 6" xfId="14967" xr:uid="{00000000-0005-0000-0000-00007B520000}"/>
    <cellStyle name="40 % - Markeringsfarve5 2 2 5 6 2" xfId="33133" xr:uid="{00000000-0005-0000-0000-00007C520000}"/>
    <cellStyle name="40 % - Markeringsfarve5 2 2 5 7" xfId="26131" xr:uid="{00000000-0005-0000-0000-00007D520000}"/>
    <cellStyle name="40 % - Markeringsfarve5 2 2 6" xfId="6418" xr:uid="{00000000-0005-0000-0000-00007E520000}"/>
    <cellStyle name="40 % - Markeringsfarve5 2 2 6 2" xfId="6419" xr:uid="{00000000-0005-0000-0000-00007F520000}"/>
    <cellStyle name="40 % - Markeringsfarve5 2 2 6 2 2" xfId="6420" xr:uid="{00000000-0005-0000-0000-000080520000}"/>
    <cellStyle name="40 % - Markeringsfarve5 2 2 6 2 2 2" xfId="10400" xr:uid="{00000000-0005-0000-0000-000081520000}"/>
    <cellStyle name="40 % - Markeringsfarve5 2 2 6 2 2 2 2" xfId="18301" xr:uid="{00000000-0005-0000-0000-000082520000}"/>
    <cellStyle name="40 % - Markeringsfarve5 2 2 6 2 2 2 2 2" xfId="36461" xr:uid="{00000000-0005-0000-0000-000083520000}"/>
    <cellStyle name="40 % - Markeringsfarve5 2 2 6 2 2 2 3" xfId="29460" xr:uid="{00000000-0005-0000-0000-000084520000}"/>
    <cellStyle name="40 % - Markeringsfarve5 2 2 6 2 2 3" xfId="14974" xr:uid="{00000000-0005-0000-0000-000085520000}"/>
    <cellStyle name="40 % - Markeringsfarve5 2 2 6 2 2 3 2" xfId="33140" xr:uid="{00000000-0005-0000-0000-000086520000}"/>
    <cellStyle name="40 % - Markeringsfarve5 2 2 6 2 2 4" xfId="26138" xr:uid="{00000000-0005-0000-0000-000087520000}"/>
    <cellStyle name="40 % - Markeringsfarve5 2 2 6 2 3" xfId="8893" xr:uid="{00000000-0005-0000-0000-000088520000}"/>
    <cellStyle name="40 % - Markeringsfarve5 2 2 6 2 3 2" xfId="16807" xr:uid="{00000000-0005-0000-0000-000089520000}"/>
    <cellStyle name="40 % - Markeringsfarve5 2 2 6 2 3 2 2" xfId="34967" xr:uid="{00000000-0005-0000-0000-00008A520000}"/>
    <cellStyle name="40 % - Markeringsfarve5 2 2 6 2 3 3" xfId="27966" xr:uid="{00000000-0005-0000-0000-00008B520000}"/>
    <cellStyle name="40 % - Markeringsfarve5 2 2 6 2 4" xfId="14973" xr:uid="{00000000-0005-0000-0000-00008C520000}"/>
    <cellStyle name="40 % - Markeringsfarve5 2 2 6 2 4 2" xfId="33139" xr:uid="{00000000-0005-0000-0000-00008D520000}"/>
    <cellStyle name="40 % - Markeringsfarve5 2 2 6 2 5" xfId="26137" xr:uid="{00000000-0005-0000-0000-00008E520000}"/>
    <cellStyle name="40 % - Markeringsfarve5 2 2 6 3" xfId="6421" xr:uid="{00000000-0005-0000-0000-00008F520000}"/>
    <cellStyle name="40 % - Markeringsfarve5 2 2 6 3 2" xfId="9677" xr:uid="{00000000-0005-0000-0000-000090520000}"/>
    <cellStyle name="40 % - Markeringsfarve5 2 2 6 3 2 2" xfId="17587" xr:uid="{00000000-0005-0000-0000-000091520000}"/>
    <cellStyle name="40 % - Markeringsfarve5 2 2 6 3 2 2 2" xfId="35747" xr:uid="{00000000-0005-0000-0000-000092520000}"/>
    <cellStyle name="40 % - Markeringsfarve5 2 2 6 3 2 3" xfId="28746" xr:uid="{00000000-0005-0000-0000-000093520000}"/>
    <cellStyle name="40 % - Markeringsfarve5 2 2 6 3 3" xfId="14975" xr:uid="{00000000-0005-0000-0000-000094520000}"/>
    <cellStyle name="40 % - Markeringsfarve5 2 2 6 3 3 2" xfId="33141" xr:uid="{00000000-0005-0000-0000-000095520000}"/>
    <cellStyle name="40 % - Markeringsfarve5 2 2 6 3 4" xfId="26139" xr:uid="{00000000-0005-0000-0000-000096520000}"/>
    <cellStyle name="40 % - Markeringsfarve5 2 2 6 4" xfId="6422" xr:uid="{00000000-0005-0000-0000-000097520000}"/>
    <cellStyle name="40 % - Markeringsfarve5 2 2 6 4 2" xfId="10810" xr:uid="{00000000-0005-0000-0000-000098520000}"/>
    <cellStyle name="40 % - Markeringsfarve5 2 2 6 4 2 2" xfId="18697" xr:uid="{00000000-0005-0000-0000-000099520000}"/>
    <cellStyle name="40 % - Markeringsfarve5 2 2 6 4 2 2 2" xfId="36857" xr:uid="{00000000-0005-0000-0000-00009A520000}"/>
    <cellStyle name="40 % - Markeringsfarve5 2 2 6 4 2 3" xfId="29856" xr:uid="{00000000-0005-0000-0000-00009B520000}"/>
    <cellStyle name="40 % - Markeringsfarve5 2 2 6 4 3" xfId="14976" xr:uid="{00000000-0005-0000-0000-00009C520000}"/>
    <cellStyle name="40 % - Markeringsfarve5 2 2 6 4 3 2" xfId="33142" xr:uid="{00000000-0005-0000-0000-00009D520000}"/>
    <cellStyle name="40 % - Markeringsfarve5 2 2 6 4 4" xfId="26140" xr:uid="{00000000-0005-0000-0000-00009E520000}"/>
    <cellStyle name="40 % - Markeringsfarve5 2 2 6 5" xfId="8209" xr:uid="{00000000-0005-0000-0000-00009F520000}"/>
    <cellStyle name="40 % - Markeringsfarve5 2 2 6 5 2" xfId="16127" xr:uid="{00000000-0005-0000-0000-0000A0520000}"/>
    <cellStyle name="40 % - Markeringsfarve5 2 2 6 5 2 2" xfId="34287" xr:uid="{00000000-0005-0000-0000-0000A1520000}"/>
    <cellStyle name="40 % - Markeringsfarve5 2 2 6 5 3" xfId="27286" xr:uid="{00000000-0005-0000-0000-0000A2520000}"/>
    <cellStyle name="40 % - Markeringsfarve5 2 2 6 6" xfId="14972" xr:uid="{00000000-0005-0000-0000-0000A3520000}"/>
    <cellStyle name="40 % - Markeringsfarve5 2 2 6 6 2" xfId="33138" xr:uid="{00000000-0005-0000-0000-0000A4520000}"/>
    <cellStyle name="40 % - Markeringsfarve5 2 2 6 7" xfId="26136" xr:uid="{00000000-0005-0000-0000-0000A5520000}"/>
    <cellStyle name="40 % - Markeringsfarve5 2 2 7" xfId="6423" xr:uid="{00000000-0005-0000-0000-0000A6520000}"/>
    <cellStyle name="40 % - Markeringsfarve5 2 2 7 2" xfId="6424" xr:uid="{00000000-0005-0000-0000-0000A7520000}"/>
    <cellStyle name="40 % - Markeringsfarve5 2 2 7 2 2" xfId="9791" xr:uid="{00000000-0005-0000-0000-0000A8520000}"/>
    <cellStyle name="40 % - Markeringsfarve5 2 2 7 2 2 2" xfId="17692" xr:uid="{00000000-0005-0000-0000-0000A9520000}"/>
    <cellStyle name="40 % - Markeringsfarve5 2 2 7 2 2 2 2" xfId="35852" xr:uid="{00000000-0005-0000-0000-0000AA520000}"/>
    <cellStyle name="40 % - Markeringsfarve5 2 2 7 2 2 3" xfId="28851" xr:uid="{00000000-0005-0000-0000-0000AB520000}"/>
    <cellStyle name="40 % - Markeringsfarve5 2 2 7 2 3" xfId="14978" xr:uid="{00000000-0005-0000-0000-0000AC520000}"/>
    <cellStyle name="40 % - Markeringsfarve5 2 2 7 2 3 2" xfId="33144" xr:uid="{00000000-0005-0000-0000-0000AD520000}"/>
    <cellStyle name="40 % - Markeringsfarve5 2 2 7 2 4" xfId="26142" xr:uid="{00000000-0005-0000-0000-0000AE520000}"/>
    <cellStyle name="40 % - Markeringsfarve5 2 2 7 3" xfId="8382" xr:uid="{00000000-0005-0000-0000-0000AF520000}"/>
    <cellStyle name="40 % - Markeringsfarve5 2 2 7 3 2" xfId="16299" xr:uid="{00000000-0005-0000-0000-0000B0520000}"/>
    <cellStyle name="40 % - Markeringsfarve5 2 2 7 3 2 2" xfId="34459" xr:uid="{00000000-0005-0000-0000-0000B1520000}"/>
    <cellStyle name="40 % - Markeringsfarve5 2 2 7 3 3" xfId="27458" xr:uid="{00000000-0005-0000-0000-0000B2520000}"/>
    <cellStyle name="40 % - Markeringsfarve5 2 2 7 4" xfId="14977" xr:uid="{00000000-0005-0000-0000-0000B3520000}"/>
    <cellStyle name="40 % - Markeringsfarve5 2 2 7 4 2" xfId="33143" xr:uid="{00000000-0005-0000-0000-0000B4520000}"/>
    <cellStyle name="40 % - Markeringsfarve5 2 2 7 5" xfId="26141" xr:uid="{00000000-0005-0000-0000-0000B5520000}"/>
    <cellStyle name="40 % - Markeringsfarve5 2 2 8" xfId="6425" xr:uid="{00000000-0005-0000-0000-0000B6520000}"/>
    <cellStyle name="40 % - Markeringsfarve5 2 2 8 2" xfId="9019" xr:uid="{00000000-0005-0000-0000-0000B7520000}"/>
    <cellStyle name="40 % - Markeringsfarve5 2 2 8 2 2" xfId="16930" xr:uid="{00000000-0005-0000-0000-0000B8520000}"/>
    <cellStyle name="40 % - Markeringsfarve5 2 2 8 2 2 2" xfId="35090" xr:uid="{00000000-0005-0000-0000-0000B9520000}"/>
    <cellStyle name="40 % - Markeringsfarve5 2 2 8 2 3" xfId="28089" xr:uid="{00000000-0005-0000-0000-0000BA520000}"/>
    <cellStyle name="40 % - Markeringsfarve5 2 2 8 3" xfId="14979" xr:uid="{00000000-0005-0000-0000-0000BB520000}"/>
    <cellStyle name="40 % - Markeringsfarve5 2 2 8 3 2" xfId="33145" xr:uid="{00000000-0005-0000-0000-0000BC520000}"/>
    <cellStyle name="40 % - Markeringsfarve5 2 2 8 4" xfId="26143" xr:uid="{00000000-0005-0000-0000-0000BD520000}"/>
    <cellStyle name="40 % - Markeringsfarve5 2 2 9" xfId="6426" xr:uid="{00000000-0005-0000-0000-0000BE520000}"/>
    <cellStyle name="40 % - Markeringsfarve5 2 2 9 2" xfId="10666" xr:uid="{00000000-0005-0000-0000-0000BF520000}"/>
    <cellStyle name="40 % - Markeringsfarve5 2 2 9 2 2" xfId="18558" xr:uid="{00000000-0005-0000-0000-0000C0520000}"/>
    <cellStyle name="40 % - Markeringsfarve5 2 2 9 2 2 2" xfId="36718" xr:uid="{00000000-0005-0000-0000-0000C1520000}"/>
    <cellStyle name="40 % - Markeringsfarve5 2 2 9 2 3" xfId="29717" xr:uid="{00000000-0005-0000-0000-0000C2520000}"/>
    <cellStyle name="40 % - Markeringsfarve5 2 2 9 3" xfId="14980" xr:uid="{00000000-0005-0000-0000-0000C3520000}"/>
    <cellStyle name="40 % - Markeringsfarve5 2 2 9 3 2" xfId="33146" xr:uid="{00000000-0005-0000-0000-0000C4520000}"/>
    <cellStyle name="40 % - Markeringsfarve5 2 2 9 4" xfId="26144" xr:uid="{00000000-0005-0000-0000-0000C5520000}"/>
    <cellStyle name="40 % - Markeringsfarve5 2 3" xfId="1930" xr:uid="{00000000-0005-0000-0000-0000C6520000}"/>
    <cellStyle name="40 % - Markeringsfarve5 2 3 10" xfId="8210" xr:uid="{00000000-0005-0000-0000-0000C7520000}"/>
    <cellStyle name="40 % - Markeringsfarve5 2 3 10 2" xfId="16128" xr:uid="{00000000-0005-0000-0000-0000C8520000}"/>
    <cellStyle name="40 % - Markeringsfarve5 2 3 10 2 2" xfId="34288" xr:uid="{00000000-0005-0000-0000-0000C9520000}"/>
    <cellStyle name="40 % - Markeringsfarve5 2 3 10 3" xfId="27287" xr:uid="{00000000-0005-0000-0000-0000CA520000}"/>
    <cellStyle name="40 % - Markeringsfarve5 2 3 11" xfId="14981" xr:uid="{00000000-0005-0000-0000-0000CB520000}"/>
    <cellStyle name="40 % - Markeringsfarve5 2 3 11 2" xfId="33147" xr:uid="{00000000-0005-0000-0000-0000CC520000}"/>
    <cellStyle name="40 % - Markeringsfarve5 2 3 12" xfId="6427" xr:uid="{00000000-0005-0000-0000-0000CD520000}"/>
    <cellStyle name="40 % - Markeringsfarve5 2 3 12 2" xfId="26145" xr:uid="{00000000-0005-0000-0000-0000CE520000}"/>
    <cellStyle name="40 % - Markeringsfarve5 2 3 13" xfId="22048" xr:uid="{00000000-0005-0000-0000-0000CF520000}"/>
    <cellStyle name="40 % - Markeringsfarve5 2 3 2" xfId="1931" xr:uid="{00000000-0005-0000-0000-0000D0520000}"/>
    <cellStyle name="40 % - Markeringsfarve5 2 3 2 2" xfId="6429" xr:uid="{00000000-0005-0000-0000-0000D1520000}"/>
    <cellStyle name="40 % - Markeringsfarve5 2 3 2 2 2" xfId="6430" xr:uid="{00000000-0005-0000-0000-0000D2520000}"/>
    <cellStyle name="40 % - Markeringsfarve5 2 3 2 2 2 2" xfId="9949" xr:uid="{00000000-0005-0000-0000-0000D3520000}"/>
    <cellStyle name="40 % - Markeringsfarve5 2 3 2 2 2 2 2" xfId="17850" xr:uid="{00000000-0005-0000-0000-0000D4520000}"/>
    <cellStyle name="40 % - Markeringsfarve5 2 3 2 2 2 2 2 2" xfId="36010" xr:uid="{00000000-0005-0000-0000-0000D5520000}"/>
    <cellStyle name="40 % - Markeringsfarve5 2 3 2 2 2 2 3" xfId="29009" xr:uid="{00000000-0005-0000-0000-0000D6520000}"/>
    <cellStyle name="40 % - Markeringsfarve5 2 3 2 2 2 3" xfId="14984" xr:uid="{00000000-0005-0000-0000-0000D7520000}"/>
    <cellStyle name="40 % - Markeringsfarve5 2 3 2 2 2 3 2" xfId="33150" xr:uid="{00000000-0005-0000-0000-0000D8520000}"/>
    <cellStyle name="40 % - Markeringsfarve5 2 3 2 2 2 4" xfId="26148" xr:uid="{00000000-0005-0000-0000-0000D9520000}"/>
    <cellStyle name="40 % - Markeringsfarve5 2 3 2 2 3" xfId="8514" xr:uid="{00000000-0005-0000-0000-0000DA520000}"/>
    <cellStyle name="40 % - Markeringsfarve5 2 3 2 2 3 2" xfId="16431" xr:uid="{00000000-0005-0000-0000-0000DB520000}"/>
    <cellStyle name="40 % - Markeringsfarve5 2 3 2 2 3 2 2" xfId="34591" xr:uid="{00000000-0005-0000-0000-0000DC520000}"/>
    <cellStyle name="40 % - Markeringsfarve5 2 3 2 2 3 3" xfId="27590" xr:uid="{00000000-0005-0000-0000-0000DD520000}"/>
    <cellStyle name="40 % - Markeringsfarve5 2 3 2 2 4" xfId="14983" xr:uid="{00000000-0005-0000-0000-0000DE520000}"/>
    <cellStyle name="40 % - Markeringsfarve5 2 3 2 2 4 2" xfId="33149" xr:uid="{00000000-0005-0000-0000-0000DF520000}"/>
    <cellStyle name="40 % - Markeringsfarve5 2 3 2 2 5" xfId="26147" xr:uid="{00000000-0005-0000-0000-0000E0520000}"/>
    <cellStyle name="40 % - Markeringsfarve5 2 3 2 3" xfId="6431" xr:uid="{00000000-0005-0000-0000-0000E1520000}"/>
    <cellStyle name="40 % - Markeringsfarve5 2 3 2 3 2" xfId="9179" xr:uid="{00000000-0005-0000-0000-0000E2520000}"/>
    <cellStyle name="40 % - Markeringsfarve5 2 3 2 3 2 2" xfId="17090" xr:uid="{00000000-0005-0000-0000-0000E3520000}"/>
    <cellStyle name="40 % - Markeringsfarve5 2 3 2 3 2 2 2" xfId="35250" xr:uid="{00000000-0005-0000-0000-0000E4520000}"/>
    <cellStyle name="40 % - Markeringsfarve5 2 3 2 3 2 3" xfId="28249" xr:uid="{00000000-0005-0000-0000-0000E5520000}"/>
    <cellStyle name="40 % - Markeringsfarve5 2 3 2 3 3" xfId="14985" xr:uid="{00000000-0005-0000-0000-0000E6520000}"/>
    <cellStyle name="40 % - Markeringsfarve5 2 3 2 3 3 2" xfId="33151" xr:uid="{00000000-0005-0000-0000-0000E7520000}"/>
    <cellStyle name="40 % - Markeringsfarve5 2 3 2 3 4" xfId="26149" xr:uid="{00000000-0005-0000-0000-0000E8520000}"/>
    <cellStyle name="40 % - Markeringsfarve5 2 3 2 4" xfId="6432" xr:uid="{00000000-0005-0000-0000-0000E9520000}"/>
    <cellStyle name="40 % - Markeringsfarve5 2 3 2 4 2" xfId="10795" xr:uid="{00000000-0005-0000-0000-0000EA520000}"/>
    <cellStyle name="40 % - Markeringsfarve5 2 3 2 4 2 2" xfId="18682" xr:uid="{00000000-0005-0000-0000-0000EB520000}"/>
    <cellStyle name="40 % - Markeringsfarve5 2 3 2 4 2 2 2" xfId="36842" xr:uid="{00000000-0005-0000-0000-0000EC520000}"/>
    <cellStyle name="40 % - Markeringsfarve5 2 3 2 4 2 3" xfId="29841" xr:uid="{00000000-0005-0000-0000-0000ED520000}"/>
    <cellStyle name="40 % - Markeringsfarve5 2 3 2 4 3" xfId="14986" xr:uid="{00000000-0005-0000-0000-0000EE520000}"/>
    <cellStyle name="40 % - Markeringsfarve5 2 3 2 4 3 2" xfId="33152" xr:uid="{00000000-0005-0000-0000-0000EF520000}"/>
    <cellStyle name="40 % - Markeringsfarve5 2 3 2 4 4" xfId="26150" xr:uid="{00000000-0005-0000-0000-0000F0520000}"/>
    <cellStyle name="40 % - Markeringsfarve5 2 3 2 5" xfId="8211" xr:uid="{00000000-0005-0000-0000-0000F1520000}"/>
    <cellStyle name="40 % - Markeringsfarve5 2 3 2 5 2" xfId="16129" xr:uid="{00000000-0005-0000-0000-0000F2520000}"/>
    <cellStyle name="40 % - Markeringsfarve5 2 3 2 5 2 2" xfId="34289" xr:uid="{00000000-0005-0000-0000-0000F3520000}"/>
    <cellStyle name="40 % - Markeringsfarve5 2 3 2 5 3" xfId="27288" xr:uid="{00000000-0005-0000-0000-0000F4520000}"/>
    <cellStyle name="40 % - Markeringsfarve5 2 3 2 6" xfId="14982" xr:uid="{00000000-0005-0000-0000-0000F5520000}"/>
    <cellStyle name="40 % - Markeringsfarve5 2 3 2 6 2" xfId="33148" xr:uid="{00000000-0005-0000-0000-0000F6520000}"/>
    <cellStyle name="40 % - Markeringsfarve5 2 3 2 7" xfId="6428" xr:uid="{00000000-0005-0000-0000-0000F7520000}"/>
    <cellStyle name="40 % - Markeringsfarve5 2 3 2 7 2" xfId="26146" xr:uid="{00000000-0005-0000-0000-0000F8520000}"/>
    <cellStyle name="40 % - Markeringsfarve5 2 3 2 8" xfId="22049" xr:uid="{00000000-0005-0000-0000-0000F9520000}"/>
    <cellStyle name="40 % - Markeringsfarve5 2 3 3" xfId="6433" xr:uid="{00000000-0005-0000-0000-0000FA520000}"/>
    <cellStyle name="40 % - Markeringsfarve5 2 3 3 2" xfId="6434" xr:uid="{00000000-0005-0000-0000-0000FB520000}"/>
    <cellStyle name="40 % - Markeringsfarve5 2 3 3 2 2" xfId="6435" xr:uid="{00000000-0005-0000-0000-0000FC520000}"/>
    <cellStyle name="40 % - Markeringsfarve5 2 3 3 2 2 2" xfId="10047" xr:uid="{00000000-0005-0000-0000-0000FD520000}"/>
    <cellStyle name="40 % - Markeringsfarve5 2 3 3 2 2 2 2" xfId="17948" xr:uid="{00000000-0005-0000-0000-0000FE520000}"/>
    <cellStyle name="40 % - Markeringsfarve5 2 3 3 2 2 2 2 2" xfId="36108" xr:uid="{00000000-0005-0000-0000-0000FF520000}"/>
    <cellStyle name="40 % - Markeringsfarve5 2 3 3 2 2 2 3" xfId="29107" xr:uid="{00000000-0005-0000-0000-000000530000}"/>
    <cellStyle name="40 % - Markeringsfarve5 2 3 3 2 2 3" xfId="14989" xr:uid="{00000000-0005-0000-0000-000001530000}"/>
    <cellStyle name="40 % - Markeringsfarve5 2 3 3 2 2 3 2" xfId="33155" xr:uid="{00000000-0005-0000-0000-000002530000}"/>
    <cellStyle name="40 % - Markeringsfarve5 2 3 3 2 2 4" xfId="26153" xr:uid="{00000000-0005-0000-0000-000003530000}"/>
    <cellStyle name="40 % - Markeringsfarve5 2 3 3 2 3" xfId="8593" xr:uid="{00000000-0005-0000-0000-000004530000}"/>
    <cellStyle name="40 % - Markeringsfarve5 2 3 3 2 3 2" xfId="16510" xr:uid="{00000000-0005-0000-0000-000005530000}"/>
    <cellStyle name="40 % - Markeringsfarve5 2 3 3 2 3 2 2" xfId="34670" xr:uid="{00000000-0005-0000-0000-000006530000}"/>
    <cellStyle name="40 % - Markeringsfarve5 2 3 3 2 3 3" xfId="27669" xr:uid="{00000000-0005-0000-0000-000007530000}"/>
    <cellStyle name="40 % - Markeringsfarve5 2 3 3 2 4" xfId="14988" xr:uid="{00000000-0005-0000-0000-000008530000}"/>
    <cellStyle name="40 % - Markeringsfarve5 2 3 3 2 4 2" xfId="33154" xr:uid="{00000000-0005-0000-0000-000009530000}"/>
    <cellStyle name="40 % - Markeringsfarve5 2 3 3 2 5" xfId="26152" xr:uid="{00000000-0005-0000-0000-00000A530000}"/>
    <cellStyle name="40 % - Markeringsfarve5 2 3 3 3" xfId="6436" xr:uid="{00000000-0005-0000-0000-00000B530000}"/>
    <cellStyle name="40 % - Markeringsfarve5 2 3 3 3 2" xfId="9277" xr:uid="{00000000-0005-0000-0000-00000C530000}"/>
    <cellStyle name="40 % - Markeringsfarve5 2 3 3 3 2 2" xfId="17188" xr:uid="{00000000-0005-0000-0000-00000D530000}"/>
    <cellStyle name="40 % - Markeringsfarve5 2 3 3 3 2 2 2" xfId="35348" xr:uid="{00000000-0005-0000-0000-00000E530000}"/>
    <cellStyle name="40 % - Markeringsfarve5 2 3 3 3 2 3" xfId="28347" xr:uid="{00000000-0005-0000-0000-00000F530000}"/>
    <cellStyle name="40 % - Markeringsfarve5 2 3 3 3 3" xfId="14990" xr:uid="{00000000-0005-0000-0000-000010530000}"/>
    <cellStyle name="40 % - Markeringsfarve5 2 3 3 3 3 2" xfId="33156" xr:uid="{00000000-0005-0000-0000-000011530000}"/>
    <cellStyle name="40 % - Markeringsfarve5 2 3 3 3 4" xfId="26154" xr:uid="{00000000-0005-0000-0000-000012530000}"/>
    <cellStyle name="40 % - Markeringsfarve5 2 3 3 4" xfId="6437" xr:uid="{00000000-0005-0000-0000-000013530000}"/>
    <cellStyle name="40 % - Markeringsfarve5 2 3 3 4 2" xfId="10993" xr:uid="{00000000-0005-0000-0000-000014530000}"/>
    <cellStyle name="40 % - Markeringsfarve5 2 3 3 4 2 2" xfId="18869" xr:uid="{00000000-0005-0000-0000-000015530000}"/>
    <cellStyle name="40 % - Markeringsfarve5 2 3 3 4 2 2 2" xfId="37029" xr:uid="{00000000-0005-0000-0000-000016530000}"/>
    <cellStyle name="40 % - Markeringsfarve5 2 3 3 4 2 3" xfId="30028" xr:uid="{00000000-0005-0000-0000-000017530000}"/>
    <cellStyle name="40 % - Markeringsfarve5 2 3 3 4 3" xfId="14991" xr:uid="{00000000-0005-0000-0000-000018530000}"/>
    <cellStyle name="40 % - Markeringsfarve5 2 3 3 4 3 2" xfId="33157" xr:uid="{00000000-0005-0000-0000-000019530000}"/>
    <cellStyle name="40 % - Markeringsfarve5 2 3 3 4 4" xfId="26155" xr:uid="{00000000-0005-0000-0000-00001A530000}"/>
    <cellStyle name="40 % - Markeringsfarve5 2 3 3 5" xfId="8212" xr:uid="{00000000-0005-0000-0000-00001B530000}"/>
    <cellStyle name="40 % - Markeringsfarve5 2 3 3 5 2" xfId="16130" xr:uid="{00000000-0005-0000-0000-00001C530000}"/>
    <cellStyle name="40 % - Markeringsfarve5 2 3 3 5 2 2" xfId="34290" xr:uid="{00000000-0005-0000-0000-00001D530000}"/>
    <cellStyle name="40 % - Markeringsfarve5 2 3 3 5 3" xfId="27289" xr:uid="{00000000-0005-0000-0000-00001E530000}"/>
    <cellStyle name="40 % - Markeringsfarve5 2 3 3 6" xfId="14987" xr:uid="{00000000-0005-0000-0000-00001F530000}"/>
    <cellStyle name="40 % - Markeringsfarve5 2 3 3 6 2" xfId="33153" xr:uid="{00000000-0005-0000-0000-000020530000}"/>
    <cellStyle name="40 % - Markeringsfarve5 2 3 3 7" xfId="26151" xr:uid="{00000000-0005-0000-0000-000021530000}"/>
    <cellStyle name="40 % - Markeringsfarve5 2 3 4" xfId="6438" xr:uid="{00000000-0005-0000-0000-000022530000}"/>
    <cellStyle name="40 % - Markeringsfarve5 2 3 4 2" xfId="6439" xr:uid="{00000000-0005-0000-0000-000023530000}"/>
    <cellStyle name="40 % - Markeringsfarve5 2 3 4 2 2" xfId="6440" xr:uid="{00000000-0005-0000-0000-000024530000}"/>
    <cellStyle name="40 % - Markeringsfarve5 2 3 4 2 2 2" xfId="10187" xr:uid="{00000000-0005-0000-0000-000025530000}"/>
    <cellStyle name="40 % - Markeringsfarve5 2 3 4 2 2 2 2" xfId="18088" xr:uid="{00000000-0005-0000-0000-000026530000}"/>
    <cellStyle name="40 % - Markeringsfarve5 2 3 4 2 2 2 2 2" xfId="36248" xr:uid="{00000000-0005-0000-0000-000027530000}"/>
    <cellStyle name="40 % - Markeringsfarve5 2 3 4 2 2 2 3" xfId="29247" xr:uid="{00000000-0005-0000-0000-000028530000}"/>
    <cellStyle name="40 % - Markeringsfarve5 2 3 4 2 2 3" xfId="14994" xr:uid="{00000000-0005-0000-0000-000029530000}"/>
    <cellStyle name="40 % - Markeringsfarve5 2 3 4 2 2 3 2" xfId="33160" xr:uid="{00000000-0005-0000-0000-00002A530000}"/>
    <cellStyle name="40 % - Markeringsfarve5 2 3 4 2 2 4" xfId="26158" xr:uid="{00000000-0005-0000-0000-00002B530000}"/>
    <cellStyle name="40 % - Markeringsfarve5 2 3 4 2 3" xfId="8716" xr:uid="{00000000-0005-0000-0000-00002C530000}"/>
    <cellStyle name="40 % - Markeringsfarve5 2 3 4 2 3 2" xfId="16630" xr:uid="{00000000-0005-0000-0000-00002D530000}"/>
    <cellStyle name="40 % - Markeringsfarve5 2 3 4 2 3 2 2" xfId="34790" xr:uid="{00000000-0005-0000-0000-00002E530000}"/>
    <cellStyle name="40 % - Markeringsfarve5 2 3 4 2 3 3" xfId="27789" xr:uid="{00000000-0005-0000-0000-00002F530000}"/>
    <cellStyle name="40 % - Markeringsfarve5 2 3 4 2 4" xfId="14993" xr:uid="{00000000-0005-0000-0000-000030530000}"/>
    <cellStyle name="40 % - Markeringsfarve5 2 3 4 2 4 2" xfId="33159" xr:uid="{00000000-0005-0000-0000-000031530000}"/>
    <cellStyle name="40 % - Markeringsfarve5 2 3 4 2 5" xfId="26157" xr:uid="{00000000-0005-0000-0000-000032530000}"/>
    <cellStyle name="40 % - Markeringsfarve5 2 3 4 3" xfId="6441" xr:uid="{00000000-0005-0000-0000-000033530000}"/>
    <cellStyle name="40 % - Markeringsfarve5 2 3 4 3 2" xfId="9463" xr:uid="{00000000-0005-0000-0000-000034530000}"/>
    <cellStyle name="40 % - Markeringsfarve5 2 3 4 3 2 2" xfId="17373" xr:uid="{00000000-0005-0000-0000-000035530000}"/>
    <cellStyle name="40 % - Markeringsfarve5 2 3 4 3 2 2 2" xfId="35533" xr:uid="{00000000-0005-0000-0000-000036530000}"/>
    <cellStyle name="40 % - Markeringsfarve5 2 3 4 3 2 3" xfId="28532" xr:uid="{00000000-0005-0000-0000-000037530000}"/>
    <cellStyle name="40 % - Markeringsfarve5 2 3 4 3 3" xfId="14995" xr:uid="{00000000-0005-0000-0000-000038530000}"/>
    <cellStyle name="40 % - Markeringsfarve5 2 3 4 3 3 2" xfId="33161" xr:uid="{00000000-0005-0000-0000-000039530000}"/>
    <cellStyle name="40 % - Markeringsfarve5 2 3 4 3 4" xfId="26159" xr:uid="{00000000-0005-0000-0000-00003A530000}"/>
    <cellStyle name="40 % - Markeringsfarve5 2 3 4 4" xfId="6442" xr:uid="{00000000-0005-0000-0000-00003B530000}"/>
    <cellStyle name="40 % - Markeringsfarve5 2 3 4 4 2" xfId="10713" xr:uid="{00000000-0005-0000-0000-00003C530000}"/>
    <cellStyle name="40 % - Markeringsfarve5 2 3 4 4 2 2" xfId="18602" xr:uid="{00000000-0005-0000-0000-00003D530000}"/>
    <cellStyle name="40 % - Markeringsfarve5 2 3 4 4 2 2 2" xfId="36762" xr:uid="{00000000-0005-0000-0000-00003E530000}"/>
    <cellStyle name="40 % - Markeringsfarve5 2 3 4 4 2 3" xfId="29761" xr:uid="{00000000-0005-0000-0000-00003F530000}"/>
    <cellStyle name="40 % - Markeringsfarve5 2 3 4 4 3" xfId="14996" xr:uid="{00000000-0005-0000-0000-000040530000}"/>
    <cellStyle name="40 % - Markeringsfarve5 2 3 4 4 3 2" xfId="33162" xr:uid="{00000000-0005-0000-0000-000041530000}"/>
    <cellStyle name="40 % - Markeringsfarve5 2 3 4 4 4" xfId="26160" xr:uid="{00000000-0005-0000-0000-000042530000}"/>
    <cellStyle name="40 % - Markeringsfarve5 2 3 4 5" xfId="8213" xr:uid="{00000000-0005-0000-0000-000043530000}"/>
    <cellStyle name="40 % - Markeringsfarve5 2 3 4 5 2" xfId="16131" xr:uid="{00000000-0005-0000-0000-000044530000}"/>
    <cellStyle name="40 % - Markeringsfarve5 2 3 4 5 2 2" xfId="34291" xr:uid="{00000000-0005-0000-0000-000045530000}"/>
    <cellStyle name="40 % - Markeringsfarve5 2 3 4 5 3" xfId="27290" xr:uid="{00000000-0005-0000-0000-000046530000}"/>
    <cellStyle name="40 % - Markeringsfarve5 2 3 4 6" xfId="14992" xr:uid="{00000000-0005-0000-0000-000047530000}"/>
    <cellStyle name="40 % - Markeringsfarve5 2 3 4 6 2" xfId="33158" xr:uid="{00000000-0005-0000-0000-000048530000}"/>
    <cellStyle name="40 % - Markeringsfarve5 2 3 4 7" xfId="26156" xr:uid="{00000000-0005-0000-0000-000049530000}"/>
    <cellStyle name="40 % - Markeringsfarve5 2 3 5" xfId="6443" xr:uid="{00000000-0005-0000-0000-00004A530000}"/>
    <cellStyle name="40 % - Markeringsfarve5 2 3 5 2" xfId="6444" xr:uid="{00000000-0005-0000-0000-00004B530000}"/>
    <cellStyle name="40 % - Markeringsfarve5 2 3 5 2 2" xfId="6445" xr:uid="{00000000-0005-0000-0000-00004C530000}"/>
    <cellStyle name="40 % - Markeringsfarve5 2 3 5 2 2 2" xfId="10304" xr:uid="{00000000-0005-0000-0000-00004D530000}"/>
    <cellStyle name="40 % - Markeringsfarve5 2 3 5 2 2 2 2" xfId="18205" xr:uid="{00000000-0005-0000-0000-00004E530000}"/>
    <cellStyle name="40 % - Markeringsfarve5 2 3 5 2 2 2 2 2" xfId="36365" xr:uid="{00000000-0005-0000-0000-00004F530000}"/>
    <cellStyle name="40 % - Markeringsfarve5 2 3 5 2 2 2 3" xfId="29364" xr:uid="{00000000-0005-0000-0000-000050530000}"/>
    <cellStyle name="40 % - Markeringsfarve5 2 3 5 2 2 3" xfId="14999" xr:uid="{00000000-0005-0000-0000-000051530000}"/>
    <cellStyle name="40 % - Markeringsfarve5 2 3 5 2 2 3 2" xfId="33165" xr:uid="{00000000-0005-0000-0000-000052530000}"/>
    <cellStyle name="40 % - Markeringsfarve5 2 3 5 2 2 4" xfId="26163" xr:uid="{00000000-0005-0000-0000-000053530000}"/>
    <cellStyle name="40 % - Markeringsfarve5 2 3 5 2 3" xfId="8815" xr:uid="{00000000-0005-0000-0000-000054530000}"/>
    <cellStyle name="40 % - Markeringsfarve5 2 3 5 2 3 2" xfId="16729" xr:uid="{00000000-0005-0000-0000-000055530000}"/>
    <cellStyle name="40 % - Markeringsfarve5 2 3 5 2 3 2 2" xfId="34889" xr:uid="{00000000-0005-0000-0000-000056530000}"/>
    <cellStyle name="40 % - Markeringsfarve5 2 3 5 2 3 3" xfId="27888" xr:uid="{00000000-0005-0000-0000-000057530000}"/>
    <cellStyle name="40 % - Markeringsfarve5 2 3 5 2 4" xfId="14998" xr:uid="{00000000-0005-0000-0000-000058530000}"/>
    <cellStyle name="40 % - Markeringsfarve5 2 3 5 2 4 2" xfId="33164" xr:uid="{00000000-0005-0000-0000-000059530000}"/>
    <cellStyle name="40 % - Markeringsfarve5 2 3 5 2 5" xfId="26162" xr:uid="{00000000-0005-0000-0000-00005A530000}"/>
    <cellStyle name="40 % - Markeringsfarve5 2 3 5 3" xfId="6446" xr:uid="{00000000-0005-0000-0000-00005B530000}"/>
    <cellStyle name="40 % - Markeringsfarve5 2 3 5 3 2" xfId="9580" xr:uid="{00000000-0005-0000-0000-00005C530000}"/>
    <cellStyle name="40 % - Markeringsfarve5 2 3 5 3 2 2" xfId="17490" xr:uid="{00000000-0005-0000-0000-00005D530000}"/>
    <cellStyle name="40 % - Markeringsfarve5 2 3 5 3 2 2 2" xfId="35650" xr:uid="{00000000-0005-0000-0000-00005E530000}"/>
    <cellStyle name="40 % - Markeringsfarve5 2 3 5 3 2 3" xfId="28649" xr:uid="{00000000-0005-0000-0000-00005F530000}"/>
    <cellStyle name="40 % - Markeringsfarve5 2 3 5 3 3" xfId="15000" xr:uid="{00000000-0005-0000-0000-000060530000}"/>
    <cellStyle name="40 % - Markeringsfarve5 2 3 5 3 3 2" xfId="33166" xr:uid="{00000000-0005-0000-0000-000061530000}"/>
    <cellStyle name="40 % - Markeringsfarve5 2 3 5 3 4" xfId="26164" xr:uid="{00000000-0005-0000-0000-000062530000}"/>
    <cellStyle name="40 % - Markeringsfarve5 2 3 5 4" xfId="6447" xr:uid="{00000000-0005-0000-0000-000063530000}"/>
    <cellStyle name="40 % - Markeringsfarve5 2 3 5 4 2" xfId="10969" xr:uid="{00000000-0005-0000-0000-000064530000}"/>
    <cellStyle name="40 % - Markeringsfarve5 2 3 5 4 2 2" xfId="18848" xr:uid="{00000000-0005-0000-0000-000065530000}"/>
    <cellStyle name="40 % - Markeringsfarve5 2 3 5 4 2 2 2" xfId="37008" xr:uid="{00000000-0005-0000-0000-000066530000}"/>
    <cellStyle name="40 % - Markeringsfarve5 2 3 5 4 2 3" xfId="30007" xr:uid="{00000000-0005-0000-0000-000067530000}"/>
    <cellStyle name="40 % - Markeringsfarve5 2 3 5 4 3" xfId="15001" xr:uid="{00000000-0005-0000-0000-000068530000}"/>
    <cellStyle name="40 % - Markeringsfarve5 2 3 5 4 3 2" xfId="33167" xr:uid="{00000000-0005-0000-0000-000069530000}"/>
    <cellStyle name="40 % - Markeringsfarve5 2 3 5 4 4" xfId="26165" xr:uid="{00000000-0005-0000-0000-00006A530000}"/>
    <cellStyle name="40 % - Markeringsfarve5 2 3 5 5" xfId="8214" xr:uid="{00000000-0005-0000-0000-00006B530000}"/>
    <cellStyle name="40 % - Markeringsfarve5 2 3 5 5 2" xfId="16132" xr:uid="{00000000-0005-0000-0000-00006C530000}"/>
    <cellStyle name="40 % - Markeringsfarve5 2 3 5 5 2 2" xfId="34292" xr:uid="{00000000-0005-0000-0000-00006D530000}"/>
    <cellStyle name="40 % - Markeringsfarve5 2 3 5 5 3" xfId="27291" xr:uid="{00000000-0005-0000-0000-00006E530000}"/>
    <cellStyle name="40 % - Markeringsfarve5 2 3 5 6" xfId="14997" xr:uid="{00000000-0005-0000-0000-00006F530000}"/>
    <cellStyle name="40 % - Markeringsfarve5 2 3 5 6 2" xfId="33163" xr:uid="{00000000-0005-0000-0000-000070530000}"/>
    <cellStyle name="40 % - Markeringsfarve5 2 3 5 7" xfId="26161" xr:uid="{00000000-0005-0000-0000-000071530000}"/>
    <cellStyle name="40 % - Markeringsfarve5 2 3 6" xfId="6448" xr:uid="{00000000-0005-0000-0000-000072530000}"/>
    <cellStyle name="40 % - Markeringsfarve5 2 3 6 2" xfId="6449" xr:uid="{00000000-0005-0000-0000-000073530000}"/>
    <cellStyle name="40 % - Markeringsfarve5 2 3 6 2 2" xfId="6450" xr:uid="{00000000-0005-0000-0000-000074530000}"/>
    <cellStyle name="40 % - Markeringsfarve5 2 3 6 2 2 2" xfId="10401" xr:uid="{00000000-0005-0000-0000-000075530000}"/>
    <cellStyle name="40 % - Markeringsfarve5 2 3 6 2 2 2 2" xfId="18302" xr:uid="{00000000-0005-0000-0000-000076530000}"/>
    <cellStyle name="40 % - Markeringsfarve5 2 3 6 2 2 2 2 2" xfId="36462" xr:uid="{00000000-0005-0000-0000-000077530000}"/>
    <cellStyle name="40 % - Markeringsfarve5 2 3 6 2 2 2 3" xfId="29461" xr:uid="{00000000-0005-0000-0000-000078530000}"/>
    <cellStyle name="40 % - Markeringsfarve5 2 3 6 2 2 3" xfId="15004" xr:uid="{00000000-0005-0000-0000-000079530000}"/>
    <cellStyle name="40 % - Markeringsfarve5 2 3 6 2 2 3 2" xfId="33170" xr:uid="{00000000-0005-0000-0000-00007A530000}"/>
    <cellStyle name="40 % - Markeringsfarve5 2 3 6 2 2 4" xfId="26168" xr:uid="{00000000-0005-0000-0000-00007B530000}"/>
    <cellStyle name="40 % - Markeringsfarve5 2 3 6 2 3" xfId="8894" xr:uid="{00000000-0005-0000-0000-00007C530000}"/>
    <cellStyle name="40 % - Markeringsfarve5 2 3 6 2 3 2" xfId="16808" xr:uid="{00000000-0005-0000-0000-00007D530000}"/>
    <cellStyle name="40 % - Markeringsfarve5 2 3 6 2 3 2 2" xfId="34968" xr:uid="{00000000-0005-0000-0000-00007E530000}"/>
    <cellStyle name="40 % - Markeringsfarve5 2 3 6 2 3 3" xfId="27967" xr:uid="{00000000-0005-0000-0000-00007F530000}"/>
    <cellStyle name="40 % - Markeringsfarve5 2 3 6 2 4" xfId="15003" xr:uid="{00000000-0005-0000-0000-000080530000}"/>
    <cellStyle name="40 % - Markeringsfarve5 2 3 6 2 4 2" xfId="33169" xr:uid="{00000000-0005-0000-0000-000081530000}"/>
    <cellStyle name="40 % - Markeringsfarve5 2 3 6 2 5" xfId="26167" xr:uid="{00000000-0005-0000-0000-000082530000}"/>
    <cellStyle name="40 % - Markeringsfarve5 2 3 6 3" xfId="6451" xr:uid="{00000000-0005-0000-0000-000083530000}"/>
    <cellStyle name="40 % - Markeringsfarve5 2 3 6 3 2" xfId="9678" xr:uid="{00000000-0005-0000-0000-000084530000}"/>
    <cellStyle name="40 % - Markeringsfarve5 2 3 6 3 2 2" xfId="17588" xr:uid="{00000000-0005-0000-0000-000085530000}"/>
    <cellStyle name="40 % - Markeringsfarve5 2 3 6 3 2 2 2" xfId="35748" xr:uid="{00000000-0005-0000-0000-000086530000}"/>
    <cellStyle name="40 % - Markeringsfarve5 2 3 6 3 2 3" xfId="28747" xr:uid="{00000000-0005-0000-0000-000087530000}"/>
    <cellStyle name="40 % - Markeringsfarve5 2 3 6 3 3" xfId="15005" xr:uid="{00000000-0005-0000-0000-000088530000}"/>
    <cellStyle name="40 % - Markeringsfarve5 2 3 6 3 3 2" xfId="33171" xr:uid="{00000000-0005-0000-0000-000089530000}"/>
    <cellStyle name="40 % - Markeringsfarve5 2 3 6 3 4" xfId="26169" xr:uid="{00000000-0005-0000-0000-00008A530000}"/>
    <cellStyle name="40 % - Markeringsfarve5 2 3 6 4" xfId="6452" xr:uid="{00000000-0005-0000-0000-00008B530000}"/>
    <cellStyle name="40 % - Markeringsfarve5 2 3 6 4 2" xfId="10693" xr:uid="{00000000-0005-0000-0000-00008C530000}"/>
    <cellStyle name="40 % - Markeringsfarve5 2 3 6 4 2 2" xfId="18584" xr:uid="{00000000-0005-0000-0000-00008D530000}"/>
    <cellStyle name="40 % - Markeringsfarve5 2 3 6 4 2 2 2" xfId="36744" xr:uid="{00000000-0005-0000-0000-00008E530000}"/>
    <cellStyle name="40 % - Markeringsfarve5 2 3 6 4 2 3" xfId="29743" xr:uid="{00000000-0005-0000-0000-00008F530000}"/>
    <cellStyle name="40 % - Markeringsfarve5 2 3 6 4 3" xfId="15006" xr:uid="{00000000-0005-0000-0000-000090530000}"/>
    <cellStyle name="40 % - Markeringsfarve5 2 3 6 4 3 2" xfId="33172" xr:uid="{00000000-0005-0000-0000-000091530000}"/>
    <cellStyle name="40 % - Markeringsfarve5 2 3 6 4 4" xfId="26170" xr:uid="{00000000-0005-0000-0000-000092530000}"/>
    <cellStyle name="40 % - Markeringsfarve5 2 3 6 5" xfId="8215" xr:uid="{00000000-0005-0000-0000-000093530000}"/>
    <cellStyle name="40 % - Markeringsfarve5 2 3 6 5 2" xfId="16133" xr:uid="{00000000-0005-0000-0000-000094530000}"/>
    <cellStyle name="40 % - Markeringsfarve5 2 3 6 5 2 2" xfId="34293" xr:uid="{00000000-0005-0000-0000-000095530000}"/>
    <cellStyle name="40 % - Markeringsfarve5 2 3 6 5 3" xfId="27292" xr:uid="{00000000-0005-0000-0000-000096530000}"/>
    <cellStyle name="40 % - Markeringsfarve5 2 3 6 6" xfId="15002" xr:uid="{00000000-0005-0000-0000-000097530000}"/>
    <cellStyle name="40 % - Markeringsfarve5 2 3 6 6 2" xfId="33168" xr:uid="{00000000-0005-0000-0000-000098530000}"/>
    <cellStyle name="40 % - Markeringsfarve5 2 3 6 7" xfId="26166" xr:uid="{00000000-0005-0000-0000-000099530000}"/>
    <cellStyle name="40 % - Markeringsfarve5 2 3 7" xfId="6453" xr:uid="{00000000-0005-0000-0000-00009A530000}"/>
    <cellStyle name="40 % - Markeringsfarve5 2 3 7 2" xfId="6454" xr:uid="{00000000-0005-0000-0000-00009B530000}"/>
    <cellStyle name="40 % - Markeringsfarve5 2 3 7 2 2" xfId="9830" xr:uid="{00000000-0005-0000-0000-00009C530000}"/>
    <cellStyle name="40 % - Markeringsfarve5 2 3 7 2 2 2" xfId="17731" xr:uid="{00000000-0005-0000-0000-00009D530000}"/>
    <cellStyle name="40 % - Markeringsfarve5 2 3 7 2 2 2 2" xfId="35891" xr:uid="{00000000-0005-0000-0000-00009E530000}"/>
    <cellStyle name="40 % - Markeringsfarve5 2 3 7 2 2 3" xfId="28890" xr:uid="{00000000-0005-0000-0000-00009F530000}"/>
    <cellStyle name="40 % - Markeringsfarve5 2 3 7 2 3" xfId="15008" xr:uid="{00000000-0005-0000-0000-0000A0530000}"/>
    <cellStyle name="40 % - Markeringsfarve5 2 3 7 2 3 2" xfId="33174" xr:uid="{00000000-0005-0000-0000-0000A1530000}"/>
    <cellStyle name="40 % - Markeringsfarve5 2 3 7 2 4" xfId="26172" xr:uid="{00000000-0005-0000-0000-0000A2530000}"/>
    <cellStyle name="40 % - Markeringsfarve5 2 3 7 3" xfId="8415" xr:uid="{00000000-0005-0000-0000-0000A3530000}"/>
    <cellStyle name="40 % - Markeringsfarve5 2 3 7 3 2" xfId="16332" xr:uid="{00000000-0005-0000-0000-0000A4530000}"/>
    <cellStyle name="40 % - Markeringsfarve5 2 3 7 3 2 2" xfId="34492" xr:uid="{00000000-0005-0000-0000-0000A5530000}"/>
    <cellStyle name="40 % - Markeringsfarve5 2 3 7 3 3" xfId="27491" xr:uid="{00000000-0005-0000-0000-0000A6530000}"/>
    <cellStyle name="40 % - Markeringsfarve5 2 3 7 4" xfId="15007" xr:uid="{00000000-0005-0000-0000-0000A7530000}"/>
    <cellStyle name="40 % - Markeringsfarve5 2 3 7 4 2" xfId="33173" xr:uid="{00000000-0005-0000-0000-0000A8530000}"/>
    <cellStyle name="40 % - Markeringsfarve5 2 3 7 5" xfId="26171" xr:uid="{00000000-0005-0000-0000-0000A9530000}"/>
    <cellStyle name="40 % - Markeringsfarve5 2 3 8" xfId="6455" xr:uid="{00000000-0005-0000-0000-0000AA530000}"/>
    <cellStyle name="40 % - Markeringsfarve5 2 3 8 2" xfId="9058" xr:uid="{00000000-0005-0000-0000-0000AB530000}"/>
    <cellStyle name="40 % - Markeringsfarve5 2 3 8 2 2" xfId="16969" xr:uid="{00000000-0005-0000-0000-0000AC530000}"/>
    <cellStyle name="40 % - Markeringsfarve5 2 3 8 2 2 2" xfId="35129" xr:uid="{00000000-0005-0000-0000-0000AD530000}"/>
    <cellStyle name="40 % - Markeringsfarve5 2 3 8 2 3" xfId="28128" xr:uid="{00000000-0005-0000-0000-0000AE530000}"/>
    <cellStyle name="40 % - Markeringsfarve5 2 3 8 3" xfId="15009" xr:uid="{00000000-0005-0000-0000-0000AF530000}"/>
    <cellStyle name="40 % - Markeringsfarve5 2 3 8 3 2" xfId="33175" xr:uid="{00000000-0005-0000-0000-0000B0530000}"/>
    <cellStyle name="40 % - Markeringsfarve5 2 3 8 4" xfId="26173" xr:uid="{00000000-0005-0000-0000-0000B1530000}"/>
    <cellStyle name="40 % - Markeringsfarve5 2 3 9" xfId="6456" xr:uid="{00000000-0005-0000-0000-0000B2530000}"/>
    <cellStyle name="40 % - Markeringsfarve5 2 3 9 2" xfId="10460" xr:uid="{00000000-0005-0000-0000-0000B3530000}"/>
    <cellStyle name="40 % - Markeringsfarve5 2 3 9 2 2" xfId="18357" xr:uid="{00000000-0005-0000-0000-0000B4530000}"/>
    <cellStyle name="40 % - Markeringsfarve5 2 3 9 2 2 2" xfId="36517" xr:uid="{00000000-0005-0000-0000-0000B5530000}"/>
    <cellStyle name="40 % - Markeringsfarve5 2 3 9 2 3" xfId="29516" xr:uid="{00000000-0005-0000-0000-0000B6530000}"/>
    <cellStyle name="40 % - Markeringsfarve5 2 3 9 3" xfId="15010" xr:uid="{00000000-0005-0000-0000-0000B7530000}"/>
    <cellStyle name="40 % - Markeringsfarve5 2 3 9 3 2" xfId="33176" xr:uid="{00000000-0005-0000-0000-0000B8530000}"/>
    <cellStyle name="40 % - Markeringsfarve5 2 3 9 4" xfId="26174" xr:uid="{00000000-0005-0000-0000-0000B9530000}"/>
    <cellStyle name="40 % - Markeringsfarve5 2 4" xfId="1932" xr:uid="{00000000-0005-0000-0000-0000BA530000}"/>
    <cellStyle name="40 % - Markeringsfarve5 2 4 2" xfId="6458" xr:uid="{00000000-0005-0000-0000-0000BB530000}"/>
    <cellStyle name="40 % - Markeringsfarve5 2 4 2 2" xfId="6459" xr:uid="{00000000-0005-0000-0000-0000BC530000}"/>
    <cellStyle name="40 % - Markeringsfarve5 2 4 2 2 2" xfId="9871" xr:uid="{00000000-0005-0000-0000-0000BD530000}"/>
    <cellStyle name="40 % - Markeringsfarve5 2 4 2 2 2 2" xfId="17772" xr:uid="{00000000-0005-0000-0000-0000BE530000}"/>
    <cellStyle name="40 % - Markeringsfarve5 2 4 2 2 2 2 2" xfId="35932" xr:uid="{00000000-0005-0000-0000-0000BF530000}"/>
    <cellStyle name="40 % - Markeringsfarve5 2 4 2 2 2 3" xfId="28931" xr:uid="{00000000-0005-0000-0000-0000C0530000}"/>
    <cellStyle name="40 % - Markeringsfarve5 2 4 2 2 3" xfId="15013" xr:uid="{00000000-0005-0000-0000-0000C1530000}"/>
    <cellStyle name="40 % - Markeringsfarve5 2 4 2 2 3 2" xfId="33179" xr:uid="{00000000-0005-0000-0000-0000C2530000}"/>
    <cellStyle name="40 % - Markeringsfarve5 2 4 2 2 4" xfId="26177" xr:uid="{00000000-0005-0000-0000-0000C3530000}"/>
    <cellStyle name="40 % - Markeringsfarve5 2 4 2 3" xfId="8448" xr:uid="{00000000-0005-0000-0000-0000C4530000}"/>
    <cellStyle name="40 % - Markeringsfarve5 2 4 2 3 2" xfId="16365" xr:uid="{00000000-0005-0000-0000-0000C5530000}"/>
    <cellStyle name="40 % - Markeringsfarve5 2 4 2 3 2 2" xfId="34525" xr:uid="{00000000-0005-0000-0000-0000C6530000}"/>
    <cellStyle name="40 % - Markeringsfarve5 2 4 2 3 3" xfId="27524" xr:uid="{00000000-0005-0000-0000-0000C7530000}"/>
    <cellStyle name="40 % - Markeringsfarve5 2 4 2 4" xfId="15012" xr:uid="{00000000-0005-0000-0000-0000C8530000}"/>
    <cellStyle name="40 % - Markeringsfarve5 2 4 2 4 2" xfId="33178" xr:uid="{00000000-0005-0000-0000-0000C9530000}"/>
    <cellStyle name="40 % - Markeringsfarve5 2 4 2 5" xfId="26176" xr:uid="{00000000-0005-0000-0000-0000CA530000}"/>
    <cellStyle name="40 % - Markeringsfarve5 2 4 3" xfId="6460" xr:uid="{00000000-0005-0000-0000-0000CB530000}"/>
    <cellStyle name="40 % - Markeringsfarve5 2 4 3 2" xfId="9101" xr:uid="{00000000-0005-0000-0000-0000CC530000}"/>
    <cellStyle name="40 % - Markeringsfarve5 2 4 3 2 2" xfId="17012" xr:uid="{00000000-0005-0000-0000-0000CD530000}"/>
    <cellStyle name="40 % - Markeringsfarve5 2 4 3 2 2 2" xfId="35172" xr:uid="{00000000-0005-0000-0000-0000CE530000}"/>
    <cellStyle name="40 % - Markeringsfarve5 2 4 3 2 3" xfId="28171" xr:uid="{00000000-0005-0000-0000-0000CF530000}"/>
    <cellStyle name="40 % - Markeringsfarve5 2 4 3 3" xfId="15014" xr:uid="{00000000-0005-0000-0000-0000D0530000}"/>
    <cellStyle name="40 % - Markeringsfarve5 2 4 3 3 2" xfId="33180" xr:uid="{00000000-0005-0000-0000-0000D1530000}"/>
    <cellStyle name="40 % - Markeringsfarve5 2 4 3 4" xfId="26178" xr:uid="{00000000-0005-0000-0000-0000D2530000}"/>
    <cellStyle name="40 % - Markeringsfarve5 2 4 4" xfId="6461" xr:uid="{00000000-0005-0000-0000-0000D3530000}"/>
    <cellStyle name="40 % - Markeringsfarve5 2 4 4 2" xfId="10927" xr:uid="{00000000-0005-0000-0000-0000D4530000}"/>
    <cellStyle name="40 % - Markeringsfarve5 2 4 4 2 2" xfId="18808" xr:uid="{00000000-0005-0000-0000-0000D5530000}"/>
    <cellStyle name="40 % - Markeringsfarve5 2 4 4 2 2 2" xfId="36968" xr:uid="{00000000-0005-0000-0000-0000D6530000}"/>
    <cellStyle name="40 % - Markeringsfarve5 2 4 4 2 3" xfId="29967" xr:uid="{00000000-0005-0000-0000-0000D7530000}"/>
    <cellStyle name="40 % - Markeringsfarve5 2 4 4 3" xfId="15015" xr:uid="{00000000-0005-0000-0000-0000D8530000}"/>
    <cellStyle name="40 % - Markeringsfarve5 2 4 4 3 2" xfId="33181" xr:uid="{00000000-0005-0000-0000-0000D9530000}"/>
    <cellStyle name="40 % - Markeringsfarve5 2 4 4 4" xfId="26179" xr:uid="{00000000-0005-0000-0000-0000DA530000}"/>
    <cellStyle name="40 % - Markeringsfarve5 2 4 5" xfId="8216" xr:uid="{00000000-0005-0000-0000-0000DB530000}"/>
    <cellStyle name="40 % - Markeringsfarve5 2 4 5 2" xfId="16134" xr:uid="{00000000-0005-0000-0000-0000DC530000}"/>
    <cellStyle name="40 % - Markeringsfarve5 2 4 5 2 2" xfId="34294" xr:uid="{00000000-0005-0000-0000-0000DD530000}"/>
    <cellStyle name="40 % - Markeringsfarve5 2 4 5 3" xfId="27293" xr:uid="{00000000-0005-0000-0000-0000DE530000}"/>
    <cellStyle name="40 % - Markeringsfarve5 2 4 6" xfId="15011" xr:uid="{00000000-0005-0000-0000-0000DF530000}"/>
    <cellStyle name="40 % - Markeringsfarve5 2 4 6 2" xfId="33177" xr:uid="{00000000-0005-0000-0000-0000E0530000}"/>
    <cellStyle name="40 % - Markeringsfarve5 2 4 7" xfId="6457" xr:uid="{00000000-0005-0000-0000-0000E1530000}"/>
    <cellStyle name="40 % - Markeringsfarve5 2 4 7 2" xfId="26175" xr:uid="{00000000-0005-0000-0000-0000E2530000}"/>
    <cellStyle name="40 % - Markeringsfarve5 2 4 8" xfId="22050" xr:uid="{00000000-0005-0000-0000-0000E3530000}"/>
    <cellStyle name="40 % - Markeringsfarve5 2 5" xfId="6462" xr:uid="{00000000-0005-0000-0000-0000E4530000}"/>
    <cellStyle name="40 % - Markeringsfarve5 2 5 2" xfId="6463" xr:uid="{00000000-0005-0000-0000-0000E5530000}"/>
    <cellStyle name="40 % - Markeringsfarve5 2 5 2 2" xfId="6464" xr:uid="{00000000-0005-0000-0000-0000E6530000}"/>
    <cellStyle name="40 % - Markeringsfarve5 2 5 2 2 2" xfId="10045" xr:uid="{00000000-0005-0000-0000-0000E7530000}"/>
    <cellStyle name="40 % - Markeringsfarve5 2 5 2 2 2 2" xfId="17946" xr:uid="{00000000-0005-0000-0000-0000E8530000}"/>
    <cellStyle name="40 % - Markeringsfarve5 2 5 2 2 2 2 2" xfId="36106" xr:uid="{00000000-0005-0000-0000-0000E9530000}"/>
    <cellStyle name="40 % - Markeringsfarve5 2 5 2 2 2 3" xfId="29105" xr:uid="{00000000-0005-0000-0000-0000EA530000}"/>
    <cellStyle name="40 % - Markeringsfarve5 2 5 2 2 3" xfId="15018" xr:uid="{00000000-0005-0000-0000-0000EB530000}"/>
    <cellStyle name="40 % - Markeringsfarve5 2 5 2 2 3 2" xfId="33184" xr:uid="{00000000-0005-0000-0000-0000EC530000}"/>
    <cellStyle name="40 % - Markeringsfarve5 2 5 2 2 4" xfId="26182" xr:uid="{00000000-0005-0000-0000-0000ED530000}"/>
    <cellStyle name="40 % - Markeringsfarve5 2 5 2 3" xfId="8591" xr:uid="{00000000-0005-0000-0000-0000EE530000}"/>
    <cellStyle name="40 % - Markeringsfarve5 2 5 2 3 2" xfId="16508" xr:uid="{00000000-0005-0000-0000-0000EF530000}"/>
    <cellStyle name="40 % - Markeringsfarve5 2 5 2 3 2 2" xfId="34668" xr:uid="{00000000-0005-0000-0000-0000F0530000}"/>
    <cellStyle name="40 % - Markeringsfarve5 2 5 2 3 3" xfId="27667" xr:uid="{00000000-0005-0000-0000-0000F1530000}"/>
    <cellStyle name="40 % - Markeringsfarve5 2 5 2 4" xfId="15017" xr:uid="{00000000-0005-0000-0000-0000F2530000}"/>
    <cellStyle name="40 % - Markeringsfarve5 2 5 2 4 2" xfId="33183" xr:uid="{00000000-0005-0000-0000-0000F3530000}"/>
    <cellStyle name="40 % - Markeringsfarve5 2 5 2 5" xfId="26181" xr:uid="{00000000-0005-0000-0000-0000F4530000}"/>
    <cellStyle name="40 % - Markeringsfarve5 2 5 3" xfId="6465" xr:uid="{00000000-0005-0000-0000-0000F5530000}"/>
    <cellStyle name="40 % - Markeringsfarve5 2 5 3 2" xfId="9275" xr:uid="{00000000-0005-0000-0000-0000F6530000}"/>
    <cellStyle name="40 % - Markeringsfarve5 2 5 3 2 2" xfId="17186" xr:uid="{00000000-0005-0000-0000-0000F7530000}"/>
    <cellStyle name="40 % - Markeringsfarve5 2 5 3 2 2 2" xfId="35346" xr:uid="{00000000-0005-0000-0000-0000F8530000}"/>
    <cellStyle name="40 % - Markeringsfarve5 2 5 3 2 3" xfId="28345" xr:uid="{00000000-0005-0000-0000-0000F9530000}"/>
    <cellStyle name="40 % - Markeringsfarve5 2 5 3 3" xfId="15019" xr:uid="{00000000-0005-0000-0000-0000FA530000}"/>
    <cellStyle name="40 % - Markeringsfarve5 2 5 3 3 2" xfId="33185" xr:uid="{00000000-0005-0000-0000-0000FB530000}"/>
    <cellStyle name="40 % - Markeringsfarve5 2 5 3 4" xfId="26183" xr:uid="{00000000-0005-0000-0000-0000FC530000}"/>
    <cellStyle name="40 % - Markeringsfarve5 2 5 4" xfId="6466" xr:uid="{00000000-0005-0000-0000-0000FD530000}"/>
    <cellStyle name="40 % - Markeringsfarve5 2 5 4 2" xfId="10652" xr:uid="{00000000-0005-0000-0000-0000FE530000}"/>
    <cellStyle name="40 % - Markeringsfarve5 2 5 4 2 2" xfId="18545" xr:uid="{00000000-0005-0000-0000-0000FF530000}"/>
    <cellStyle name="40 % - Markeringsfarve5 2 5 4 2 2 2" xfId="36705" xr:uid="{00000000-0005-0000-0000-000000540000}"/>
    <cellStyle name="40 % - Markeringsfarve5 2 5 4 2 3" xfId="29704" xr:uid="{00000000-0005-0000-0000-000001540000}"/>
    <cellStyle name="40 % - Markeringsfarve5 2 5 4 3" xfId="15020" xr:uid="{00000000-0005-0000-0000-000002540000}"/>
    <cellStyle name="40 % - Markeringsfarve5 2 5 4 3 2" xfId="33186" xr:uid="{00000000-0005-0000-0000-000003540000}"/>
    <cellStyle name="40 % - Markeringsfarve5 2 5 4 4" xfId="26184" xr:uid="{00000000-0005-0000-0000-000004540000}"/>
    <cellStyle name="40 % - Markeringsfarve5 2 5 5" xfId="8217" xr:uid="{00000000-0005-0000-0000-000005540000}"/>
    <cellStyle name="40 % - Markeringsfarve5 2 5 5 2" xfId="16135" xr:uid="{00000000-0005-0000-0000-000006540000}"/>
    <cellStyle name="40 % - Markeringsfarve5 2 5 5 2 2" xfId="34295" xr:uid="{00000000-0005-0000-0000-000007540000}"/>
    <cellStyle name="40 % - Markeringsfarve5 2 5 5 3" xfId="27294" xr:uid="{00000000-0005-0000-0000-000008540000}"/>
    <cellStyle name="40 % - Markeringsfarve5 2 5 6" xfId="15016" xr:uid="{00000000-0005-0000-0000-000009540000}"/>
    <cellStyle name="40 % - Markeringsfarve5 2 5 6 2" xfId="33182" xr:uid="{00000000-0005-0000-0000-00000A540000}"/>
    <cellStyle name="40 % - Markeringsfarve5 2 5 7" xfId="26180" xr:uid="{00000000-0005-0000-0000-00000B540000}"/>
    <cellStyle name="40 % - Markeringsfarve5 2 6" xfId="6467" xr:uid="{00000000-0005-0000-0000-00000C540000}"/>
    <cellStyle name="40 % - Markeringsfarve5 2 6 2" xfId="6468" xr:uid="{00000000-0005-0000-0000-00000D540000}"/>
    <cellStyle name="40 % - Markeringsfarve5 2 6 2 2" xfId="6469" xr:uid="{00000000-0005-0000-0000-00000E540000}"/>
    <cellStyle name="40 % - Markeringsfarve5 2 6 2 2 2" xfId="10109" xr:uid="{00000000-0005-0000-0000-00000F540000}"/>
    <cellStyle name="40 % - Markeringsfarve5 2 6 2 2 2 2" xfId="18010" xr:uid="{00000000-0005-0000-0000-000010540000}"/>
    <cellStyle name="40 % - Markeringsfarve5 2 6 2 2 2 2 2" xfId="36170" xr:uid="{00000000-0005-0000-0000-000011540000}"/>
    <cellStyle name="40 % - Markeringsfarve5 2 6 2 2 2 3" xfId="29169" xr:uid="{00000000-0005-0000-0000-000012540000}"/>
    <cellStyle name="40 % - Markeringsfarve5 2 6 2 2 3" xfId="15023" xr:uid="{00000000-0005-0000-0000-000013540000}"/>
    <cellStyle name="40 % - Markeringsfarve5 2 6 2 2 3 2" xfId="33189" xr:uid="{00000000-0005-0000-0000-000014540000}"/>
    <cellStyle name="40 % - Markeringsfarve5 2 6 2 2 4" xfId="26187" xr:uid="{00000000-0005-0000-0000-000015540000}"/>
    <cellStyle name="40 % - Markeringsfarve5 2 6 2 3" xfId="8650" xr:uid="{00000000-0005-0000-0000-000016540000}"/>
    <cellStyle name="40 % - Markeringsfarve5 2 6 2 3 2" xfId="16564" xr:uid="{00000000-0005-0000-0000-000017540000}"/>
    <cellStyle name="40 % - Markeringsfarve5 2 6 2 3 2 2" xfId="34724" xr:uid="{00000000-0005-0000-0000-000018540000}"/>
    <cellStyle name="40 % - Markeringsfarve5 2 6 2 3 3" xfId="27723" xr:uid="{00000000-0005-0000-0000-000019540000}"/>
    <cellStyle name="40 % - Markeringsfarve5 2 6 2 4" xfId="15022" xr:uid="{00000000-0005-0000-0000-00001A540000}"/>
    <cellStyle name="40 % - Markeringsfarve5 2 6 2 4 2" xfId="33188" xr:uid="{00000000-0005-0000-0000-00001B540000}"/>
    <cellStyle name="40 % - Markeringsfarve5 2 6 2 5" xfId="26186" xr:uid="{00000000-0005-0000-0000-00001C540000}"/>
    <cellStyle name="40 % - Markeringsfarve5 2 6 3" xfId="6470" xr:uid="{00000000-0005-0000-0000-00001D540000}"/>
    <cellStyle name="40 % - Markeringsfarve5 2 6 3 2" xfId="9385" xr:uid="{00000000-0005-0000-0000-00001E540000}"/>
    <cellStyle name="40 % - Markeringsfarve5 2 6 3 2 2" xfId="17295" xr:uid="{00000000-0005-0000-0000-00001F540000}"/>
    <cellStyle name="40 % - Markeringsfarve5 2 6 3 2 2 2" xfId="35455" xr:uid="{00000000-0005-0000-0000-000020540000}"/>
    <cellStyle name="40 % - Markeringsfarve5 2 6 3 2 3" xfId="28454" xr:uid="{00000000-0005-0000-0000-000021540000}"/>
    <cellStyle name="40 % - Markeringsfarve5 2 6 3 3" xfId="15024" xr:uid="{00000000-0005-0000-0000-000022540000}"/>
    <cellStyle name="40 % - Markeringsfarve5 2 6 3 3 2" xfId="33190" xr:uid="{00000000-0005-0000-0000-000023540000}"/>
    <cellStyle name="40 % - Markeringsfarve5 2 6 3 4" xfId="26188" xr:uid="{00000000-0005-0000-0000-000024540000}"/>
    <cellStyle name="40 % - Markeringsfarve5 2 6 4" xfId="6471" xr:uid="{00000000-0005-0000-0000-000025540000}"/>
    <cellStyle name="40 % - Markeringsfarve5 2 6 4 2" xfId="10859" xr:uid="{00000000-0005-0000-0000-000026540000}"/>
    <cellStyle name="40 % - Markeringsfarve5 2 6 4 2 2" xfId="18742" xr:uid="{00000000-0005-0000-0000-000027540000}"/>
    <cellStyle name="40 % - Markeringsfarve5 2 6 4 2 2 2" xfId="36902" xr:uid="{00000000-0005-0000-0000-000028540000}"/>
    <cellStyle name="40 % - Markeringsfarve5 2 6 4 2 3" xfId="29901" xr:uid="{00000000-0005-0000-0000-000029540000}"/>
    <cellStyle name="40 % - Markeringsfarve5 2 6 4 3" xfId="15025" xr:uid="{00000000-0005-0000-0000-00002A540000}"/>
    <cellStyle name="40 % - Markeringsfarve5 2 6 4 3 2" xfId="33191" xr:uid="{00000000-0005-0000-0000-00002B540000}"/>
    <cellStyle name="40 % - Markeringsfarve5 2 6 4 4" xfId="26189" xr:uid="{00000000-0005-0000-0000-00002C540000}"/>
    <cellStyle name="40 % - Markeringsfarve5 2 6 5" xfId="8218" xr:uid="{00000000-0005-0000-0000-00002D540000}"/>
    <cellStyle name="40 % - Markeringsfarve5 2 6 5 2" xfId="16136" xr:uid="{00000000-0005-0000-0000-00002E540000}"/>
    <cellStyle name="40 % - Markeringsfarve5 2 6 5 2 2" xfId="34296" xr:uid="{00000000-0005-0000-0000-00002F540000}"/>
    <cellStyle name="40 % - Markeringsfarve5 2 6 5 3" xfId="27295" xr:uid="{00000000-0005-0000-0000-000030540000}"/>
    <cellStyle name="40 % - Markeringsfarve5 2 6 6" xfId="15021" xr:uid="{00000000-0005-0000-0000-000031540000}"/>
    <cellStyle name="40 % - Markeringsfarve5 2 6 6 2" xfId="33187" xr:uid="{00000000-0005-0000-0000-000032540000}"/>
    <cellStyle name="40 % - Markeringsfarve5 2 6 7" xfId="26185" xr:uid="{00000000-0005-0000-0000-000033540000}"/>
    <cellStyle name="40 % - Markeringsfarve5 2 7" xfId="6472" xr:uid="{00000000-0005-0000-0000-000034540000}"/>
    <cellStyle name="40 % - Markeringsfarve5 2 7 2" xfId="6473" xr:uid="{00000000-0005-0000-0000-000035540000}"/>
    <cellStyle name="40 % - Markeringsfarve5 2 7 2 2" xfId="6474" xr:uid="{00000000-0005-0000-0000-000036540000}"/>
    <cellStyle name="40 % - Markeringsfarve5 2 7 2 2 2" xfId="10226" xr:uid="{00000000-0005-0000-0000-000037540000}"/>
    <cellStyle name="40 % - Markeringsfarve5 2 7 2 2 2 2" xfId="18127" xr:uid="{00000000-0005-0000-0000-000038540000}"/>
    <cellStyle name="40 % - Markeringsfarve5 2 7 2 2 2 2 2" xfId="36287" xr:uid="{00000000-0005-0000-0000-000039540000}"/>
    <cellStyle name="40 % - Markeringsfarve5 2 7 2 2 2 3" xfId="29286" xr:uid="{00000000-0005-0000-0000-00003A540000}"/>
    <cellStyle name="40 % - Markeringsfarve5 2 7 2 2 3" xfId="15028" xr:uid="{00000000-0005-0000-0000-00003B540000}"/>
    <cellStyle name="40 % - Markeringsfarve5 2 7 2 2 3 2" xfId="33194" xr:uid="{00000000-0005-0000-0000-00003C540000}"/>
    <cellStyle name="40 % - Markeringsfarve5 2 7 2 2 4" xfId="26192" xr:uid="{00000000-0005-0000-0000-00003D540000}"/>
    <cellStyle name="40 % - Markeringsfarve5 2 7 2 3" xfId="8749" xr:uid="{00000000-0005-0000-0000-00003E540000}"/>
    <cellStyle name="40 % - Markeringsfarve5 2 7 2 3 2" xfId="16663" xr:uid="{00000000-0005-0000-0000-00003F540000}"/>
    <cellStyle name="40 % - Markeringsfarve5 2 7 2 3 2 2" xfId="34823" xr:uid="{00000000-0005-0000-0000-000040540000}"/>
    <cellStyle name="40 % - Markeringsfarve5 2 7 2 3 3" xfId="27822" xr:uid="{00000000-0005-0000-0000-000041540000}"/>
    <cellStyle name="40 % - Markeringsfarve5 2 7 2 4" xfId="15027" xr:uid="{00000000-0005-0000-0000-000042540000}"/>
    <cellStyle name="40 % - Markeringsfarve5 2 7 2 4 2" xfId="33193" xr:uid="{00000000-0005-0000-0000-000043540000}"/>
    <cellStyle name="40 % - Markeringsfarve5 2 7 2 5" xfId="26191" xr:uid="{00000000-0005-0000-0000-000044540000}"/>
    <cellStyle name="40 % - Markeringsfarve5 2 7 3" xfId="6475" xr:uid="{00000000-0005-0000-0000-000045540000}"/>
    <cellStyle name="40 % - Markeringsfarve5 2 7 3 2" xfId="9502" xr:uid="{00000000-0005-0000-0000-000046540000}"/>
    <cellStyle name="40 % - Markeringsfarve5 2 7 3 2 2" xfId="17412" xr:uid="{00000000-0005-0000-0000-000047540000}"/>
    <cellStyle name="40 % - Markeringsfarve5 2 7 3 2 2 2" xfId="35572" xr:uid="{00000000-0005-0000-0000-000048540000}"/>
    <cellStyle name="40 % - Markeringsfarve5 2 7 3 2 3" xfId="28571" xr:uid="{00000000-0005-0000-0000-000049540000}"/>
    <cellStyle name="40 % - Markeringsfarve5 2 7 3 3" xfId="15029" xr:uid="{00000000-0005-0000-0000-00004A540000}"/>
    <cellStyle name="40 % - Markeringsfarve5 2 7 3 3 2" xfId="33195" xr:uid="{00000000-0005-0000-0000-00004B540000}"/>
    <cellStyle name="40 % - Markeringsfarve5 2 7 3 4" xfId="26193" xr:uid="{00000000-0005-0000-0000-00004C540000}"/>
    <cellStyle name="40 % - Markeringsfarve5 2 7 4" xfId="6476" xr:uid="{00000000-0005-0000-0000-00004D540000}"/>
    <cellStyle name="40 % - Markeringsfarve5 2 7 4 2" xfId="10509" xr:uid="{00000000-0005-0000-0000-00004E540000}"/>
    <cellStyle name="40 % - Markeringsfarve5 2 7 4 2 2" xfId="18403" xr:uid="{00000000-0005-0000-0000-00004F540000}"/>
    <cellStyle name="40 % - Markeringsfarve5 2 7 4 2 2 2" xfId="36563" xr:uid="{00000000-0005-0000-0000-000050540000}"/>
    <cellStyle name="40 % - Markeringsfarve5 2 7 4 2 3" xfId="29562" xr:uid="{00000000-0005-0000-0000-000051540000}"/>
    <cellStyle name="40 % - Markeringsfarve5 2 7 4 3" xfId="15030" xr:uid="{00000000-0005-0000-0000-000052540000}"/>
    <cellStyle name="40 % - Markeringsfarve5 2 7 4 3 2" xfId="33196" xr:uid="{00000000-0005-0000-0000-000053540000}"/>
    <cellStyle name="40 % - Markeringsfarve5 2 7 4 4" xfId="26194" xr:uid="{00000000-0005-0000-0000-000054540000}"/>
    <cellStyle name="40 % - Markeringsfarve5 2 7 5" xfId="8219" xr:uid="{00000000-0005-0000-0000-000055540000}"/>
    <cellStyle name="40 % - Markeringsfarve5 2 7 5 2" xfId="16137" xr:uid="{00000000-0005-0000-0000-000056540000}"/>
    <cellStyle name="40 % - Markeringsfarve5 2 7 5 2 2" xfId="34297" xr:uid="{00000000-0005-0000-0000-000057540000}"/>
    <cellStyle name="40 % - Markeringsfarve5 2 7 5 3" xfId="27296" xr:uid="{00000000-0005-0000-0000-000058540000}"/>
    <cellStyle name="40 % - Markeringsfarve5 2 7 6" xfId="15026" xr:uid="{00000000-0005-0000-0000-000059540000}"/>
    <cellStyle name="40 % - Markeringsfarve5 2 7 6 2" xfId="33192" xr:uid="{00000000-0005-0000-0000-00005A540000}"/>
    <cellStyle name="40 % - Markeringsfarve5 2 7 7" xfId="26190" xr:uid="{00000000-0005-0000-0000-00005B540000}"/>
    <cellStyle name="40 % - Markeringsfarve5 2 8" xfId="6477" xr:uid="{00000000-0005-0000-0000-00005C540000}"/>
    <cellStyle name="40 % - Markeringsfarve5 2 8 2" xfId="6478" xr:uid="{00000000-0005-0000-0000-00005D540000}"/>
    <cellStyle name="40 % - Markeringsfarve5 2 8 2 2" xfId="6479" xr:uid="{00000000-0005-0000-0000-00005E540000}"/>
    <cellStyle name="40 % - Markeringsfarve5 2 8 2 2 2" xfId="10399" xr:uid="{00000000-0005-0000-0000-00005F540000}"/>
    <cellStyle name="40 % - Markeringsfarve5 2 8 2 2 2 2" xfId="18300" xr:uid="{00000000-0005-0000-0000-000060540000}"/>
    <cellStyle name="40 % - Markeringsfarve5 2 8 2 2 2 2 2" xfId="36460" xr:uid="{00000000-0005-0000-0000-000061540000}"/>
    <cellStyle name="40 % - Markeringsfarve5 2 8 2 2 2 3" xfId="29459" xr:uid="{00000000-0005-0000-0000-000062540000}"/>
    <cellStyle name="40 % - Markeringsfarve5 2 8 2 2 3" xfId="15033" xr:uid="{00000000-0005-0000-0000-000063540000}"/>
    <cellStyle name="40 % - Markeringsfarve5 2 8 2 2 3 2" xfId="33199" xr:uid="{00000000-0005-0000-0000-000064540000}"/>
    <cellStyle name="40 % - Markeringsfarve5 2 8 2 2 4" xfId="26197" xr:uid="{00000000-0005-0000-0000-000065540000}"/>
    <cellStyle name="40 % - Markeringsfarve5 2 8 2 3" xfId="8892" xr:uid="{00000000-0005-0000-0000-000066540000}"/>
    <cellStyle name="40 % - Markeringsfarve5 2 8 2 3 2" xfId="16806" xr:uid="{00000000-0005-0000-0000-000067540000}"/>
    <cellStyle name="40 % - Markeringsfarve5 2 8 2 3 2 2" xfId="34966" xr:uid="{00000000-0005-0000-0000-000068540000}"/>
    <cellStyle name="40 % - Markeringsfarve5 2 8 2 3 3" xfId="27965" xr:uid="{00000000-0005-0000-0000-000069540000}"/>
    <cellStyle name="40 % - Markeringsfarve5 2 8 2 4" xfId="15032" xr:uid="{00000000-0005-0000-0000-00006A540000}"/>
    <cellStyle name="40 % - Markeringsfarve5 2 8 2 4 2" xfId="33198" xr:uid="{00000000-0005-0000-0000-00006B540000}"/>
    <cellStyle name="40 % - Markeringsfarve5 2 8 2 5" xfId="26196" xr:uid="{00000000-0005-0000-0000-00006C540000}"/>
    <cellStyle name="40 % - Markeringsfarve5 2 8 3" xfId="6480" xr:uid="{00000000-0005-0000-0000-00006D540000}"/>
    <cellStyle name="40 % - Markeringsfarve5 2 8 3 2" xfId="9676" xr:uid="{00000000-0005-0000-0000-00006E540000}"/>
    <cellStyle name="40 % - Markeringsfarve5 2 8 3 2 2" xfId="17586" xr:uid="{00000000-0005-0000-0000-00006F540000}"/>
    <cellStyle name="40 % - Markeringsfarve5 2 8 3 2 2 2" xfId="35746" xr:uid="{00000000-0005-0000-0000-000070540000}"/>
    <cellStyle name="40 % - Markeringsfarve5 2 8 3 2 3" xfId="28745" xr:uid="{00000000-0005-0000-0000-000071540000}"/>
    <cellStyle name="40 % - Markeringsfarve5 2 8 3 3" xfId="15034" xr:uid="{00000000-0005-0000-0000-000072540000}"/>
    <cellStyle name="40 % - Markeringsfarve5 2 8 3 3 2" xfId="33200" xr:uid="{00000000-0005-0000-0000-000073540000}"/>
    <cellStyle name="40 % - Markeringsfarve5 2 8 3 4" xfId="26198" xr:uid="{00000000-0005-0000-0000-000074540000}"/>
    <cellStyle name="40 % - Markeringsfarve5 2 8 4" xfId="6481" xr:uid="{00000000-0005-0000-0000-000075540000}"/>
    <cellStyle name="40 % - Markeringsfarve5 2 8 4 2" xfId="10838" xr:uid="{00000000-0005-0000-0000-000076540000}"/>
    <cellStyle name="40 % - Markeringsfarve5 2 8 4 2 2" xfId="18724" xr:uid="{00000000-0005-0000-0000-000077540000}"/>
    <cellStyle name="40 % - Markeringsfarve5 2 8 4 2 2 2" xfId="36884" xr:uid="{00000000-0005-0000-0000-000078540000}"/>
    <cellStyle name="40 % - Markeringsfarve5 2 8 4 2 3" xfId="29883" xr:uid="{00000000-0005-0000-0000-000079540000}"/>
    <cellStyle name="40 % - Markeringsfarve5 2 8 4 3" xfId="15035" xr:uid="{00000000-0005-0000-0000-00007A540000}"/>
    <cellStyle name="40 % - Markeringsfarve5 2 8 4 3 2" xfId="33201" xr:uid="{00000000-0005-0000-0000-00007B540000}"/>
    <cellStyle name="40 % - Markeringsfarve5 2 8 4 4" xfId="26199" xr:uid="{00000000-0005-0000-0000-00007C540000}"/>
    <cellStyle name="40 % - Markeringsfarve5 2 8 5" xfId="8220" xr:uid="{00000000-0005-0000-0000-00007D540000}"/>
    <cellStyle name="40 % - Markeringsfarve5 2 8 5 2" xfId="16138" xr:uid="{00000000-0005-0000-0000-00007E540000}"/>
    <cellStyle name="40 % - Markeringsfarve5 2 8 5 2 2" xfId="34298" xr:uid="{00000000-0005-0000-0000-00007F540000}"/>
    <cellStyle name="40 % - Markeringsfarve5 2 8 5 3" xfId="27297" xr:uid="{00000000-0005-0000-0000-000080540000}"/>
    <cellStyle name="40 % - Markeringsfarve5 2 8 6" xfId="15031" xr:uid="{00000000-0005-0000-0000-000081540000}"/>
    <cellStyle name="40 % - Markeringsfarve5 2 8 6 2" xfId="33197" xr:uid="{00000000-0005-0000-0000-000082540000}"/>
    <cellStyle name="40 % - Markeringsfarve5 2 8 7" xfId="26195" xr:uid="{00000000-0005-0000-0000-000083540000}"/>
    <cellStyle name="40 % - Markeringsfarve5 2 9" xfId="6482" xr:uid="{00000000-0005-0000-0000-000084540000}"/>
    <cellStyle name="40 % - Markeringsfarve5 2 9 2" xfId="6483" xr:uid="{00000000-0005-0000-0000-000085540000}"/>
    <cellStyle name="40 % - Markeringsfarve5 2 9 2 2" xfId="9752" xr:uid="{00000000-0005-0000-0000-000086540000}"/>
    <cellStyle name="40 % - Markeringsfarve5 2 9 2 2 2" xfId="17653" xr:uid="{00000000-0005-0000-0000-000087540000}"/>
    <cellStyle name="40 % - Markeringsfarve5 2 9 2 2 2 2" xfId="35813" xr:uid="{00000000-0005-0000-0000-000088540000}"/>
    <cellStyle name="40 % - Markeringsfarve5 2 9 2 2 3" xfId="28812" xr:uid="{00000000-0005-0000-0000-000089540000}"/>
    <cellStyle name="40 % - Markeringsfarve5 2 9 2 3" xfId="15037" xr:uid="{00000000-0005-0000-0000-00008A540000}"/>
    <cellStyle name="40 % - Markeringsfarve5 2 9 2 3 2" xfId="33203" xr:uid="{00000000-0005-0000-0000-00008B540000}"/>
    <cellStyle name="40 % - Markeringsfarve5 2 9 2 4" xfId="26201" xr:uid="{00000000-0005-0000-0000-00008C540000}"/>
    <cellStyle name="40 % - Markeringsfarve5 2 9 3" xfId="8349" xr:uid="{00000000-0005-0000-0000-00008D540000}"/>
    <cellStyle name="40 % - Markeringsfarve5 2 9 3 2" xfId="16266" xr:uid="{00000000-0005-0000-0000-00008E540000}"/>
    <cellStyle name="40 % - Markeringsfarve5 2 9 3 2 2" xfId="34426" xr:uid="{00000000-0005-0000-0000-00008F540000}"/>
    <cellStyle name="40 % - Markeringsfarve5 2 9 3 3" xfId="27425" xr:uid="{00000000-0005-0000-0000-000090540000}"/>
    <cellStyle name="40 % - Markeringsfarve5 2 9 4" xfId="15036" xr:uid="{00000000-0005-0000-0000-000091540000}"/>
    <cellStyle name="40 % - Markeringsfarve5 2 9 4 2" xfId="33202" xr:uid="{00000000-0005-0000-0000-000092540000}"/>
    <cellStyle name="40 % - Markeringsfarve5 2 9 5" xfId="26200" xr:uid="{00000000-0005-0000-0000-000093540000}"/>
    <cellStyle name="40 % - Markeringsfarve5 3" xfId="1933" xr:uid="{00000000-0005-0000-0000-000094540000}"/>
    <cellStyle name="40 % - Markeringsfarve5 3 10" xfId="6485" xr:uid="{00000000-0005-0000-0000-000095540000}"/>
    <cellStyle name="40 % - Markeringsfarve5 3 10 2" xfId="8965" xr:uid="{00000000-0005-0000-0000-000096540000}"/>
    <cellStyle name="40 % - Markeringsfarve5 3 10 2 2" xfId="16877" xr:uid="{00000000-0005-0000-0000-000097540000}"/>
    <cellStyle name="40 % - Markeringsfarve5 3 10 2 2 2" xfId="35037" xr:uid="{00000000-0005-0000-0000-000098540000}"/>
    <cellStyle name="40 % - Markeringsfarve5 3 10 2 3" xfId="28036" xr:uid="{00000000-0005-0000-0000-000099540000}"/>
    <cellStyle name="40 % - Markeringsfarve5 3 10 3" xfId="15039" xr:uid="{00000000-0005-0000-0000-00009A540000}"/>
    <cellStyle name="40 % - Markeringsfarve5 3 10 3 2" xfId="33205" xr:uid="{00000000-0005-0000-0000-00009B540000}"/>
    <cellStyle name="40 % - Markeringsfarve5 3 10 4" xfId="26203" xr:uid="{00000000-0005-0000-0000-00009C540000}"/>
    <cellStyle name="40 % - Markeringsfarve5 3 11" xfId="6486" xr:uid="{00000000-0005-0000-0000-00009D540000}"/>
    <cellStyle name="40 % - Markeringsfarve5 3 11 2" xfId="10489" xr:uid="{00000000-0005-0000-0000-00009E540000}"/>
    <cellStyle name="40 % - Markeringsfarve5 3 11 2 2" xfId="18385" xr:uid="{00000000-0005-0000-0000-00009F540000}"/>
    <cellStyle name="40 % - Markeringsfarve5 3 11 2 2 2" xfId="36545" xr:uid="{00000000-0005-0000-0000-0000A0540000}"/>
    <cellStyle name="40 % - Markeringsfarve5 3 11 2 3" xfId="29544" xr:uid="{00000000-0005-0000-0000-0000A1540000}"/>
    <cellStyle name="40 % - Markeringsfarve5 3 11 3" xfId="15040" xr:uid="{00000000-0005-0000-0000-0000A2540000}"/>
    <cellStyle name="40 % - Markeringsfarve5 3 11 3 2" xfId="33206" xr:uid="{00000000-0005-0000-0000-0000A3540000}"/>
    <cellStyle name="40 % - Markeringsfarve5 3 11 4" xfId="26204" xr:uid="{00000000-0005-0000-0000-0000A4540000}"/>
    <cellStyle name="40 % - Markeringsfarve5 3 12" xfId="8221" xr:uid="{00000000-0005-0000-0000-0000A5540000}"/>
    <cellStyle name="40 % - Markeringsfarve5 3 12 2" xfId="16139" xr:uid="{00000000-0005-0000-0000-0000A6540000}"/>
    <cellStyle name="40 % - Markeringsfarve5 3 12 2 2" xfId="34299" xr:uid="{00000000-0005-0000-0000-0000A7540000}"/>
    <cellStyle name="40 % - Markeringsfarve5 3 12 3" xfId="27298" xr:uid="{00000000-0005-0000-0000-0000A8540000}"/>
    <cellStyle name="40 % - Markeringsfarve5 3 13" xfId="15038" xr:uid="{00000000-0005-0000-0000-0000A9540000}"/>
    <cellStyle name="40 % - Markeringsfarve5 3 13 2" xfId="33204" xr:uid="{00000000-0005-0000-0000-0000AA540000}"/>
    <cellStyle name="40 % - Markeringsfarve5 3 14" xfId="6484" xr:uid="{00000000-0005-0000-0000-0000AB540000}"/>
    <cellStyle name="40 % - Markeringsfarve5 3 14 2" xfId="26202" xr:uid="{00000000-0005-0000-0000-0000AC540000}"/>
    <cellStyle name="40 % - Markeringsfarve5 3 15" xfId="22051" xr:uid="{00000000-0005-0000-0000-0000AD540000}"/>
    <cellStyle name="40 % - Markeringsfarve5 3 2" xfId="1934" xr:uid="{00000000-0005-0000-0000-0000AE540000}"/>
    <cellStyle name="40 % - Markeringsfarve5 3 2 10" xfId="8222" xr:uid="{00000000-0005-0000-0000-0000AF540000}"/>
    <cellStyle name="40 % - Markeringsfarve5 3 2 10 2" xfId="16140" xr:uid="{00000000-0005-0000-0000-0000B0540000}"/>
    <cellStyle name="40 % - Markeringsfarve5 3 2 10 2 2" xfId="34300" xr:uid="{00000000-0005-0000-0000-0000B1540000}"/>
    <cellStyle name="40 % - Markeringsfarve5 3 2 10 3" xfId="27299" xr:uid="{00000000-0005-0000-0000-0000B2540000}"/>
    <cellStyle name="40 % - Markeringsfarve5 3 2 11" xfId="15041" xr:uid="{00000000-0005-0000-0000-0000B3540000}"/>
    <cellStyle name="40 % - Markeringsfarve5 3 2 11 2" xfId="33207" xr:uid="{00000000-0005-0000-0000-0000B4540000}"/>
    <cellStyle name="40 % - Markeringsfarve5 3 2 12" xfId="6487" xr:uid="{00000000-0005-0000-0000-0000B5540000}"/>
    <cellStyle name="40 % - Markeringsfarve5 3 2 12 2" xfId="26205" xr:uid="{00000000-0005-0000-0000-0000B6540000}"/>
    <cellStyle name="40 % - Markeringsfarve5 3 2 13" xfId="22052" xr:uid="{00000000-0005-0000-0000-0000B7540000}"/>
    <cellStyle name="40 % - Markeringsfarve5 3 2 2" xfId="6488" xr:uid="{00000000-0005-0000-0000-0000B8540000}"/>
    <cellStyle name="40 % - Markeringsfarve5 3 2 2 2" xfId="6489" xr:uid="{00000000-0005-0000-0000-0000B9540000}"/>
    <cellStyle name="40 % - Markeringsfarve5 3 2 2 2 2" xfId="6490" xr:uid="{00000000-0005-0000-0000-0000BA540000}"/>
    <cellStyle name="40 % - Markeringsfarve5 3 2 2 2 2 2" xfId="9898" xr:uid="{00000000-0005-0000-0000-0000BB540000}"/>
    <cellStyle name="40 % - Markeringsfarve5 3 2 2 2 2 2 2" xfId="17799" xr:uid="{00000000-0005-0000-0000-0000BC540000}"/>
    <cellStyle name="40 % - Markeringsfarve5 3 2 2 2 2 2 2 2" xfId="35959" xr:uid="{00000000-0005-0000-0000-0000BD540000}"/>
    <cellStyle name="40 % - Markeringsfarve5 3 2 2 2 2 2 3" xfId="28958" xr:uid="{00000000-0005-0000-0000-0000BE540000}"/>
    <cellStyle name="40 % - Markeringsfarve5 3 2 2 2 2 3" xfId="15044" xr:uid="{00000000-0005-0000-0000-0000BF540000}"/>
    <cellStyle name="40 % - Markeringsfarve5 3 2 2 2 2 3 2" xfId="33210" xr:uid="{00000000-0005-0000-0000-0000C0540000}"/>
    <cellStyle name="40 % - Markeringsfarve5 3 2 2 2 2 4" xfId="26208" xr:uid="{00000000-0005-0000-0000-0000C1540000}"/>
    <cellStyle name="40 % - Markeringsfarve5 3 2 2 2 3" xfId="8471" xr:uid="{00000000-0005-0000-0000-0000C2540000}"/>
    <cellStyle name="40 % - Markeringsfarve5 3 2 2 2 3 2" xfId="16388" xr:uid="{00000000-0005-0000-0000-0000C3540000}"/>
    <cellStyle name="40 % - Markeringsfarve5 3 2 2 2 3 2 2" xfId="34548" xr:uid="{00000000-0005-0000-0000-0000C4540000}"/>
    <cellStyle name="40 % - Markeringsfarve5 3 2 2 2 3 3" xfId="27547" xr:uid="{00000000-0005-0000-0000-0000C5540000}"/>
    <cellStyle name="40 % - Markeringsfarve5 3 2 2 2 4" xfId="15043" xr:uid="{00000000-0005-0000-0000-0000C6540000}"/>
    <cellStyle name="40 % - Markeringsfarve5 3 2 2 2 4 2" xfId="33209" xr:uid="{00000000-0005-0000-0000-0000C7540000}"/>
    <cellStyle name="40 % - Markeringsfarve5 3 2 2 2 5" xfId="26207" xr:uid="{00000000-0005-0000-0000-0000C8540000}"/>
    <cellStyle name="40 % - Markeringsfarve5 3 2 2 3" xfId="6491" xr:uid="{00000000-0005-0000-0000-0000C9540000}"/>
    <cellStyle name="40 % - Markeringsfarve5 3 2 2 3 2" xfId="9128" xr:uid="{00000000-0005-0000-0000-0000CA540000}"/>
    <cellStyle name="40 % - Markeringsfarve5 3 2 2 3 2 2" xfId="17039" xr:uid="{00000000-0005-0000-0000-0000CB540000}"/>
    <cellStyle name="40 % - Markeringsfarve5 3 2 2 3 2 2 2" xfId="35199" xr:uid="{00000000-0005-0000-0000-0000CC540000}"/>
    <cellStyle name="40 % - Markeringsfarve5 3 2 2 3 2 3" xfId="28198" xr:uid="{00000000-0005-0000-0000-0000CD540000}"/>
    <cellStyle name="40 % - Markeringsfarve5 3 2 2 3 3" xfId="15045" xr:uid="{00000000-0005-0000-0000-0000CE540000}"/>
    <cellStyle name="40 % - Markeringsfarve5 3 2 2 3 3 2" xfId="33211" xr:uid="{00000000-0005-0000-0000-0000CF540000}"/>
    <cellStyle name="40 % - Markeringsfarve5 3 2 2 3 4" xfId="26209" xr:uid="{00000000-0005-0000-0000-0000D0540000}"/>
    <cellStyle name="40 % - Markeringsfarve5 3 2 2 4" xfId="6492" xr:uid="{00000000-0005-0000-0000-0000D1540000}"/>
    <cellStyle name="40 % - Markeringsfarve5 3 2 2 4 2" xfId="10782" xr:uid="{00000000-0005-0000-0000-0000D2540000}"/>
    <cellStyle name="40 % - Markeringsfarve5 3 2 2 4 2 2" xfId="18670" xr:uid="{00000000-0005-0000-0000-0000D3540000}"/>
    <cellStyle name="40 % - Markeringsfarve5 3 2 2 4 2 2 2" xfId="36830" xr:uid="{00000000-0005-0000-0000-0000D4540000}"/>
    <cellStyle name="40 % - Markeringsfarve5 3 2 2 4 2 3" xfId="29829" xr:uid="{00000000-0005-0000-0000-0000D5540000}"/>
    <cellStyle name="40 % - Markeringsfarve5 3 2 2 4 3" xfId="15046" xr:uid="{00000000-0005-0000-0000-0000D6540000}"/>
    <cellStyle name="40 % - Markeringsfarve5 3 2 2 4 3 2" xfId="33212" xr:uid="{00000000-0005-0000-0000-0000D7540000}"/>
    <cellStyle name="40 % - Markeringsfarve5 3 2 2 4 4" xfId="26210" xr:uid="{00000000-0005-0000-0000-0000D8540000}"/>
    <cellStyle name="40 % - Markeringsfarve5 3 2 2 5" xfId="8223" xr:uid="{00000000-0005-0000-0000-0000D9540000}"/>
    <cellStyle name="40 % - Markeringsfarve5 3 2 2 5 2" xfId="16141" xr:uid="{00000000-0005-0000-0000-0000DA540000}"/>
    <cellStyle name="40 % - Markeringsfarve5 3 2 2 5 2 2" xfId="34301" xr:uid="{00000000-0005-0000-0000-0000DB540000}"/>
    <cellStyle name="40 % - Markeringsfarve5 3 2 2 5 3" xfId="27300" xr:uid="{00000000-0005-0000-0000-0000DC540000}"/>
    <cellStyle name="40 % - Markeringsfarve5 3 2 2 6" xfId="15042" xr:uid="{00000000-0005-0000-0000-0000DD540000}"/>
    <cellStyle name="40 % - Markeringsfarve5 3 2 2 6 2" xfId="33208" xr:uid="{00000000-0005-0000-0000-0000DE540000}"/>
    <cellStyle name="40 % - Markeringsfarve5 3 2 2 7" xfId="26206" xr:uid="{00000000-0005-0000-0000-0000DF540000}"/>
    <cellStyle name="40 % - Markeringsfarve5 3 2 3" xfId="6493" xr:uid="{00000000-0005-0000-0000-0000E0540000}"/>
    <cellStyle name="40 % - Markeringsfarve5 3 2 3 2" xfId="6494" xr:uid="{00000000-0005-0000-0000-0000E1540000}"/>
    <cellStyle name="40 % - Markeringsfarve5 3 2 3 2 2" xfId="6495" xr:uid="{00000000-0005-0000-0000-0000E2540000}"/>
    <cellStyle name="40 % - Markeringsfarve5 3 2 3 2 2 2" xfId="10049" xr:uid="{00000000-0005-0000-0000-0000E3540000}"/>
    <cellStyle name="40 % - Markeringsfarve5 3 2 3 2 2 2 2" xfId="17950" xr:uid="{00000000-0005-0000-0000-0000E4540000}"/>
    <cellStyle name="40 % - Markeringsfarve5 3 2 3 2 2 2 2 2" xfId="36110" xr:uid="{00000000-0005-0000-0000-0000E5540000}"/>
    <cellStyle name="40 % - Markeringsfarve5 3 2 3 2 2 2 3" xfId="29109" xr:uid="{00000000-0005-0000-0000-0000E6540000}"/>
    <cellStyle name="40 % - Markeringsfarve5 3 2 3 2 2 3" xfId="15049" xr:uid="{00000000-0005-0000-0000-0000E7540000}"/>
    <cellStyle name="40 % - Markeringsfarve5 3 2 3 2 2 3 2" xfId="33215" xr:uid="{00000000-0005-0000-0000-0000E8540000}"/>
    <cellStyle name="40 % - Markeringsfarve5 3 2 3 2 2 4" xfId="26213" xr:uid="{00000000-0005-0000-0000-0000E9540000}"/>
    <cellStyle name="40 % - Markeringsfarve5 3 2 3 2 3" xfId="8595" xr:uid="{00000000-0005-0000-0000-0000EA540000}"/>
    <cellStyle name="40 % - Markeringsfarve5 3 2 3 2 3 2" xfId="16512" xr:uid="{00000000-0005-0000-0000-0000EB540000}"/>
    <cellStyle name="40 % - Markeringsfarve5 3 2 3 2 3 2 2" xfId="34672" xr:uid="{00000000-0005-0000-0000-0000EC540000}"/>
    <cellStyle name="40 % - Markeringsfarve5 3 2 3 2 3 3" xfId="27671" xr:uid="{00000000-0005-0000-0000-0000ED540000}"/>
    <cellStyle name="40 % - Markeringsfarve5 3 2 3 2 4" xfId="15048" xr:uid="{00000000-0005-0000-0000-0000EE540000}"/>
    <cellStyle name="40 % - Markeringsfarve5 3 2 3 2 4 2" xfId="33214" xr:uid="{00000000-0005-0000-0000-0000EF540000}"/>
    <cellStyle name="40 % - Markeringsfarve5 3 2 3 2 5" xfId="26212" xr:uid="{00000000-0005-0000-0000-0000F0540000}"/>
    <cellStyle name="40 % - Markeringsfarve5 3 2 3 3" xfId="6496" xr:uid="{00000000-0005-0000-0000-0000F1540000}"/>
    <cellStyle name="40 % - Markeringsfarve5 3 2 3 3 2" xfId="9279" xr:uid="{00000000-0005-0000-0000-0000F2540000}"/>
    <cellStyle name="40 % - Markeringsfarve5 3 2 3 3 2 2" xfId="17190" xr:uid="{00000000-0005-0000-0000-0000F3540000}"/>
    <cellStyle name="40 % - Markeringsfarve5 3 2 3 3 2 2 2" xfId="35350" xr:uid="{00000000-0005-0000-0000-0000F4540000}"/>
    <cellStyle name="40 % - Markeringsfarve5 3 2 3 3 2 3" xfId="28349" xr:uid="{00000000-0005-0000-0000-0000F5540000}"/>
    <cellStyle name="40 % - Markeringsfarve5 3 2 3 3 3" xfId="15050" xr:uid="{00000000-0005-0000-0000-0000F6540000}"/>
    <cellStyle name="40 % - Markeringsfarve5 3 2 3 3 3 2" xfId="33216" xr:uid="{00000000-0005-0000-0000-0000F7540000}"/>
    <cellStyle name="40 % - Markeringsfarve5 3 2 3 3 4" xfId="26214" xr:uid="{00000000-0005-0000-0000-0000F8540000}"/>
    <cellStyle name="40 % - Markeringsfarve5 3 2 3 4" xfId="6497" xr:uid="{00000000-0005-0000-0000-0000F9540000}"/>
    <cellStyle name="40 % - Markeringsfarve5 3 2 3 4 2" xfId="10992" xr:uid="{00000000-0005-0000-0000-0000FA540000}"/>
    <cellStyle name="40 % - Markeringsfarve5 3 2 3 4 2 2" xfId="18868" xr:uid="{00000000-0005-0000-0000-0000FB540000}"/>
    <cellStyle name="40 % - Markeringsfarve5 3 2 3 4 2 2 2" xfId="37028" xr:uid="{00000000-0005-0000-0000-0000FC540000}"/>
    <cellStyle name="40 % - Markeringsfarve5 3 2 3 4 2 3" xfId="30027" xr:uid="{00000000-0005-0000-0000-0000FD540000}"/>
    <cellStyle name="40 % - Markeringsfarve5 3 2 3 4 3" xfId="15051" xr:uid="{00000000-0005-0000-0000-0000FE540000}"/>
    <cellStyle name="40 % - Markeringsfarve5 3 2 3 4 3 2" xfId="33217" xr:uid="{00000000-0005-0000-0000-0000FF540000}"/>
    <cellStyle name="40 % - Markeringsfarve5 3 2 3 4 4" xfId="26215" xr:uid="{00000000-0005-0000-0000-000000550000}"/>
    <cellStyle name="40 % - Markeringsfarve5 3 2 3 5" xfId="8224" xr:uid="{00000000-0005-0000-0000-000001550000}"/>
    <cellStyle name="40 % - Markeringsfarve5 3 2 3 5 2" xfId="16142" xr:uid="{00000000-0005-0000-0000-000002550000}"/>
    <cellStyle name="40 % - Markeringsfarve5 3 2 3 5 2 2" xfId="34302" xr:uid="{00000000-0005-0000-0000-000003550000}"/>
    <cellStyle name="40 % - Markeringsfarve5 3 2 3 5 3" xfId="27301" xr:uid="{00000000-0005-0000-0000-000004550000}"/>
    <cellStyle name="40 % - Markeringsfarve5 3 2 3 6" xfId="15047" xr:uid="{00000000-0005-0000-0000-000005550000}"/>
    <cellStyle name="40 % - Markeringsfarve5 3 2 3 6 2" xfId="33213" xr:uid="{00000000-0005-0000-0000-000006550000}"/>
    <cellStyle name="40 % - Markeringsfarve5 3 2 3 7" xfId="26211" xr:uid="{00000000-0005-0000-0000-000007550000}"/>
    <cellStyle name="40 % - Markeringsfarve5 3 2 4" xfId="6498" xr:uid="{00000000-0005-0000-0000-000008550000}"/>
    <cellStyle name="40 % - Markeringsfarve5 3 2 4 2" xfId="6499" xr:uid="{00000000-0005-0000-0000-000009550000}"/>
    <cellStyle name="40 % - Markeringsfarve5 3 2 4 2 2" xfId="6500" xr:uid="{00000000-0005-0000-0000-00000A550000}"/>
    <cellStyle name="40 % - Markeringsfarve5 3 2 4 2 2 2" xfId="10136" xr:uid="{00000000-0005-0000-0000-00000B550000}"/>
    <cellStyle name="40 % - Markeringsfarve5 3 2 4 2 2 2 2" xfId="18037" xr:uid="{00000000-0005-0000-0000-00000C550000}"/>
    <cellStyle name="40 % - Markeringsfarve5 3 2 4 2 2 2 2 2" xfId="36197" xr:uid="{00000000-0005-0000-0000-00000D550000}"/>
    <cellStyle name="40 % - Markeringsfarve5 3 2 4 2 2 2 3" xfId="29196" xr:uid="{00000000-0005-0000-0000-00000E550000}"/>
    <cellStyle name="40 % - Markeringsfarve5 3 2 4 2 2 3" xfId="15054" xr:uid="{00000000-0005-0000-0000-00000F550000}"/>
    <cellStyle name="40 % - Markeringsfarve5 3 2 4 2 2 3 2" xfId="33220" xr:uid="{00000000-0005-0000-0000-000010550000}"/>
    <cellStyle name="40 % - Markeringsfarve5 3 2 4 2 2 4" xfId="26218" xr:uid="{00000000-0005-0000-0000-000011550000}"/>
    <cellStyle name="40 % - Markeringsfarve5 3 2 4 2 3" xfId="8673" xr:uid="{00000000-0005-0000-0000-000012550000}"/>
    <cellStyle name="40 % - Markeringsfarve5 3 2 4 2 3 2" xfId="16587" xr:uid="{00000000-0005-0000-0000-000013550000}"/>
    <cellStyle name="40 % - Markeringsfarve5 3 2 4 2 3 2 2" xfId="34747" xr:uid="{00000000-0005-0000-0000-000014550000}"/>
    <cellStyle name="40 % - Markeringsfarve5 3 2 4 2 3 3" xfId="27746" xr:uid="{00000000-0005-0000-0000-000015550000}"/>
    <cellStyle name="40 % - Markeringsfarve5 3 2 4 2 4" xfId="15053" xr:uid="{00000000-0005-0000-0000-000016550000}"/>
    <cellStyle name="40 % - Markeringsfarve5 3 2 4 2 4 2" xfId="33219" xr:uid="{00000000-0005-0000-0000-000017550000}"/>
    <cellStyle name="40 % - Markeringsfarve5 3 2 4 2 5" xfId="26217" xr:uid="{00000000-0005-0000-0000-000018550000}"/>
    <cellStyle name="40 % - Markeringsfarve5 3 2 4 3" xfId="6501" xr:uid="{00000000-0005-0000-0000-000019550000}"/>
    <cellStyle name="40 % - Markeringsfarve5 3 2 4 3 2" xfId="9412" xr:uid="{00000000-0005-0000-0000-00001A550000}"/>
    <cellStyle name="40 % - Markeringsfarve5 3 2 4 3 2 2" xfId="17322" xr:uid="{00000000-0005-0000-0000-00001B550000}"/>
    <cellStyle name="40 % - Markeringsfarve5 3 2 4 3 2 2 2" xfId="35482" xr:uid="{00000000-0005-0000-0000-00001C550000}"/>
    <cellStyle name="40 % - Markeringsfarve5 3 2 4 3 2 3" xfId="28481" xr:uid="{00000000-0005-0000-0000-00001D550000}"/>
    <cellStyle name="40 % - Markeringsfarve5 3 2 4 3 3" xfId="15055" xr:uid="{00000000-0005-0000-0000-00001E550000}"/>
    <cellStyle name="40 % - Markeringsfarve5 3 2 4 3 3 2" xfId="33221" xr:uid="{00000000-0005-0000-0000-00001F550000}"/>
    <cellStyle name="40 % - Markeringsfarve5 3 2 4 3 4" xfId="26219" xr:uid="{00000000-0005-0000-0000-000020550000}"/>
    <cellStyle name="40 % - Markeringsfarve5 3 2 4 4" xfId="6502" xr:uid="{00000000-0005-0000-0000-000021550000}"/>
    <cellStyle name="40 % - Markeringsfarve5 3 2 4 4 2" xfId="10712" xr:uid="{00000000-0005-0000-0000-000022550000}"/>
    <cellStyle name="40 % - Markeringsfarve5 3 2 4 4 2 2" xfId="18601" xr:uid="{00000000-0005-0000-0000-000023550000}"/>
    <cellStyle name="40 % - Markeringsfarve5 3 2 4 4 2 2 2" xfId="36761" xr:uid="{00000000-0005-0000-0000-000024550000}"/>
    <cellStyle name="40 % - Markeringsfarve5 3 2 4 4 2 3" xfId="29760" xr:uid="{00000000-0005-0000-0000-000025550000}"/>
    <cellStyle name="40 % - Markeringsfarve5 3 2 4 4 3" xfId="15056" xr:uid="{00000000-0005-0000-0000-000026550000}"/>
    <cellStyle name="40 % - Markeringsfarve5 3 2 4 4 3 2" xfId="33222" xr:uid="{00000000-0005-0000-0000-000027550000}"/>
    <cellStyle name="40 % - Markeringsfarve5 3 2 4 4 4" xfId="26220" xr:uid="{00000000-0005-0000-0000-000028550000}"/>
    <cellStyle name="40 % - Markeringsfarve5 3 2 4 5" xfId="8225" xr:uid="{00000000-0005-0000-0000-000029550000}"/>
    <cellStyle name="40 % - Markeringsfarve5 3 2 4 5 2" xfId="16143" xr:uid="{00000000-0005-0000-0000-00002A550000}"/>
    <cellStyle name="40 % - Markeringsfarve5 3 2 4 5 2 2" xfId="34303" xr:uid="{00000000-0005-0000-0000-00002B550000}"/>
    <cellStyle name="40 % - Markeringsfarve5 3 2 4 5 3" xfId="27302" xr:uid="{00000000-0005-0000-0000-00002C550000}"/>
    <cellStyle name="40 % - Markeringsfarve5 3 2 4 6" xfId="15052" xr:uid="{00000000-0005-0000-0000-00002D550000}"/>
    <cellStyle name="40 % - Markeringsfarve5 3 2 4 6 2" xfId="33218" xr:uid="{00000000-0005-0000-0000-00002E550000}"/>
    <cellStyle name="40 % - Markeringsfarve5 3 2 4 7" xfId="26216" xr:uid="{00000000-0005-0000-0000-00002F550000}"/>
    <cellStyle name="40 % - Markeringsfarve5 3 2 5" xfId="6503" xr:uid="{00000000-0005-0000-0000-000030550000}"/>
    <cellStyle name="40 % - Markeringsfarve5 3 2 5 2" xfId="6504" xr:uid="{00000000-0005-0000-0000-000031550000}"/>
    <cellStyle name="40 % - Markeringsfarve5 3 2 5 2 2" xfId="6505" xr:uid="{00000000-0005-0000-0000-000032550000}"/>
    <cellStyle name="40 % - Markeringsfarve5 3 2 5 2 2 2" xfId="10253" xr:uid="{00000000-0005-0000-0000-000033550000}"/>
    <cellStyle name="40 % - Markeringsfarve5 3 2 5 2 2 2 2" xfId="18154" xr:uid="{00000000-0005-0000-0000-000034550000}"/>
    <cellStyle name="40 % - Markeringsfarve5 3 2 5 2 2 2 2 2" xfId="36314" xr:uid="{00000000-0005-0000-0000-000035550000}"/>
    <cellStyle name="40 % - Markeringsfarve5 3 2 5 2 2 2 3" xfId="29313" xr:uid="{00000000-0005-0000-0000-000036550000}"/>
    <cellStyle name="40 % - Markeringsfarve5 3 2 5 2 2 3" xfId="15059" xr:uid="{00000000-0005-0000-0000-000037550000}"/>
    <cellStyle name="40 % - Markeringsfarve5 3 2 5 2 2 3 2" xfId="33225" xr:uid="{00000000-0005-0000-0000-000038550000}"/>
    <cellStyle name="40 % - Markeringsfarve5 3 2 5 2 2 4" xfId="26223" xr:uid="{00000000-0005-0000-0000-000039550000}"/>
    <cellStyle name="40 % - Markeringsfarve5 3 2 5 2 3" xfId="8772" xr:uid="{00000000-0005-0000-0000-00003A550000}"/>
    <cellStyle name="40 % - Markeringsfarve5 3 2 5 2 3 2" xfId="16686" xr:uid="{00000000-0005-0000-0000-00003B550000}"/>
    <cellStyle name="40 % - Markeringsfarve5 3 2 5 2 3 2 2" xfId="34846" xr:uid="{00000000-0005-0000-0000-00003C550000}"/>
    <cellStyle name="40 % - Markeringsfarve5 3 2 5 2 3 3" xfId="27845" xr:uid="{00000000-0005-0000-0000-00003D550000}"/>
    <cellStyle name="40 % - Markeringsfarve5 3 2 5 2 4" xfId="15058" xr:uid="{00000000-0005-0000-0000-00003E550000}"/>
    <cellStyle name="40 % - Markeringsfarve5 3 2 5 2 4 2" xfId="33224" xr:uid="{00000000-0005-0000-0000-00003F550000}"/>
    <cellStyle name="40 % - Markeringsfarve5 3 2 5 2 5" xfId="26222" xr:uid="{00000000-0005-0000-0000-000040550000}"/>
    <cellStyle name="40 % - Markeringsfarve5 3 2 5 3" xfId="6506" xr:uid="{00000000-0005-0000-0000-000041550000}"/>
    <cellStyle name="40 % - Markeringsfarve5 3 2 5 3 2" xfId="9529" xr:uid="{00000000-0005-0000-0000-000042550000}"/>
    <cellStyle name="40 % - Markeringsfarve5 3 2 5 3 2 2" xfId="17439" xr:uid="{00000000-0005-0000-0000-000043550000}"/>
    <cellStyle name="40 % - Markeringsfarve5 3 2 5 3 2 2 2" xfId="35599" xr:uid="{00000000-0005-0000-0000-000044550000}"/>
    <cellStyle name="40 % - Markeringsfarve5 3 2 5 3 2 3" xfId="28598" xr:uid="{00000000-0005-0000-0000-000045550000}"/>
    <cellStyle name="40 % - Markeringsfarve5 3 2 5 3 3" xfId="15060" xr:uid="{00000000-0005-0000-0000-000046550000}"/>
    <cellStyle name="40 % - Markeringsfarve5 3 2 5 3 3 2" xfId="33226" xr:uid="{00000000-0005-0000-0000-000047550000}"/>
    <cellStyle name="40 % - Markeringsfarve5 3 2 5 3 4" xfId="26224" xr:uid="{00000000-0005-0000-0000-000048550000}"/>
    <cellStyle name="40 % - Markeringsfarve5 3 2 5 4" xfId="6507" xr:uid="{00000000-0005-0000-0000-000049550000}"/>
    <cellStyle name="40 % - Markeringsfarve5 3 2 5 4 2" xfId="10956" xr:uid="{00000000-0005-0000-0000-00004A550000}"/>
    <cellStyle name="40 % - Markeringsfarve5 3 2 5 4 2 2" xfId="18836" xr:uid="{00000000-0005-0000-0000-00004B550000}"/>
    <cellStyle name="40 % - Markeringsfarve5 3 2 5 4 2 2 2" xfId="36996" xr:uid="{00000000-0005-0000-0000-00004C550000}"/>
    <cellStyle name="40 % - Markeringsfarve5 3 2 5 4 2 3" xfId="29995" xr:uid="{00000000-0005-0000-0000-00004D550000}"/>
    <cellStyle name="40 % - Markeringsfarve5 3 2 5 4 3" xfId="15061" xr:uid="{00000000-0005-0000-0000-00004E550000}"/>
    <cellStyle name="40 % - Markeringsfarve5 3 2 5 4 3 2" xfId="33227" xr:uid="{00000000-0005-0000-0000-00004F550000}"/>
    <cellStyle name="40 % - Markeringsfarve5 3 2 5 4 4" xfId="26225" xr:uid="{00000000-0005-0000-0000-000050550000}"/>
    <cellStyle name="40 % - Markeringsfarve5 3 2 5 5" xfId="8226" xr:uid="{00000000-0005-0000-0000-000051550000}"/>
    <cellStyle name="40 % - Markeringsfarve5 3 2 5 5 2" xfId="16144" xr:uid="{00000000-0005-0000-0000-000052550000}"/>
    <cellStyle name="40 % - Markeringsfarve5 3 2 5 5 2 2" xfId="34304" xr:uid="{00000000-0005-0000-0000-000053550000}"/>
    <cellStyle name="40 % - Markeringsfarve5 3 2 5 5 3" xfId="27303" xr:uid="{00000000-0005-0000-0000-000054550000}"/>
    <cellStyle name="40 % - Markeringsfarve5 3 2 5 6" xfId="15057" xr:uid="{00000000-0005-0000-0000-000055550000}"/>
    <cellStyle name="40 % - Markeringsfarve5 3 2 5 6 2" xfId="33223" xr:uid="{00000000-0005-0000-0000-000056550000}"/>
    <cellStyle name="40 % - Markeringsfarve5 3 2 5 7" xfId="26221" xr:uid="{00000000-0005-0000-0000-000057550000}"/>
    <cellStyle name="40 % - Markeringsfarve5 3 2 6" xfId="6508" xr:uid="{00000000-0005-0000-0000-000058550000}"/>
    <cellStyle name="40 % - Markeringsfarve5 3 2 6 2" xfId="6509" xr:uid="{00000000-0005-0000-0000-000059550000}"/>
    <cellStyle name="40 % - Markeringsfarve5 3 2 6 2 2" xfId="6510" xr:uid="{00000000-0005-0000-0000-00005A550000}"/>
    <cellStyle name="40 % - Markeringsfarve5 3 2 6 2 2 2" xfId="10403" xr:uid="{00000000-0005-0000-0000-00005B550000}"/>
    <cellStyle name="40 % - Markeringsfarve5 3 2 6 2 2 2 2" xfId="18304" xr:uid="{00000000-0005-0000-0000-00005C550000}"/>
    <cellStyle name="40 % - Markeringsfarve5 3 2 6 2 2 2 2 2" xfId="36464" xr:uid="{00000000-0005-0000-0000-00005D550000}"/>
    <cellStyle name="40 % - Markeringsfarve5 3 2 6 2 2 2 3" xfId="29463" xr:uid="{00000000-0005-0000-0000-00005E550000}"/>
    <cellStyle name="40 % - Markeringsfarve5 3 2 6 2 2 3" xfId="15064" xr:uid="{00000000-0005-0000-0000-00005F550000}"/>
    <cellStyle name="40 % - Markeringsfarve5 3 2 6 2 2 3 2" xfId="33230" xr:uid="{00000000-0005-0000-0000-000060550000}"/>
    <cellStyle name="40 % - Markeringsfarve5 3 2 6 2 2 4" xfId="26228" xr:uid="{00000000-0005-0000-0000-000061550000}"/>
    <cellStyle name="40 % - Markeringsfarve5 3 2 6 2 3" xfId="8896" xr:uid="{00000000-0005-0000-0000-000062550000}"/>
    <cellStyle name="40 % - Markeringsfarve5 3 2 6 2 3 2" xfId="16810" xr:uid="{00000000-0005-0000-0000-000063550000}"/>
    <cellStyle name="40 % - Markeringsfarve5 3 2 6 2 3 2 2" xfId="34970" xr:uid="{00000000-0005-0000-0000-000064550000}"/>
    <cellStyle name="40 % - Markeringsfarve5 3 2 6 2 3 3" xfId="27969" xr:uid="{00000000-0005-0000-0000-000065550000}"/>
    <cellStyle name="40 % - Markeringsfarve5 3 2 6 2 4" xfId="15063" xr:uid="{00000000-0005-0000-0000-000066550000}"/>
    <cellStyle name="40 % - Markeringsfarve5 3 2 6 2 4 2" xfId="33229" xr:uid="{00000000-0005-0000-0000-000067550000}"/>
    <cellStyle name="40 % - Markeringsfarve5 3 2 6 2 5" xfId="26227" xr:uid="{00000000-0005-0000-0000-000068550000}"/>
    <cellStyle name="40 % - Markeringsfarve5 3 2 6 3" xfId="6511" xr:uid="{00000000-0005-0000-0000-000069550000}"/>
    <cellStyle name="40 % - Markeringsfarve5 3 2 6 3 2" xfId="9680" xr:uid="{00000000-0005-0000-0000-00006A550000}"/>
    <cellStyle name="40 % - Markeringsfarve5 3 2 6 3 2 2" xfId="17590" xr:uid="{00000000-0005-0000-0000-00006B550000}"/>
    <cellStyle name="40 % - Markeringsfarve5 3 2 6 3 2 2 2" xfId="35750" xr:uid="{00000000-0005-0000-0000-00006C550000}"/>
    <cellStyle name="40 % - Markeringsfarve5 3 2 6 3 2 3" xfId="28749" xr:uid="{00000000-0005-0000-0000-00006D550000}"/>
    <cellStyle name="40 % - Markeringsfarve5 3 2 6 3 3" xfId="15065" xr:uid="{00000000-0005-0000-0000-00006E550000}"/>
    <cellStyle name="40 % - Markeringsfarve5 3 2 6 3 3 2" xfId="33231" xr:uid="{00000000-0005-0000-0000-00006F550000}"/>
    <cellStyle name="40 % - Markeringsfarve5 3 2 6 3 4" xfId="26229" xr:uid="{00000000-0005-0000-0000-000070550000}"/>
    <cellStyle name="40 % - Markeringsfarve5 3 2 6 4" xfId="6512" xr:uid="{00000000-0005-0000-0000-000071550000}"/>
    <cellStyle name="40 % - Markeringsfarve5 3 2 6 4 2" xfId="10680" xr:uid="{00000000-0005-0000-0000-000072550000}"/>
    <cellStyle name="40 % - Markeringsfarve5 3 2 6 4 2 2" xfId="18572" xr:uid="{00000000-0005-0000-0000-000073550000}"/>
    <cellStyle name="40 % - Markeringsfarve5 3 2 6 4 2 2 2" xfId="36732" xr:uid="{00000000-0005-0000-0000-000074550000}"/>
    <cellStyle name="40 % - Markeringsfarve5 3 2 6 4 2 3" xfId="29731" xr:uid="{00000000-0005-0000-0000-000075550000}"/>
    <cellStyle name="40 % - Markeringsfarve5 3 2 6 4 3" xfId="15066" xr:uid="{00000000-0005-0000-0000-000076550000}"/>
    <cellStyle name="40 % - Markeringsfarve5 3 2 6 4 3 2" xfId="33232" xr:uid="{00000000-0005-0000-0000-000077550000}"/>
    <cellStyle name="40 % - Markeringsfarve5 3 2 6 4 4" xfId="26230" xr:uid="{00000000-0005-0000-0000-000078550000}"/>
    <cellStyle name="40 % - Markeringsfarve5 3 2 6 5" xfId="8227" xr:uid="{00000000-0005-0000-0000-000079550000}"/>
    <cellStyle name="40 % - Markeringsfarve5 3 2 6 5 2" xfId="16145" xr:uid="{00000000-0005-0000-0000-00007A550000}"/>
    <cellStyle name="40 % - Markeringsfarve5 3 2 6 5 2 2" xfId="34305" xr:uid="{00000000-0005-0000-0000-00007B550000}"/>
    <cellStyle name="40 % - Markeringsfarve5 3 2 6 5 3" xfId="27304" xr:uid="{00000000-0005-0000-0000-00007C550000}"/>
    <cellStyle name="40 % - Markeringsfarve5 3 2 6 6" xfId="15062" xr:uid="{00000000-0005-0000-0000-00007D550000}"/>
    <cellStyle name="40 % - Markeringsfarve5 3 2 6 6 2" xfId="33228" xr:uid="{00000000-0005-0000-0000-00007E550000}"/>
    <cellStyle name="40 % - Markeringsfarve5 3 2 6 7" xfId="26226" xr:uid="{00000000-0005-0000-0000-00007F550000}"/>
    <cellStyle name="40 % - Markeringsfarve5 3 2 7" xfId="6513" xr:uid="{00000000-0005-0000-0000-000080550000}"/>
    <cellStyle name="40 % - Markeringsfarve5 3 2 7 2" xfId="6514" xr:uid="{00000000-0005-0000-0000-000081550000}"/>
    <cellStyle name="40 % - Markeringsfarve5 3 2 7 2 2" xfId="9779" xr:uid="{00000000-0005-0000-0000-000082550000}"/>
    <cellStyle name="40 % - Markeringsfarve5 3 2 7 2 2 2" xfId="17680" xr:uid="{00000000-0005-0000-0000-000083550000}"/>
    <cellStyle name="40 % - Markeringsfarve5 3 2 7 2 2 2 2" xfId="35840" xr:uid="{00000000-0005-0000-0000-000084550000}"/>
    <cellStyle name="40 % - Markeringsfarve5 3 2 7 2 2 3" xfId="28839" xr:uid="{00000000-0005-0000-0000-000085550000}"/>
    <cellStyle name="40 % - Markeringsfarve5 3 2 7 2 3" xfId="15068" xr:uid="{00000000-0005-0000-0000-000086550000}"/>
    <cellStyle name="40 % - Markeringsfarve5 3 2 7 2 3 2" xfId="33234" xr:uid="{00000000-0005-0000-0000-000087550000}"/>
    <cellStyle name="40 % - Markeringsfarve5 3 2 7 2 4" xfId="26232" xr:uid="{00000000-0005-0000-0000-000088550000}"/>
    <cellStyle name="40 % - Markeringsfarve5 3 2 7 3" xfId="8372" xr:uid="{00000000-0005-0000-0000-000089550000}"/>
    <cellStyle name="40 % - Markeringsfarve5 3 2 7 3 2" xfId="16289" xr:uid="{00000000-0005-0000-0000-00008A550000}"/>
    <cellStyle name="40 % - Markeringsfarve5 3 2 7 3 2 2" xfId="34449" xr:uid="{00000000-0005-0000-0000-00008B550000}"/>
    <cellStyle name="40 % - Markeringsfarve5 3 2 7 3 3" xfId="27448" xr:uid="{00000000-0005-0000-0000-00008C550000}"/>
    <cellStyle name="40 % - Markeringsfarve5 3 2 7 4" xfId="15067" xr:uid="{00000000-0005-0000-0000-00008D550000}"/>
    <cellStyle name="40 % - Markeringsfarve5 3 2 7 4 2" xfId="33233" xr:uid="{00000000-0005-0000-0000-00008E550000}"/>
    <cellStyle name="40 % - Markeringsfarve5 3 2 7 5" xfId="26231" xr:uid="{00000000-0005-0000-0000-00008F550000}"/>
    <cellStyle name="40 % - Markeringsfarve5 3 2 8" xfId="6515" xr:uid="{00000000-0005-0000-0000-000090550000}"/>
    <cellStyle name="40 % - Markeringsfarve5 3 2 8 2" xfId="9007" xr:uid="{00000000-0005-0000-0000-000091550000}"/>
    <cellStyle name="40 % - Markeringsfarve5 3 2 8 2 2" xfId="16918" xr:uid="{00000000-0005-0000-0000-000092550000}"/>
    <cellStyle name="40 % - Markeringsfarve5 3 2 8 2 2 2" xfId="35078" xr:uid="{00000000-0005-0000-0000-000093550000}"/>
    <cellStyle name="40 % - Markeringsfarve5 3 2 8 2 3" xfId="28077" xr:uid="{00000000-0005-0000-0000-000094550000}"/>
    <cellStyle name="40 % - Markeringsfarve5 3 2 8 3" xfId="15069" xr:uid="{00000000-0005-0000-0000-000095550000}"/>
    <cellStyle name="40 % - Markeringsfarve5 3 2 8 3 2" xfId="33235" xr:uid="{00000000-0005-0000-0000-000096550000}"/>
    <cellStyle name="40 % - Markeringsfarve5 3 2 8 4" xfId="26233" xr:uid="{00000000-0005-0000-0000-000097550000}"/>
    <cellStyle name="40 % - Markeringsfarve5 3 2 9" xfId="6516" xr:uid="{00000000-0005-0000-0000-000098550000}"/>
    <cellStyle name="40 % - Markeringsfarve5 3 2 9 2" xfId="10442" xr:uid="{00000000-0005-0000-0000-000099550000}"/>
    <cellStyle name="40 % - Markeringsfarve5 3 2 9 2 2" xfId="18339" xr:uid="{00000000-0005-0000-0000-00009A550000}"/>
    <cellStyle name="40 % - Markeringsfarve5 3 2 9 2 2 2" xfId="36499" xr:uid="{00000000-0005-0000-0000-00009B550000}"/>
    <cellStyle name="40 % - Markeringsfarve5 3 2 9 2 3" xfId="29498" xr:uid="{00000000-0005-0000-0000-00009C550000}"/>
    <cellStyle name="40 % - Markeringsfarve5 3 2 9 3" xfId="15070" xr:uid="{00000000-0005-0000-0000-00009D550000}"/>
    <cellStyle name="40 % - Markeringsfarve5 3 2 9 3 2" xfId="33236" xr:uid="{00000000-0005-0000-0000-00009E550000}"/>
    <cellStyle name="40 % - Markeringsfarve5 3 2 9 4" xfId="26234" xr:uid="{00000000-0005-0000-0000-00009F550000}"/>
    <cellStyle name="40 % - Markeringsfarve5 3 3" xfId="6517" xr:uid="{00000000-0005-0000-0000-0000A0550000}"/>
    <cellStyle name="40 % - Markeringsfarve5 3 3 10" xfId="8228" xr:uid="{00000000-0005-0000-0000-0000A1550000}"/>
    <cellStyle name="40 % - Markeringsfarve5 3 3 10 2" xfId="16146" xr:uid="{00000000-0005-0000-0000-0000A2550000}"/>
    <cellStyle name="40 % - Markeringsfarve5 3 3 10 2 2" xfId="34306" xr:uid="{00000000-0005-0000-0000-0000A3550000}"/>
    <cellStyle name="40 % - Markeringsfarve5 3 3 10 3" xfId="27305" xr:uid="{00000000-0005-0000-0000-0000A4550000}"/>
    <cellStyle name="40 % - Markeringsfarve5 3 3 11" xfId="15071" xr:uid="{00000000-0005-0000-0000-0000A5550000}"/>
    <cellStyle name="40 % - Markeringsfarve5 3 3 11 2" xfId="33237" xr:uid="{00000000-0005-0000-0000-0000A6550000}"/>
    <cellStyle name="40 % - Markeringsfarve5 3 3 12" xfId="26235" xr:uid="{00000000-0005-0000-0000-0000A7550000}"/>
    <cellStyle name="40 % - Markeringsfarve5 3 3 2" xfId="6518" xr:uid="{00000000-0005-0000-0000-0000A8550000}"/>
    <cellStyle name="40 % - Markeringsfarve5 3 3 2 2" xfId="6519" xr:uid="{00000000-0005-0000-0000-0000A9550000}"/>
    <cellStyle name="40 % - Markeringsfarve5 3 3 2 2 2" xfId="6520" xr:uid="{00000000-0005-0000-0000-0000AA550000}"/>
    <cellStyle name="40 % - Markeringsfarve5 3 3 2 2 2 2" xfId="9937" xr:uid="{00000000-0005-0000-0000-0000AB550000}"/>
    <cellStyle name="40 % - Markeringsfarve5 3 3 2 2 2 2 2" xfId="17838" xr:uid="{00000000-0005-0000-0000-0000AC550000}"/>
    <cellStyle name="40 % - Markeringsfarve5 3 3 2 2 2 2 2 2" xfId="35998" xr:uid="{00000000-0005-0000-0000-0000AD550000}"/>
    <cellStyle name="40 % - Markeringsfarve5 3 3 2 2 2 2 3" xfId="28997" xr:uid="{00000000-0005-0000-0000-0000AE550000}"/>
    <cellStyle name="40 % - Markeringsfarve5 3 3 2 2 2 3" xfId="15074" xr:uid="{00000000-0005-0000-0000-0000AF550000}"/>
    <cellStyle name="40 % - Markeringsfarve5 3 3 2 2 2 3 2" xfId="33240" xr:uid="{00000000-0005-0000-0000-0000B0550000}"/>
    <cellStyle name="40 % - Markeringsfarve5 3 3 2 2 2 4" xfId="26238" xr:uid="{00000000-0005-0000-0000-0000B1550000}"/>
    <cellStyle name="40 % - Markeringsfarve5 3 3 2 2 3" xfId="8504" xr:uid="{00000000-0005-0000-0000-0000B2550000}"/>
    <cellStyle name="40 % - Markeringsfarve5 3 3 2 2 3 2" xfId="16421" xr:uid="{00000000-0005-0000-0000-0000B3550000}"/>
    <cellStyle name="40 % - Markeringsfarve5 3 3 2 2 3 2 2" xfId="34581" xr:uid="{00000000-0005-0000-0000-0000B4550000}"/>
    <cellStyle name="40 % - Markeringsfarve5 3 3 2 2 3 3" xfId="27580" xr:uid="{00000000-0005-0000-0000-0000B5550000}"/>
    <cellStyle name="40 % - Markeringsfarve5 3 3 2 2 4" xfId="15073" xr:uid="{00000000-0005-0000-0000-0000B6550000}"/>
    <cellStyle name="40 % - Markeringsfarve5 3 3 2 2 4 2" xfId="33239" xr:uid="{00000000-0005-0000-0000-0000B7550000}"/>
    <cellStyle name="40 % - Markeringsfarve5 3 3 2 2 5" xfId="26237" xr:uid="{00000000-0005-0000-0000-0000B8550000}"/>
    <cellStyle name="40 % - Markeringsfarve5 3 3 2 3" xfId="6521" xr:uid="{00000000-0005-0000-0000-0000B9550000}"/>
    <cellStyle name="40 % - Markeringsfarve5 3 3 2 3 2" xfId="9167" xr:uid="{00000000-0005-0000-0000-0000BA550000}"/>
    <cellStyle name="40 % - Markeringsfarve5 3 3 2 3 2 2" xfId="17078" xr:uid="{00000000-0005-0000-0000-0000BB550000}"/>
    <cellStyle name="40 % - Markeringsfarve5 3 3 2 3 2 2 2" xfId="35238" xr:uid="{00000000-0005-0000-0000-0000BC550000}"/>
    <cellStyle name="40 % - Markeringsfarve5 3 3 2 3 2 3" xfId="28237" xr:uid="{00000000-0005-0000-0000-0000BD550000}"/>
    <cellStyle name="40 % - Markeringsfarve5 3 3 2 3 3" xfId="15075" xr:uid="{00000000-0005-0000-0000-0000BE550000}"/>
    <cellStyle name="40 % - Markeringsfarve5 3 3 2 3 3 2" xfId="33241" xr:uid="{00000000-0005-0000-0000-0000BF550000}"/>
    <cellStyle name="40 % - Markeringsfarve5 3 3 2 3 4" xfId="26239" xr:uid="{00000000-0005-0000-0000-0000C0550000}"/>
    <cellStyle name="40 % - Markeringsfarve5 3 3 2 4" xfId="6522" xr:uid="{00000000-0005-0000-0000-0000C1550000}"/>
    <cellStyle name="40 % - Markeringsfarve5 3 3 2 4 2" xfId="10639" xr:uid="{00000000-0005-0000-0000-0000C2550000}"/>
    <cellStyle name="40 % - Markeringsfarve5 3 3 2 4 2 2" xfId="18532" xr:uid="{00000000-0005-0000-0000-0000C3550000}"/>
    <cellStyle name="40 % - Markeringsfarve5 3 3 2 4 2 2 2" xfId="36692" xr:uid="{00000000-0005-0000-0000-0000C4550000}"/>
    <cellStyle name="40 % - Markeringsfarve5 3 3 2 4 2 3" xfId="29691" xr:uid="{00000000-0005-0000-0000-0000C5550000}"/>
    <cellStyle name="40 % - Markeringsfarve5 3 3 2 4 3" xfId="15076" xr:uid="{00000000-0005-0000-0000-0000C6550000}"/>
    <cellStyle name="40 % - Markeringsfarve5 3 3 2 4 3 2" xfId="33242" xr:uid="{00000000-0005-0000-0000-0000C7550000}"/>
    <cellStyle name="40 % - Markeringsfarve5 3 3 2 4 4" xfId="26240" xr:uid="{00000000-0005-0000-0000-0000C8550000}"/>
    <cellStyle name="40 % - Markeringsfarve5 3 3 2 5" xfId="8229" xr:uid="{00000000-0005-0000-0000-0000C9550000}"/>
    <cellStyle name="40 % - Markeringsfarve5 3 3 2 5 2" xfId="16147" xr:uid="{00000000-0005-0000-0000-0000CA550000}"/>
    <cellStyle name="40 % - Markeringsfarve5 3 3 2 5 2 2" xfId="34307" xr:uid="{00000000-0005-0000-0000-0000CB550000}"/>
    <cellStyle name="40 % - Markeringsfarve5 3 3 2 5 3" xfId="27306" xr:uid="{00000000-0005-0000-0000-0000CC550000}"/>
    <cellStyle name="40 % - Markeringsfarve5 3 3 2 6" xfId="15072" xr:uid="{00000000-0005-0000-0000-0000CD550000}"/>
    <cellStyle name="40 % - Markeringsfarve5 3 3 2 6 2" xfId="33238" xr:uid="{00000000-0005-0000-0000-0000CE550000}"/>
    <cellStyle name="40 % - Markeringsfarve5 3 3 2 7" xfId="26236" xr:uid="{00000000-0005-0000-0000-0000CF550000}"/>
    <cellStyle name="40 % - Markeringsfarve5 3 3 3" xfId="6523" xr:uid="{00000000-0005-0000-0000-0000D0550000}"/>
    <cellStyle name="40 % - Markeringsfarve5 3 3 3 2" xfId="6524" xr:uid="{00000000-0005-0000-0000-0000D1550000}"/>
    <cellStyle name="40 % - Markeringsfarve5 3 3 3 2 2" xfId="6525" xr:uid="{00000000-0005-0000-0000-0000D2550000}"/>
    <cellStyle name="40 % - Markeringsfarve5 3 3 3 2 2 2" xfId="10050" xr:uid="{00000000-0005-0000-0000-0000D3550000}"/>
    <cellStyle name="40 % - Markeringsfarve5 3 3 3 2 2 2 2" xfId="17951" xr:uid="{00000000-0005-0000-0000-0000D4550000}"/>
    <cellStyle name="40 % - Markeringsfarve5 3 3 3 2 2 2 2 2" xfId="36111" xr:uid="{00000000-0005-0000-0000-0000D5550000}"/>
    <cellStyle name="40 % - Markeringsfarve5 3 3 3 2 2 2 3" xfId="29110" xr:uid="{00000000-0005-0000-0000-0000D6550000}"/>
    <cellStyle name="40 % - Markeringsfarve5 3 3 3 2 2 3" xfId="15079" xr:uid="{00000000-0005-0000-0000-0000D7550000}"/>
    <cellStyle name="40 % - Markeringsfarve5 3 3 3 2 2 3 2" xfId="33245" xr:uid="{00000000-0005-0000-0000-0000D8550000}"/>
    <cellStyle name="40 % - Markeringsfarve5 3 3 3 2 2 4" xfId="26243" xr:uid="{00000000-0005-0000-0000-0000D9550000}"/>
    <cellStyle name="40 % - Markeringsfarve5 3 3 3 2 3" xfId="8596" xr:uid="{00000000-0005-0000-0000-0000DA550000}"/>
    <cellStyle name="40 % - Markeringsfarve5 3 3 3 2 3 2" xfId="16513" xr:uid="{00000000-0005-0000-0000-0000DB550000}"/>
    <cellStyle name="40 % - Markeringsfarve5 3 3 3 2 3 2 2" xfId="34673" xr:uid="{00000000-0005-0000-0000-0000DC550000}"/>
    <cellStyle name="40 % - Markeringsfarve5 3 3 3 2 3 3" xfId="27672" xr:uid="{00000000-0005-0000-0000-0000DD550000}"/>
    <cellStyle name="40 % - Markeringsfarve5 3 3 3 2 4" xfId="15078" xr:uid="{00000000-0005-0000-0000-0000DE550000}"/>
    <cellStyle name="40 % - Markeringsfarve5 3 3 3 2 4 2" xfId="33244" xr:uid="{00000000-0005-0000-0000-0000DF550000}"/>
    <cellStyle name="40 % - Markeringsfarve5 3 3 3 2 5" xfId="26242" xr:uid="{00000000-0005-0000-0000-0000E0550000}"/>
    <cellStyle name="40 % - Markeringsfarve5 3 3 3 3" xfId="6526" xr:uid="{00000000-0005-0000-0000-0000E1550000}"/>
    <cellStyle name="40 % - Markeringsfarve5 3 3 3 3 2" xfId="9280" xr:uid="{00000000-0005-0000-0000-0000E2550000}"/>
    <cellStyle name="40 % - Markeringsfarve5 3 3 3 3 2 2" xfId="17191" xr:uid="{00000000-0005-0000-0000-0000E3550000}"/>
    <cellStyle name="40 % - Markeringsfarve5 3 3 3 3 2 2 2" xfId="35351" xr:uid="{00000000-0005-0000-0000-0000E4550000}"/>
    <cellStyle name="40 % - Markeringsfarve5 3 3 3 3 2 3" xfId="28350" xr:uid="{00000000-0005-0000-0000-0000E5550000}"/>
    <cellStyle name="40 % - Markeringsfarve5 3 3 3 3 3" xfId="15080" xr:uid="{00000000-0005-0000-0000-0000E6550000}"/>
    <cellStyle name="40 % - Markeringsfarve5 3 3 3 3 3 2" xfId="33246" xr:uid="{00000000-0005-0000-0000-0000E7550000}"/>
    <cellStyle name="40 % - Markeringsfarve5 3 3 3 3 4" xfId="26244" xr:uid="{00000000-0005-0000-0000-0000E8550000}"/>
    <cellStyle name="40 % - Markeringsfarve5 3 3 3 4" xfId="6527" xr:uid="{00000000-0005-0000-0000-0000E9550000}"/>
    <cellStyle name="40 % - Markeringsfarve5 3 3 3 4 2" xfId="10858" xr:uid="{00000000-0005-0000-0000-0000EA550000}"/>
    <cellStyle name="40 % - Markeringsfarve5 3 3 3 4 2 2" xfId="18741" xr:uid="{00000000-0005-0000-0000-0000EB550000}"/>
    <cellStyle name="40 % - Markeringsfarve5 3 3 3 4 2 2 2" xfId="36901" xr:uid="{00000000-0005-0000-0000-0000EC550000}"/>
    <cellStyle name="40 % - Markeringsfarve5 3 3 3 4 2 3" xfId="29900" xr:uid="{00000000-0005-0000-0000-0000ED550000}"/>
    <cellStyle name="40 % - Markeringsfarve5 3 3 3 4 3" xfId="15081" xr:uid="{00000000-0005-0000-0000-0000EE550000}"/>
    <cellStyle name="40 % - Markeringsfarve5 3 3 3 4 3 2" xfId="33247" xr:uid="{00000000-0005-0000-0000-0000EF550000}"/>
    <cellStyle name="40 % - Markeringsfarve5 3 3 3 4 4" xfId="26245" xr:uid="{00000000-0005-0000-0000-0000F0550000}"/>
    <cellStyle name="40 % - Markeringsfarve5 3 3 3 5" xfId="8230" xr:uid="{00000000-0005-0000-0000-0000F1550000}"/>
    <cellStyle name="40 % - Markeringsfarve5 3 3 3 5 2" xfId="16148" xr:uid="{00000000-0005-0000-0000-0000F2550000}"/>
    <cellStyle name="40 % - Markeringsfarve5 3 3 3 5 2 2" xfId="34308" xr:uid="{00000000-0005-0000-0000-0000F3550000}"/>
    <cellStyle name="40 % - Markeringsfarve5 3 3 3 5 3" xfId="27307" xr:uid="{00000000-0005-0000-0000-0000F4550000}"/>
    <cellStyle name="40 % - Markeringsfarve5 3 3 3 6" xfId="15077" xr:uid="{00000000-0005-0000-0000-0000F5550000}"/>
    <cellStyle name="40 % - Markeringsfarve5 3 3 3 6 2" xfId="33243" xr:uid="{00000000-0005-0000-0000-0000F6550000}"/>
    <cellStyle name="40 % - Markeringsfarve5 3 3 3 7" xfId="26241" xr:uid="{00000000-0005-0000-0000-0000F7550000}"/>
    <cellStyle name="40 % - Markeringsfarve5 3 3 4" xfId="6528" xr:uid="{00000000-0005-0000-0000-0000F8550000}"/>
    <cellStyle name="40 % - Markeringsfarve5 3 3 4 2" xfId="6529" xr:uid="{00000000-0005-0000-0000-0000F9550000}"/>
    <cellStyle name="40 % - Markeringsfarve5 3 3 4 2 2" xfId="6530" xr:uid="{00000000-0005-0000-0000-0000FA550000}"/>
    <cellStyle name="40 % - Markeringsfarve5 3 3 4 2 2 2" xfId="10175" xr:uid="{00000000-0005-0000-0000-0000FB550000}"/>
    <cellStyle name="40 % - Markeringsfarve5 3 3 4 2 2 2 2" xfId="18076" xr:uid="{00000000-0005-0000-0000-0000FC550000}"/>
    <cellStyle name="40 % - Markeringsfarve5 3 3 4 2 2 2 2 2" xfId="36236" xr:uid="{00000000-0005-0000-0000-0000FD550000}"/>
    <cellStyle name="40 % - Markeringsfarve5 3 3 4 2 2 2 3" xfId="29235" xr:uid="{00000000-0005-0000-0000-0000FE550000}"/>
    <cellStyle name="40 % - Markeringsfarve5 3 3 4 2 2 3" xfId="15084" xr:uid="{00000000-0005-0000-0000-0000FF550000}"/>
    <cellStyle name="40 % - Markeringsfarve5 3 3 4 2 2 3 2" xfId="33250" xr:uid="{00000000-0005-0000-0000-000000560000}"/>
    <cellStyle name="40 % - Markeringsfarve5 3 3 4 2 2 4" xfId="26248" xr:uid="{00000000-0005-0000-0000-000001560000}"/>
    <cellStyle name="40 % - Markeringsfarve5 3 3 4 2 3" xfId="8706" xr:uid="{00000000-0005-0000-0000-000002560000}"/>
    <cellStyle name="40 % - Markeringsfarve5 3 3 4 2 3 2" xfId="16620" xr:uid="{00000000-0005-0000-0000-000003560000}"/>
    <cellStyle name="40 % - Markeringsfarve5 3 3 4 2 3 2 2" xfId="34780" xr:uid="{00000000-0005-0000-0000-000004560000}"/>
    <cellStyle name="40 % - Markeringsfarve5 3 3 4 2 3 3" xfId="27779" xr:uid="{00000000-0005-0000-0000-000005560000}"/>
    <cellStyle name="40 % - Markeringsfarve5 3 3 4 2 4" xfId="15083" xr:uid="{00000000-0005-0000-0000-000006560000}"/>
    <cellStyle name="40 % - Markeringsfarve5 3 3 4 2 4 2" xfId="33249" xr:uid="{00000000-0005-0000-0000-000007560000}"/>
    <cellStyle name="40 % - Markeringsfarve5 3 3 4 2 5" xfId="26247" xr:uid="{00000000-0005-0000-0000-000008560000}"/>
    <cellStyle name="40 % - Markeringsfarve5 3 3 4 3" xfId="6531" xr:uid="{00000000-0005-0000-0000-000009560000}"/>
    <cellStyle name="40 % - Markeringsfarve5 3 3 4 3 2" xfId="9451" xr:uid="{00000000-0005-0000-0000-00000A560000}"/>
    <cellStyle name="40 % - Markeringsfarve5 3 3 4 3 2 2" xfId="17361" xr:uid="{00000000-0005-0000-0000-00000B560000}"/>
    <cellStyle name="40 % - Markeringsfarve5 3 3 4 3 2 2 2" xfId="35521" xr:uid="{00000000-0005-0000-0000-00000C560000}"/>
    <cellStyle name="40 % - Markeringsfarve5 3 3 4 3 2 3" xfId="28520" xr:uid="{00000000-0005-0000-0000-00000D560000}"/>
    <cellStyle name="40 % - Markeringsfarve5 3 3 4 3 3" xfId="15085" xr:uid="{00000000-0005-0000-0000-00000E560000}"/>
    <cellStyle name="40 % - Markeringsfarve5 3 3 4 3 3 2" xfId="33251" xr:uid="{00000000-0005-0000-0000-00000F560000}"/>
    <cellStyle name="40 % - Markeringsfarve5 3 3 4 3 4" xfId="26249" xr:uid="{00000000-0005-0000-0000-000010560000}"/>
    <cellStyle name="40 % - Markeringsfarve5 3 3 4 4" xfId="6532" xr:uid="{00000000-0005-0000-0000-000011560000}"/>
    <cellStyle name="40 % - Markeringsfarve5 3 3 4 4 2" xfId="10508" xr:uid="{00000000-0005-0000-0000-000012560000}"/>
    <cellStyle name="40 % - Markeringsfarve5 3 3 4 4 2 2" xfId="18402" xr:uid="{00000000-0005-0000-0000-000013560000}"/>
    <cellStyle name="40 % - Markeringsfarve5 3 3 4 4 2 2 2" xfId="36562" xr:uid="{00000000-0005-0000-0000-000014560000}"/>
    <cellStyle name="40 % - Markeringsfarve5 3 3 4 4 2 3" xfId="29561" xr:uid="{00000000-0005-0000-0000-000015560000}"/>
    <cellStyle name="40 % - Markeringsfarve5 3 3 4 4 3" xfId="15086" xr:uid="{00000000-0005-0000-0000-000016560000}"/>
    <cellStyle name="40 % - Markeringsfarve5 3 3 4 4 3 2" xfId="33252" xr:uid="{00000000-0005-0000-0000-000017560000}"/>
    <cellStyle name="40 % - Markeringsfarve5 3 3 4 4 4" xfId="26250" xr:uid="{00000000-0005-0000-0000-000018560000}"/>
    <cellStyle name="40 % - Markeringsfarve5 3 3 4 5" xfId="8231" xr:uid="{00000000-0005-0000-0000-000019560000}"/>
    <cellStyle name="40 % - Markeringsfarve5 3 3 4 5 2" xfId="16149" xr:uid="{00000000-0005-0000-0000-00001A560000}"/>
    <cellStyle name="40 % - Markeringsfarve5 3 3 4 5 2 2" xfId="34309" xr:uid="{00000000-0005-0000-0000-00001B560000}"/>
    <cellStyle name="40 % - Markeringsfarve5 3 3 4 5 3" xfId="27308" xr:uid="{00000000-0005-0000-0000-00001C560000}"/>
    <cellStyle name="40 % - Markeringsfarve5 3 3 4 6" xfId="15082" xr:uid="{00000000-0005-0000-0000-00001D560000}"/>
    <cellStyle name="40 % - Markeringsfarve5 3 3 4 6 2" xfId="33248" xr:uid="{00000000-0005-0000-0000-00001E560000}"/>
    <cellStyle name="40 % - Markeringsfarve5 3 3 4 7" xfId="26246" xr:uid="{00000000-0005-0000-0000-00001F560000}"/>
    <cellStyle name="40 % - Markeringsfarve5 3 3 5" xfId="6533" xr:uid="{00000000-0005-0000-0000-000020560000}"/>
    <cellStyle name="40 % - Markeringsfarve5 3 3 5 2" xfId="6534" xr:uid="{00000000-0005-0000-0000-000021560000}"/>
    <cellStyle name="40 % - Markeringsfarve5 3 3 5 2 2" xfId="6535" xr:uid="{00000000-0005-0000-0000-000022560000}"/>
    <cellStyle name="40 % - Markeringsfarve5 3 3 5 2 2 2" xfId="10292" xr:uid="{00000000-0005-0000-0000-000023560000}"/>
    <cellStyle name="40 % - Markeringsfarve5 3 3 5 2 2 2 2" xfId="18193" xr:uid="{00000000-0005-0000-0000-000024560000}"/>
    <cellStyle name="40 % - Markeringsfarve5 3 3 5 2 2 2 2 2" xfId="36353" xr:uid="{00000000-0005-0000-0000-000025560000}"/>
    <cellStyle name="40 % - Markeringsfarve5 3 3 5 2 2 2 3" xfId="29352" xr:uid="{00000000-0005-0000-0000-000026560000}"/>
    <cellStyle name="40 % - Markeringsfarve5 3 3 5 2 2 3" xfId="15089" xr:uid="{00000000-0005-0000-0000-000027560000}"/>
    <cellStyle name="40 % - Markeringsfarve5 3 3 5 2 2 3 2" xfId="33255" xr:uid="{00000000-0005-0000-0000-000028560000}"/>
    <cellStyle name="40 % - Markeringsfarve5 3 3 5 2 2 4" xfId="26253" xr:uid="{00000000-0005-0000-0000-000029560000}"/>
    <cellStyle name="40 % - Markeringsfarve5 3 3 5 2 3" xfId="8805" xr:uid="{00000000-0005-0000-0000-00002A560000}"/>
    <cellStyle name="40 % - Markeringsfarve5 3 3 5 2 3 2" xfId="16719" xr:uid="{00000000-0005-0000-0000-00002B560000}"/>
    <cellStyle name="40 % - Markeringsfarve5 3 3 5 2 3 2 2" xfId="34879" xr:uid="{00000000-0005-0000-0000-00002C560000}"/>
    <cellStyle name="40 % - Markeringsfarve5 3 3 5 2 3 3" xfId="27878" xr:uid="{00000000-0005-0000-0000-00002D560000}"/>
    <cellStyle name="40 % - Markeringsfarve5 3 3 5 2 4" xfId="15088" xr:uid="{00000000-0005-0000-0000-00002E560000}"/>
    <cellStyle name="40 % - Markeringsfarve5 3 3 5 2 4 2" xfId="33254" xr:uid="{00000000-0005-0000-0000-00002F560000}"/>
    <cellStyle name="40 % - Markeringsfarve5 3 3 5 2 5" xfId="26252" xr:uid="{00000000-0005-0000-0000-000030560000}"/>
    <cellStyle name="40 % - Markeringsfarve5 3 3 5 3" xfId="6536" xr:uid="{00000000-0005-0000-0000-000031560000}"/>
    <cellStyle name="40 % - Markeringsfarve5 3 3 5 3 2" xfId="9568" xr:uid="{00000000-0005-0000-0000-000032560000}"/>
    <cellStyle name="40 % - Markeringsfarve5 3 3 5 3 2 2" xfId="17478" xr:uid="{00000000-0005-0000-0000-000033560000}"/>
    <cellStyle name="40 % - Markeringsfarve5 3 3 5 3 2 2 2" xfId="35638" xr:uid="{00000000-0005-0000-0000-000034560000}"/>
    <cellStyle name="40 % - Markeringsfarve5 3 3 5 3 2 3" xfId="28637" xr:uid="{00000000-0005-0000-0000-000035560000}"/>
    <cellStyle name="40 % - Markeringsfarve5 3 3 5 3 3" xfId="15090" xr:uid="{00000000-0005-0000-0000-000036560000}"/>
    <cellStyle name="40 % - Markeringsfarve5 3 3 5 3 3 2" xfId="33256" xr:uid="{00000000-0005-0000-0000-000037560000}"/>
    <cellStyle name="40 % - Markeringsfarve5 3 3 5 3 4" xfId="26254" xr:uid="{00000000-0005-0000-0000-000038560000}"/>
    <cellStyle name="40 % - Markeringsfarve5 3 3 5 4" xfId="6537" xr:uid="{00000000-0005-0000-0000-000039560000}"/>
    <cellStyle name="40 % - Markeringsfarve5 3 3 5 4 2" xfId="10823" xr:uid="{00000000-0005-0000-0000-00003A560000}"/>
    <cellStyle name="40 % - Markeringsfarve5 3 3 5 4 2 2" xfId="18710" xr:uid="{00000000-0005-0000-0000-00003B560000}"/>
    <cellStyle name="40 % - Markeringsfarve5 3 3 5 4 2 2 2" xfId="36870" xr:uid="{00000000-0005-0000-0000-00003C560000}"/>
    <cellStyle name="40 % - Markeringsfarve5 3 3 5 4 2 3" xfId="29869" xr:uid="{00000000-0005-0000-0000-00003D560000}"/>
    <cellStyle name="40 % - Markeringsfarve5 3 3 5 4 3" xfId="15091" xr:uid="{00000000-0005-0000-0000-00003E560000}"/>
    <cellStyle name="40 % - Markeringsfarve5 3 3 5 4 3 2" xfId="33257" xr:uid="{00000000-0005-0000-0000-00003F560000}"/>
    <cellStyle name="40 % - Markeringsfarve5 3 3 5 4 4" xfId="26255" xr:uid="{00000000-0005-0000-0000-000040560000}"/>
    <cellStyle name="40 % - Markeringsfarve5 3 3 5 5" xfId="8232" xr:uid="{00000000-0005-0000-0000-000041560000}"/>
    <cellStyle name="40 % - Markeringsfarve5 3 3 5 5 2" xfId="16150" xr:uid="{00000000-0005-0000-0000-000042560000}"/>
    <cellStyle name="40 % - Markeringsfarve5 3 3 5 5 2 2" xfId="34310" xr:uid="{00000000-0005-0000-0000-000043560000}"/>
    <cellStyle name="40 % - Markeringsfarve5 3 3 5 5 3" xfId="27309" xr:uid="{00000000-0005-0000-0000-000044560000}"/>
    <cellStyle name="40 % - Markeringsfarve5 3 3 5 6" xfId="15087" xr:uid="{00000000-0005-0000-0000-000045560000}"/>
    <cellStyle name="40 % - Markeringsfarve5 3 3 5 6 2" xfId="33253" xr:uid="{00000000-0005-0000-0000-000046560000}"/>
    <cellStyle name="40 % - Markeringsfarve5 3 3 5 7" xfId="26251" xr:uid="{00000000-0005-0000-0000-000047560000}"/>
    <cellStyle name="40 % - Markeringsfarve5 3 3 6" xfId="6538" xr:uid="{00000000-0005-0000-0000-000048560000}"/>
    <cellStyle name="40 % - Markeringsfarve5 3 3 6 2" xfId="6539" xr:uid="{00000000-0005-0000-0000-000049560000}"/>
    <cellStyle name="40 % - Markeringsfarve5 3 3 6 2 2" xfId="6540" xr:uid="{00000000-0005-0000-0000-00004A560000}"/>
    <cellStyle name="40 % - Markeringsfarve5 3 3 6 2 2 2" xfId="10404" xr:uid="{00000000-0005-0000-0000-00004B560000}"/>
    <cellStyle name="40 % - Markeringsfarve5 3 3 6 2 2 2 2" xfId="18305" xr:uid="{00000000-0005-0000-0000-00004C560000}"/>
    <cellStyle name="40 % - Markeringsfarve5 3 3 6 2 2 2 2 2" xfId="36465" xr:uid="{00000000-0005-0000-0000-00004D560000}"/>
    <cellStyle name="40 % - Markeringsfarve5 3 3 6 2 2 2 3" xfId="29464" xr:uid="{00000000-0005-0000-0000-00004E560000}"/>
    <cellStyle name="40 % - Markeringsfarve5 3 3 6 2 2 3" xfId="15094" xr:uid="{00000000-0005-0000-0000-00004F560000}"/>
    <cellStyle name="40 % - Markeringsfarve5 3 3 6 2 2 3 2" xfId="33260" xr:uid="{00000000-0005-0000-0000-000050560000}"/>
    <cellStyle name="40 % - Markeringsfarve5 3 3 6 2 2 4" xfId="26258" xr:uid="{00000000-0005-0000-0000-000051560000}"/>
    <cellStyle name="40 % - Markeringsfarve5 3 3 6 2 3" xfId="8897" xr:uid="{00000000-0005-0000-0000-000052560000}"/>
    <cellStyle name="40 % - Markeringsfarve5 3 3 6 2 3 2" xfId="16811" xr:uid="{00000000-0005-0000-0000-000053560000}"/>
    <cellStyle name="40 % - Markeringsfarve5 3 3 6 2 3 2 2" xfId="34971" xr:uid="{00000000-0005-0000-0000-000054560000}"/>
    <cellStyle name="40 % - Markeringsfarve5 3 3 6 2 3 3" xfId="27970" xr:uid="{00000000-0005-0000-0000-000055560000}"/>
    <cellStyle name="40 % - Markeringsfarve5 3 3 6 2 4" xfId="15093" xr:uid="{00000000-0005-0000-0000-000056560000}"/>
    <cellStyle name="40 % - Markeringsfarve5 3 3 6 2 4 2" xfId="33259" xr:uid="{00000000-0005-0000-0000-000057560000}"/>
    <cellStyle name="40 % - Markeringsfarve5 3 3 6 2 5" xfId="26257" xr:uid="{00000000-0005-0000-0000-000058560000}"/>
    <cellStyle name="40 % - Markeringsfarve5 3 3 6 3" xfId="6541" xr:uid="{00000000-0005-0000-0000-000059560000}"/>
    <cellStyle name="40 % - Markeringsfarve5 3 3 6 3 2" xfId="9681" xr:uid="{00000000-0005-0000-0000-00005A560000}"/>
    <cellStyle name="40 % - Markeringsfarve5 3 3 6 3 2 2" xfId="17591" xr:uid="{00000000-0005-0000-0000-00005B560000}"/>
    <cellStyle name="40 % - Markeringsfarve5 3 3 6 3 2 2 2" xfId="35751" xr:uid="{00000000-0005-0000-0000-00005C560000}"/>
    <cellStyle name="40 % - Markeringsfarve5 3 3 6 3 2 3" xfId="28750" xr:uid="{00000000-0005-0000-0000-00005D560000}"/>
    <cellStyle name="40 % - Markeringsfarve5 3 3 6 3 3" xfId="15095" xr:uid="{00000000-0005-0000-0000-00005E560000}"/>
    <cellStyle name="40 % - Markeringsfarve5 3 3 6 3 3 2" xfId="33261" xr:uid="{00000000-0005-0000-0000-00005F560000}"/>
    <cellStyle name="40 % - Markeringsfarve5 3 3 6 3 4" xfId="26259" xr:uid="{00000000-0005-0000-0000-000060560000}"/>
    <cellStyle name="40 % - Markeringsfarve5 3 3 6 4" xfId="6542" xr:uid="{00000000-0005-0000-0000-000061560000}"/>
    <cellStyle name="40 % - Markeringsfarve5 3 3 6 4 2" xfId="10475" xr:uid="{00000000-0005-0000-0000-000062560000}"/>
    <cellStyle name="40 % - Markeringsfarve5 3 3 6 4 2 2" xfId="18372" xr:uid="{00000000-0005-0000-0000-000063560000}"/>
    <cellStyle name="40 % - Markeringsfarve5 3 3 6 4 2 2 2" xfId="36532" xr:uid="{00000000-0005-0000-0000-000064560000}"/>
    <cellStyle name="40 % - Markeringsfarve5 3 3 6 4 2 3" xfId="29531" xr:uid="{00000000-0005-0000-0000-000065560000}"/>
    <cellStyle name="40 % - Markeringsfarve5 3 3 6 4 3" xfId="15096" xr:uid="{00000000-0005-0000-0000-000066560000}"/>
    <cellStyle name="40 % - Markeringsfarve5 3 3 6 4 3 2" xfId="33262" xr:uid="{00000000-0005-0000-0000-000067560000}"/>
    <cellStyle name="40 % - Markeringsfarve5 3 3 6 4 4" xfId="26260" xr:uid="{00000000-0005-0000-0000-000068560000}"/>
    <cellStyle name="40 % - Markeringsfarve5 3 3 6 5" xfId="8233" xr:uid="{00000000-0005-0000-0000-000069560000}"/>
    <cellStyle name="40 % - Markeringsfarve5 3 3 6 5 2" xfId="16151" xr:uid="{00000000-0005-0000-0000-00006A560000}"/>
    <cellStyle name="40 % - Markeringsfarve5 3 3 6 5 2 2" xfId="34311" xr:uid="{00000000-0005-0000-0000-00006B560000}"/>
    <cellStyle name="40 % - Markeringsfarve5 3 3 6 5 3" xfId="27310" xr:uid="{00000000-0005-0000-0000-00006C560000}"/>
    <cellStyle name="40 % - Markeringsfarve5 3 3 6 6" xfId="15092" xr:uid="{00000000-0005-0000-0000-00006D560000}"/>
    <cellStyle name="40 % - Markeringsfarve5 3 3 6 6 2" xfId="33258" xr:uid="{00000000-0005-0000-0000-00006E560000}"/>
    <cellStyle name="40 % - Markeringsfarve5 3 3 6 7" xfId="26256" xr:uid="{00000000-0005-0000-0000-00006F560000}"/>
    <cellStyle name="40 % - Markeringsfarve5 3 3 7" xfId="6543" xr:uid="{00000000-0005-0000-0000-000070560000}"/>
    <cellStyle name="40 % - Markeringsfarve5 3 3 7 2" xfId="6544" xr:uid="{00000000-0005-0000-0000-000071560000}"/>
    <cellStyle name="40 % - Markeringsfarve5 3 3 7 2 2" xfId="9818" xr:uid="{00000000-0005-0000-0000-000072560000}"/>
    <cellStyle name="40 % - Markeringsfarve5 3 3 7 2 2 2" xfId="17719" xr:uid="{00000000-0005-0000-0000-000073560000}"/>
    <cellStyle name="40 % - Markeringsfarve5 3 3 7 2 2 2 2" xfId="35879" xr:uid="{00000000-0005-0000-0000-000074560000}"/>
    <cellStyle name="40 % - Markeringsfarve5 3 3 7 2 2 3" xfId="28878" xr:uid="{00000000-0005-0000-0000-000075560000}"/>
    <cellStyle name="40 % - Markeringsfarve5 3 3 7 2 3" xfId="15098" xr:uid="{00000000-0005-0000-0000-000076560000}"/>
    <cellStyle name="40 % - Markeringsfarve5 3 3 7 2 3 2" xfId="33264" xr:uid="{00000000-0005-0000-0000-000077560000}"/>
    <cellStyle name="40 % - Markeringsfarve5 3 3 7 2 4" xfId="26262" xr:uid="{00000000-0005-0000-0000-000078560000}"/>
    <cellStyle name="40 % - Markeringsfarve5 3 3 7 3" xfId="8405" xr:uid="{00000000-0005-0000-0000-000079560000}"/>
    <cellStyle name="40 % - Markeringsfarve5 3 3 7 3 2" xfId="16322" xr:uid="{00000000-0005-0000-0000-00007A560000}"/>
    <cellStyle name="40 % - Markeringsfarve5 3 3 7 3 2 2" xfId="34482" xr:uid="{00000000-0005-0000-0000-00007B560000}"/>
    <cellStyle name="40 % - Markeringsfarve5 3 3 7 3 3" xfId="27481" xr:uid="{00000000-0005-0000-0000-00007C560000}"/>
    <cellStyle name="40 % - Markeringsfarve5 3 3 7 4" xfId="15097" xr:uid="{00000000-0005-0000-0000-00007D560000}"/>
    <cellStyle name="40 % - Markeringsfarve5 3 3 7 4 2" xfId="33263" xr:uid="{00000000-0005-0000-0000-00007E560000}"/>
    <cellStyle name="40 % - Markeringsfarve5 3 3 7 5" xfId="26261" xr:uid="{00000000-0005-0000-0000-00007F560000}"/>
    <cellStyle name="40 % - Markeringsfarve5 3 3 8" xfId="6545" xr:uid="{00000000-0005-0000-0000-000080560000}"/>
    <cellStyle name="40 % - Markeringsfarve5 3 3 8 2" xfId="9046" xr:uid="{00000000-0005-0000-0000-000081560000}"/>
    <cellStyle name="40 % - Markeringsfarve5 3 3 8 2 2" xfId="16957" xr:uid="{00000000-0005-0000-0000-000082560000}"/>
    <cellStyle name="40 % - Markeringsfarve5 3 3 8 2 2 2" xfId="35117" xr:uid="{00000000-0005-0000-0000-000083560000}"/>
    <cellStyle name="40 % - Markeringsfarve5 3 3 8 2 3" xfId="28116" xr:uid="{00000000-0005-0000-0000-000084560000}"/>
    <cellStyle name="40 % - Markeringsfarve5 3 3 8 3" xfId="15099" xr:uid="{00000000-0005-0000-0000-000085560000}"/>
    <cellStyle name="40 % - Markeringsfarve5 3 3 8 3 2" xfId="33265" xr:uid="{00000000-0005-0000-0000-000086560000}"/>
    <cellStyle name="40 % - Markeringsfarve5 3 3 8 4" xfId="26263" xr:uid="{00000000-0005-0000-0000-000087560000}"/>
    <cellStyle name="40 % - Markeringsfarve5 3 3 9" xfId="6546" xr:uid="{00000000-0005-0000-0000-000088560000}"/>
    <cellStyle name="40 % - Markeringsfarve5 3 3 9 2" xfId="10915" xr:uid="{00000000-0005-0000-0000-000089560000}"/>
    <cellStyle name="40 % - Markeringsfarve5 3 3 9 2 2" xfId="18796" xr:uid="{00000000-0005-0000-0000-00008A560000}"/>
    <cellStyle name="40 % - Markeringsfarve5 3 3 9 2 2 2" xfId="36956" xr:uid="{00000000-0005-0000-0000-00008B560000}"/>
    <cellStyle name="40 % - Markeringsfarve5 3 3 9 2 3" xfId="29955" xr:uid="{00000000-0005-0000-0000-00008C560000}"/>
    <cellStyle name="40 % - Markeringsfarve5 3 3 9 3" xfId="15100" xr:uid="{00000000-0005-0000-0000-00008D560000}"/>
    <cellStyle name="40 % - Markeringsfarve5 3 3 9 3 2" xfId="33266" xr:uid="{00000000-0005-0000-0000-00008E560000}"/>
    <cellStyle name="40 % - Markeringsfarve5 3 3 9 4" xfId="26264" xr:uid="{00000000-0005-0000-0000-00008F560000}"/>
    <cellStyle name="40 % - Markeringsfarve5 3 4" xfId="6547" xr:uid="{00000000-0005-0000-0000-000090560000}"/>
    <cellStyle name="40 % - Markeringsfarve5 3 4 2" xfId="6548" xr:uid="{00000000-0005-0000-0000-000091560000}"/>
    <cellStyle name="40 % - Markeringsfarve5 3 4 2 2" xfId="6549" xr:uid="{00000000-0005-0000-0000-000092560000}"/>
    <cellStyle name="40 % - Markeringsfarve5 3 4 2 2 2" xfId="9859" xr:uid="{00000000-0005-0000-0000-000093560000}"/>
    <cellStyle name="40 % - Markeringsfarve5 3 4 2 2 2 2" xfId="17760" xr:uid="{00000000-0005-0000-0000-000094560000}"/>
    <cellStyle name="40 % - Markeringsfarve5 3 4 2 2 2 2 2" xfId="35920" xr:uid="{00000000-0005-0000-0000-000095560000}"/>
    <cellStyle name="40 % - Markeringsfarve5 3 4 2 2 2 3" xfId="28919" xr:uid="{00000000-0005-0000-0000-000096560000}"/>
    <cellStyle name="40 % - Markeringsfarve5 3 4 2 2 3" xfId="15103" xr:uid="{00000000-0005-0000-0000-000097560000}"/>
    <cellStyle name="40 % - Markeringsfarve5 3 4 2 2 3 2" xfId="33269" xr:uid="{00000000-0005-0000-0000-000098560000}"/>
    <cellStyle name="40 % - Markeringsfarve5 3 4 2 2 4" xfId="26267" xr:uid="{00000000-0005-0000-0000-000099560000}"/>
    <cellStyle name="40 % - Markeringsfarve5 3 4 2 3" xfId="8438" xr:uid="{00000000-0005-0000-0000-00009A560000}"/>
    <cellStyle name="40 % - Markeringsfarve5 3 4 2 3 2" xfId="16355" xr:uid="{00000000-0005-0000-0000-00009B560000}"/>
    <cellStyle name="40 % - Markeringsfarve5 3 4 2 3 2 2" xfId="34515" xr:uid="{00000000-0005-0000-0000-00009C560000}"/>
    <cellStyle name="40 % - Markeringsfarve5 3 4 2 3 3" xfId="27514" xr:uid="{00000000-0005-0000-0000-00009D560000}"/>
    <cellStyle name="40 % - Markeringsfarve5 3 4 2 4" xfId="15102" xr:uid="{00000000-0005-0000-0000-00009E560000}"/>
    <cellStyle name="40 % - Markeringsfarve5 3 4 2 4 2" xfId="33268" xr:uid="{00000000-0005-0000-0000-00009F560000}"/>
    <cellStyle name="40 % - Markeringsfarve5 3 4 2 5" xfId="26266" xr:uid="{00000000-0005-0000-0000-0000A0560000}"/>
    <cellStyle name="40 % - Markeringsfarve5 3 4 3" xfId="6550" xr:uid="{00000000-0005-0000-0000-0000A1560000}"/>
    <cellStyle name="40 % - Markeringsfarve5 3 4 3 2" xfId="9089" xr:uid="{00000000-0005-0000-0000-0000A2560000}"/>
    <cellStyle name="40 % - Markeringsfarve5 3 4 3 2 2" xfId="17000" xr:uid="{00000000-0005-0000-0000-0000A3560000}"/>
    <cellStyle name="40 % - Markeringsfarve5 3 4 3 2 2 2" xfId="35160" xr:uid="{00000000-0005-0000-0000-0000A4560000}"/>
    <cellStyle name="40 % - Markeringsfarve5 3 4 3 2 3" xfId="28159" xr:uid="{00000000-0005-0000-0000-0000A5560000}"/>
    <cellStyle name="40 % - Markeringsfarve5 3 4 3 3" xfId="15104" xr:uid="{00000000-0005-0000-0000-0000A6560000}"/>
    <cellStyle name="40 % - Markeringsfarve5 3 4 3 3 2" xfId="33270" xr:uid="{00000000-0005-0000-0000-0000A7560000}"/>
    <cellStyle name="40 % - Markeringsfarve5 3 4 3 4" xfId="26268" xr:uid="{00000000-0005-0000-0000-0000A8560000}"/>
    <cellStyle name="40 % - Markeringsfarve5 3 4 4" xfId="6551" xr:uid="{00000000-0005-0000-0000-0000A9560000}"/>
    <cellStyle name="40 % - Markeringsfarve5 3 4 4 2" xfId="8931" xr:uid="{00000000-0005-0000-0000-0000AA560000}"/>
    <cellStyle name="40 % - Markeringsfarve5 3 4 4 2 2" xfId="16844" xr:uid="{00000000-0005-0000-0000-0000AB560000}"/>
    <cellStyle name="40 % - Markeringsfarve5 3 4 4 2 2 2" xfId="35004" xr:uid="{00000000-0005-0000-0000-0000AC560000}"/>
    <cellStyle name="40 % - Markeringsfarve5 3 4 4 2 3" xfId="28003" xr:uid="{00000000-0005-0000-0000-0000AD560000}"/>
    <cellStyle name="40 % - Markeringsfarve5 3 4 4 3" xfId="15105" xr:uid="{00000000-0005-0000-0000-0000AE560000}"/>
    <cellStyle name="40 % - Markeringsfarve5 3 4 4 3 2" xfId="33271" xr:uid="{00000000-0005-0000-0000-0000AF560000}"/>
    <cellStyle name="40 % - Markeringsfarve5 3 4 4 4" xfId="26269" xr:uid="{00000000-0005-0000-0000-0000B0560000}"/>
    <cellStyle name="40 % - Markeringsfarve5 3 4 5" xfId="8234" xr:uid="{00000000-0005-0000-0000-0000B1560000}"/>
    <cellStyle name="40 % - Markeringsfarve5 3 4 5 2" xfId="16152" xr:uid="{00000000-0005-0000-0000-0000B2560000}"/>
    <cellStyle name="40 % - Markeringsfarve5 3 4 5 2 2" xfId="34312" xr:uid="{00000000-0005-0000-0000-0000B3560000}"/>
    <cellStyle name="40 % - Markeringsfarve5 3 4 5 3" xfId="27311" xr:uid="{00000000-0005-0000-0000-0000B4560000}"/>
    <cellStyle name="40 % - Markeringsfarve5 3 4 6" xfId="15101" xr:uid="{00000000-0005-0000-0000-0000B5560000}"/>
    <cellStyle name="40 % - Markeringsfarve5 3 4 6 2" xfId="33267" xr:uid="{00000000-0005-0000-0000-0000B6560000}"/>
    <cellStyle name="40 % - Markeringsfarve5 3 4 7" xfId="26265" xr:uid="{00000000-0005-0000-0000-0000B7560000}"/>
    <cellStyle name="40 % - Markeringsfarve5 3 5" xfId="6552" xr:uid="{00000000-0005-0000-0000-0000B8560000}"/>
    <cellStyle name="40 % - Markeringsfarve5 3 5 2" xfId="6553" xr:uid="{00000000-0005-0000-0000-0000B9560000}"/>
    <cellStyle name="40 % - Markeringsfarve5 3 5 2 2" xfId="6554" xr:uid="{00000000-0005-0000-0000-0000BA560000}"/>
    <cellStyle name="40 % - Markeringsfarve5 3 5 2 2 2" xfId="10048" xr:uid="{00000000-0005-0000-0000-0000BB560000}"/>
    <cellStyle name="40 % - Markeringsfarve5 3 5 2 2 2 2" xfId="17949" xr:uid="{00000000-0005-0000-0000-0000BC560000}"/>
    <cellStyle name="40 % - Markeringsfarve5 3 5 2 2 2 2 2" xfId="36109" xr:uid="{00000000-0005-0000-0000-0000BD560000}"/>
    <cellStyle name="40 % - Markeringsfarve5 3 5 2 2 2 3" xfId="29108" xr:uid="{00000000-0005-0000-0000-0000BE560000}"/>
    <cellStyle name="40 % - Markeringsfarve5 3 5 2 2 3" xfId="15108" xr:uid="{00000000-0005-0000-0000-0000BF560000}"/>
    <cellStyle name="40 % - Markeringsfarve5 3 5 2 2 3 2" xfId="33274" xr:uid="{00000000-0005-0000-0000-0000C0560000}"/>
    <cellStyle name="40 % - Markeringsfarve5 3 5 2 2 4" xfId="26272" xr:uid="{00000000-0005-0000-0000-0000C1560000}"/>
    <cellStyle name="40 % - Markeringsfarve5 3 5 2 3" xfId="8594" xr:uid="{00000000-0005-0000-0000-0000C2560000}"/>
    <cellStyle name="40 % - Markeringsfarve5 3 5 2 3 2" xfId="16511" xr:uid="{00000000-0005-0000-0000-0000C3560000}"/>
    <cellStyle name="40 % - Markeringsfarve5 3 5 2 3 2 2" xfId="34671" xr:uid="{00000000-0005-0000-0000-0000C4560000}"/>
    <cellStyle name="40 % - Markeringsfarve5 3 5 2 3 3" xfId="27670" xr:uid="{00000000-0005-0000-0000-0000C5560000}"/>
    <cellStyle name="40 % - Markeringsfarve5 3 5 2 4" xfId="15107" xr:uid="{00000000-0005-0000-0000-0000C6560000}"/>
    <cellStyle name="40 % - Markeringsfarve5 3 5 2 4 2" xfId="33273" xr:uid="{00000000-0005-0000-0000-0000C7560000}"/>
    <cellStyle name="40 % - Markeringsfarve5 3 5 2 5" xfId="26271" xr:uid="{00000000-0005-0000-0000-0000C8560000}"/>
    <cellStyle name="40 % - Markeringsfarve5 3 5 3" xfId="6555" xr:uid="{00000000-0005-0000-0000-0000C9560000}"/>
    <cellStyle name="40 % - Markeringsfarve5 3 5 3 2" xfId="9278" xr:uid="{00000000-0005-0000-0000-0000CA560000}"/>
    <cellStyle name="40 % - Markeringsfarve5 3 5 3 2 2" xfId="17189" xr:uid="{00000000-0005-0000-0000-0000CB560000}"/>
    <cellStyle name="40 % - Markeringsfarve5 3 5 3 2 2 2" xfId="35349" xr:uid="{00000000-0005-0000-0000-0000CC560000}"/>
    <cellStyle name="40 % - Markeringsfarve5 3 5 3 2 3" xfId="28348" xr:uid="{00000000-0005-0000-0000-0000CD560000}"/>
    <cellStyle name="40 % - Markeringsfarve5 3 5 3 3" xfId="15109" xr:uid="{00000000-0005-0000-0000-0000CE560000}"/>
    <cellStyle name="40 % - Markeringsfarve5 3 5 3 3 2" xfId="33275" xr:uid="{00000000-0005-0000-0000-0000CF560000}"/>
    <cellStyle name="40 % - Markeringsfarve5 3 5 3 4" xfId="26273" xr:uid="{00000000-0005-0000-0000-0000D0560000}"/>
    <cellStyle name="40 % - Markeringsfarve5 3 5 4" xfId="6556" xr:uid="{00000000-0005-0000-0000-0000D1560000}"/>
    <cellStyle name="40 % - Markeringsfarve5 3 5 4 2" xfId="9307" xr:uid="{00000000-0005-0000-0000-0000D2560000}"/>
    <cellStyle name="40 % - Markeringsfarve5 3 5 4 2 2" xfId="17218" xr:uid="{00000000-0005-0000-0000-0000D3560000}"/>
    <cellStyle name="40 % - Markeringsfarve5 3 5 4 2 2 2" xfId="35378" xr:uid="{00000000-0005-0000-0000-0000D4560000}"/>
    <cellStyle name="40 % - Markeringsfarve5 3 5 4 2 3" xfId="28377" xr:uid="{00000000-0005-0000-0000-0000D5560000}"/>
    <cellStyle name="40 % - Markeringsfarve5 3 5 4 3" xfId="15110" xr:uid="{00000000-0005-0000-0000-0000D6560000}"/>
    <cellStyle name="40 % - Markeringsfarve5 3 5 4 3 2" xfId="33276" xr:uid="{00000000-0005-0000-0000-0000D7560000}"/>
    <cellStyle name="40 % - Markeringsfarve5 3 5 4 4" xfId="26274" xr:uid="{00000000-0005-0000-0000-0000D8560000}"/>
    <cellStyle name="40 % - Markeringsfarve5 3 5 5" xfId="8235" xr:uid="{00000000-0005-0000-0000-0000D9560000}"/>
    <cellStyle name="40 % - Markeringsfarve5 3 5 5 2" xfId="16153" xr:uid="{00000000-0005-0000-0000-0000DA560000}"/>
    <cellStyle name="40 % - Markeringsfarve5 3 5 5 2 2" xfId="34313" xr:uid="{00000000-0005-0000-0000-0000DB560000}"/>
    <cellStyle name="40 % - Markeringsfarve5 3 5 5 3" xfId="27312" xr:uid="{00000000-0005-0000-0000-0000DC560000}"/>
    <cellStyle name="40 % - Markeringsfarve5 3 5 6" xfId="15106" xr:uid="{00000000-0005-0000-0000-0000DD560000}"/>
    <cellStyle name="40 % - Markeringsfarve5 3 5 6 2" xfId="33272" xr:uid="{00000000-0005-0000-0000-0000DE560000}"/>
    <cellStyle name="40 % - Markeringsfarve5 3 5 7" xfId="26270" xr:uid="{00000000-0005-0000-0000-0000DF560000}"/>
    <cellStyle name="40 % - Markeringsfarve5 3 6" xfId="6557" xr:uid="{00000000-0005-0000-0000-0000E0560000}"/>
    <cellStyle name="40 % - Markeringsfarve5 3 6 2" xfId="6558" xr:uid="{00000000-0005-0000-0000-0000E1560000}"/>
    <cellStyle name="40 % - Markeringsfarve5 3 6 2 2" xfId="6559" xr:uid="{00000000-0005-0000-0000-0000E2560000}"/>
    <cellStyle name="40 % - Markeringsfarve5 3 6 2 2 2" xfId="10097" xr:uid="{00000000-0005-0000-0000-0000E3560000}"/>
    <cellStyle name="40 % - Markeringsfarve5 3 6 2 2 2 2" xfId="17998" xr:uid="{00000000-0005-0000-0000-0000E4560000}"/>
    <cellStyle name="40 % - Markeringsfarve5 3 6 2 2 2 2 2" xfId="36158" xr:uid="{00000000-0005-0000-0000-0000E5560000}"/>
    <cellStyle name="40 % - Markeringsfarve5 3 6 2 2 2 3" xfId="29157" xr:uid="{00000000-0005-0000-0000-0000E6560000}"/>
    <cellStyle name="40 % - Markeringsfarve5 3 6 2 2 3" xfId="15113" xr:uid="{00000000-0005-0000-0000-0000E7560000}"/>
    <cellStyle name="40 % - Markeringsfarve5 3 6 2 2 3 2" xfId="33279" xr:uid="{00000000-0005-0000-0000-0000E8560000}"/>
    <cellStyle name="40 % - Markeringsfarve5 3 6 2 2 4" xfId="26277" xr:uid="{00000000-0005-0000-0000-0000E9560000}"/>
    <cellStyle name="40 % - Markeringsfarve5 3 6 2 3" xfId="8640" xr:uid="{00000000-0005-0000-0000-0000EA560000}"/>
    <cellStyle name="40 % - Markeringsfarve5 3 6 2 3 2" xfId="16554" xr:uid="{00000000-0005-0000-0000-0000EB560000}"/>
    <cellStyle name="40 % - Markeringsfarve5 3 6 2 3 2 2" xfId="34714" xr:uid="{00000000-0005-0000-0000-0000EC560000}"/>
    <cellStyle name="40 % - Markeringsfarve5 3 6 2 3 3" xfId="27713" xr:uid="{00000000-0005-0000-0000-0000ED560000}"/>
    <cellStyle name="40 % - Markeringsfarve5 3 6 2 4" xfId="15112" xr:uid="{00000000-0005-0000-0000-0000EE560000}"/>
    <cellStyle name="40 % - Markeringsfarve5 3 6 2 4 2" xfId="33278" xr:uid="{00000000-0005-0000-0000-0000EF560000}"/>
    <cellStyle name="40 % - Markeringsfarve5 3 6 2 5" xfId="26276" xr:uid="{00000000-0005-0000-0000-0000F0560000}"/>
    <cellStyle name="40 % - Markeringsfarve5 3 6 3" xfId="6560" xr:uid="{00000000-0005-0000-0000-0000F1560000}"/>
    <cellStyle name="40 % - Markeringsfarve5 3 6 3 2" xfId="9373" xr:uid="{00000000-0005-0000-0000-0000F2560000}"/>
    <cellStyle name="40 % - Markeringsfarve5 3 6 3 2 2" xfId="17283" xr:uid="{00000000-0005-0000-0000-0000F3560000}"/>
    <cellStyle name="40 % - Markeringsfarve5 3 6 3 2 2 2" xfId="35443" xr:uid="{00000000-0005-0000-0000-0000F4560000}"/>
    <cellStyle name="40 % - Markeringsfarve5 3 6 3 2 3" xfId="28442" xr:uid="{00000000-0005-0000-0000-0000F5560000}"/>
    <cellStyle name="40 % - Markeringsfarve5 3 6 3 3" xfId="15114" xr:uid="{00000000-0005-0000-0000-0000F6560000}"/>
    <cellStyle name="40 % - Markeringsfarve5 3 6 3 3 2" xfId="33280" xr:uid="{00000000-0005-0000-0000-0000F7560000}"/>
    <cellStyle name="40 % - Markeringsfarve5 3 6 3 4" xfId="26278" xr:uid="{00000000-0005-0000-0000-0000F8560000}"/>
    <cellStyle name="40 % - Markeringsfarve5 3 6 4" xfId="6561" xr:uid="{00000000-0005-0000-0000-0000F9560000}"/>
    <cellStyle name="40 % - Markeringsfarve5 3 6 4 2" xfId="10755" xr:uid="{00000000-0005-0000-0000-0000FA560000}"/>
    <cellStyle name="40 % - Markeringsfarve5 3 6 4 2 2" xfId="18644" xr:uid="{00000000-0005-0000-0000-0000FB560000}"/>
    <cellStyle name="40 % - Markeringsfarve5 3 6 4 2 2 2" xfId="36804" xr:uid="{00000000-0005-0000-0000-0000FC560000}"/>
    <cellStyle name="40 % - Markeringsfarve5 3 6 4 2 3" xfId="29803" xr:uid="{00000000-0005-0000-0000-0000FD560000}"/>
    <cellStyle name="40 % - Markeringsfarve5 3 6 4 3" xfId="15115" xr:uid="{00000000-0005-0000-0000-0000FE560000}"/>
    <cellStyle name="40 % - Markeringsfarve5 3 6 4 3 2" xfId="33281" xr:uid="{00000000-0005-0000-0000-0000FF560000}"/>
    <cellStyle name="40 % - Markeringsfarve5 3 6 4 4" xfId="26279" xr:uid="{00000000-0005-0000-0000-000000570000}"/>
    <cellStyle name="40 % - Markeringsfarve5 3 6 5" xfId="8236" xr:uid="{00000000-0005-0000-0000-000001570000}"/>
    <cellStyle name="40 % - Markeringsfarve5 3 6 5 2" xfId="16154" xr:uid="{00000000-0005-0000-0000-000002570000}"/>
    <cellStyle name="40 % - Markeringsfarve5 3 6 5 2 2" xfId="34314" xr:uid="{00000000-0005-0000-0000-000003570000}"/>
    <cellStyle name="40 % - Markeringsfarve5 3 6 5 3" xfId="27313" xr:uid="{00000000-0005-0000-0000-000004570000}"/>
    <cellStyle name="40 % - Markeringsfarve5 3 6 6" xfId="15111" xr:uid="{00000000-0005-0000-0000-000005570000}"/>
    <cellStyle name="40 % - Markeringsfarve5 3 6 6 2" xfId="33277" xr:uid="{00000000-0005-0000-0000-000006570000}"/>
    <cellStyle name="40 % - Markeringsfarve5 3 6 7" xfId="26275" xr:uid="{00000000-0005-0000-0000-000007570000}"/>
    <cellStyle name="40 % - Markeringsfarve5 3 7" xfId="6562" xr:uid="{00000000-0005-0000-0000-000008570000}"/>
    <cellStyle name="40 % - Markeringsfarve5 3 7 2" xfId="6563" xr:uid="{00000000-0005-0000-0000-000009570000}"/>
    <cellStyle name="40 % - Markeringsfarve5 3 7 2 2" xfId="6564" xr:uid="{00000000-0005-0000-0000-00000A570000}"/>
    <cellStyle name="40 % - Markeringsfarve5 3 7 2 2 2" xfId="10214" xr:uid="{00000000-0005-0000-0000-00000B570000}"/>
    <cellStyle name="40 % - Markeringsfarve5 3 7 2 2 2 2" xfId="18115" xr:uid="{00000000-0005-0000-0000-00000C570000}"/>
    <cellStyle name="40 % - Markeringsfarve5 3 7 2 2 2 2 2" xfId="36275" xr:uid="{00000000-0005-0000-0000-00000D570000}"/>
    <cellStyle name="40 % - Markeringsfarve5 3 7 2 2 2 3" xfId="29274" xr:uid="{00000000-0005-0000-0000-00000E570000}"/>
    <cellStyle name="40 % - Markeringsfarve5 3 7 2 2 3" xfId="15118" xr:uid="{00000000-0005-0000-0000-00000F570000}"/>
    <cellStyle name="40 % - Markeringsfarve5 3 7 2 2 3 2" xfId="33284" xr:uid="{00000000-0005-0000-0000-000010570000}"/>
    <cellStyle name="40 % - Markeringsfarve5 3 7 2 2 4" xfId="26282" xr:uid="{00000000-0005-0000-0000-000011570000}"/>
    <cellStyle name="40 % - Markeringsfarve5 3 7 2 3" xfId="8739" xr:uid="{00000000-0005-0000-0000-000012570000}"/>
    <cellStyle name="40 % - Markeringsfarve5 3 7 2 3 2" xfId="16653" xr:uid="{00000000-0005-0000-0000-000013570000}"/>
    <cellStyle name="40 % - Markeringsfarve5 3 7 2 3 2 2" xfId="34813" xr:uid="{00000000-0005-0000-0000-000014570000}"/>
    <cellStyle name="40 % - Markeringsfarve5 3 7 2 3 3" xfId="27812" xr:uid="{00000000-0005-0000-0000-000015570000}"/>
    <cellStyle name="40 % - Markeringsfarve5 3 7 2 4" xfId="15117" xr:uid="{00000000-0005-0000-0000-000016570000}"/>
    <cellStyle name="40 % - Markeringsfarve5 3 7 2 4 2" xfId="33283" xr:uid="{00000000-0005-0000-0000-000017570000}"/>
    <cellStyle name="40 % - Markeringsfarve5 3 7 2 5" xfId="26281" xr:uid="{00000000-0005-0000-0000-000018570000}"/>
    <cellStyle name="40 % - Markeringsfarve5 3 7 3" xfId="6565" xr:uid="{00000000-0005-0000-0000-000019570000}"/>
    <cellStyle name="40 % - Markeringsfarve5 3 7 3 2" xfId="9490" xr:uid="{00000000-0005-0000-0000-00001A570000}"/>
    <cellStyle name="40 % - Markeringsfarve5 3 7 3 2 2" xfId="17400" xr:uid="{00000000-0005-0000-0000-00001B570000}"/>
    <cellStyle name="40 % - Markeringsfarve5 3 7 3 2 2 2" xfId="35560" xr:uid="{00000000-0005-0000-0000-00001C570000}"/>
    <cellStyle name="40 % - Markeringsfarve5 3 7 3 2 3" xfId="28559" xr:uid="{00000000-0005-0000-0000-00001D570000}"/>
    <cellStyle name="40 % - Markeringsfarve5 3 7 3 3" xfId="15119" xr:uid="{00000000-0005-0000-0000-00001E570000}"/>
    <cellStyle name="40 % - Markeringsfarve5 3 7 3 3 2" xfId="33285" xr:uid="{00000000-0005-0000-0000-00001F570000}"/>
    <cellStyle name="40 % - Markeringsfarve5 3 7 3 4" xfId="26283" xr:uid="{00000000-0005-0000-0000-000020570000}"/>
    <cellStyle name="40 % - Markeringsfarve5 3 7 4" xfId="6566" xr:uid="{00000000-0005-0000-0000-000021570000}"/>
    <cellStyle name="40 % - Markeringsfarve5 3 7 4 2" xfId="10990" xr:uid="{00000000-0005-0000-0000-000022570000}"/>
    <cellStyle name="40 % - Markeringsfarve5 3 7 4 2 2" xfId="18866" xr:uid="{00000000-0005-0000-0000-000023570000}"/>
    <cellStyle name="40 % - Markeringsfarve5 3 7 4 2 2 2" xfId="37026" xr:uid="{00000000-0005-0000-0000-000024570000}"/>
    <cellStyle name="40 % - Markeringsfarve5 3 7 4 2 3" xfId="30025" xr:uid="{00000000-0005-0000-0000-000025570000}"/>
    <cellStyle name="40 % - Markeringsfarve5 3 7 4 3" xfId="15120" xr:uid="{00000000-0005-0000-0000-000026570000}"/>
    <cellStyle name="40 % - Markeringsfarve5 3 7 4 3 2" xfId="33286" xr:uid="{00000000-0005-0000-0000-000027570000}"/>
    <cellStyle name="40 % - Markeringsfarve5 3 7 4 4" xfId="26284" xr:uid="{00000000-0005-0000-0000-000028570000}"/>
    <cellStyle name="40 % - Markeringsfarve5 3 7 5" xfId="8237" xr:uid="{00000000-0005-0000-0000-000029570000}"/>
    <cellStyle name="40 % - Markeringsfarve5 3 7 5 2" xfId="16155" xr:uid="{00000000-0005-0000-0000-00002A570000}"/>
    <cellStyle name="40 % - Markeringsfarve5 3 7 5 2 2" xfId="34315" xr:uid="{00000000-0005-0000-0000-00002B570000}"/>
    <cellStyle name="40 % - Markeringsfarve5 3 7 5 3" xfId="27314" xr:uid="{00000000-0005-0000-0000-00002C570000}"/>
    <cellStyle name="40 % - Markeringsfarve5 3 7 6" xfId="15116" xr:uid="{00000000-0005-0000-0000-00002D570000}"/>
    <cellStyle name="40 % - Markeringsfarve5 3 7 6 2" xfId="33282" xr:uid="{00000000-0005-0000-0000-00002E570000}"/>
    <cellStyle name="40 % - Markeringsfarve5 3 7 7" xfId="26280" xr:uid="{00000000-0005-0000-0000-00002F570000}"/>
    <cellStyle name="40 % - Markeringsfarve5 3 8" xfId="6567" xr:uid="{00000000-0005-0000-0000-000030570000}"/>
    <cellStyle name="40 % - Markeringsfarve5 3 8 2" xfId="6568" xr:uid="{00000000-0005-0000-0000-000031570000}"/>
    <cellStyle name="40 % - Markeringsfarve5 3 8 2 2" xfId="6569" xr:uid="{00000000-0005-0000-0000-000032570000}"/>
    <cellStyle name="40 % - Markeringsfarve5 3 8 2 2 2" xfId="10402" xr:uid="{00000000-0005-0000-0000-000033570000}"/>
    <cellStyle name="40 % - Markeringsfarve5 3 8 2 2 2 2" xfId="18303" xr:uid="{00000000-0005-0000-0000-000034570000}"/>
    <cellStyle name="40 % - Markeringsfarve5 3 8 2 2 2 2 2" xfId="36463" xr:uid="{00000000-0005-0000-0000-000035570000}"/>
    <cellStyle name="40 % - Markeringsfarve5 3 8 2 2 2 3" xfId="29462" xr:uid="{00000000-0005-0000-0000-000036570000}"/>
    <cellStyle name="40 % - Markeringsfarve5 3 8 2 2 3" xfId="15123" xr:uid="{00000000-0005-0000-0000-000037570000}"/>
    <cellStyle name="40 % - Markeringsfarve5 3 8 2 2 3 2" xfId="33289" xr:uid="{00000000-0005-0000-0000-000038570000}"/>
    <cellStyle name="40 % - Markeringsfarve5 3 8 2 2 4" xfId="26287" xr:uid="{00000000-0005-0000-0000-000039570000}"/>
    <cellStyle name="40 % - Markeringsfarve5 3 8 2 3" xfId="8895" xr:uid="{00000000-0005-0000-0000-00003A570000}"/>
    <cellStyle name="40 % - Markeringsfarve5 3 8 2 3 2" xfId="16809" xr:uid="{00000000-0005-0000-0000-00003B570000}"/>
    <cellStyle name="40 % - Markeringsfarve5 3 8 2 3 2 2" xfId="34969" xr:uid="{00000000-0005-0000-0000-00003C570000}"/>
    <cellStyle name="40 % - Markeringsfarve5 3 8 2 3 3" xfId="27968" xr:uid="{00000000-0005-0000-0000-00003D570000}"/>
    <cellStyle name="40 % - Markeringsfarve5 3 8 2 4" xfId="15122" xr:uid="{00000000-0005-0000-0000-00003E570000}"/>
    <cellStyle name="40 % - Markeringsfarve5 3 8 2 4 2" xfId="33288" xr:uid="{00000000-0005-0000-0000-00003F570000}"/>
    <cellStyle name="40 % - Markeringsfarve5 3 8 2 5" xfId="26286" xr:uid="{00000000-0005-0000-0000-000040570000}"/>
    <cellStyle name="40 % - Markeringsfarve5 3 8 3" xfId="6570" xr:uid="{00000000-0005-0000-0000-000041570000}"/>
    <cellStyle name="40 % - Markeringsfarve5 3 8 3 2" xfId="9679" xr:uid="{00000000-0005-0000-0000-000042570000}"/>
    <cellStyle name="40 % - Markeringsfarve5 3 8 3 2 2" xfId="17589" xr:uid="{00000000-0005-0000-0000-000043570000}"/>
    <cellStyle name="40 % - Markeringsfarve5 3 8 3 2 2 2" xfId="35749" xr:uid="{00000000-0005-0000-0000-000044570000}"/>
    <cellStyle name="40 % - Markeringsfarve5 3 8 3 2 3" xfId="28748" xr:uid="{00000000-0005-0000-0000-000045570000}"/>
    <cellStyle name="40 % - Markeringsfarve5 3 8 3 3" xfId="15124" xr:uid="{00000000-0005-0000-0000-000046570000}"/>
    <cellStyle name="40 % - Markeringsfarve5 3 8 3 3 2" xfId="33290" xr:uid="{00000000-0005-0000-0000-000047570000}"/>
    <cellStyle name="40 % - Markeringsfarve5 3 8 3 4" xfId="26288" xr:uid="{00000000-0005-0000-0000-000048570000}"/>
    <cellStyle name="40 % - Markeringsfarve5 3 8 4" xfId="6571" xr:uid="{00000000-0005-0000-0000-000049570000}"/>
    <cellStyle name="40 % - Markeringsfarve5 3 8 4 2" xfId="10710" xr:uid="{00000000-0005-0000-0000-00004A570000}"/>
    <cellStyle name="40 % - Markeringsfarve5 3 8 4 2 2" xfId="18599" xr:uid="{00000000-0005-0000-0000-00004B570000}"/>
    <cellStyle name="40 % - Markeringsfarve5 3 8 4 2 2 2" xfId="36759" xr:uid="{00000000-0005-0000-0000-00004C570000}"/>
    <cellStyle name="40 % - Markeringsfarve5 3 8 4 2 3" xfId="29758" xr:uid="{00000000-0005-0000-0000-00004D570000}"/>
    <cellStyle name="40 % - Markeringsfarve5 3 8 4 3" xfId="15125" xr:uid="{00000000-0005-0000-0000-00004E570000}"/>
    <cellStyle name="40 % - Markeringsfarve5 3 8 4 3 2" xfId="33291" xr:uid="{00000000-0005-0000-0000-00004F570000}"/>
    <cellStyle name="40 % - Markeringsfarve5 3 8 4 4" xfId="26289" xr:uid="{00000000-0005-0000-0000-000050570000}"/>
    <cellStyle name="40 % - Markeringsfarve5 3 8 5" xfId="8238" xr:uid="{00000000-0005-0000-0000-000051570000}"/>
    <cellStyle name="40 % - Markeringsfarve5 3 8 5 2" xfId="16156" xr:uid="{00000000-0005-0000-0000-000052570000}"/>
    <cellStyle name="40 % - Markeringsfarve5 3 8 5 2 2" xfId="34316" xr:uid="{00000000-0005-0000-0000-000053570000}"/>
    <cellStyle name="40 % - Markeringsfarve5 3 8 5 3" xfId="27315" xr:uid="{00000000-0005-0000-0000-000054570000}"/>
    <cellStyle name="40 % - Markeringsfarve5 3 8 6" xfId="15121" xr:uid="{00000000-0005-0000-0000-000055570000}"/>
    <cellStyle name="40 % - Markeringsfarve5 3 8 6 2" xfId="33287" xr:uid="{00000000-0005-0000-0000-000056570000}"/>
    <cellStyle name="40 % - Markeringsfarve5 3 8 7" xfId="26285" xr:uid="{00000000-0005-0000-0000-000057570000}"/>
    <cellStyle name="40 % - Markeringsfarve5 3 9" xfId="6572" xr:uid="{00000000-0005-0000-0000-000058570000}"/>
    <cellStyle name="40 % - Markeringsfarve5 3 9 2" xfId="6573" xr:uid="{00000000-0005-0000-0000-000059570000}"/>
    <cellStyle name="40 % - Markeringsfarve5 3 9 2 2" xfId="9740" xr:uid="{00000000-0005-0000-0000-00005A570000}"/>
    <cellStyle name="40 % - Markeringsfarve5 3 9 2 2 2" xfId="17641" xr:uid="{00000000-0005-0000-0000-00005B570000}"/>
    <cellStyle name="40 % - Markeringsfarve5 3 9 2 2 2 2" xfId="35801" xr:uid="{00000000-0005-0000-0000-00005C570000}"/>
    <cellStyle name="40 % - Markeringsfarve5 3 9 2 2 3" xfId="28800" xr:uid="{00000000-0005-0000-0000-00005D570000}"/>
    <cellStyle name="40 % - Markeringsfarve5 3 9 2 3" xfId="15127" xr:uid="{00000000-0005-0000-0000-00005E570000}"/>
    <cellStyle name="40 % - Markeringsfarve5 3 9 2 3 2" xfId="33293" xr:uid="{00000000-0005-0000-0000-00005F570000}"/>
    <cellStyle name="40 % - Markeringsfarve5 3 9 2 4" xfId="26291" xr:uid="{00000000-0005-0000-0000-000060570000}"/>
    <cellStyle name="40 % - Markeringsfarve5 3 9 3" xfId="8339" xr:uid="{00000000-0005-0000-0000-000061570000}"/>
    <cellStyle name="40 % - Markeringsfarve5 3 9 3 2" xfId="16256" xr:uid="{00000000-0005-0000-0000-000062570000}"/>
    <cellStyle name="40 % - Markeringsfarve5 3 9 3 2 2" xfId="34416" xr:uid="{00000000-0005-0000-0000-000063570000}"/>
    <cellStyle name="40 % - Markeringsfarve5 3 9 3 3" xfId="27415" xr:uid="{00000000-0005-0000-0000-000064570000}"/>
    <cellStyle name="40 % - Markeringsfarve5 3 9 4" xfId="15126" xr:uid="{00000000-0005-0000-0000-000065570000}"/>
    <cellStyle name="40 % - Markeringsfarve5 3 9 4 2" xfId="33292" xr:uid="{00000000-0005-0000-0000-000066570000}"/>
    <cellStyle name="40 % - Markeringsfarve5 3 9 5" xfId="26290" xr:uid="{00000000-0005-0000-0000-000067570000}"/>
    <cellStyle name="40 % - Markeringsfarve5 4" xfId="1935" xr:uid="{00000000-0005-0000-0000-000068570000}"/>
    <cellStyle name="40 % - Markeringsfarve5 4 10" xfId="8239" xr:uid="{00000000-0005-0000-0000-000069570000}"/>
    <cellStyle name="40 % - Markeringsfarve5 4 10 2" xfId="16157" xr:uid="{00000000-0005-0000-0000-00006A570000}"/>
    <cellStyle name="40 % - Markeringsfarve5 4 10 2 2" xfId="34317" xr:uid="{00000000-0005-0000-0000-00006B570000}"/>
    <cellStyle name="40 % - Markeringsfarve5 4 10 3" xfId="27316" xr:uid="{00000000-0005-0000-0000-00006C570000}"/>
    <cellStyle name="40 % - Markeringsfarve5 4 11" xfId="15128" xr:uid="{00000000-0005-0000-0000-00006D570000}"/>
    <cellStyle name="40 % - Markeringsfarve5 4 11 2" xfId="33294" xr:uid="{00000000-0005-0000-0000-00006E570000}"/>
    <cellStyle name="40 % - Markeringsfarve5 4 12" xfId="6574" xr:uid="{00000000-0005-0000-0000-00006F570000}"/>
    <cellStyle name="40 % - Markeringsfarve5 4 12 2" xfId="26292" xr:uid="{00000000-0005-0000-0000-000070570000}"/>
    <cellStyle name="40 % - Markeringsfarve5 4 13" xfId="22053" xr:uid="{00000000-0005-0000-0000-000071570000}"/>
    <cellStyle name="40 % - Markeringsfarve5 4 2" xfId="1936" xr:uid="{00000000-0005-0000-0000-000072570000}"/>
    <cellStyle name="40 % - Markeringsfarve5 4 2 2" xfId="6576" xr:uid="{00000000-0005-0000-0000-000073570000}"/>
    <cellStyle name="40 % - Markeringsfarve5 4 2 2 2" xfId="6577" xr:uid="{00000000-0005-0000-0000-000074570000}"/>
    <cellStyle name="40 % - Markeringsfarve5 4 2 2 2 2" xfId="9884" xr:uid="{00000000-0005-0000-0000-000075570000}"/>
    <cellStyle name="40 % - Markeringsfarve5 4 2 2 2 2 2" xfId="17785" xr:uid="{00000000-0005-0000-0000-000076570000}"/>
    <cellStyle name="40 % - Markeringsfarve5 4 2 2 2 2 2 2" xfId="35945" xr:uid="{00000000-0005-0000-0000-000077570000}"/>
    <cellStyle name="40 % - Markeringsfarve5 4 2 2 2 2 3" xfId="28944" xr:uid="{00000000-0005-0000-0000-000078570000}"/>
    <cellStyle name="40 % - Markeringsfarve5 4 2 2 2 3" xfId="15131" xr:uid="{00000000-0005-0000-0000-000079570000}"/>
    <cellStyle name="40 % - Markeringsfarve5 4 2 2 2 3 2" xfId="33297" xr:uid="{00000000-0005-0000-0000-00007A570000}"/>
    <cellStyle name="40 % - Markeringsfarve5 4 2 2 2 4" xfId="26295" xr:uid="{00000000-0005-0000-0000-00007B570000}"/>
    <cellStyle name="40 % - Markeringsfarve5 4 2 2 3" xfId="8459" xr:uid="{00000000-0005-0000-0000-00007C570000}"/>
    <cellStyle name="40 % - Markeringsfarve5 4 2 2 3 2" xfId="16376" xr:uid="{00000000-0005-0000-0000-00007D570000}"/>
    <cellStyle name="40 % - Markeringsfarve5 4 2 2 3 2 2" xfId="34536" xr:uid="{00000000-0005-0000-0000-00007E570000}"/>
    <cellStyle name="40 % - Markeringsfarve5 4 2 2 3 3" xfId="27535" xr:uid="{00000000-0005-0000-0000-00007F570000}"/>
    <cellStyle name="40 % - Markeringsfarve5 4 2 2 4" xfId="15130" xr:uid="{00000000-0005-0000-0000-000080570000}"/>
    <cellStyle name="40 % - Markeringsfarve5 4 2 2 4 2" xfId="33296" xr:uid="{00000000-0005-0000-0000-000081570000}"/>
    <cellStyle name="40 % - Markeringsfarve5 4 2 2 5" xfId="26294" xr:uid="{00000000-0005-0000-0000-000082570000}"/>
    <cellStyle name="40 % - Markeringsfarve5 4 2 3" xfId="6578" xr:uid="{00000000-0005-0000-0000-000083570000}"/>
    <cellStyle name="40 % - Markeringsfarve5 4 2 3 2" xfId="9114" xr:uid="{00000000-0005-0000-0000-000084570000}"/>
    <cellStyle name="40 % - Markeringsfarve5 4 2 3 2 2" xfId="17025" xr:uid="{00000000-0005-0000-0000-000085570000}"/>
    <cellStyle name="40 % - Markeringsfarve5 4 2 3 2 2 2" xfId="35185" xr:uid="{00000000-0005-0000-0000-000086570000}"/>
    <cellStyle name="40 % - Markeringsfarve5 4 2 3 2 3" xfId="28184" xr:uid="{00000000-0005-0000-0000-000087570000}"/>
    <cellStyle name="40 % - Markeringsfarve5 4 2 3 3" xfId="15132" xr:uid="{00000000-0005-0000-0000-000088570000}"/>
    <cellStyle name="40 % - Markeringsfarve5 4 2 3 3 2" xfId="33298" xr:uid="{00000000-0005-0000-0000-000089570000}"/>
    <cellStyle name="40 % - Markeringsfarve5 4 2 3 4" xfId="26296" xr:uid="{00000000-0005-0000-0000-00008A570000}"/>
    <cellStyle name="40 % - Markeringsfarve5 4 2 4" xfId="6579" xr:uid="{00000000-0005-0000-0000-00008B570000}"/>
    <cellStyle name="40 % - Markeringsfarve5 4 2 4 2" xfId="10983" xr:uid="{00000000-0005-0000-0000-00008C570000}"/>
    <cellStyle name="40 % - Markeringsfarve5 4 2 4 2 2" xfId="18859" xr:uid="{00000000-0005-0000-0000-00008D570000}"/>
    <cellStyle name="40 % - Markeringsfarve5 4 2 4 2 2 2" xfId="37019" xr:uid="{00000000-0005-0000-0000-00008E570000}"/>
    <cellStyle name="40 % - Markeringsfarve5 4 2 4 2 3" xfId="30018" xr:uid="{00000000-0005-0000-0000-00008F570000}"/>
    <cellStyle name="40 % - Markeringsfarve5 4 2 4 3" xfId="15133" xr:uid="{00000000-0005-0000-0000-000090570000}"/>
    <cellStyle name="40 % - Markeringsfarve5 4 2 4 3 2" xfId="33299" xr:uid="{00000000-0005-0000-0000-000091570000}"/>
    <cellStyle name="40 % - Markeringsfarve5 4 2 4 4" xfId="26297" xr:uid="{00000000-0005-0000-0000-000092570000}"/>
    <cellStyle name="40 % - Markeringsfarve5 4 2 5" xfId="8240" xr:uid="{00000000-0005-0000-0000-000093570000}"/>
    <cellStyle name="40 % - Markeringsfarve5 4 2 5 2" xfId="16158" xr:uid="{00000000-0005-0000-0000-000094570000}"/>
    <cellStyle name="40 % - Markeringsfarve5 4 2 5 2 2" xfId="34318" xr:uid="{00000000-0005-0000-0000-000095570000}"/>
    <cellStyle name="40 % - Markeringsfarve5 4 2 5 3" xfId="27317" xr:uid="{00000000-0005-0000-0000-000096570000}"/>
    <cellStyle name="40 % - Markeringsfarve5 4 2 6" xfId="15129" xr:uid="{00000000-0005-0000-0000-000097570000}"/>
    <cellStyle name="40 % - Markeringsfarve5 4 2 6 2" xfId="33295" xr:uid="{00000000-0005-0000-0000-000098570000}"/>
    <cellStyle name="40 % - Markeringsfarve5 4 2 7" xfId="6575" xr:uid="{00000000-0005-0000-0000-000099570000}"/>
    <cellStyle name="40 % - Markeringsfarve5 4 2 7 2" xfId="26293" xr:uid="{00000000-0005-0000-0000-00009A570000}"/>
    <cellStyle name="40 % - Markeringsfarve5 4 2 8" xfId="22054" xr:uid="{00000000-0005-0000-0000-00009B570000}"/>
    <cellStyle name="40 % - Markeringsfarve5 4 3" xfId="6580" xr:uid="{00000000-0005-0000-0000-00009C570000}"/>
    <cellStyle name="40 % - Markeringsfarve5 4 3 2" xfId="6581" xr:uid="{00000000-0005-0000-0000-00009D570000}"/>
    <cellStyle name="40 % - Markeringsfarve5 4 3 2 2" xfId="6582" xr:uid="{00000000-0005-0000-0000-00009E570000}"/>
    <cellStyle name="40 % - Markeringsfarve5 4 3 2 2 2" xfId="10051" xr:uid="{00000000-0005-0000-0000-00009F570000}"/>
    <cellStyle name="40 % - Markeringsfarve5 4 3 2 2 2 2" xfId="17952" xr:uid="{00000000-0005-0000-0000-0000A0570000}"/>
    <cellStyle name="40 % - Markeringsfarve5 4 3 2 2 2 2 2" xfId="36112" xr:uid="{00000000-0005-0000-0000-0000A1570000}"/>
    <cellStyle name="40 % - Markeringsfarve5 4 3 2 2 2 3" xfId="29111" xr:uid="{00000000-0005-0000-0000-0000A2570000}"/>
    <cellStyle name="40 % - Markeringsfarve5 4 3 2 2 3" xfId="15136" xr:uid="{00000000-0005-0000-0000-0000A3570000}"/>
    <cellStyle name="40 % - Markeringsfarve5 4 3 2 2 3 2" xfId="33302" xr:uid="{00000000-0005-0000-0000-0000A4570000}"/>
    <cellStyle name="40 % - Markeringsfarve5 4 3 2 2 4" xfId="26300" xr:uid="{00000000-0005-0000-0000-0000A5570000}"/>
    <cellStyle name="40 % - Markeringsfarve5 4 3 2 3" xfId="8597" xr:uid="{00000000-0005-0000-0000-0000A6570000}"/>
    <cellStyle name="40 % - Markeringsfarve5 4 3 2 3 2" xfId="16514" xr:uid="{00000000-0005-0000-0000-0000A7570000}"/>
    <cellStyle name="40 % - Markeringsfarve5 4 3 2 3 2 2" xfId="34674" xr:uid="{00000000-0005-0000-0000-0000A8570000}"/>
    <cellStyle name="40 % - Markeringsfarve5 4 3 2 3 3" xfId="27673" xr:uid="{00000000-0005-0000-0000-0000A9570000}"/>
    <cellStyle name="40 % - Markeringsfarve5 4 3 2 4" xfId="15135" xr:uid="{00000000-0005-0000-0000-0000AA570000}"/>
    <cellStyle name="40 % - Markeringsfarve5 4 3 2 4 2" xfId="33301" xr:uid="{00000000-0005-0000-0000-0000AB570000}"/>
    <cellStyle name="40 % - Markeringsfarve5 4 3 2 5" xfId="26299" xr:uid="{00000000-0005-0000-0000-0000AC570000}"/>
    <cellStyle name="40 % - Markeringsfarve5 4 3 3" xfId="6583" xr:uid="{00000000-0005-0000-0000-0000AD570000}"/>
    <cellStyle name="40 % - Markeringsfarve5 4 3 3 2" xfId="9281" xr:uid="{00000000-0005-0000-0000-0000AE570000}"/>
    <cellStyle name="40 % - Markeringsfarve5 4 3 3 2 2" xfId="17192" xr:uid="{00000000-0005-0000-0000-0000AF570000}"/>
    <cellStyle name="40 % - Markeringsfarve5 4 3 3 2 2 2" xfId="35352" xr:uid="{00000000-0005-0000-0000-0000B0570000}"/>
    <cellStyle name="40 % - Markeringsfarve5 4 3 3 2 3" xfId="28351" xr:uid="{00000000-0005-0000-0000-0000B1570000}"/>
    <cellStyle name="40 % - Markeringsfarve5 4 3 3 3" xfId="15137" xr:uid="{00000000-0005-0000-0000-0000B2570000}"/>
    <cellStyle name="40 % - Markeringsfarve5 4 3 3 3 2" xfId="33303" xr:uid="{00000000-0005-0000-0000-0000B3570000}"/>
    <cellStyle name="40 % - Markeringsfarve5 4 3 3 4" xfId="26301" xr:uid="{00000000-0005-0000-0000-0000B4570000}"/>
    <cellStyle name="40 % - Markeringsfarve5 4 3 4" xfId="6584" xr:uid="{00000000-0005-0000-0000-0000B5570000}"/>
    <cellStyle name="40 % - Markeringsfarve5 4 3 4 2" xfId="10704" xr:uid="{00000000-0005-0000-0000-0000B6570000}"/>
    <cellStyle name="40 % - Markeringsfarve5 4 3 4 2 2" xfId="18593" xr:uid="{00000000-0005-0000-0000-0000B7570000}"/>
    <cellStyle name="40 % - Markeringsfarve5 4 3 4 2 2 2" xfId="36753" xr:uid="{00000000-0005-0000-0000-0000B8570000}"/>
    <cellStyle name="40 % - Markeringsfarve5 4 3 4 2 3" xfId="29752" xr:uid="{00000000-0005-0000-0000-0000B9570000}"/>
    <cellStyle name="40 % - Markeringsfarve5 4 3 4 3" xfId="15138" xr:uid="{00000000-0005-0000-0000-0000BA570000}"/>
    <cellStyle name="40 % - Markeringsfarve5 4 3 4 3 2" xfId="33304" xr:uid="{00000000-0005-0000-0000-0000BB570000}"/>
    <cellStyle name="40 % - Markeringsfarve5 4 3 4 4" xfId="26302" xr:uid="{00000000-0005-0000-0000-0000BC570000}"/>
    <cellStyle name="40 % - Markeringsfarve5 4 3 5" xfId="8241" xr:uid="{00000000-0005-0000-0000-0000BD570000}"/>
    <cellStyle name="40 % - Markeringsfarve5 4 3 5 2" xfId="16159" xr:uid="{00000000-0005-0000-0000-0000BE570000}"/>
    <cellStyle name="40 % - Markeringsfarve5 4 3 5 2 2" xfId="34319" xr:uid="{00000000-0005-0000-0000-0000BF570000}"/>
    <cellStyle name="40 % - Markeringsfarve5 4 3 5 3" xfId="27318" xr:uid="{00000000-0005-0000-0000-0000C0570000}"/>
    <cellStyle name="40 % - Markeringsfarve5 4 3 6" xfId="15134" xr:uid="{00000000-0005-0000-0000-0000C1570000}"/>
    <cellStyle name="40 % - Markeringsfarve5 4 3 6 2" xfId="33300" xr:uid="{00000000-0005-0000-0000-0000C2570000}"/>
    <cellStyle name="40 % - Markeringsfarve5 4 3 7" xfId="26298" xr:uid="{00000000-0005-0000-0000-0000C3570000}"/>
    <cellStyle name="40 % - Markeringsfarve5 4 4" xfId="6585" xr:uid="{00000000-0005-0000-0000-0000C4570000}"/>
    <cellStyle name="40 % - Markeringsfarve5 4 4 2" xfId="6586" xr:uid="{00000000-0005-0000-0000-0000C5570000}"/>
    <cellStyle name="40 % - Markeringsfarve5 4 4 2 2" xfId="6587" xr:uid="{00000000-0005-0000-0000-0000C6570000}"/>
    <cellStyle name="40 % - Markeringsfarve5 4 4 2 2 2" xfId="10122" xr:uid="{00000000-0005-0000-0000-0000C7570000}"/>
    <cellStyle name="40 % - Markeringsfarve5 4 4 2 2 2 2" xfId="18023" xr:uid="{00000000-0005-0000-0000-0000C8570000}"/>
    <cellStyle name="40 % - Markeringsfarve5 4 4 2 2 2 2 2" xfId="36183" xr:uid="{00000000-0005-0000-0000-0000C9570000}"/>
    <cellStyle name="40 % - Markeringsfarve5 4 4 2 2 2 3" xfId="29182" xr:uid="{00000000-0005-0000-0000-0000CA570000}"/>
    <cellStyle name="40 % - Markeringsfarve5 4 4 2 2 3" xfId="15141" xr:uid="{00000000-0005-0000-0000-0000CB570000}"/>
    <cellStyle name="40 % - Markeringsfarve5 4 4 2 2 3 2" xfId="33307" xr:uid="{00000000-0005-0000-0000-0000CC570000}"/>
    <cellStyle name="40 % - Markeringsfarve5 4 4 2 2 4" xfId="26305" xr:uid="{00000000-0005-0000-0000-0000CD570000}"/>
    <cellStyle name="40 % - Markeringsfarve5 4 4 2 3" xfId="8661" xr:uid="{00000000-0005-0000-0000-0000CE570000}"/>
    <cellStyle name="40 % - Markeringsfarve5 4 4 2 3 2" xfId="16575" xr:uid="{00000000-0005-0000-0000-0000CF570000}"/>
    <cellStyle name="40 % - Markeringsfarve5 4 4 2 3 2 2" xfId="34735" xr:uid="{00000000-0005-0000-0000-0000D0570000}"/>
    <cellStyle name="40 % - Markeringsfarve5 4 4 2 3 3" xfId="27734" xr:uid="{00000000-0005-0000-0000-0000D1570000}"/>
    <cellStyle name="40 % - Markeringsfarve5 4 4 2 4" xfId="15140" xr:uid="{00000000-0005-0000-0000-0000D2570000}"/>
    <cellStyle name="40 % - Markeringsfarve5 4 4 2 4 2" xfId="33306" xr:uid="{00000000-0005-0000-0000-0000D3570000}"/>
    <cellStyle name="40 % - Markeringsfarve5 4 4 2 5" xfId="26304" xr:uid="{00000000-0005-0000-0000-0000D4570000}"/>
    <cellStyle name="40 % - Markeringsfarve5 4 4 3" xfId="6588" xr:uid="{00000000-0005-0000-0000-0000D5570000}"/>
    <cellStyle name="40 % - Markeringsfarve5 4 4 3 2" xfId="9398" xr:uid="{00000000-0005-0000-0000-0000D6570000}"/>
    <cellStyle name="40 % - Markeringsfarve5 4 4 3 2 2" xfId="17308" xr:uid="{00000000-0005-0000-0000-0000D7570000}"/>
    <cellStyle name="40 % - Markeringsfarve5 4 4 3 2 2 2" xfId="35468" xr:uid="{00000000-0005-0000-0000-0000D8570000}"/>
    <cellStyle name="40 % - Markeringsfarve5 4 4 3 2 3" xfId="28467" xr:uid="{00000000-0005-0000-0000-0000D9570000}"/>
    <cellStyle name="40 % - Markeringsfarve5 4 4 3 3" xfId="15142" xr:uid="{00000000-0005-0000-0000-0000DA570000}"/>
    <cellStyle name="40 % - Markeringsfarve5 4 4 3 3 2" xfId="33308" xr:uid="{00000000-0005-0000-0000-0000DB570000}"/>
    <cellStyle name="40 % - Markeringsfarve5 4 4 3 4" xfId="26306" xr:uid="{00000000-0005-0000-0000-0000DC570000}"/>
    <cellStyle name="40 % - Markeringsfarve5 4 4 4" xfId="6589" xr:uid="{00000000-0005-0000-0000-0000DD570000}"/>
    <cellStyle name="40 % - Markeringsfarve5 4 4 4 2" xfId="10930" xr:uid="{00000000-0005-0000-0000-0000DE570000}"/>
    <cellStyle name="40 % - Markeringsfarve5 4 4 4 2 2" xfId="18811" xr:uid="{00000000-0005-0000-0000-0000DF570000}"/>
    <cellStyle name="40 % - Markeringsfarve5 4 4 4 2 2 2" xfId="36971" xr:uid="{00000000-0005-0000-0000-0000E0570000}"/>
    <cellStyle name="40 % - Markeringsfarve5 4 4 4 2 3" xfId="29970" xr:uid="{00000000-0005-0000-0000-0000E1570000}"/>
    <cellStyle name="40 % - Markeringsfarve5 4 4 4 3" xfId="15143" xr:uid="{00000000-0005-0000-0000-0000E2570000}"/>
    <cellStyle name="40 % - Markeringsfarve5 4 4 4 3 2" xfId="33309" xr:uid="{00000000-0005-0000-0000-0000E3570000}"/>
    <cellStyle name="40 % - Markeringsfarve5 4 4 4 4" xfId="26307" xr:uid="{00000000-0005-0000-0000-0000E4570000}"/>
    <cellStyle name="40 % - Markeringsfarve5 4 4 5" xfId="8242" xr:uid="{00000000-0005-0000-0000-0000E5570000}"/>
    <cellStyle name="40 % - Markeringsfarve5 4 4 5 2" xfId="16160" xr:uid="{00000000-0005-0000-0000-0000E6570000}"/>
    <cellStyle name="40 % - Markeringsfarve5 4 4 5 2 2" xfId="34320" xr:uid="{00000000-0005-0000-0000-0000E7570000}"/>
    <cellStyle name="40 % - Markeringsfarve5 4 4 5 3" xfId="27319" xr:uid="{00000000-0005-0000-0000-0000E8570000}"/>
    <cellStyle name="40 % - Markeringsfarve5 4 4 6" xfId="15139" xr:uid="{00000000-0005-0000-0000-0000E9570000}"/>
    <cellStyle name="40 % - Markeringsfarve5 4 4 6 2" xfId="33305" xr:uid="{00000000-0005-0000-0000-0000EA570000}"/>
    <cellStyle name="40 % - Markeringsfarve5 4 4 7" xfId="26303" xr:uid="{00000000-0005-0000-0000-0000EB570000}"/>
    <cellStyle name="40 % - Markeringsfarve5 4 5" xfId="6590" xr:uid="{00000000-0005-0000-0000-0000EC570000}"/>
    <cellStyle name="40 % - Markeringsfarve5 4 5 2" xfId="6591" xr:uid="{00000000-0005-0000-0000-0000ED570000}"/>
    <cellStyle name="40 % - Markeringsfarve5 4 5 2 2" xfId="6592" xr:uid="{00000000-0005-0000-0000-0000EE570000}"/>
    <cellStyle name="40 % - Markeringsfarve5 4 5 2 2 2" xfId="10239" xr:uid="{00000000-0005-0000-0000-0000EF570000}"/>
    <cellStyle name="40 % - Markeringsfarve5 4 5 2 2 2 2" xfId="18140" xr:uid="{00000000-0005-0000-0000-0000F0570000}"/>
    <cellStyle name="40 % - Markeringsfarve5 4 5 2 2 2 2 2" xfId="36300" xr:uid="{00000000-0005-0000-0000-0000F1570000}"/>
    <cellStyle name="40 % - Markeringsfarve5 4 5 2 2 2 3" xfId="29299" xr:uid="{00000000-0005-0000-0000-0000F2570000}"/>
    <cellStyle name="40 % - Markeringsfarve5 4 5 2 2 3" xfId="15146" xr:uid="{00000000-0005-0000-0000-0000F3570000}"/>
    <cellStyle name="40 % - Markeringsfarve5 4 5 2 2 3 2" xfId="33312" xr:uid="{00000000-0005-0000-0000-0000F4570000}"/>
    <cellStyle name="40 % - Markeringsfarve5 4 5 2 2 4" xfId="26310" xr:uid="{00000000-0005-0000-0000-0000F5570000}"/>
    <cellStyle name="40 % - Markeringsfarve5 4 5 2 3" xfId="8760" xr:uid="{00000000-0005-0000-0000-0000F6570000}"/>
    <cellStyle name="40 % - Markeringsfarve5 4 5 2 3 2" xfId="16674" xr:uid="{00000000-0005-0000-0000-0000F7570000}"/>
    <cellStyle name="40 % - Markeringsfarve5 4 5 2 3 2 2" xfId="34834" xr:uid="{00000000-0005-0000-0000-0000F8570000}"/>
    <cellStyle name="40 % - Markeringsfarve5 4 5 2 3 3" xfId="27833" xr:uid="{00000000-0005-0000-0000-0000F9570000}"/>
    <cellStyle name="40 % - Markeringsfarve5 4 5 2 4" xfId="15145" xr:uid="{00000000-0005-0000-0000-0000FA570000}"/>
    <cellStyle name="40 % - Markeringsfarve5 4 5 2 4 2" xfId="33311" xr:uid="{00000000-0005-0000-0000-0000FB570000}"/>
    <cellStyle name="40 % - Markeringsfarve5 4 5 2 5" xfId="26309" xr:uid="{00000000-0005-0000-0000-0000FC570000}"/>
    <cellStyle name="40 % - Markeringsfarve5 4 5 3" xfId="6593" xr:uid="{00000000-0005-0000-0000-0000FD570000}"/>
    <cellStyle name="40 % - Markeringsfarve5 4 5 3 2" xfId="9515" xr:uid="{00000000-0005-0000-0000-0000FE570000}"/>
    <cellStyle name="40 % - Markeringsfarve5 4 5 3 2 2" xfId="17425" xr:uid="{00000000-0005-0000-0000-0000FF570000}"/>
    <cellStyle name="40 % - Markeringsfarve5 4 5 3 2 2 2" xfId="35585" xr:uid="{00000000-0005-0000-0000-000000580000}"/>
    <cellStyle name="40 % - Markeringsfarve5 4 5 3 2 3" xfId="28584" xr:uid="{00000000-0005-0000-0000-000001580000}"/>
    <cellStyle name="40 % - Markeringsfarve5 4 5 3 3" xfId="15147" xr:uid="{00000000-0005-0000-0000-000002580000}"/>
    <cellStyle name="40 % - Markeringsfarve5 4 5 3 3 2" xfId="33313" xr:uid="{00000000-0005-0000-0000-000003580000}"/>
    <cellStyle name="40 % - Markeringsfarve5 4 5 3 4" xfId="26311" xr:uid="{00000000-0005-0000-0000-000004580000}"/>
    <cellStyle name="40 % - Markeringsfarve5 4 5 4" xfId="6594" xr:uid="{00000000-0005-0000-0000-000005580000}"/>
    <cellStyle name="40 % - Markeringsfarve5 4 5 4 2" xfId="10655" xr:uid="{00000000-0005-0000-0000-000006580000}"/>
    <cellStyle name="40 % - Markeringsfarve5 4 5 4 2 2" xfId="18548" xr:uid="{00000000-0005-0000-0000-000007580000}"/>
    <cellStyle name="40 % - Markeringsfarve5 4 5 4 2 2 2" xfId="36708" xr:uid="{00000000-0005-0000-0000-000008580000}"/>
    <cellStyle name="40 % - Markeringsfarve5 4 5 4 2 3" xfId="29707" xr:uid="{00000000-0005-0000-0000-000009580000}"/>
    <cellStyle name="40 % - Markeringsfarve5 4 5 4 3" xfId="15148" xr:uid="{00000000-0005-0000-0000-00000A580000}"/>
    <cellStyle name="40 % - Markeringsfarve5 4 5 4 3 2" xfId="33314" xr:uid="{00000000-0005-0000-0000-00000B580000}"/>
    <cellStyle name="40 % - Markeringsfarve5 4 5 4 4" xfId="26312" xr:uid="{00000000-0005-0000-0000-00000C580000}"/>
    <cellStyle name="40 % - Markeringsfarve5 4 5 5" xfId="8243" xr:uid="{00000000-0005-0000-0000-00000D580000}"/>
    <cellStyle name="40 % - Markeringsfarve5 4 5 5 2" xfId="16161" xr:uid="{00000000-0005-0000-0000-00000E580000}"/>
    <cellStyle name="40 % - Markeringsfarve5 4 5 5 2 2" xfId="34321" xr:uid="{00000000-0005-0000-0000-00000F580000}"/>
    <cellStyle name="40 % - Markeringsfarve5 4 5 5 3" xfId="27320" xr:uid="{00000000-0005-0000-0000-000010580000}"/>
    <cellStyle name="40 % - Markeringsfarve5 4 5 6" xfId="15144" xr:uid="{00000000-0005-0000-0000-000011580000}"/>
    <cellStyle name="40 % - Markeringsfarve5 4 5 6 2" xfId="33310" xr:uid="{00000000-0005-0000-0000-000012580000}"/>
    <cellStyle name="40 % - Markeringsfarve5 4 5 7" xfId="26308" xr:uid="{00000000-0005-0000-0000-000013580000}"/>
    <cellStyle name="40 % - Markeringsfarve5 4 6" xfId="6595" xr:uid="{00000000-0005-0000-0000-000014580000}"/>
    <cellStyle name="40 % - Markeringsfarve5 4 6 2" xfId="6596" xr:uid="{00000000-0005-0000-0000-000015580000}"/>
    <cellStyle name="40 % - Markeringsfarve5 4 6 2 2" xfId="6597" xr:uid="{00000000-0005-0000-0000-000016580000}"/>
    <cellStyle name="40 % - Markeringsfarve5 4 6 2 2 2" xfId="10405" xr:uid="{00000000-0005-0000-0000-000017580000}"/>
    <cellStyle name="40 % - Markeringsfarve5 4 6 2 2 2 2" xfId="18306" xr:uid="{00000000-0005-0000-0000-000018580000}"/>
    <cellStyle name="40 % - Markeringsfarve5 4 6 2 2 2 2 2" xfId="36466" xr:uid="{00000000-0005-0000-0000-000019580000}"/>
    <cellStyle name="40 % - Markeringsfarve5 4 6 2 2 2 3" xfId="29465" xr:uid="{00000000-0005-0000-0000-00001A580000}"/>
    <cellStyle name="40 % - Markeringsfarve5 4 6 2 2 3" xfId="15151" xr:uid="{00000000-0005-0000-0000-00001B580000}"/>
    <cellStyle name="40 % - Markeringsfarve5 4 6 2 2 3 2" xfId="33317" xr:uid="{00000000-0005-0000-0000-00001C580000}"/>
    <cellStyle name="40 % - Markeringsfarve5 4 6 2 2 4" xfId="26315" xr:uid="{00000000-0005-0000-0000-00001D580000}"/>
    <cellStyle name="40 % - Markeringsfarve5 4 6 2 3" xfId="8898" xr:uid="{00000000-0005-0000-0000-00001E580000}"/>
    <cellStyle name="40 % - Markeringsfarve5 4 6 2 3 2" xfId="16812" xr:uid="{00000000-0005-0000-0000-00001F580000}"/>
    <cellStyle name="40 % - Markeringsfarve5 4 6 2 3 2 2" xfId="34972" xr:uid="{00000000-0005-0000-0000-000020580000}"/>
    <cellStyle name="40 % - Markeringsfarve5 4 6 2 3 3" xfId="27971" xr:uid="{00000000-0005-0000-0000-000021580000}"/>
    <cellStyle name="40 % - Markeringsfarve5 4 6 2 4" xfId="15150" xr:uid="{00000000-0005-0000-0000-000022580000}"/>
    <cellStyle name="40 % - Markeringsfarve5 4 6 2 4 2" xfId="33316" xr:uid="{00000000-0005-0000-0000-000023580000}"/>
    <cellStyle name="40 % - Markeringsfarve5 4 6 2 5" xfId="26314" xr:uid="{00000000-0005-0000-0000-000024580000}"/>
    <cellStyle name="40 % - Markeringsfarve5 4 6 3" xfId="6598" xr:uid="{00000000-0005-0000-0000-000025580000}"/>
    <cellStyle name="40 % - Markeringsfarve5 4 6 3 2" xfId="9682" xr:uid="{00000000-0005-0000-0000-000026580000}"/>
    <cellStyle name="40 % - Markeringsfarve5 4 6 3 2 2" xfId="17592" xr:uid="{00000000-0005-0000-0000-000027580000}"/>
    <cellStyle name="40 % - Markeringsfarve5 4 6 3 2 2 2" xfId="35752" xr:uid="{00000000-0005-0000-0000-000028580000}"/>
    <cellStyle name="40 % - Markeringsfarve5 4 6 3 2 3" xfId="28751" xr:uid="{00000000-0005-0000-0000-000029580000}"/>
    <cellStyle name="40 % - Markeringsfarve5 4 6 3 3" xfId="15152" xr:uid="{00000000-0005-0000-0000-00002A580000}"/>
    <cellStyle name="40 % - Markeringsfarve5 4 6 3 3 2" xfId="33318" xr:uid="{00000000-0005-0000-0000-00002B580000}"/>
    <cellStyle name="40 % - Markeringsfarve5 4 6 3 4" xfId="26316" xr:uid="{00000000-0005-0000-0000-00002C580000}"/>
    <cellStyle name="40 % - Markeringsfarve5 4 6 4" xfId="6599" xr:uid="{00000000-0005-0000-0000-00002D580000}"/>
    <cellStyle name="40 % - Markeringsfarve5 4 6 4 2" xfId="10891" xr:uid="{00000000-0005-0000-0000-00002E580000}"/>
    <cellStyle name="40 % - Markeringsfarve5 4 6 4 2 2" xfId="18774" xr:uid="{00000000-0005-0000-0000-00002F580000}"/>
    <cellStyle name="40 % - Markeringsfarve5 4 6 4 2 2 2" xfId="36934" xr:uid="{00000000-0005-0000-0000-000030580000}"/>
    <cellStyle name="40 % - Markeringsfarve5 4 6 4 2 3" xfId="29933" xr:uid="{00000000-0005-0000-0000-000031580000}"/>
    <cellStyle name="40 % - Markeringsfarve5 4 6 4 3" xfId="15153" xr:uid="{00000000-0005-0000-0000-000032580000}"/>
    <cellStyle name="40 % - Markeringsfarve5 4 6 4 3 2" xfId="33319" xr:uid="{00000000-0005-0000-0000-000033580000}"/>
    <cellStyle name="40 % - Markeringsfarve5 4 6 4 4" xfId="26317" xr:uid="{00000000-0005-0000-0000-000034580000}"/>
    <cellStyle name="40 % - Markeringsfarve5 4 6 5" xfId="8244" xr:uid="{00000000-0005-0000-0000-000035580000}"/>
    <cellStyle name="40 % - Markeringsfarve5 4 6 5 2" xfId="16162" xr:uid="{00000000-0005-0000-0000-000036580000}"/>
    <cellStyle name="40 % - Markeringsfarve5 4 6 5 2 2" xfId="34322" xr:uid="{00000000-0005-0000-0000-000037580000}"/>
    <cellStyle name="40 % - Markeringsfarve5 4 6 5 3" xfId="27321" xr:uid="{00000000-0005-0000-0000-000038580000}"/>
    <cellStyle name="40 % - Markeringsfarve5 4 6 6" xfId="15149" xr:uid="{00000000-0005-0000-0000-000039580000}"/>
    <cellStyle name="40 % - Markeringsfarve5 4 6 6 2" xfId="33315" xr:uid="{00000000-0005-0000-0000-00003A580000}"/>
    <cellStyle name="40 % - Markeringsfarve5 4 6 7" xfId="26313" xr:uid="{00000000-0005-0000-0000-00003B580000}"/>
    <cellStyle name="40 % - Markeringsfarve5 4 7" xfId="6600" xr:uid="{00000000-0005-0000-0000-00003C580000}"/>
    <cellStyle name="40 % - Markeringsfarve5 4 7 2" xfId="6601" xr:uid="{00000000-0005-0000-0000-00003D580000}"/>
    <cellStyle name="40 % - Markeringsfarve5 4 7 2 2" xfId="9765" xr:uid="{00000000-0005-0000-0000-00003E580000}"/>
    <cellStyle name="40 % - Markeringsfarve5 4 7 2 2 2" xfId="17666" xr:uid="{00000000-0005-0000-0000-00003F580000}"/>
    <cellStyle name="40 % - Markeringsfarve5 4 7 2 2 2 2" xfId="35826" xr:uid="{00000000-0005-0000-0000-000040580000}"/>
    <cellStyle name="40 % - Markeringsfarve5 4 7 2 2 3" xfId="28825" xr:uid="{00000000-0005-0000-0000-000041580000}"/>
    <cellStyle name="40 % - Markeringsfarve5 4 7 2 3" xfId="15155" xr:uid="{00000000-0005-0000-0000-000042580000}"/>
    <cellStyle name="40 % - Markeringsfarve5 4 7 2 3 2" xfId="33321" xr:uid="{00000000-0005-0000-0000-000043580000}"/>
    <cellStyle name="40 % - Markeringsfarve5 4 7 2 4" xfId="26319" xr:uid="{00000000-0005-0000-0000-000044580000}"/>
    <cellStyle name="40 % - Markeringsfarve5 4 7 3" xfId="8360" xr:uid="{00000000-0005-0000-0000-000045580000}"/>
    <cellStyle name="40 % - Markeringsfarve5 4 7 3 2" xfId="16277" xr:uid="{00000000-0005-0000-0000-000046580000}"/>
    <cellStyle name="40 % - Markeringsfarve5 4 7 3 2 2" xfId="34437" xr:uid="{00000000-0005-0000-0000-000047580000}"/>
    <cellStyle name="40 % - Markeringsfarve5 4 7 3 3" xfId="27436" xr:uid="{00000000-0005-0000-0000-000048580000}"/>
    <cellStyle name="40 % - Markeringsfarve5 4 7 4" xfId="15154" xr:uid="{00000000-0005-0000-0000-000049580000}"/>
    <cellStyle name="40 % - Markeringsfarve5 4 7 4 2" xfId="33320" xr:uid="{00000000-0005-0000-0000-00004A580000}"/>
    <cellStyle name="40 % - Markeringsfarve5 4 7 5" xfId="26318" xr:uid="{00000000-0005-0000-0000-00004B580000}"/>
    <cellStyle name="40 % - Markeringsfarve5 4 8" xfId="6602" xr:uid="{00000000-0005-0000-0000-00004C580000}"/>
    <cellStyle name="40 % - Markeringsfarve5 4 8 2" xfId="8993" xr:uid="{00000000-0005-0000-0000-00004D580000}"/>
    <cellStyle name="40 % - Markeringsfarve5 4 8 2 2" xfId="16904" xr:uid="{00000000-0005-0000-0000-00004E580000}"/>
    <cellStyle name="40 % - Markeringsfarve5 4 8 2 2 2" xfId="35064" xr:uid="{00000000-0005-0000-0000-00004F580000}"/>
    <cellStyle name="40 % - Markeringsfarve5 4 8 2 3" xfId="28063" xr:uid="{00000000-0005-0000-0000-000050580000}"/>
    <cellStyle name="40 % - Markeringsfarve5 4 8 3" xfId="15156" xr:uid="{00000000-0005-0000-0000-000051580000}"/>
    <cellStyle name="40 % - Markeringsfarve5 4 8 3 2" xfId="33322" xr:uid="{00000000-0005-0000-0000-000052580000}"/>
    <cellStyle name="40 % - Markeringsfarve5 4 8 4" xfId="26320" xr:uid="{00000000-0005-0000-0000-000053580000}"/>
    <cellStyle name="40 % - Markeringsfarve5 4 9" xfId="6603" xr:uid="{00000000-0005-0000-0000-000054580000}"/>
    <cellStyle name="40 % - Markeringsfarve5 4 9 2" xfId="9320" xr:uid="{00000000-0005-0000-0000-000055580000}"/>
    <cellStyle name="40 % - Markeringsfarve5 4 9 2 2" xfId="17230" xr:uid="{00000000-0005-0000-0000-000056580000}"/>
    <cellStyle name="40 % - Markeringsfarve5 4 9 2 2 2" xfId="35390" xr:uid="{00000000-0005-0000-0000-000057580000}"/>
    <cellStyle name="40 % - Markeringsfarve5 4 9 2 3" xfId="28389" xr:uid="{00000000-0005-0000-0000-000058580000}"/>
    <cellStyle name="40 % - Markeringsfarve5 4 9 3" xfId="15157" xr:uid="{00000000-0005-0000-0000-000059580000}"/>
    <cellStyle name="40 % - Markeringsfarve5 4 9 3 2" xfId="33323" xr:uid="{00000000-0005-0000-0000-00005A580000}"/>
    <cellStyle name="40 % - Markeringsfarve5 4 9 4" xfId="26321" xr:uid="{00000000-0005-0000-0000-00005B580000}"/>
    <cellStyle name="40 % - Markeringsfarve5 5" xfId="1937" xr:uid="{00000000-0005-0000-0000-00005C580000}"/>
    <cellStyle name="40 % - Markeringsfarve5 5 10" xfId="8245" xr:uid="{00000000-0005-0000-0000-00005D580000}"/>
    <cellStyle name="40 % - Markeringsfarve5 5 10 2" xfId="16163" xr:uid="{00000000-0005-0000-0000-00005E580000}"/>
    <cellStyle name="40 % - Markeringsfarve5 5 10 2 2" xfId="34323" xr:uid="{00000000-0005-0000-0000-00005F580000}"/>
    <cellStyle name="40 % - Markeringsfarve5 5 10 3" xfId="27322" xr:uid="{00000000-0005-0000-0000-000060580000}"/>
    <cellStyle name="40 % - Markeringsfarve5 5 11" xfId="15158" xr:uid="{00000000-0005-0000-0000-000061580000}"/>
    <cellStyle name="40 % - Markeringsfarve5 5 11 2" xfId="33324" xr:uid="{00000000-0005-0000-0000-000062580000}"/>
    <cellStyle name="40 % - Markeringsfarve5 5 12" xfId="6604" xr:uid="{00000000-0005-0000-0000-000063580000}"/>
    <cellStyle name="40 % - Markeringsfarve5 5 12 2" xfId="26322" xr:uid="{00000000-0005-0000-0000-000064580000}"/>
    <cellStyle name="40 % - Markeringsfarve5 5 13" xfId="22055" xr:uid="{00000000-0005-0000-0000-000065580000}"/>
    <cellStyle name="40 % - Markeringsfarve5 5 2" xfId="1938" xr:uid="{00000000-0005-0000-0000-000066580000}"/>
    <cellStyle name="40 % - Markeringsfarve5 5 2 2" xfId="6606" xr:uid="{00000000-0005-0000-0000-000067580000}"/>
    <cellStyle name="40 % - Markeringsfarve5 5 2 2 2" xfId="6607" xr:uid="{00000000-0005-0000-0000-000068580000}"/>
    <cellStyle name="40 % - Markeringsfarve5 5 2 2 2 2" xfId="9923" xr:uid="{00000000-0005-0000-0000-000069580000}"/>
    <cellStyle name="40 % - Markeringsfarve5 5 2 2 2 2 2" xfId="17824" xr:uid="{00000000-0005-0000-0000-00006A580000}"/>
    <cellStyle name="40 % - Markeringsfarve5 5 2 2 2 2 2 2" xfId="35984" xr:uid="{00000000-0005-0000-0000-00006B580000}"/>
    <cellStyle name="40 % - Markeringsfarve5 5 2 2 2 2 3" xfId="28983" xr:uid="{00000000-0005-0000-0000-00006C580000}"/>
    <cellStyle name="40 % - Markeringsfarve5 5 2 2 2 3" xfId="15161" xr:uid="{00000000-0005-0000-0000-00006D580000}"/>
    <cellStyle name="40 % - Markeringsfarve5 5 2 2 2 3 2" xfId="33327" xr:uid="{00000000-0005-0000-0000-00006E580000}"/>
    <cellStyle name="40 % - Markeringsfarve5 5 2 2 2 4" xfId="26325" xr:uid="{00000000-0005-0000-0000-00006F580000}"/>
    <cellStyle name="40 % - Markeringsfarve5 5 2 2 3" xfId="8492" xr:uid="{00000000-0005-0000-0000-000070580000}"/>
    <cellStyle name="40 % - Markeringsfarve5 5 2 2 3 2" xfId="16409" xr:uid="{00000000-0005-0000-0000-000071580000}"/>
    <cellStyle name="40 % - Markeringsfarve5 5 2 2 3 2 2" xfId="34569" xr:uid="{00000000-0005-0000-0000-000072580000}"/>
    <cellStyle name="40 % - Markeringsfarve5 5 2 2 3 3" xfId="27568" xr:uid="{00000000-0005-0000-0000-000073580000}"/>
    <cellStyle name="40 % - Markeringsfarve5 5 2 2 4" xfId="15160" xr:uid="{00000000-0005-0000-0000-000074580000}"/>
    <cellStyle name="40 % - Markeringsfarve5 5 2 2 4 2" xfId="33326" xr:uid="{00000000-0005-0000-0000-000075580000}"/>
    <cellStyle name="40 % - Markeringsfarve5 5 2 2 5" xfId="26324" xr:uid="{00000000-0005-0000-0000-000076580000}"/>
    <cellStyle name="40 % - Markeringsfarve5 5 2 3" xfId="6608" xr:uid="{00000000-0005-0000-0000-000077580000}"/>
    <cellStyle name="40 % - Markeringsfarve5 5 2 3 2" xfId="9153" xr:uid="{00000000-0005-0000-0000-000078580000}"/>
    <cellStyle name="40 % - Markeringsfarve5 5 2 3 2 2" xfId="17064" xr:uid="{00000000-0005-0000-0000-000079580000}"/>
    <cellStyle name="40 % - Markeringsfarve5 5 2 3 2 2 2" xfId="35224" xr:uid="{00000000-0005-0000-0000-00007A580000}"/>
    <cellStyle name="40 % - Markeringsfarve5 5 2 3 2 3" xfId="28223" xr:uid="{00000000-0005-0000-0000-00007B580000}"/>
    <cellStyle name="40 % - Markeringsfarve5 5 2 3 3" xfId="15162" xr:uid="{00000000-0005-0000-0000-00007C580000}"/>
    <cellStyle name="40 % - Markeringsfarve5 5 2 3 3 2" xfId="33328" xr:uid="{00000000-0005-0000-0000-00007D580000}"/>
    <cellStyle name="40 % - Markeringsfarve5 5 2 3 4" xfId="26326" xr:uid="{00000000-0005-0000-0000-00007E580000}"/>
    <cellStyle name="40 % - Markeringsfarve5 5 2 4" xfId="6609" xr:uid="{00000000-0005-0000-0000-00007F580000}"/>
    <cellStyle name="40 % - Markeringsfarve5 5 2 4 2" xfId="10800" xr:uid="{00000000-0005-0000-0000-000080580000}"/>
    <cellStyle name="40 % - Markeringsfarve5 5 2 4 2 2" xfId="18687" xr:uid="{00000000-0005-0000-0000-000081580000}"/>
    <cellStyle name="40 % - Markeringsfarve5 5 2 4 2 2 2" xfId="36847" xr:uid="{00000000-0005-0000-0000-000082580000}"/>
    <cellStyle name="40 % - Markeringsfarve5 5 2 4 2 3" xfId="29846" xr:uid="{00000000-0005-0000-0000-000083580000}"/>
    <cellStyle name="40 % - Markeringsfarve5 5 2 4 3" xfId="15163" xr:uid="{00000000-0005-0000-0000-000084580000}"/>
    <cellStyle name="40 % - Markeringsfarve5 5 2 4 3 2" xfId="33329" xr:uid="{00000000-0005-0000-0000-000085580000}"/>
    <cellStyle name="40 % - Markeringsfarve5 5 2 4 4" xfId="26327" xr:uid="{00000000-0005-0000-0000-000086580000}"/>
    <cellStyle name="40 % - Markeringsfarve5 5 2 5" xfId="8246" xr:uid="{00000000-0005-0000-0000-000087580000}"/>
    <cellStyle name="40 % - Markeringsfarve5 5 2 5 2" xfId="16164" xr:uid="{00000000-0005-0000-0000-000088580000}"/>
    <cellStyle name="40 % - Markeringsfarve5 5 2 5 2 2" xfId="34324" xr:uid="{00000000-0005-0000-0000-000089580000}"/>
    <cellStyle name="40 % - Markeringsfarve5 5 2 5 3" xfId="27323" xr:uid="{00000000-0005-0000-0000-00008A580000}"/>
    <cellStyle name="40 % - Markeringsfarve5 5 2 6" xfId="15159" xr:uid="{00000000-0005-0000-0000-00008B580000}"/>
    <cellStyle name="40 % - Markeringsfarve5 5 2 6 2" xfId="33325" xr:uid="{00000000-0005-0000-0000-00008C580000}"/>
    <cellStyle name="40 % - Markeringsfarve5 5 2 7" xfId="6605" xr:uid="{00000000-0005-0000-0000-00008D580000}"/>
    <cellStyle name="40 % - Markeringsfarve5 5 2 7 2" xfId="26323" xr:uid="{00000000-0005-0000-0000-00008E580000}"/>
    <cellStyle name="40 % - Markeringsfarve5 5 2 8" xfId="22056" xr:uid="{00000000-0005-0000-0000-00008F580000}"/>
    <cellStyle name="40 % - Markeringsfarve5 5 3" xfId="6610" xr:uid="{00000000-0005-0000-0000-000090580000}"/>
    <cellStyle name="40 % - Markeringsfarve5 5 3 2" xfId="6611" xr:uid="{00000000-0005-0000-0000-000091580000}"/>
    <cellStyle name="40 % - Markeringsfarve5 5 3 2 2" xfId="6612" xr:uid="{00000000-0005-0000-0000-000092580000}"/>
    <cellStyle name="40 % - Markeringsfarve5 5 3 2 2 2" xfId="10052" xr:uid="{00000000-0005-0000-0000-000093580000}"/>
    <cellStyle name="40 % - Markeringsfarve5 5 3 2 2 2 2" xfId="17953" xr:uid="{00000000-0005-0000-0000-000094580000}"/>
    <cellStyle name="40 % - Markeringsfarve5 5 3 2 2 2 2 2" xfId="36113" xr:uid="{00000000-0005-0000-0000-000095580000}"/>
    <cellStyle name="40 % - Markeringsfarve5 5 3 2 2 2 3" xfId="29112" xr:uid="{00000000-0005-0000-0000-000096580000}"/>
    <cellStyle name="40 % - Markeringsfarve5 5 3 2 2 3" xfId="15166" xr:uid="{00000000-0005-0000-0000-000097580000}"/>
    <cellStyle name="40 % - Markeringsfarve5 5 3 2 2 3 2" xfId="33332" xr:uid="{00000000-0005-0000-0000-000098580000}"/>
    <cellStyle name="40 % - Markeringsfarve5 5 3 2 2 4" xfId="26330" xr:uid="{00000000-0005-0000-0000-000099580000}"/>
    <cellStyle name="40 % - Markeringsfarve5 5 3 2 3" xfId="8598" xr:uid="{00000000-0005-0000-0000-00009A580000}"/>
    <cellStyle name="40 % - Markeringsfarve5 5 3 2 3 2" xfId="16515" xr:uid="{00000000-0005-0000-0000-00009B580000}"/>
    <cellStyle name="40 % - Markeringsfarve5 5 3 2 3 2 2" xfId="34675" xr:uid="{00000000-0005-0000-0000-00009C580000}"/>
    <cellStyle name="40 % - Markeringsfarve5 5 3 2 3 3" xfId="27674" xr:uid="{00000000-0005-0000-0000-00009D580000}"/>
    <cellStyle name="40 % - Markeringsfarve5 5 3 2 4" xfId="15165" xr:uid="{00000000-0005-0000-0000-00009E580000}"/>
    <cellStyle name="40 % - Markeringsfarve5 5 3 2 4 2" xfId="33331" xr:uid="{00000000-0005-0000-0000-00009F580000}"/>
    <cellStyle name="40 % - Markeringsfarve5 5 3 2 5" xfId="26329" xr:uid="{00000000-0005-0000-0000-0000A0580000}"/>
    <cellStyle name="40 % - Markeringsfarve5 5 3 3" xfId="6613" xr:uid="{00000000-0005-0000-0000-0000A1580000}"/>
    <cellStyle name="40 % - Markeringsfarve5 5 3 3 2" xfId="9282" xr:uid="{00000000-0005-0000-0000-0000A2580000}"/>
    <cellStyle name="40 % - Markeringsfarve5 5 3 3 2 2" xfId="17193" xr:uid="{00000000-0005-0000-0000-0000A3580000}"/>
    <cellStyle name="40 % - Markeringsfarve5 5 3 3 2 2 2" xfId="35353" xr:uid="{00000000-0005-0000-0000-0000A4580000}"/>
    <cellStyle name="40 % - Markeringsfarve5 5 3 3 2 3" xfId="28352" xr:uid="{00000000-0005-0000-0000-0000A5580000}"/>
    <cellStyle name="40 % - Markeringsfarve5 5 3 3 3" xfId="15167" xr:uid="{00000000-0005-0000-0000-0000A6580000}"/>
    <cellStyle name="40 % - Markeringsfarve5 5 3 3 3 2" xfId="33333" xr:uid="{00000000-0005-0000-0000-0000A7580000}"/>
    <cellStyle name="40 % - Markeringsfarve5 5 3 3 4" xfId="26331" xr:uid="{00000000-0005-0000-0000-0000A8580000}"/>
    <cellStyle name="40 % - Markeringsfarve5 5 3 4" xfId="6614" xr:uid="{00000000-0005-0000-0000-0000A9580000}"/>
    <cellStyle name="40 % - Markeringsfarve5 5 3 4 2" xfId="10855" xr:uid="{00000000-0005-0000-0000-0000AA580000}"/>
    <cellStyle name="40 % - Markeringsfarve5 5 3 4 2 2" xfId="18738" xr:uid="{00000000-0005-0000-0000-0000AB580000}"/>
    <cellStyle name="40 % - Markeringsfarve5 5 3 4 2 2 2" xfId="36898" xr:uid="{00000000-0005-0000-0000-0000AC580000}"/>
    <cellStyle name="40 % - Markeringsfarve5 5 3 4 2 3" xfId="29897" xr:uid="{00000000-0005-0000-0000-0000AD580000}"/>
    <cellStyle name="40 % - Markeringsfarve5 5 3 4 3" xfId="15168" xr:uid="{00000000-0005-0000-0000-0000AE580000}"/>
    <cellStyle name="40 % - Markeringsfarve5 5 3 4 3 2" xfId="33334" xr:uid="{00000000-0005-0000-0000-0000AF580000}"/>
    <cellStyle name="40 % - Markeringsfarve5 5 3 4 4" xfId="26332" xr:uid="{00000000-0005-0000-0000-0000B0580000}"/>
    <cellStyle name="40 % - Markeringsfarve5 5 3 5" xfId="8247" xr:uid="{00000000-0005-0000-0000-0000B1580000}"/>
    <cellStyle name="40 % - Markeringsfarve5 5 3 5 2" xfId="16165" xr:uid="{00000000-0005-0000-0000-0000B2580000}"/>
    <cellStyle name="40 % - Markeringsfarve5 5 3 5 2 2" xfId="34325" xr:uid="{00000000-0005-0000-0000-0000B3580000}"/>
    <cellStyle name="40 % - Markeringsfarve5 5 3 5 3" xfId="27324" xr:uid="{00000000-0005-0000-0000-0000B4580000}"/>
    <cellStyle name="40 % - Markeringsfarve5 5 3 6" xfId="15164" xr:uid="{00000000-0005-0000-0000-0000B5580000}"/>
    <cellStyle name="40 % - Markeringsfarve5 5 3 6 2" xfId="33330" xr:uid="{00000000-0005-0000-0000-0000B6580000}"/>
    <cellStyle name="40 % - Markeringsfarve5 5 3 7" xfId="26328" xr:uid="{00000000-0005-0000-0000-0000B7580000}"/>
    <cellStyle name="40 % - Markeringsfarve5 5 4" xfId="6615" xr:uid="{00000000-0005-0000-0000-0000B8580000}"/>
    <cellStyle name="40 % - Markeringsfarve5 5 4 2" xfId="6616" xr:uid="{00000000-0005-0000-0000-0000B9580000}"/>
    <cellStyle name="40 % - Markeringsfarve5 5 4 2 2" xfId="6617" xr:uid="{00000000-0005-0000-0000-0000BA580000}"/>
    <cellStyle name="40 % - Markeringsfarve5 5 4 2 2 2" xfId="10161" xr:uid="{00000000-0005-0000-0000-0000BB580000}"/>
    <cellStyle name="40 % - Markeringsfarve5 5 4 2 2 2 2" xfId="18062" xr:uid="{00000000-0005-0000-0000-0000BC580000}"/>
    <cellStyle name="40 % - Markeringsfarve5 5 4 2 2 2 2 2" xfId="36222" xr:uid="{00000000-0005-0000-0000-0000BD580000}"/>
    <cellStyle name="40 % - Markeringsfarve5 5 4 2 2 2 3" xfId="29221" xr:uid="{00000000-0005-0000-0000-0000BE580000}"/>
    <cellStyle name="40 % - Markeringsfarve5 5 4 2 2 3" xfId="15171" xr:uid="{00000000-0005-0000-0000-0000BF580000}"/>
    <cellStyle name="40 % - Markeringsfarve5 5 4 2 2 3 2" xfId="33337" xr:uid="{00000000-0005-0000-0000-0000C0580000}"/>
    <cellStyle name="40 % - Markeringsfarve5 5 4 2 2 4" xfId="26335" xr:uid="{00000000-0005-0000-0000-0000C1580000}"/>
    <cellStyle name="40 % - Markeringsfarve5 5 4 2 3" xfId="8694" xr:uid="{00000000-0005-0000-0000-0000C2580000}"/>
    <cellStyle name="40 % - Markeringsfarve5 5 4 2 3 2" xfId="16608" xr:uid="{00000000-0005-0000-0000-0000C3580000}"/>
    <cellStyle name="40 % - Markeringsfarve5 5 4 2 3 2 2" xfId="34768" xr:uid="{00000000-0005-0000-0000-0000C4580000}"/>
    <cellStyle name="40 % - Markeringsfarve5 5 4 2 3 3" xfId="27767" xr:uid="{00000000-0005-0000-0000-0000C5580000}"/>
    <cellStyle name="40 % - Markeringsfarve5 5 4 2 4" xfId="15170" xr:uid="{00000000-0005-0000-0000-0000C6580000}"/>
    <cellStyle name="40 % - Markeringsfarve5 5 4 2 4 2" xfId="33336" xr:uid="{00000000-0005-0000-0000-0000C7580000}"/>
    <cellStyle name="40 % - Markeringsfarve5 5 4 2 5" xfId="26334" xr:uid="{00000000-0005-0000-0000-0000C8580000}"/>
    <cellStyle name="40 % - Markeringsfarve5 5 4 3" xfId="6618" xr:uid="{00000000-0005-0000-0000-0000C9580000}"/>
    <cellStyle name="40 % - Markeringsfarve5 5 4 3 2" xfId="9437" xr:uid="{00000000-0005-0000-0000-0000CA580000}"/>
    <cellStyle name="40 % - Markeringsfarve5 5 4 3 2 2" xfId="17347" xr:uid="{00000000-0005-0000-0000-0000CB580000}"/>
    <cellStyle name="40 % - Markeringsfarve5 5 4 3 2 2 2" xfId="35507" xr:uid="{00000000-0005-0000-0000-0000CC580000}"/>
    <cellStyle name="40 % - Markeringsfarve5 5 4 3 2 3" xfId="28506" xr:uid="{00000000-0005-0000-0000-0000CD580000}"/>
    <cellStyle name="40 % - Markeringsfarve5 5 4 3 3" xfId="15172" xr:uid="{00000000-0005-0000-0000-0000CE580000}"/>
    <cellStyle name="40 % - Markeringsfarve5 5 4 3 3 2" xfId="33338" xr:uid="{00000000-0005-0000-0000-0000CF580000}"/>
    <cellStyle name="40 % - Markeringsfarve5 5 4 3 4" xfId="26336" xr:uid="{00000000-0005-0000-0000-0000D0580000}"/>
    <cellStyle name="40 % - Markeringsfarve5 5 4 4" xfId="6619" xr:uid="{00000000-0005-0000-0000-0000D1580000}"/>
    <cellStyle name="40 % - Markeringsfarve5 5 4 4 2" xfId="10505" xr:uid="{00000000-0005-0000-0000-0000D2580000}"/>
    <cellStyle name="40 % - Markeringsfarve5 5 4 4 2 2" xfId="18399" xr:uid="{00000000-0005-0000-0000-0000D3580000}"/>
    <cellStyle name="40 % - Markeringsfarve5 5 4 4 2 2 2" xfId="36559" xr:uid="{00000000-0005-0000-0000-0000D4580000}"/>
    <cellStyle name="40 % - Markeringsfarve5 5 4 4 2 3" xfId="29558" xr:uid="{00000000-0005-0000-0000-0000D5580000}"/>
    <cellStyle name="40 % - Markeringsfarve5 5 4 4 3" xfId="15173" xr:uid="{00000000-0005-0000-0000-0000D6580000}"/>
    <cellStyle name="40 % - Markeringsfarve5 5 4 4 3 2" xfId="33339" xr:uid="{00000000-0005-0000-0000-0000D7580000}"/>
    <cellStyle name="40 % - Markeringsfarve5 5 4 4 4" xfId="26337" xr:uid="{00000000-0005-0000-0000-0000D8580000}"/>
    <cellStyle name="40 % - Markeringsfarve5 5 4 5" xfId="8248" xr:uid="{00000000-0005-0000-0000-0000D9580000}"/>
    <cellStyle name="40 % - Markeringsfarve5 5 4 5 2" xfId="16166" xr:uid="{00000000-0005-0000-0000-0000DA580000}"/>
    <cellStyle name="40 % - Markeringsfarve5 5 4 5 2 2" xfId="34326" xr:uid="{00000000-0005-0000-0000-0000DB580000}"/>
    <cellStyle name="40 % - Markeringsfarve5 5 4 5 3" xfId="27325" xr:uid="{00000000-0005-0000-0000-0000DC580000}"/>
    <cellStyle name="40 % - Markeringsfarve5 5 4 6" xfId="15169" xr:uid="{00000000-0005-0000-0000-0000DD580000}"/>
    <cellStyle name="40 % - Markeringsfarve5 5 4 6 2" xfId="33335" xr:uid="{00000000-0005-0000-0000-0000DE580000}"/>
    <cellStyle name="40 % - Markeringsfarve5 5 4 7" xfId="26333" xr:uid="{00000000-0005-0000-0000-0000DF580000}"/>
    <cellStyle name="40 % - Markeringsfarve5 5 5" xfId="6620" xr:uid="{00000000-0005-0000-0000-0000E0580000}"/>
    <cellStyle name="40 % - Markeringsfarve5 5 5 2" xfId="6621" xr:uid="{00000000-0005-0000-0000-0000E1580000}"/>
    <cellStyle name="40 % - Markeringsfarve5 5 5 2 2" xfId="6622" xr:uid="{00000000-0005-0000-0000-0000E2580000}"/>
    <cellStyle name="40 % - Markeringsfarve5 5 5 2 2 2" xfId="10278" xr:uid="{00000000-0005-0000-0000-0000E3580000}"/>
    <cellStyle name="40 % - Markeringsfarve5 5 5 2 2 2 2" xfId="18179" xr:uid="{00000000-0005-0000-0000-0000E4580000}"/>
    <cellStyle name="40 % - Markeringsfarve5 5 5 2 2 2 2 2" xfId="36339" xr:uid="{00000000-0005-0000-0000-0000E5580000}"/>
    <cellStyle name="40 % - Markeringsfarve5 5 5 2 2 2 3" xfId="29338" xr:uid="{00000000-0005-0000-0000-0000E6580000}"/>
    <cellStyle name="40 % - Markeringsfarve5 5 5 2 2 3" xfId="15176" xr:uid="{00000000-0005-0000-0000-0000E7580000}"/>
    <cellStyle name="40 % - Markeringsfarve5 5 5 2 2 3 2" xfId="33342" xr:uid="{00000000-0005-0000-0000-0000E8580000}"/>
    <cellStyle name="40 % - Markeringsfarve5 5 5 2 2 4" xfId="26340" xr:uid="{00000000-0005-0000-0000-0000E9580000}"/>
    <cellStyle name="40 % - Markeringsfarve5 5 5 2 3" xfId="8793" xr:uid="{00000000-0005-0000-0000-0000EA580000}"/>
    <cellStyle name="40 % - Markeringsfarve5 5 5 2 3 2" xfId="16707" xr:uid="{00000000-0005-0000-0000-0000EB580000}"/>
    <cellStyle name="40 % - Markeringsfarve5 5 5 2 3 2 2" xfId="34867" xr:uid="{00000000-0005-0000-0000-0000EC580000}"/>
    <cellStyle name="40 % - Markeringsfarve5 5 5 2 3 3" xfId="27866" xr:uid="{00000000-0005-0000-0000-0000ED580000}"/>
    <cellStyle name="40 % - Markeringsfarve5 5 5 2 4" xfId="15175" xr:uid="{00000000-0005-0000-0000-0000EE580000}"/>
    <cellStyle name="40 % - Markeringsfarve5 5 5 2 4 2" xfId="33341" xr:uid="{00000000-0005-0000-0000-0000EF580000}"/>
    <cellStyle name="40 % - Markeringsfarve5 5 5 2 5" xfId="26339" xr:uid="{00000000-0005-0000-0000-0000F0580000}"/>
    <cellStyle name="40 % - Markeringsfarve5 5 5 3" xfId="6623" xr:uid="{00000000-0005-0000-0000-0000F1580000}"/>
    <cellStyle name="40 % - Markeringsfarve5 5 5 3 2" xfId="9554" xr:uid="{00000000-0005-0000-0000-0000F2580000}"/>
    <cellStyle name="40 % - Markeringsfarve5 5 5 3 2 2" xfId="17464" xr:uid="{00000000-0005-0000-0000-0000F3580000}"/>
    <cellStyle name="40 % - Markeringsfarve5 5 5 3 2 2 2" xfId="35624" xr:uid="{00000000-0005-0000-0000-0000F4580000}"/>
    <cellStyle name="40 % - Markeringsfarve5 5 5 3 2 3" xfId="28623" xr:uid="{00000000-0005-0000-0000-0000F5580000}"/>
    <cellStyle name="40 % - Markeringsfarve5 5 5 3 3" xfId="15177" xr:uid="{00000000-0005-0000-0000-0000F6580000}"/>
    <cellStyle name="40 % - Markeringsfarve5 5 5 3 3 2" xfId="33343" xr:uid="{00000000-0005-0000-0000-0000F7580000}"/>
    <cellStyle name="40 % - Markeringsfarve5 5 5 3 4" xfId="26341" xr:uid="{00000000-0005-0000-0000-0000F8580000}"/>
    <cellStyle name="40 % - Markeringsfarve5 5 5 4" xfId="6624" xr:uid="{00000000-0005-0000-0000-0000F9580000}"/>
    <cellStyle name="40 % - Markeringsfarve5 5 5 4 2" xfId="10449" xr:uid="{00000000-0005-0000-0000-0000FA580000}"/>
    <cellStyle name="40 % - Markeringsfarve5 5 5 4 2 2" xfId="18346" xr:uid="{00000000-0005-0000-0000-0000FB580000}"/>
    <cellStyle name="40 % - Markeringsfarve5 5 5 4 2 2 2" xfId="36506" xr:uid="{00000000-0005-0000-0000-0000FC580000}"/>
    <cellStyle name="40 % - Markeringsfarve5 5 5 4 2 3" xfId="29505" xr:uid="{00000000-0005-0000-0000-0000FD580000}"/>
    <cellStyle name="40 % - Markeringsfarve5 5 5 4 3" xfId="15178" xr:uid="{00000000-0005-0000-0000-0000FE580000}"/>
    <cellStyle name="40 % - Markeringsfarve5 5 5 4 3 2" xfId="33344" xr:uid="{00000000-0005-0000-0000-0000FF580000}"/>
    <cellStyle name="40 % - Markeringsfarve5 5 5 4 4" xfId="26342" xr:uid="{00000000-0005-0000-0000-000000590000}"/>
    <cellStyle name="40 % - Markeringsfarve5 5 5 5" xfId="8249" xr:uid="{00000000-0005-0000-0000-000001590000}"/>
    <cellStyle name="40 % - Markeringsfarve5 5 5 5 2" xfId="16167" xr:uid="{00000000-0005-0000-0000-000002590000}"/>
    <cellStyle name="40 % - Markeringsfarve5 5 5 5 2 2" xfId="34327" xr:uid="{00000000-0005-0000-0000-000003590000}"/>
    <cellStyle name="40 % - Markeringsfarve5 5 5 5 3" xfId="27326" xr:uid="{00000000-0005-0000-0000-000004590000}"/>
    <cellStyle name="40 % - Markeringsfarve5 5 5 6" xfId="15174" xr:uid="{00000000-0005-0000-0000-000005590000}"/>
    <cellStyle name="40 % - Markeringsfarve5 5 5 6 2" xfId="33340" xr:uid="{00000000-0005-0000-0000-000006590000}"/>
    <cellStyle name="40 % - Markeringsfarve5 5 5 7" xfId="26338" xr:uid="{00000000-0005-0000-0000-000007590000}"/>
    <cellStyle name="40 % - Markeringsfarve5 5 6" xfId="6625" xr:uid="{00000000-0005-0000-0000-000008590000}"/>
    <cellStyle name="40 % - Markeringsfarve5 5 6 2" xfId="6626" xr:uid="{00000000-0005-0000-0000-000009590000}"/>
    <cellStyle name="40 % - Markeringsfarve5 5 6 2 2" xfId="6627" xr:uid="{00000000-0005-0000-0000-00000A590000}"/>
    <cellStyle name="40 % - Markeringsfarve5 5 6 2 2 2" xfId="10406" xr:uid="{00000000-0005-0000-0000-00000B590000}"/>
    <cellStyle name="40 % - Markeringsfarve5 5 6 2 2 2 2" xfId="18307" xr:uid="{00000000-0005-0000-0000-00000C590000}"/>
    <cellStyle name="40 % - Markeringsfarve5 5 6 2 2 2 2 2" xfId="36467" xr:uid="{00000000-0005-0000-0000-00000D590000}"/>
    <cellStyle name="40 % - Markeringsfarve5 5 6 2 2 2 3" xfId="29466" xr:uid="{00000000-0005-0000-0000-00000E590000}"/>
    <cellStyle name="40 % - Markeringsfarve5 5 6 2 2 3" xfId="15181" xr:uid="{00000000-0005-0000-0000-00000F590000}"/>
    <cellStyle name="40 % - Markeringsfarve5 5 6 2 2 3 2" xfId="33347" xr:uid="{00000000-0005-0000-0000-000010590000}"/>
    <cellStyle name="40 % - Markeringsfarve5 5 6 2 2 4" xfId="26345" xr:uid="{00000000-0005-0000-0000-000011590000}"/>
    <cellStyle name="40 % - Markeringsfarve5 5 6 2 3" xfId="8899" xr:uid="{00000000-0005-0000-0000-000012590000}"/>
    <cellStyle name="40 % - Markeringsfarve5 5 6 2 3 2" xfId="16813" xr:uid="{00000000-0005-0000-0000-000013590000}"/>
    <cellStyle name="40 % - Markeringsfarve5 5 6 2 3 2 2" xfId="34973" xr:uid="{00000000-0005-0000-0000-000014590000}"/>
    <cellStyle name="40 % - Markeringsfarve5 5 6 2 3 3" xfId="27972" xr:uid="{00000000-0005-0000-0000-000015590000}"/>
    <cellStyle name="40 % - Markeringsfarve5 5 6 2 4" xfId="15180" xr:uid="{00000000-0005-0000-0000-000016590000}"/>
    <cellStyle name="40 % - Markeringsfarve5 5 6 2 4 2" xfId="33346" xr:uid="{00000000-0005-0000-0000-000017590000}"/>
    <cellStyle name="40 % - Markeringsfarve5 5 6 2 5" xfId="26344" xr:uid="{00000000-0005-0000-0000-000018590000}"/>
    <cellStyle name="40 % - Markeringsfarve5 5 6 3" xfId="6628" xr:uid="{00000000-0005-0000-0000-000019590000}"/>
    <cellStyle name="40 % - Markeringsfarve5 5 6 3 2" xfId="9683" xr:uid="{00000000-0005-0000-0000-00001A590000}"/>
    <cellStyle name="40 % - Markeringsfarve5 5 6 3 2 2" xfId="17593" xr:uid="{00000000-0005-0000-0000-00001B590000}"/>
    <cellStyle name="40 % - Markeringsfarve5 5 6 3 2 2 2" xfId="35753" xr:uid="{00000000-0005-0000-0000-00001C590000}"/>
    <cellStyle name="40 % - Markeringsfarve5 5 6 3 2 3" xfId="28752" xr:uid="{00000000-0005-0000-0000-00001D590000}"/>
    <cellStyle name="40 % - Markeringsfarve5 5 6 3 3" xfId="15182" xr:uid="{00000000-0005-0000-0000-00001E590000}"/>
    <cellStyle name="40 % - Markeringsfarve5 5 6 3 3 2" xfId="33348" xr:uid="{00000000-0005-0000-0000-00001F590000}"/>
    <cellStyle name="40 % - Markeringsfarve5 5 6 3 4" xfId="26346" xr:uid="{00000000-0005-0000-0000-000020590000}"/>
    <cellStyle name="40 % - Markeringsfarve5 5 6 4" xfId="6629" xr:uid="{00000000-0005-0000-0000-000021590000}"/>
    <cellStyle name="40 % - Markeringsfarve5 5 6 4 2" xfId="10786" xr:uid="{00000000-0005-0000-0000-000022590000}"/>
    <cellStyle name="40 % - Markeringsfarve5 5 6 4 2 2" xfId="18674" xr:uid="{00000000-0005-0000-0000-000023590000}"/>
    <cellStyle name="40 % - Markeringsfarve5 5 6 4 2 2 2" xfId="36834" xr:uid="{00000000-0005-0000-0000-000024590000}"/>
    <cellStyle name="40 % - Markeringsfarve5 5 6 4 2 3" xfId="29833" xr:uid="{00000000-0005-0000-0000-000025590000}"/>
    <cellStyle name="40 % - Markeringsfarve5 5 6 4 3" xfId="15183" xr:uid="{00000000-0005-0000-0000-000026590000}"/>
    <cellStyle name="40 % - Markeringsfarve5 5 6 4 3 2" xfId="33349" xr:uid="{00000000-0005-0000-0000-000027590000}"/>
    <cellStyle name="40 % - Markeringsfarve5 5 6 4 4" xfId="26347" xr:uid="{00000000-0005-0000-0000-000028590000}"/>
    <cellStyle name="40 % - Markeringsfarve5 5 6 5" xfId="8250" xr:uid="{00000000-0005-0000-0000-000029590000}"/>
    <cellStyle name="40 % - Markeringsfarve5 5 6 5 2" xfId="16168" xr:uid="{00000000-0005-0000-0000-00002A590000}"/>
    <cellStyle name="40 % - Markeringsfarve5 5 6 5 2 2" xfId="34328" xr:uid="{00000000-0005-0000-0000-00002B590000}"/>
    <cellStyle name="40 % - Markeringsfarve5 5 6 5 3" xfId="27327" xr:uid="{00000000-0005-0000-0000-00002C590000}"/>
    <cellStyle name="40 % - Markeringsfarve5 5 6 6" xfId="15179" xr:uid="{00000000-0005-0000-0000-00002D590000}"/>
    <cellStyle name="40 % - Markeringsfarve5 5 6 6 2" xfId="33345" xr:uid="{00000000-0005-0000-0000-00002E590000}"/>
    <cellStyle name="40 % - Markeringsfarve5 5 6 7" xfId="26343" xr:uid="{00000000-0005-0000-0000-00002F590000}"/>
    <cellStyle name="40 % - Markeringsfarve5 5 7" xfId="6630" xr:uid="{00000000-0005-0000-0000-000030590000}"/>
    <cellStyle name="40 % - Markeringsfarve5 5 7 2" xfId="6631" xr:uid="{00000000-0005-0000-0000-000031590000}"/>
    <cellStyle name="40 % - Markeringsfarve5 5 7 2 2" xfId="9804" xr:uid="{00000000-0005-0000-0000-000032590000}"/>
    <cellStyle name="40 % - Markeringsfarve5 5 7 2 2 2" xfId="17705" xr:uid="{00000000-0005-0000-0000-000033590000}"/>
    <cellStyle name="40 % - Markeringsfarve5 5 7 2 2 2 2" xfId="35865" xr:uid="{00000000-0005-0000-0000-000034590000}"/>
    <cellStyle name="40 % - Markeringsfarve5 5 7 2 2 3" xfId="28864" xr:uid="{00000000-0005-0000-0000-000035590000}"/>
    <cellStyle name="40 % - Markeringsfarve5 5 7 2 3" xfId="15185" xr:uid="{00000000-0005-0000-0000-000036590000}"/>
    <cellStyle name="40 % - Markeringsfarve5 5 7 2 3 2" xfId="33351" xr:uid="{00000000-0005-0000-0000-000037590000}"/>
    <cellStyle name="40 % - Markeringsfarve5 5 7 2 4" xfId="26349" xr:uid="{00000000-0005-0000-0000-000038590000}"/>
    <cellStyle name="40 % - Markeringsfarve5 5 7 3" xfId="8393" xr:uid="{00000000-0005-0000-0000-000039590000}"/>
    <cellStyle name="40 % - Markeringsfarve5 5 7 3 2" xfId="16310" xr:uid="{00000000-0005-0000-0000-00003A590000}"/>
    <cellStyle name="40 % - Markeringsfarve5 5 7 3 2 2" xfId="34470" xr:uid="{00000000-0005-0000-0000-00003B590000}"/>
    <cellStyle name="40 % - Markeringsfarve5 5 7 3 3" xfId="27469" xr:uid="{00000000-0005-0000-0000-00003C590000}"/>
    <cellStyle name="40 % - Markeringsfarve5 5 7 4" xfId="15184" xr:uid="{00000000-0005-0000-0000-00003D590000}"/>
    <cellStyle name="40 % - Markeringsfarve5 5 7 4 2" xfId="33350" xr:uid="{00000000-0005-0000-0000-00003E590000}"/>
    <cellStyle name="40 % - Markeringsfarve5 5 7 5" xfId="26348" xr:uid="{00000000-0005-0000-0000-00003F590000}"/>
    <cellStyle name="40 % - Markeringsfarve5 5 8" xfId="6632" xr:uid="{00000000-0005-0000-0000-000040590000}"/>
    <cellStyle name="40 % - Markeringsfarve5 5 8 2" xfId="9032" xr:uid="{00000000-0005-0000-0000-000041590000}"/>
    <cellStyle name="40 % - Markeringsfarve5 5 8 2 2" xfId="16943" xr:uid="{00000000-0005-0000-0000-000042590000}"/>
    <cellStyle name="40 % - Markeringsfarve5 5 8 2 2 2" xfId="35103" xr:uid="{00000000-0005-0000-0000-000043590000}"/>
    <cellStyle name="40 % - Markeringsfarve5 5 8 2 3" xfId="28102" xr:uid="{00000000-0005-0000-0000-000044590000}"/>
    <cellStyle name="40 % - Markeringsfarve5 5 8 3" xfId="15186" xr:uid="{00000000-0005-0000-0000-000045590000}"/>
    <cellStyle name="40 % - Markeringsfarve5 5 8 3 2" xfId="33352" xr:uid="{00000000-0005-0000-0000-000046590000}"/>
    <cellStyle name="40 % - Markeringsfarve5 5 8 4" xfId="26350" xr:uid="{00000000-0005-0000-0000-000047590000}"/>
    <cellStyle name="40 % - Markeringsfarve5 5 9" xfId="6633" xr:uid="{00000000-0005-0000-0000-000048590000}"/>
    <cellStyle name="40 % - Markeringsfarve5 5 9 2" xfId="10613" xr:uid="{00000000-0005-0000-0000-000049590000}"/>
    <cellStyle name="40 % - Markeringsfarve5 5 9 2 2" xfId="18507" xr:uid="{00000000-0005-0000-0000-00004A590000}"/>
    <cellStyle name="40 % - Markeringsfarve5 5 9 2 2 2" xfId="36667" xr:uid="{00000000-0005-0000-0000-00004B590000}"/>
    <cellStyle name="40 % - Markeringsfarve5 5 9 2 3" xfId="29666" xr:uid="{00000000-0005-0000-0000-00004C590000}"/>
    <cellStyle name="40 % - Markeringsfarve5 5 9 3" xfId="15187" xr:uid="{00000000-0005-0000-0000-00004D590000}"/>
    <cellStyle name="40 % - Markeringsfarve5 5 9 3 2" xfId="33353" xr:uid="{00000000-0005-0000-0000-00004E590000}"/>
    <cellStyle name="40 % - Markeringsfarve5 5 9 4" xfId="26351" xr:uid="{00000000-0005-0000-0000-00004F590000}"/>
    <cellStyle name="40 % - Markeringsfarve5 6" xfId="1939" xr:uid="{00000000-0005-0000-0000-000050590000}"/>
    <cellStyle name="40 % - Markeringsfarve5 6 2" xfId="1940" xr:uid="{00000000-0005-0000-0000-000051590000}"/>
    <cellStyle name="40 % - Markeringsfarve5 6 2 2" xfId="6636" xr:uid="{00000000-0005-0000-0000-000052590000}"/>
    <cellStyle name="40 % - Markeringsfarve5 6 2 2 2" xfId="9845" xr:uid="{00000000-0005-0000-0000-000053590000}"/>
    <cellStyle name="40 % - Markeringsfarve5 6 2 2 2 2" xfId="17746" xr:uid="{00000000-0005-0000-0000-000054590000}"/>
    <cellStyle name="40 % - Markeringsfarve5 6 2 2 2 2 2" xfId="35906" xr:uid="{00000000-0005-0000-0000-000055590000}"/>
    <cellStyle name="40 % - Markeringsfarve5 6 2 2 2 3" xfId="28905" xr:uid="{00000000-0005-0000-0000-000056590000}"/>
    <cellStyle name="40 % - Markeringsfarve5 6 2 2 3" xfId="15190" xr:uid="{00000000-0005-0000-0000-000057590000}"/>
    <cellStyle name="40 % - Markeringsfarve5 6 2 2 3 2" xfId="33356" xr:uid="{00000000-0005-0000-0000-000058590000}"/>
    <cellStyle name="40 % - Markeringsfarve5 6 2 2 4" xfId="26354" xr:uid="{00000000-0005-0000-0000-000059590000}"/>
    <cellStyle name="40 % - Markeringsfarve5 6 2 3" xfId="8426" xr:uid="{00000000-0005-0000-0000-00005A590000}"/>
    <cellStyle name="40 % - Markeringsfarve5 6 2 3 2" xfId="16343" xr:uid="{00000000-0005-0000-0000-00005B590000}"/>
    <cellStyle name="40 % - Markeringsfarve5 6 2 3 2 2" xfId="34503" xr:uid="{00000000-0005-0000-0000-00005C590000}"/>
    <cellStyle name="40 % - Markeringsfarve5 6 2 3 3" xfId="27502" xr:uid="{00000000-0005-0000-0000-00005D590000}"/>
    <cellStyle name="40 % - Markeringsfarve5 6 2 4" xfId="15189" xr:uid="{00000000-0005-0000-0000-00005E590000}"/>
    <cellStyle name="40 % - Markeringsfarve5 6 2 4 2" xfId="33355" xr:uid="{00000000-0005-0000-0000-00005F590000}"/>
    <cellStyle name="40 % - Markeringsfarve5 6 2 5" xfId="6635" xr:uid="{00000000-0005-0000-0000-000060590000}"/>
    <cellStyle name="40 % - Markeringsfarve5 6 2 5 2" xfId="26353" xr:uid="{00000000-0005-0000-0000-000061590000}"/>
    <cellStyle name="40 % - Markeringsfarve5 6 2 6" xfId="22058" xr:uid="{00000000-0005-0000-0000-000062590000}"/>
    <cellStyle name="40 % - Markeringsfarve5 6 3" xfId="6637" xr:uid="{00000000-0005-0000-0000-000063590000}"/>
    <cellStyle name="40 % - Markeringsfarve5 6 3 2" xfId="9075" xr:uid="{00000000-0005-0000-0000-000064590000}"/>
    <cellStyle name="40 % - Markeringsfarve5 6 3 2 2" xfId="16986" xr:uid="{00000000-0005-0000-0000-000065590000}"/>
    <cellStyle name="40 % - Markeringsfarve5 6 3 2 2 2" xfId="35146" xr:uid="{00000000-0005-0000-0000-000066590000}"/>
    <cellStyle name="40 % - Markeringsfarve5 6 3 2 3" xfId="28145" xr:uid="{00000000-0005-0000-0000-000067590000}"/>
    <cellStyle name="40 % - Markeringsfarve5 6 3 3" xfId="15191" xr:uid="{00000000-0005-0000-0000-000068590000}"/>
    <cellStyle name="40 % - Markeringsfarve5 6 3 3 2" xfId="33357" xr:uid="{00000000-0005-0000-0000-000069590000}"/>
    <cellStyle name="40 % - Markeringsfarve5 6 3 4" xfId="26355" xr:uid="{00000000-0005-0000-0000-00006A590000}"/>
    <cellStyle name="40 % - Markeringsfarve5 6 4" xfId="6638" xr:uid="{00000000-0005-0000-0000-00006B590000}"/>
    <cellStyle name="40 % - Markeringsfarve5 6 4 2" xfId="10989" xr:uid="{00000000-0005-0000-0000-00006C590000}"/>
    <cellStyle name="40 % - Markeringsfarve5 6 4 2 2" xfId="18865" xr:uid="{00000000-0005-0000-0000-00006D590000}"/>
    <cellStyle name="40 % - Markeringsfarve5 6 4 2 2 2" xfId="37025" xr:uid="{00000000-0005-0000-0000-00006E590000}"/>
    <cellStyle name="40 % - Markeringsfarve5 6 4 2 3" xfId="30024" xr:uid="{00000000-0005-0000-0000-00006F590000}"/>
    <cellStyle name="40 % - Markeringsfarve5 6 4 3" xfId="15192" xr:uid="{00000000-0005-0000-0000-000070590000}"/>
    <cellStyle name="40 % - Markeringsfarve5 6 4 3 2" xfId="33358" xr:uid="{00000000-0005-0000-0000-000071590000}"/>
    <cellStyle name="40 % - Markeringsfarve5 6 4 4" xfId="26356" xr:uid="{00000000-0005-0000-0000-000072590000}"/>
    <cellStyle name="40 % - Markeringsfarve5 6 5" xfId="8251" xr:uid="{00000000-0005-0000-0000-000073590000}"/>
    <cellStyle name="40 % - Markeringsfarve5 6 5 2" xfId="16169" xr:uid="{00000000-0005-0000-0000-000074590000}"/>
    <cellStyle name="40 % - Markeringsfarve5 6 5 2 2" xfId="34329" xr:uid="{00000000-0005-0000-0000-000075590000}"/>
    <cellStyle name="40 % - Markeringsfarve5 6 5 3" xfId="27328" xr:uid="{00000000-0005-0000-0000-000076590000}"/>
    <cellStyle name="40 % - Markeringsfarve5 6 6" xfId="15188" xr:uid="{00000000-0005-0000-0000-000077590000}"/>
    <cellStyle name="40 % - Markeringsfarve5 6 6 2" xfId="33354" xr:uid="{00000000-0005-0000-0000-000078590000}"/>
    <cellStyle name="40 % - Markeringsfarve5 6 7" xfId="6634" xr:uid="{00000000-0005-0000-0000-000079590000}"/>
    <cellStyle name="40 % - Markeringsfarve5 6 7 2" xfId="26352" xr:uid="{00000000-0005-0000-0000-00007A590000}"/>
    <cellStyle name="40 % - Markeringsfarve5 6 8" xfId="22057" xr:uid="{00000000-0005-0000-0000-00007B590000}"/>
    <cellStyle name="40 % - Markeringsfarve5 7" xfId="1941" xr:uid="{00000000-0005-0000-0000-00007C590000}"/>
    <cellStyle name="40 % - Markeringsfarve5 7 2" xfId="6640" xr:uid="{00000000-0005-0000-0000-00007D590000}"/>
    <cellStyle name="40 % - Markeringsfarve5 7 2 2" xfId="6641" xr:uid="{00000000-0005-0000-0000-00007E590000}"/>
    <cellStyle name="40 % - Markeringsfarve5 7 2 2 2" xfId="10044" xr:uid="{00000000-0005-0000-0000-00007F590000}"/>
    <cellStyle name="40 % - Markeringsfarve5 7 2 2 2 2" xfId="17945" xr:uid="{00000000-0005-0000-0000-000080590000}"/>
    <cellStyle name="40 % - Markeringsfarve5 7 2 2 2 2 2" xfId="36105" xr:uid="{00000000-0005-0000-0000-000081590000}"/>
    <cellStyle name="40 % - Markeringsfarve5 7 2 2 2 3" xfId="29104" xr:uid="{00000000-0005-0000-0000-000082590000}"/>
    <cellStyle name="40 % - Markeringsfarve5 7 2 2 3" xfId="15195" xr:uid="{00000000-0005-0000-0000-000083590000}"/>
    <cellStyle name="40 % - Markeringsfarve5 7 2 2 3 2" xfId="33361" xr:uid="{00000000-0005-0000-0000-000084590000}"/>
    <cellStyle name="40 % - Markeringsfarve5 7 2 2 4" xfId="26359" xr:uid="{00000000-0005-0000-0000-000085590000}"/>
    <cellStyle name="40 % - Markeringsfarve5 7 2 3" xfId="8590" xr:uid="{00000000-0005-0000-0000-000086590000}"/>
    <cellStyle name="40 % - Markeringsfarve5 7 2 3 2" xfId="16507" xr:uid="{00000000-0005-0000-0000-000087590000}"/>
    <cellStyle name="40 % - Markeringsfarve5 7 2 3 2 2" xfId="34667" xr:uid="{00000000-0005-0000-0000-000088590000}"/>
    <cellStyle name="40 % - Markeringsfarve5 7 2 3 3" xfId="27666" xr:uid="{00000000-0005-0000-0000-000089590000}"/>
    <cellStyle name="40 % - Markeringsfarve5 7 2 4" xfId="15194" xr:uid="{00000000-0005-0000-0000-00008A590000}"/>
    <cellStyle name="40 % - Markeringsfarve5 7 2 4 2" xfId="33360" xr:uid="{00000000-0005-0000-0000-00008B590000}"/>
    <cellStyle name="40 % - Markeringsfarve5 7 2 5" xfId="26358" xr:uid="{00000000-0005-0000-0000-00008C590000}"/>
    <cellStyle name="40 % - Markeringsfarve5 7 3" xfId="6642" xr:uid="{00000000-0005-0000-0000-00008D590000}"/>
    <cellStyle name="40 % - Markeringsfarve5 7 3 2" xfId="9274" xr:uid="{00000000-0005-0000-0000-00008E590000}"/>
    <cellStyle name="40 % - Markeringsfarve5 7 3 2 2" xfId="17185" xr:uid="{00000000-0005-0000-0000-00008F590000}"/>
    <cellStyle name="40 % - Markeringsfarve5 7 3 2 2 2" xfId="35345" xr:uid="{00000000-0005-0000-0000-000090590000}"/>
    <cellStyle name="40 % - Markeringsfarve5 7 3 2 3" xfId="28344" xr:uid="{00000000-0005-0000-0000-000091590000}"/>
    <cellStyle name="40 % - Markeringsfarve5 7 3 3" xfId="15196" xr:uid="{00000000-0005-0000-0000-000092590000}"/>
    <cellStyle name="40 % - Markeringsfarve5 7 3 3 2" xfId="33362" xr:uid="{00000000-0005-0000-0000-000093590000}"/>
    <cellStyle name="40 % - Markeringsfarve5 7 3 4" xfId="26360" xr:uid="{00000000-0005-0000-0000-000094590000}"/>
    <cellStyle name="40 % - Markeringsfarve5 7 4" xfId="6643" xr:uid="{00000000-0005-0000-0000-000095590000}"/>
    <cellStyle name="40 % - Markeringsfarve5 7 4 2" xfId="10709" xr:uid="{00000000-0005-0000-0000-000096590000}"/>
    <cellStyle name="40 % - Markeringsfarve5 7 4 2 2" xfId="18598" xr:uid="{00000000-0005-0000-0000-000097590000}"/>
    <cellStyle name="40 % - Markeringsfarve5 7 4 2 2 2" xfId="36758" xr:uid="{00000000-0005-0000-0000-000098590000}"/>
    <cellStyle name="40 % - Markeringsfarve5 7 4 2 3" xfId="29757" xr:uid="{00000000-0005-0000-0000-000099590000}"/>
    <cellStyle name="40 % - Markeringsfarve5 7 4 3" xfId="15197" xr:uid="{00000000-0005-0000-0000-00009A590000}"/>
    <cellStyle name="40 % - Markeringsfarve5 7 4 3 2" xfId="33363" xr:uid="{00000000-0005-0000-0000-00009B590000}"/>
    <cellStyle name="40 % - Markeringsfarve5 7 4 4" xfId="26361" xr:uid="{00000000-0005-0000-0000-00009C590000}"/>
    <cellStyle name="40 % - Markeringsfarve5 7 5" xfId="8252" xr:uid="{00000000-0005-0000-0000-00009D590000}"/>
    <cellStyle name="40 % - Markeringsfarve5 7 5 2" xfId="16170" xr:uid="{00000000-0005-0000-0000-00009E590000}"/>
    <cellStyle name="40 % - Markeringsfarve5 7 5 2 2" xfId="34330" xr:uid="{00000000-0005-0000-0000-00009F590000}"/>
    <cellStyle name="40 % - Markeringsfarve5 7 5 3" xfId="27329" xr:uid="{00000000-0005-0000-0000-0000A0590000}"/>
    <cellStyle name="40 % - Markeringsfarve5 7 6" xfId="15193" xr:uid="{00000000-0005-0000-0000-0000A1590000}"/>
    <cellStyle name="40 % - Markeringsfarve5 7 6 2" xfId="33359" xr:uid="{00000000-0005-0000-0000-0000A2590000}"/>
    <cellStyle name="40 % - Markeringsfarve5 7 7" xfId="6639" xr:uid="{00000000-0005-0000-0000-0000A3590000}"/>
    <cellStyle name="40 % - Markeringsfarve5 7 7 2" xfId="26357" xr:uid="{00000000-0005-0000-0000-0000A4590000}"/>
    <cellStyle name="40 % - Markeringsfarve5 7 8" xfId="22059" xr:uid="{00000000-0005-0000-0000-0000A5590000}"/>
    <cellStyle name="40 % - Markeringsfarve5 8" xfId="6644" xr:uid="{00000000-0005-0000-0000-0000A6590000}"/>
    <cellStyle name="40 % - Markeringsfarve5 8 2" xfId="6645" xr:uid="{00000000-0005-0000-0000-0000A7590000}"/>
    <cellStyle name="40 % - Markeringsfarve5 8 2 2" xfId="6646" xr:uid="{00000000-0005-0000-0000-0000A8590000}"/>
    <cellStyle name="40 % - Markeringsfarve5 8 2 2 2" xfId="10083" xr:uid="{00000000-0005-0000-0000-0000A9590000}"/>
    <cellStyle name="40 % - Markeringsfarve5 8 2 2 2 2" xfId="17984" xr:uid="{00000000-0005-0000-0000-0000AA590000}"/>
    <cellStyle name="40 % - Markeringsfarve5 8 2 2 2 2 2" xfId="36144" xr:uid="{00000000-0005-0000-0000-0000AB590000}"/>
    <cellStyle name="40 % - Markeringsfarve5 8 2 2 2 3" xfId="29143" xr:uid="{00000000-0005-0000-0000-0000AC590000}"/>
    <cellStyle name="40 % - Markeringsfarve5 8 2 2 3" xfId="15200" xr:uid="{00000000-0005-0000-0000-0000AD590000}"/>
    <cellStyle name="40 % - Markeringsfarve5 8 2 2 3 2" xfId="33366" xr:uid="{00000000-0005-0000-0000-0000AE590000}"/>
    <cellStyle name="40 % - Markeringsfarve5 8 2 2 4" xfId="26364" xr:uid="{00000000-0005-0000-0000-0000AF590000}"/>
    <cellStyle name="40 % - Markeringsfarve5 8 2 3" xfId="8628" xr:uid="{00000000-0005-0000-0000-0000B0590000}"/>
    <cellStyle name="40 % - Markeringsfarve5 8 2 3 2" xfId="16542" xr:uid="{00000000-0005-0000-0000-0000B1590000}"/>
    <cellStyle name="40 % - Markeringsfarve5 8 2 3 2 2" xfId="34702" xr:uid="{00000000-0005-0000-0000-0000B2590000}"/>
    <cellStyle name="40 % - Markeringsfarve5 8 2 3 3" xfId="27701" xr:uid="{00000000-0005-0000-0000-0000B3590000}"/>
    <cellStyle name="40 % - Markeringsfarve5 8 2 4" xfId="15199" xr:uid="{00000000-0005-0000-0000-0000B4590000}"/>
    <cellStyle name="40 % - Markeringsfarve5 8 2 4 2" xfId="33365" xr:uid="{00000000-0005-0000-0000-0000B5590000}"/>
    <cellStyle name="40 % - Markeringsfarve5 8 2 5" xfId="26363" xr:uid="{00000000-0005-0000-0000-0000B6590000}"/>
    <cellStyle name="40 % - Markeringsfarve5 8 3" xfId="6647" xr:uid="{00000000-0005-0000-0000-0000B7590000}"/>
    <cellStyle name="40 % - Markeringsfarve5 8 3 2" xfId="9359" xr:uid="{00000000-0005-0000-0000-0000B8590000}"/>
    <cellStyle name="40 % - Markeringsfarve5 8 3 2 2" xfId="17269" xr:uid="{00000000-0005-0000-0000-0000B9590000}"/>
    <cellStyle name="40 % - Markeringsfarve5 8 3 2 2 2" xfId="35429" xr:uid="{00000000-0005-0000-0000-0000BA590000}"/>
    <cellStyle name="40 % - Markeringsfarve5 8 3 2 3" xfId="28428" xr:uid="{00000000-0005-0000-0000-0000BB590000}"/>
    <cellStyle name="40 % - Markeringsfarve5 8 3 3" xfId="15201" xr:uid="{00000000-0005-0000-0000-0000BC590000}"/>
    <cellStyle name="40 % - Markeringsfarve5 8 3 3 2" xfId="33367" xr:uid="{00000000-0005-0000-0000-0000BD590000}"/>
    <cellStyle name="40 % - Markeringsfarve5 8 3 4" xfId="26365" xr:uid="{00000000-0005-0000-0000-0000BE590000}"/>
    <cellStyle name="40 % - Markeringsfarve5 8 4" xfId="6648" xr:uid="{00000000-0005-0000-0000-0000BF590000}"/>
    <cellStyle name="40 % - Markeringsfarve5 8 4 2" xfId="10959" xr:uid="{00000000-0005-0000-0000-0000C0590000}"/>
    <cellStyle name="40 % - Markeringsfarve5 8 4 2 2" xfId="18839" xr:uid="{00000000-0005-0000-0000-0000C1590000}"/>
    <cellStyle name="40 % - Markeringsfarve5 8 4 2 2 2" xfId="36999" xr:uid="{00000000-0005-0000-0000-0000C2590000}"/>
    <cellStyle name="40 % - Markeringsfarve5 8 4 2 3" xfId="29998" xr:uid="{00000000-0005-0000-0000-0000C3590000}"/>
    <cellStyle name="40 % - Markeringsfarve5 8 4 3" xfId="15202" xr:uid="{00000000-0005-0000-0000-0000C4590000}"/>
    <cellStyle name="40 % - Markeringsfarve5 8 4 3 2" xfId="33368" xr:uid="{00000000-0005-0000-0000-0000C5590000}"/>
    <cellStyle name="40 % - Markeringsfarve5 8 4 4" xfId="26366" xr:uid="{00000000-0005-0000-0000-0000C6590000}"/>
    <cellStyle name="40 % - Markeringsfarve5 8 5" xfId="8253" xr:uid="{00000000-0005-0000-0000-0000C7590000}"/>
    <cellStyle name="40 % - Markeringsfarve5 8 5 2" xfId="16171" xr:uid="{00000000-0005-0000-0000-0000C8590000}"/>
    <cellStyle name="40 % - Markeringsfarve5 8 5 2 2" xfId="34331" xr:uid="{00000000-0005-0000-0000-0000C9590000}"/>
    <cellStyle name="40 % - Markeringsfarve5 8 5 3" xfId="27330" xr:uid="{00000000-0005-0000-0000-0000CA590000}"/>
    <cellStyle name="40 % - Markeringsfarve5 8 6" xfId="15198" xr:uid="{00000000-0005-0000-0000-0000CB590000}"/>
    <cellStyle name="40 % - Markeringsfarve5 8 6 2" xfId="33364" xr:uid="{00000000-0005-0000-0000-0000CC590000}"/>
    <cellStyle name="40 % - Markeringsfarve5 8 7" xfId="26362" xr:uid="{00000000-0005-0000-0000-0000CD590000}"/>
    <cellStyle name="40 % - Markeringsfarve5 9" xfId="6649" xr:uid="{00000000-0005-0000-0000-0000CE590000}"/>
    <cellStyle name="40 % - Markeringsfarve5 9 2" xfId="6650" xr:uid="{00000000-0005-0000-0000-0000CF590000}"/>
    <cellStyle name="40 % - Markeringsfarve5 9 2 2" xfId="6651" xr:uid="{00000000-0005-0000-0000-0000D0590000}"/>
    <cellStyle name="40 % - Markeringsfarve5 9 2 2 2" xfId="10200" xr:uid="{00000000-0005-0000-0000-0000D1590000}"/>
    <cellStyle name="40 % - Markeringsfarve5 9 2 2 2 2" xfId="18101" xr:uid="{00000000-0005-0000-0000-0000D2590000}"/>
    <cellStyle name="40 % - Markeringsfarve5 9 2 2 2 2 2" xfId="36261" xr:uid="{00000000-0005-0000-0000-0000D3590000}"/>
    <cellStyle name="40 % - Markeringsfarve5 9 2 2 2 3" xfId="29260" xr:uid="{00000000-0005-0000-0000-0000D4590000}"/>
    <cellStyle name="40 % - Markeringsfarve5 9 2 2 3" xfId="15205" xr:uid="{00000000-0005-0000-0000-0000D5590000}"/>
    <cellStyle name="40 % - Markeringsfarve5 9 2 2 3 2" xfId="33371" xr:uid="{00000000-0005-0000-0000-0000D6590000}"/>
    <cellStyle name="40 % - Markeringsfarve5 9 2 2 4" xfId="26369" xr:uid="{00000000-0005-0000-0000-0000D7590000}"/>
    <cellStyle name="40 % - Markeringsfarve5 9 2 3" xfId="8727" xr:uid="{00000000-0005-0000-0000-0000D8590000}"/>
    <cellStyle name="40 % - Markeringsfarve5 9 2 3 2" xfId="16641" xr:uid="{00000000-0005-0000-0000-0000D9590000}"/>
    <cellStyle name="40 % - Markeringsfarve5 9 2 3 2 2" xfId="34801" xr:uid="{00000000-0005-0000-0000-0000DA590000}"/>
    <cellStyle name="40 % - Markeringsfarve5 9 2 3 3" xfId="27800" xr:uid="{00000000-0005-0000-0000-0000DB590000}"/>
    <cellStyle name="40 % - Markeringsfarve5 9 2 4" xfId="15204" xr:uid="{00000000-0005-0000-0000-0000DC590000}"/>
    <cellStyle name="40 % - Markeringsfarve5 9 2 4 2" xfId="33370" xr:uid="{00000000-0005-0000-0000-0000DD590000}"/>
    <cellStyle name="40 % - Markeringsfarve5 9 2 5" xfId="26368" xr:uid="{00000000-0005-0000-0000-0000DE590000}"/>
    <cellStyle name="40 % - Markeringsfarve5 9 3" xfId="6652" xr:uid="{00000000-0005-0000-0000-0000DF590000}"/>
    <cellStyle name="40 % - Markeringsfarve5 9 3 2" xfId="9476" xr:uid="{00000000-0005-0000-0000-0000E0590000}"/>
    <cellStyle name="40 % - Markeringsfarve5 9 3 2 2" xfId="17386" xr:uid="{00000000-0005-0000-0000-0000E1590000}"/>
    <cellStyle name="40 % - Markeringsfarve5 9 3 2 2 2" xfId="35546" xr:uid="{00000000-0005-0000-0000-0000E2590000}"/>
    <cellStyle name="40 % - Markeringsfarve5 9 3 2 3" xfId="28545" xr:uid="{00000000-0005-0000-0000-0000E3590000}"/>
    <cellStyle name="40 % - Markeringsfarve5 9 3 3" xfId="15206" xr:uid="{00000000-0005-0000-0000-0000E4590000}"/>
    <cellStyle name="40 % - Markeringsfarve5 9 3 3 2" xfId="33372" xr:uid="{00000000-0005-0000-0000-0000E5590000}"/>
    <cellStyle name="40 % - Markeringsfarve5 9 3 4" xfId="26370" xr:uid="{00000000-0005-0000-0000-0000E6590000}"/>
    <cellStyle name="40 % - Markeringsfarve5 9 4" xfId="6653" xr:uid="{00000000-0005-0000-0000-0000E7590000}"/>
    <cellStyle name="40 % - Markeringsfarve5 9 4 2" xfId="10683" xr:uid="{00000000-0005-0000-0000-0000E8590000}"/>
    <cellStyle name="40 % - Markeringsfarve5 9 4 2 2" xfId="18575" xr:uid="{00000000-0005-0000-0000-0000E9590000}"/>
    <cellStyle name="40 % - Markeringsfarve5 9 4 2 2 2" xfId="36735" xr:uid="{00000000-0005-0000-0000-0000EA590000}"/>
    <cellStyle name="40 % - Markeringsfarve5 9 4 2 3" xfId="29734" xr:uid="{00000000-0005-0000-0000-0000EB590000}"/>
    <cellStyle name="40 % - Markeringsfarve5 9 4 3" xfId="15207" xr:uid="{00000000-0005-0000-0000-0000EC590000}"/>
    <cellStyle name="40 % - Markeringsfarve5 9 4 3 2" xfId="33373" xr:uid="{00000000-0005-0000-0000-0000ED590000}"/>
    <cellStyle name="40 % - Markeringsfarve5 9 4 4" xfId="26371" xr:uid="{00000000-0005-0000-0000-0000EE590000}"/>
    <cellStyle name="40 % - Markeringsfarve5 9 5" xfId="8254" xr:uid="{00000000-0005-0000-0000-0000EF590000}"/>
    <cellStyle name="40 % - Markeringsfarve5 9 5 2" xfId="16172" xr:uid="{00000000-0005-0000-0000-0000F0590000}"/>
    <cellStyle name="40 % - Markeringsfarve5 9 5 2 2" xfId="34332" xr:uid="{00000000-0005-0000-0000-0000F1590000}"/>
    <cellStyle name="40 % - Markeringsfarve5 9 5 3" xfId="27331" xr:uid="{00000000-0005-0000-0000-0000F2590000}"/>
    <cellStyle name="40 % - Markeringsfarve5 9 6" xfId="15203" xr:uid="{00000000-0005-0000-0000-0000F3590000}"/>
    <cellStyle name="40 % - Markeringsfarve5 9 6 2" xfId="33369" xr:uid="{00000000-0005-0000-0000-0000F4590000}"/>
    <cellStyle name="40 % - Markeringsfarve5 9 7" xfId="26367" xr:uid="{00000000-0005-0000-0000-0000F5590000}"/>
    <cellStyle name="40 % - Markeringsfarve6 10" xfId="6655" xr:uid="{00000000-0005-0000-0000-0000F6590000}"/>
    <cellStyle name="40 % - Markeringsfarve6 10 2" xfId="6656" xr:uid="{00000000-0005-0000-0000-0000F7590000}"/>
    <cellStyle name="40 % - Markeringsfarve6 10 2 2" xfId="6657" xr:uid="{00000000-0005-0000-0000-0000F8590000}"/>
    <cellStyle name="40 % - Markeringsfarve6 10 2 2 2" xfId="10407" xr:uid="{00000000-0005-0000-0000-0000F9590000}"/>
    <cellStyle name="40 % - Markeringsfarve6 10 2 2 2 2" xfId="18308" xr:uid="{00000000-0005-0000-0000-0000FA590000}"/>
    <cellStyle name="40 % - Markeringsfarve6 10 2 2 2 2 2" xfId="36468" xr:uid="{00000000-0005-0000-0000-0000FB590000}"/>
    <cellStyle name="40 % - Markeringsfarve6 10 2 2 2 3" xfId="29467" xr:uid="{00000000-0005-0000-0000-0000FC590000}"/>
    <cellStyle name="40 % - Markeringsfarve6 10 2 2 3" xfId="15211" xr:uid="{00000000-0005-0000-0000-0000FD590000}"/>
    <cellStyle name="40 % - Markeringsfarve6 10 2 2 3 2" xfId="33377" xr:uid="{00000000-0005-0000-0000-0000FE590000}"/>
    <cellStyle name="40 % - Markeringsfarve6 10 2 2 4" xfId="26375" xr:uid="{00000000-0005-0000-0000-0000FF590000}"/>
    <cellStyle name="40 % - Markeringsfarve6 10 2 3" xfId="8900" xr:uid="{00000000-0005-0000-0000-0000005A0000}"/>
    <cellStyle name="40 % - Markeringsfarve6 10 2 3 2" xfId="16814" xr:uid="{00000000-0005-0000-0000-0000015A0000}"/>
    <cellStyle name="40 % - Markeringsfarve6 10 2 3 2 2" xfId="34974" xr:uid="{00000000-0005-0000-0000-0000025A0000}"/>
    <cellStyle name="40 % - Markeringsfarve6 10 2 3 3" xfId="27973" xr:uid="{00000000-0005-0000-0000-0000035A0000}"/>
    <cellStyle name="40 % - Markeringsfarve6 10 2 4" xfId="15210" xr:uid="{00000000-0005-0000-0000-0000045A0000}"/>
    <cellStyle name="40 % - Markeringsfarve6 10 2 4 2" xfId="33376" xr:uid="{00000000-0005-0000-0000-0000055A0000}"/>
    <cellStyle name="40 % - Markeringsfarve6 10 2 5" xfId="26374" xr:uid="{00000000-0005-0000-0000-0000065A0000}"/>
    <cellStyle name="40 % - Markeringsfarve6 10 3" xfId="6658" xr:uid="{00000000-0005-0000-0000-0000075A0000}"/>
    <cellStyle name="40 % - Markeringsfarve6 10 3 2" xfId="9684" xr:uid="{00000000-0005-0000-0000-0000085A0000}"/>
    <cellStyle name="40 % - Markeringsfarve6 10 3 2 2" xfId="17594" xr:uid="{00000000-0005-0000-0000-0000095A0000}"/>
    <cellStyle name="40 % - Markeringsfarve6 10 3 2 2 2" xfId="35754" xr:uid="{00000000-0005-0000-0000-00000A5A0000}"/>
    <cellStyle name="40 % - Markeringsfarve6 10 3 2 3" xfId="28753" xr:uid="{00000000-0005-0000-0000-00000B5A0000}"/>
    <cellStyle name="40 % - Markeringsfarve6 10 3 3" xfId="15212" xr:uid="{00000000-0005-0000-0000-00000C5A0000}"/>
    <cellStyle name="40 % - Markeringsfarve6 10 3 3 2" xfId="33378" xr:uid="{00000000-0005-0000-0000-00000D5A0000}"/>
    <cellStyle name="40 % - Markeringsfarve6 10 3 4" xfId="26376" xr:uid="{00000000-0005-0000-0000-00000E5A0000}"/>
    <cellStyle name="40 % - Markeringsfarve6 10 4" xfId="6659" xr:uid="{00000000-0005-0000-0000-00000F5A0000}"/>
    <cellStyle name="40 % - Markeringsfarve6 10 4 2" xfId="10642" xr:uid="{00000000-0005-0000-0000-0000105A0000}"/>
    <cellStyle name="40 % - Markeringsfarve6 10 4 2 2" xfId="18535" xr:uid="{00000000-0005-0000-0000-0000115A0000}"/>
    <cellStyle name="40 % - Markeringsfarve6 10 4 2 2 2" xfId="36695" xr:uid="{00000000-0005-0000-0000-0000125A0000}"/>
    <cellStyle name="40 % - Markeringsfarve6 10 4 2 3" xfId="29694" xr:uid="{00000000-0005-0000-0000-0000135A0000}"/>
    <cellStyle name="40 % - Markeringsfarve6 10 4 3" xfId="15213" xr:uid="{00000000-0005-0000-0000-0000145A0000}"/>
    <cellStyle name="40 % - Markeringsfarve6 10 4 3 2" xfId="33379" xr:uid="{00000000-0005-0000-0000-0000155A0000}"/>
    <cellStyle name="40 % - Markeringsfarve6 10 4 4" xfId="26377" xr:uid="{00000000-0005-0000-0000-0000165A0000}"/>
    <cellStyle name="40 % - Markeringsfarve6 10 5" xfId="8256" xr:uid="{00000000-0005-0000-0000-0000175A0000}"/>
    <cellStyle name="40 % - Markeringsfarve6 10 5 2" xfId="16174" xr:uid="{00000000-0005-0000-0000-0000185A0000}"/>
    <cellStyle name="40 % - Markeringsfarve6 10 5 2 2" xfId="34334" xr:uid="{00000000-0005-0000-0000-0000195A0000}"/>
    <cellStyle name="40 % - Markeringsfarve6 10 5 3" xfId="27333" xr:uid="{00000000-0005-0000-0000-00001A5A0000}"/>
    <cellStyle name="40 % - Markeringsfarve6 10 6" xfId="15209" xr:uid="{00000000-0005-0000-0000-00001B5A0000}"/>
    <cellStyle name="40 % - Markeringsfarve6 10 6 2" xfId="33375" xr:uid="{00000000-0005-0000-0000-00001C5A0000}"/>
    <cellStyle name="40 % - Markeringsfarve6 10 7" xfId="26373" xr:uid="{00000000-0005-0000-0000-00001D5A0000}"/>
    <cellStyle name="40 % - Markeringsfarve6 11" xfId="6660" xr:uid="{00000000-0005-0000-0000-00001E5A0000}"/>
    <cellStyle name="40 % - Markeringsfarve6 11 2" xfId="6661" xr:uid="{00000000-0005-0000-0000-00001F5A0000}"/>
    <cellStyle name="40 % - Markeringsfarve6 11 2 2" xfId="9727" xr:uid="{00000000-0005-0000-0000-0000205A0000}"/>
    <cellStyle name="40 % - Markeringsfarve6 11 2 2 2" xfId="17628" xr:uid="{00000000-0005-0000-0000-0000215A0000}"/>
    <cellStyle name="40 % - Markeringsfarve6 11 2 2 2 2" xfId="35788" xr:uid="{00000000-0005-0000-0000-0000225A0000}"/>
    <cellStyle name="40 % - Markeringsfarve6 11 2 2 3" xfId="28787" xr:uid="{00000000-0005-0000-0000-0000235A0000}"/>
    <cellStyle name="40 % - Markeringsfarve6 11 2 3" xfId="15215" xr:uid="{00000000-0005-0000-0000-0000245A0000}"/>
    <cellStyle name="40 % - Markeringsfarve6 11 2 3 2" xfId="33381" xr:uid="{00000000-0005-0000-0000-0000255A0000}"/>
    <cellStyle name="40 % - Markeringsfarve6 11 2 4" xfId="26379" xr:uid="{00000000-0005-0000-0000-0000265A0000}"/>
    <cellStyle name="40 % - Markeringsfarve6 11 3" xfId="6662" xr:uid="{00000000-0005-0000-0000-0000275A0000}"/>
    <cellStyle name="40 % - Markeringsfarve6 11 3 2" xfId="10854" xr:uid="{00000000-0005-0000-0000-0000285A0000}"/>
    <cellStyle name="40 % - Markeringsfarve6 11 3 2 2" xfId="18737" xr:uid="{00000000-0005-0000-0000-0000295A0000}"/>
    <cellStyle name="40 % - Markeringsfarve6 11 3 2 2 2" xfId="36897" xr:uid="{00000000-0005-0000-0000-00002A5A0000}"/>
    <cellStyle name="40 % - Markeringsfarve6 11 3 2 3" xfId="29896" xr:uid="{00000000-0005-0000-0000-00002B5A0000}"/>
    <cellStyle name="40 % - Markeringsfarve6 11 3 3" xfId="15216" xr:uid="{00000000-0005-0000-0000-00002C5A0000}"/>
    <cellStyle name="40 % - Markeringsfarve6 11 3 3 2" xfId="33382" xr:uid="{00000000-0005-0000-0000-00002D5A0000}"/>
    <cellStyle name="40 % - Markeringsfarve6 11 3 4" xfId="26380" xr:uid="{00000000-0005-0000-0000-00002E5A0000}"/>
    <cellStyle name="40 % - Markeringsfarve6 11 4" xfId="8257" xr:uid="{00000000-0005-0000-0000-00002F5A0000}"/>
    <cellStyle name="40 % - Markeringsfarve6 11 4 2" xfId="16175" xr:uid="{00000000-0005-0000-0000-0000305A0000}"/>
    <cellStyle name="40 % - Markeringsfarve6 11 4 2 2" xfId="34335" xr:uid="{00000000-0005-0000-0000-0000315A0000}"/>
    <cellStyle name="40 % - Markeringsfarve6 11 4 3" xfId="27334" xr:uid="{00000000-0005-0000-0000-0000325A0000}"/>
    <cellStyle name="40 % - Markeringsfarve6 11 5" xfId="15214" xr:uid="{00000000-0005-0000-0000-0000335A0000}"/>
    <cellStyle name="40 % - Markeringsfarve6 11 5 2" xfId="33380" xr:uid="{00000000-0005-0000-0000-0000345A0000}"/>
    <cellStyle name="40 % - Markeringsfarve6 11 6" xfId="26378" xr:uid="{00000000-0005-0000-0000-0000355A0000}"/>
    <cellStyle name="40 % - Markeringsfarve6 12" xfId="6663" xr:uid="{00000000-0005-0000-0000-0000365A0000}"/>
    <cellStyle name="40 % - Markeringsfarve6 12 2" xfId="6664" xr:uid="{00000000-0005-0000-0000-0000375A0000}"/>
    <cellStyle name="40 % - Markeringsfarve6 12 2 2" xfId="10504" xr:uid="{00000000-0005-0000-0000-0000385A0000}"/>
    <cellStyle name="40 % - Markeringsfarve6 12 2 2 2" xfId="18398" xr:uid="{00000000-0005-0000-0000-0000395A0000}"/>
    <cellStyle name="40 % - Markeringsfarve6 12 2 2 2 2" xfId="36558" xr:uid="{00000000-0005-0000-0000-00003A5A0000}"/>
    <cellStyle name="40 % - Markeringsfarve6 12 2 2 3" xfId="29557" xr:uid="{00000000-0005-0000-0000-00003B5A0000}"/>
    <cellStyle name="40 % - Markeringsfarve6 12 2 3" xfId="15218" xr:uid="{00000000-0005-0000-0000-00003C5A0000}"/>
    <cellStyle name="40 % - Markeringsfarve6 12 2 3 2" xfId="33384" xr:uid="{00000000-0005-0000-0000-00003D5A0000}"/>
    <cellStyle name="40 % - Markeringsfarve6 12 2 4" xfId="26382" xr:uid="{00000000-0005-0000-0000-00003E5A0000}"/>
    <cellStyle name="40 % - Markeringsfarve6 12 3" xfId="8258" xr:uid="{00000000-0005-0000-0000-00003F5A0000}"/>
    <cellStyle name="40 % - Markeringsfarve6 12 3 2" xfId="16176" xr:uid="{00000000-0005-0000-0000-0000405A0000}"/>
    <cellStyle name="40 % - Markeringsfarve6 12 3 2 2" xfId="34336" xr:uid="{00000000-0005-0000-0000-0000415A0000}"/>
    <cellStyle name="40 % - Markeringsfarve6 12 3 3" xfId="27335" xr:uid="{00000000-0005-0000-0000-0000425A0000}"/>
    <cellStyle name="40 % - Markeringsfarve6 12 4" xfId="15217" xr:uid="{00000000-0005-0000-0000-0000435A0000}"/>
    <cellStyle name="40 % - Markeringsfarve6 12 4 2" xfId="33383" xr:uid="{00000000-0005-0000-0000-0000445A0000}"/>
    <cellStyle name="40 % - Markeringsfarve6 12 5" xfId="26381" xr:uid="{00000000-0005-0000-0000-0000455A0000}"/>
    <cellStyle name="40 % - Markeringsfarve6 13" xfId="6665" xr:uid="{00000000-0005-0000-0000-0000465A0000}"/>
    <cellStyle name="40 % - Markeringsfarve6 13 2" xfId="6666" xr:uid="{00000000-0005-0000-0000-0000475A0000}"/>
    <cellStyle name="40 % - Markeringsfarve6 13 2 2" xfId="10828" xr:uid="{00000000-0005-0000-0000-0000485A0000}"/>
    <cellStyle name="40 % - Markeringsfarve6 13 2 2 2" xfId="18714" xr:uid="{00000000-0005-0000-0000-0000495A0000}"/>
    <cellStyle name="40 % - Markeringsfarve6 13 2 2 2 2" xfId="36874" xr:uid="{00000000-0005-0000-0000-00004A5A0000}"/>
    <cellStyle name="40 % - Markeringsfarve6 13 2 2 3" xfId="29873" xr:uid="{00000000-0005-0000-0000-00004B5A0000}"/>
    <cellStyle name="40 % - Markeringsfarve6 13 2 3" xfId="15220" xr:uid="{00000000-0005-0000-0000-00004C5A0000}"/>
    <cellStyle name="40 % - Markeringsfarve6 13 2 3 2" xfId="33386" xr:uid="{00000000-0005-0000-0000-00004D5A0000}"/>
    <cellStyle name="40 % - Markeringsfarve6 13 2 4" xfId="26384" xr:uid="{00000000-0005-0000-0000-00004E5A0000}"/>
    <cellStyle name="40 % - Markeringsfarve6 13 3" xfId="8259" xr:uid="{00000000-0005-0000-0000-00004F5A0000}"/>
    <cellStyle name="40 % - Markeringsfarve6 13 3 2" xfId="16177" xr:uid="{00000000-0005-0000-0000-0000505A0000}"/>
    <cellStyle name="40 % - Markeringsfarve6 13 3 2 2" xfId="34337" xr:uid="{00000000-0005-0000-0000-0000515A0000}"/>
    <cellStyle name="40 % - Markeringsfarve6 13 3 3" xfId="27336" xr:uid="{00000000-0005-0000-0000-0000525A0000}"/>
    <cellStyle name="40 % - Markeringsfarve6 13 4" xfId="15219" xr:uid="{00000000-0005-0000-0000-0000535A0000}"/>
    <cellStyle name="40 % - Markeringsfarve6 13 4 2" xfId="33385" xr:uid="{00000000-0005-0000-0000-0000545A0000}"/>
    <cellStyle name="40 % - Markeringsfarve6 13 5" xfId="26383" xr:uid="{00000000-0005-0000-0000-0000555A0000}"/>
    <cellStyle name="40 % - Markeringsfarve6 14" xfId="6667" xr:uid="{00000000-0005-0000-0000-0000565A0000}"/>
    <cellStyle name="40 % - Markeringsfarve6 14 2" xfId="6668" xr:uid="{00000000-0005-0000-0000-0000575A0000}"/>
    <cellStyle name="40 % - Markeringsfarve6 14 2 2" xfId="10940" xr:uid="{00000000-0005-0000-0000-0000585A0000}"/>
    <cellStyle name="40 % - Markeringsfarve6 14 2 2 2" xfId="18820" xr:uid="{00000000-0005-0000-0000-0000595A0000}"/>
    <cellStyle name="40 % - Markeringsfarve6 14 2 2 2 2" xfId="36980" xr:uid="{00000000-0005-0000-0000-00005A5A0000}"/>
    <cellStyle name="40 % - Markeringsfarve6 14 2 2 3" xfId="29979" xr:uid="{00000000-0005-0000-0000-00005B5A0000}"/>
    <cellStyle name="40 % - Markeringsfarve6 14 2 3" xfId="15222" xr:uid="{00000000-0005-0000-0000-00005C5A0000}"/>
    <cellStyle name="40 % - Markeringsfarve6 14 2 3 2" xfId="33388" xr:uid="{00000000-0005-0000-0000-00005D5A0000}"/>
    <cellStyle name="40 % - Markeringsfarve6 14 2 4" xfId="26386" xr:uid="{00000000-0005-0000-0000-00005E5A0000}"/>
    <cellStyle name="40 % - Markeringsfarve6 14 3" xfId="8255" xr:uid="{00000000-0005-0000-0000-00005F5A0000}"/>
    <cellStyle name="40 % - Markeringsfarve6 14 3 2" xfId="16173" xr:uid="{00000000-0005-0000-0000-0000605A0000}"/>
    <cellStyle name="40 % - Markeringsfarve6 14 3 2 2" xfId="34333" xr:uid="{00000000-0005-0000-0000-0000615A0000}"/>
    <cellStyle name="40 % - Markeringsfarve6 14 3 3" xfId="27332" xr:uid="{00000000-0005-0000-0000-0000625A0000}"/>
    <cellStyle name="40 % - Markeringsfarve6 14 4" xfId="15221" xr:uid="{00000000-0005-0000-0000-0000635A0000}"/>
    <cellStyle name="40 % - Markeringsfarve6 14 4 2" xfId="33387" xr:uid="{00000000-0005-0000-0000-0000645A0000}"/>
    <cellStyle name="40 % - Markeringsfarve6 14 5" xfId="26385" xr:uid="{00000000-0005-0000-0000-0000655A0000}"/>
    <cellStyle name="40 % - Markeringsfarve6 15" xfId="6669" xr:uid="{00000000-0005-0000-0000-0000665A0000}"/>
    <cellStyle name="40 % - Markeringsfarve6 15 2" xfId="8952" xr:uid="{00000000-0005-0000-0000-0000675A0000}"/>
    <cellStyle name="40 % - Markeringsfarve6 15 2 2" xfId="16865" xr:uid="{00000000-0005-0000-0000-0000685A0000}"/>
    <cellStyle name="40 % - Markeringsfarve6 15 2 2 2" xfId="35025" xr:uid="{00000000-0005-0000-0000-0000695A0000}"/>
    <cellStyle name="40 % - Markeringsfarve6 15 2 3" xfId="28024" xr:uid="{00000000-0005-0000-0000-00006A5A0000}"/>
    <cellStyle name="40 % - Markeringsfarve6 15 3" xfId="15223" xr:uid="{00000000-0005-0000-0000-00006B5A0000}"/>
    <cellStyle name="40 % - Markeringsfarve6 15 3 2" xfId="33389" xr:uid="{00000000-0005-0000-0000-00006C5A0000}"/>
    <cellStyle name="40 % - Markeringsfarve6 15 4" xfId="26387" xr:uid="{00000000-0005-0000-0000-00006D5A0000}"/>
    <cellStyle name="40 % - Markeringsfarve6 16" xfId="6670" xr:uid="{00000000-0005-0000-0000-00006E5A0000}"/>
    <cellStyle name="40 % - Markeringsfarve6 16 2" xfId="10673" xr:uid="{00000000-0005-0000-0000-00006F5A0000}"/>
    <cellStyle name="40 % - Markeringsfarve6 16 2 2" xfId="18565" xr:uid="{00000000-0005-0000-0000-0000705A0000}"/>
    <cellStyle name="40 % - Markeringsfarve6 16 2 2 2" xfId="36725" xr:uid="{00000000-0005-0000-0000-0000715A0000}"/>
    <cellStyle name="40 % - Markeringsfarve6 16 2 3" xfId="29724" xr:uid="{00000000-0005-0000-0000-0000725A0000}"/>
    <cellStyle name="40 % - Markeringsfarve6 16 3" xfId="15224" xr:uid="{00000000-0005-0000-0000-0000735A0000}"/>
    <cellStyle name="40 % - Markeringsfarve6 16 3 2" xfId="33390" xr:uid="{00000000-0005-0000-0000-0000745A0000}"/>
    <cellStyle name="40 % - Markeringsfarve6 16 4" xfId="26388" xr:uid="{00000000-0005-0000-0000-0000755A0000}"/>
    <cellStyle name="40 % - Markeringsfarve6 17" xfId="6671" xr:uid="{00000000-0005-0000-0000-0000765A0000}"/>
    <cellStyle name="40 % - Markeringsfarve6 17 2" xfId="10918" xr:uid="{00000000-0005-0000-0000-0000775A0000}"/>
    <cellStyle name="40 % - Markeringsfarve6 17 2 2" xfId="18799" xr:uid="{00000000-0005-0000-0000-0000785A0000}"/>
    <cellStyle name="40 % - Markeringsfarve6 17 2 2 2" xfId="36959" xr:uid="{00000000-0005-0000-0000-0000795A0000}"/>
    <cellStyle name="40 % - Markeringsfarve6 17 2 3" xfId="29958" xr:uid="{00000000-0005-0000-0000-00007A5A0000}"/>
    <cellStyle name="40 % - Markeringsfarve6 17 3" xfId="15225" xr:uid="{00000000-0005-0000-0000-00007B5A0000}"/>
    <cellStyle name="40 % - Markeringsfarve6 17 3 2" xfId="33391" xr:uid="{00000000-0005-0000-0000-00007C5A0000}"/>
    <cellStyle name="40 % - Markeringsfarve6 17 4" xfId="26389" xr:uid="{00000000-0005-0000-0000-00007D5A0000}"/>
    <cellStyle name="40 % - Markeringsfarve6 18" xfId="7632" xr:uid="{00000000-0005-0000-0000-00007E5A0000}"/>
    <cellStyle name="40 % - Markeringsfarve6 18 2" xfId="15551" xr:uid="{00000000-0005-0000-0000-00007F5A0000}"/>
    <cellStyle name="40 % - Markeringsfarve6 18 2 2" xfId="33711" xr:uid="{00000000-0005-0000-0000-0000805A0000}"/>
    <cellStyle name="40 % - Markeringsfarve6 18 3" xfId="26710" xr:uid="{00000000-0005-0000-0000-0000815A0000}"/>
    <cellStyle name="40 % - Markeringsfarve6 19" xfId="6654" xr:uid="{00000000-0005-0000-0000-0000825A0000}"/>
    <cellStyle name="40 % - Markeringsfarve6 19 2" xfId="15208" xr:uid="{00000000-0005-0000-0000-0000835A0000}"/>
    <cellStyle name="40 % - Markeringsfarve6 19 2 2" xfId="33374" xr:uid="{00000000-0005-0000-0000-0000845A0000}"/>
    <cellStyle name="40 % - Markeringsfarve6 19 3" xfId="26372" xr:uid="{00000000-0005-0000-0000-0000855A0000}"/>
    <cellStyle name="40 % - Markeringsfarve6 2" xfId="1942" xr:uid="{00000000-0005-0000-0000-0000865A0000}"/>
    <cellStyle name="40 % - Markeringsfarve6 2 10" xfId="6673" xr:uid="{00000000-0005-0000-0000-0000875A0000}"/>
    <cellStyle name="40 % - Markeringsfarve6 2 10 2" xfId="8981" xr:uid="{00000000-0005-0000-0000-0000885A0000}"/>
    <cellStyle name="40 % - Markeringsfarve6 2 10 2 2" xfId="16892" xr:uid="{00000000-0005-0000-0000-0000895A0000}"/>
    <cellStyle name="40 % - Markeringsfarve6 2 10 2 2 2" xfId="35052" xr:uid="{00000000-0005-0000-0000-00008A5A0000}"/>
    <cellStyle name="40 % - Markeringsfarve6 2 10 2 3" xfId="28051" xr:uid="{00000000-0005-0000-0000-00008B5A0000}"/>
    <cellStyle name="40 % - Markeringsfarve6 2 10 3" xfId="15227" xr:uid="{00000000-0005-0000-0000-00008C5A0000}"/>
    <cellStyle name="40 % - Markeringsfarve6 2 10 3 2" xfId="33393" xr:uid="{00000000-0005-0000-0000-00008D5A0000}"/>
    <cellStyle name="40 % - Markeringsfarve6 2 10 4" xfId="26391" xr:uid="{00000000-0005-0000-0000-00008E5A0000}"/>
    <cellStyle name="40 % - Markeringsfarve6 2 11" xfId="6674" xr:uid="{00000000-0005-0000-0000-00008F5A0000}"/>
    <cellStyle name="40 % - Markeringsfarve6 2 11 2" xfId="10479" xr:uid="{00000000-0005-0000-0000-0000905A0000}"/>
    <cellStyle name="40 % - Markeringsfarve6 2 11 2 2" xfId="18375" xr:uid="{00000000-0005-0000-0000-0000915A0000}"/>
    <cellStyle name="40 % - Markeringsfarve6 2 11 2 2 2" xfId="36535" xr:uid="{00000000-0005-0000-0000-0000925A0000}"/>
    <cellStyle name="40 % - Markeringsfarve6 2 11 2 3" xfId="29534" xr:uid="{00000000-0005-0000-0000-0000935A0000}"/>
    <cellStyle name="40 % - Markeringsfarve6 2 11 3" xfId="15228" xr:uid="{00000000-0005-0000-0000-0000945A0000}"/>
    <cellStyle name="40 % - Markeringsfarve6 2 11 3 2" xfId="33394" xr:uid="{00000000-0005-0000-0000-0000955A0000}"/>
    <cellStyle name="40 % - Markeringsfarve6 2 11 4" xfId="26392" xr:uid="{00000000-0005-0000-0000-0000965A0000}"/>
    <cellStyle name="40 % - Markeringsfarve6 2 12" xfId="8260" xr:uid="{00000000-0005-0000-0000-0000975A0000}"/>
    <cellStyle name="40 % - Markeringsfarve6 2 12 2" xfId="16178" xr:uid="{00000000-0005-0000-0000-0000985A0000}"/>
    <cellStyle name="40 % - Markeringsfarve6 2 12 2 2" xfId="34338" xr:uid="{00000000-0005-0000-0000-0000995A0000}"/>
    <cellStyle name="40 % - Markeringsfarve6 2 12 3" xfId="27337" xr:uid="{00000000-0005-0000-0000-00009A5A0000}"/>
    <cellStyle name="40 % - Markeringsfarve6 2 13" xfId="15226" xr:uid="{00000000-0005-0000-0000-00009B5A0000}"/>
    <cellStyle name="40 % - Markeringsfarve6 2 13 2" xfId="33392" xr:uid="{00000000-0005-0000-0000-00009C5A0000}"/>
    <cellStyle name="40 % - Markeringsfarve6 2 14" xfId="6672" xr:uid="{00000000-0005-0000-0000-00009D5A0000}"/>
    <cellStyle name="40 % - Markeringsfarve6 2 14 2" xfId="26390" xr:uid="{00000000-0005-0000-0000-00009E5A0000}"/>
    <cellStyle name="40 % - Markeringsfarve6 2 15" xfId="22060" xr:uid="{00000000-0005-0000-0000-00009F5A0000}"/>
    <cellStyle name="40 % - Markeringsfarve6 2 2" xfId="1943" xr:uid="{00000000-0005-0000-0000-0000A05A0000}"/>
    <cellStyle name="40 % - Markeringsfarve6 2 2 10" xfId="8261" xr:uid="{00000000-0005-0000-0000-0000A15A0000}"/>
    <cellStyle name="40 % - Markeringsfarve6 2 2 10 2" xfId="16179" xr:uid="{00000000-0005-0000-0000-0000A25A0000}"/>
    <cellStyle name="40 % - Markeringsfarve6 2 2 10 2 2" xfId="34339" xr:uid="{00000000-0005-0000-0000-0000A35A0000}"/>
    <cellStyle name="40 % - Markeringsfarve6 2 2 10 3" xfId="27338" xr:uid="{00000000-0005-0000-0000-0000A45A0000}"/>
    <cellStyle name="40 % - Markeringsfarve6 2 2 11" xfId="15229" xr:uid="{00000000-0005-0000-0000-0000A55A0000}"/>
    <cellStyle name="40 % - Markeringsfarve6 2 2 11 2" xfId="33395" xr:uid="{00000000-0005-0000-0000-0000A65A0000}"/>
    <cellStyle name="40 % - Markeringsfarve6 2 2 12" xfId="6675" xr:uid="{00000000-0005-0000-0000-0000A75A0000}"/>
    <cellStyle name="40 % - Markeringsfarve6 2 2 12 2" xfId="26393" xr:uid="{00000000-0005-0000-0000-0000A85A0000}"/>
    <cellStyle name="40 % - Markeringsfarve6 2 2 13" xfId="22061" xr:uid="{00000000-0005-0000-0000-0000A95A0000}"/>
    <cellStyle name="40 % - Markeringsfarve6 2 2 2" xfId="1944" xr:uid="{00000000-0005-0000-0000-0000AA5A0000}"/>
    <cellStyle name="40 % - Markeringsfarve6 2 2 2 2" xfId="6677" xr:uid="{00000000-0005-0000-0000-0000AB5A0000}"/>
    <cellStyle name="40 % - Markeringsfarve6 2 2 2 2 2" xfId="6678" xr:uid="{00000000-0005-0000-0000-0000AC5A0000}"/>
    <cellStyle name="40 % - Markeringsfarve6 2 2 2 2 2 2" xfId="9912" xr:uid="{00000000-0005-0000-0000-0000AD5A0000}"/>
    <cellStyle name="40 % - Markeringsfarve6 2 2 2 2 2 2 2" xfId="17813" xr:uid="{00000000-0005-0000-0000-0000AE5A0000}"/>
    <cellStyle name="40 % - Markeringsfarve6 2 2 2 2 2 2 2 2" xfId="35973" xr:uid="{00000000-0005-0000-0000-0000AF5A0000}"/>
    <cellStyle name="40 % - Markeringsfarve6 2 2 2 2 2 2 3" xfId="28972" xr:uid="{00000000-0005-0000-0000-0000B05A0000}"/>
    <cellStyle name="40 % - Markeringsfarve6 2 2 2 2 2 3" xfId="15232" xr:uid="{00000000-0005-0000-0000-0000B15A0000}"/>
    <cellStyle name="40 % - Markeringsfarve6 2 2 2 2 2 3 2" xfId="33398" xr:uid="{00000000-0005-0000-0000-0000B25A0000}"/>
    <cellStyle name="40 % - Markeringsfarve6 2 2 2 2 2 4" xfId="26396" xr:uid="{00000000-0005-0000-0000-0000B35A0000}"/>
    <cellStyle name="40 % - Markeringsfarve6 2 2 2 2 3" xfId="8483" xr:uid="{00000000-0005-0000-0000-0000B45A0000}"/>
    <cellStyle name="40 % - Markeringsfarve6 2 2 2 2 3 2" xfId="16400" xr:uid="{00000000-0005-0000-0000-0000B55A0000}"/>
    <cellStyle name="40 % - Markeringsfarve6 2 2 2 2 3 2 2" xfId="34560" xr:uid="{00000000-0005-0000-0000-0000B65A0000}"/>
    <cellStyle name="40 % - Markeringsfarve6 2 2 2 2 3 3" xfId="27559" xr:uid="{00000000-0005-0000-0000-0000B75A0000}"/>
    <cellStyle name="40 % - Markeringsfarve6 2 2 2 2 4" xfId="15231" xr:uid="{00000000-0005-0000-0000-0000B85A0000}"/>
    <cellStyle name="40 % - Markeringsfarve6 2 2 2 2 4 2" xfId="33397" xr:uid="{00000000-0005-0000-0000-0000B95A0000}"/>
    <cellStyle name="40 % - Markeringsfarve6 2 2 2 2 5" xfId="26395" xr:uid="{00000000-0005-0000-0000-0000BA5A0000}"/>
    <cellStyle name="40 % - Markeringsfarve6 2 2 2 3" xfId="6679" xr:uid="{00000000-0005-0000-0000-0000BB5A0000}"/>
    <cellStyle name="40 % - Markeringsfarve6 2 2 2 3 2" xfId="9142" xr:uid="{00000000-0005-0000-0000-0000BC5A0000}"/>
    <cellStyle name="40 % - Markeringsfarve6 2 2 2 3 2 2" xfId="17053" xr:uid="{00000000-0005-0000-0000-0000BD5A0000}"/>
    <cellStyle name="40 % - Markeringsfarve6 2 2 2 3 2 2 2" xfId="35213" xr:uid="{00000000-0005-0000-0000-0000BE5A0000}"/>
    <cellStyle name="40 % - Markeringsfarve6 2 2 2 3 2 3" xfId="28212" xr:uid="{00000000-0005-0000-0000-0000BF5A0000}"/>
    <cellStyle name="40 % - Markeringsfarve6 2 2 2 3 3" xfId="15233" xr:uid="{00000000-0005-0000-0000-0000C05A0000}"/>
    <cellStyle name="40 % - Markeringsfarve6 2 2 2 3 3 2" xfId="33399" xr:uid="{00000000-0005-0000-0000-0000C15A0000}"/>
    <cellStyle name="40 % - Markeringsfarve6 2 2 2 3 4" xfId="26397" xr:uid="{00000000-0005-0000-0000-0000C25A0000}"/>
    <cellStyle name="40 % - Markeringsfarve6 2 2 2 4" xfId="6680" xr:uid="{00000000-0005-0000-0000-0000C35A0000}"/>
    <cellStyle name="40 % - Markeringsfarve6 2 2 2 4 2" xfId="10773" xr:uid="{00000000-0005-0000-0000-0000C45A0000}"/>
    <cellStyle name="40 % - Markeringsfarve6 2 2 2 4 2 2" xfId="18661" xr:uid="{00000000-0005-0000-0000-0000C55A0000}"/>
    <cellStyle name="40 % - Markeringsfarve6 2 2 2 4 2 2 2" xfId="36821" xr:uid="{00000000-0005-0000-0000-0000C65A0000}"/>
    <cellStyle name="40 % - Markeringsfarve6 2 2 2 4 2 3" xfId="29820" xr:uid="{00000000-0005-0000-0000-0000C75A0000}"/>
    <cellStyle name="40 % - Markeringsfarve6 2 2 2 4 3" xfId="15234" xr:uid="{00000000-0005-0000-0000-0000C85A0000}"/>
    <cellStyle name="40 % - Markeringsfarve6 2 2 2 4 3 2" xfId="33400" xr:uid="{00000000-0005-0000-0000-0000C95A0000}"/>
    <cellStyle name="40 % - Markeringsfarve6 2 2 2 4 4" xfId="26398" xr:uid="{00000000-0005-0000-0000-0000CA5A0000}"/>
    <cellStyle name="40 % - Markeringsfarve6 2 2 2 5" xfId="8262" xr:uid="{00000000-0005-0000-0000-0000CB5A0000}"/>
    <cellStyle name="40 % - Markeringsfarve6 2 2 2 5 2" xfId="16180" xr:uid="{00000000-0005-0000-0000-0000CC5A0000}"/>
    <cellStyle name="40 % - Markeringsfarve6 2 2 2 5 2 2" xfId="34340" xr:uid="{00000000-0005-0000-0000-0000CD5A0000}"/>
    <cellStyle name="40 % - Markeringsfarve6 2 2 2 5 3" xfId="27339" xr:uid="{00000000-0005-0000-0000-0000CE5A0000}"/>
    <cellStyle name="40 % - Markeringsfarve6 2 2 2 6" xfId="15230" xr:uid="{00000000-0005-0000-0000-0000CF5A0000}"/>
    <cellStyle name="40 % - Markeringsfarve6 2 2 2 6 2" xfId="33396" xr:uid="{00000000-0005-0000-0000-0000D05A0000}"/>
    <cellStyle name="40 % - Markeringsfarve6 2 2 2 7" xfId="6676" xr:uid="{00000000-0005-0000-0000-0000D15A0000}"/>
    <cellStyle name="40 % - Markeringsfarve6 2 2 2 7 2" xfId="26394" xr:uid="{00000000-0005-0000-0000-0000D25A0000}"/>
    <cellStyle name="40 % - Markeringsfarve6 2 2 2 8" xfId="22062" xr:uid="{00000000-0005-0000-0000-0000D35A0000}"/>
    <cellStyle name="40 % - Markeringsfarve6 2 2 3" xfId="6681" xr:uid="{00000000-0005-0000-0000-0000D45A0000}"/>
    <cellStyle name="40 % - Markeringsfarve6 2 2 3 2" xfId="6682" xr:uid="{00000000-0005-0000-0000-0000D55A0000}"/>
    <cellStyle name="40 % - Markeringsfarve6 2 2 3 2 2" xfId="6683" xr:uid="{00000000-0005-0000-0000-0000D65A0000}"/>
    <cellStyle name="40 % - Markeringsfarve6 2 2 3 2 2 2" xfId="10055" xr:uid="{00000000-0005-0000-0000-0000D75A0000}"/>
    <cellStyle name="40 % - Markeringsfarve6 2 2 3 2 2 2 2" xfId="17956" xr:uid="{00000000-0005-0000-0000-0000D85A0000}"/>
    <cellStyle name="40 % - Markeringsfarve6 2 2 3 2 2 2 2 2" xfId="36116" xr:uid="{00000000-0005-0000-0000-0000D95A0000}"/>
    <cellStyle name="40 % - Markeringsfarve6 2 2 3 2 2 2 3" xfId="29115" xr:uid="{00000000-0005-0000-0000-0000DA5A0000}"/>
    <cellStyle name="40 % - Markeringsfarve6 2 2 3 2 2 3" xfId="15237" xr:uid="{00000000-0005-0000-0000-0000DB5A0000}"/>
    <cellStyle name="40 % - Markeringsfarve6 2 2 3 2 2 3 2" xfId="33403" xr:uid="{00000000-0005-0000-0000-0000DC5A0000}"/>
    <cellStyle name="40 % - Markeringsfarve6 2 2 3 2 2 4" xfId="26401" xr:uid="{00000000-0005-0000-0000-0000DD5A0000}"/>
    <cellStyle name="40 % - Markeringsfarve6 2 2 3 2 3" xfId="8601" xr:uid="{00000000-0005-0000-0000-0000DE5A0000}"/>
    <cellStyle name="40 % - Markeringsfarve6 2 2 3 2 3 2" xfId="16518" xr:uid="{00000000-0005-0000-0000-0000DF5A0000}"/>
    <cellStyle name="40 % - Markeringsfarve6 2 2 3 2 3 2 2" xfId="34678" xr:uid="{00000000-0005-0000-0000-0000E05A0000}"/>
    <cellStyle name="40 % - Markeringsfarve6 2 2 3 2 3 3" xfId="27677" xr:uid="{00000000-0005-0000-0000-0000E15A0000}"/>
    <cellStyle name="40 % - Markeringsfarve6 2 2 3 2 4" xfId="15236" xr:uid="{00000000-0005-0000-0000-0000E25A0000}"/>
    <cellStyle name="40 % - Markeringsfarve6 2 2 3 2 4 2" xfId="33402" xr:uid="{00000000-0005-0000-0000-0000E35A0000}"/>
    <cellStyle name="40 % - Markeringsfarve6 2 2 3 2 5" xfId="26400" xr:uid="{00000000-0005-0000-0000-0000E45A0000}"/>
    <cellStyle name="40 % - Markeringsfarve6 2 2 3 3" xfId="6684" xr:uid="{00000000-0005-0000-0000-0000E55A0000}"/>
    <cellStyle name="40 % - Markeringsfarve6 2 2 3 3 2" xfId="9285" xr:uid="{00000000-0005-0000-0000-0000E65A0000}"/>
    <cellStyle name="40 % - Markeringsfarve6 2 2 3 3 2 2" xfId="17196" xr:uid="{00000000-0005-0000-0000-0000E75A0000}"/>
    <cellStyle name="40 % - Markeringsfarve6 2 2 3 3 2 2 2" xfId="35356" xr:uid="{00000000-0005-0000-0000-0000E85A0000}"/>
    <cellStyle name="40 % - Markeringsfarve6 2 2 3 3 2 3" xfId="28355" xr:uid="{00000000-0005-0000-0000-0000E95A0000}"/>
    <cellStyle name="40 % - Markeringsfarve6 2 2 3 3 3" xfId="15238" xr:uid="{00000000-0005-0000-0000-0000EA5A0000}"/>
    <cellStyle name="40 % - Markeringsfarve6 2 2 3 3 3 2" xfId="33404" xr:uid="{00000000-0005-0000-0000-0000EB5A0000}"/>
    <cellStyle name="40 % - Markeringsfarve6 2 2 3 3 4" xfId="26402" xr:uid="{00000000-0005-0000-0000-0000EC5A0000}"/>
    <cellStyle name="40 % - Markeringsfarve6 2 2 3 4" xfId="6685" xr:uid="{00000000-0005-0000-0000-0000ED5A0000}"/>
    <cellStyle name="40 % - Markeringsfarve6 2 2 3 4 2" xfId="10988" xr:uid="{00000000-0005-0000-0000-0000EE5A0000}"/>
    <cellStyle name="40 % - Markeringsfarve6 2 2 3 4 2 2" xfId="18864" xr:uid="{00000000-0005-0000-0000-0000EF5A0000}"/>
    <cellStyle name="40 % - Markeringsfarve6 2 2 3 4 2 2 2" xfId="37024" xr:uid="{00000000-0005-0000-0000-0000F05A0000}"/>
    <cellStyle name="40 % - Markeringsfarve6 2 2 3 4 2 3" xfId="30023" xr:uid="{00000000-0005-0000-0000-0000F15A0000}"/>
    <cellStyle name="40 % - Markeringsfarve6 2 2 3 4 3" xfId="15239" xr:uid="{00000000-0005-0000-0000-0000F25A0000}"/>
    <cellStyle name="40 % - Markeringsfarve6 2 2 3 4 3 2" xfId="33405" xr:uid="{00000000-0005-0000-0000-0000F35A0000}"/>
    <cellStyle name="40 % - Markeringsfarve6 2 2 3 4 4" xfId="26403" xr:uid="{00000000-0005-0000-0000-0000F45A0000}"/>
    <cellStyle name="40 % - Markeringsfarve6 2 2 3 5" xfId="8263" xr:uid="{00000000-0005-0000-0000-0000F55A0000}"/>
    <cellStyle name="40 % - Markeringsfarve6 2 2 3 5 2" xfId="16181" xr:uid="{00000000-0005-0000-0000-0000F65A0000}"/>
    <cellStyle name="40 % - Markeringsfarve6 2 2 3 5 2 2" xfId="34341" xr:uid="{00000000-0005-0000-0000-0000F75A0000}"/>
    <cellStyle name="40 % - Markeringsfarve6 2 2 3 5 3" xfId="27340" xr:uid="{00000000-0005-0000-0000-0000F85A0000}"/>
    <cellStyle name="40 % - Markeringsfarve6 2 2 3 6" xfId="15235" xr:uid="{00000000-0005-0000-0000-0000F95A0000}"/>
    <cellStyle name="40 % - Markeringsfarve6 2 2 3 6 2" xfId="33401" xr:uid="{00000000-0005-0000-0000-0000FA5A0000}"/>
    <cellStyle name="40 % - Markeringsfarve6 2 2 3 7" xfId="26399" xr:uid="{00000000-0005-0000-0000-0000FB5A0000}"/>
    <cellStyle name="40 % - Markeringsfarve6 2 2 4" xfId="6686" xr:uid="{00000000-0005-0000-0000-0000FC5A0000}"/>
    <cellStyle name="40 % - Markeringsfarve6 2 2 4 2" xfId="6687" xr:uid="{00000000-0005-0000-0000-0000FD5A0000}"/>
    <cellStyle name="40 % - Markeringsfarve6 2 2 4 2 2" xfId="6688" xr:uid="{00000000-0005-0000-0000-0000FE5A0000}"/>
    <cellStyle name="40 % - Markeringsfarve6 2 2 4 2 2 2" xfId="10150" xr:uid="{00000000-0005-0000-0000-0000FF5A0000}"/>
    <cellStyle name="40 % - Markeringsfarve6 2 2 4 2 2 2 2" xfId="18051" xr:uid="{00000000-0005-0000-0000-0000005B0000}"/>
    <cellStyle name="40 % - Markeringsfarve6 2 2 4 2 2 2 2 2" xfId="36211" xr:uid="{00000000-0005-0000-0000-0000015B0000}"/>
    <cellStyle name="40 % - Markeringsfarve6 2 2 4 2 2 2 3" xfId="29210" xr:uid="{00000000-0005-0000-0000-0000025B0000}"/>
    <cellStyle name="40 % - Markeringsfarve6 2 2 4 2 2 3" xfId="15242" xr:uid="{00000000-0005-0000-0000-0000035B0000}"/>
    <cellStyle name="40 % - Markeringsfarve6 2 2 4 2 2 3 2" xfId="33408" xr:uid="{00000000-0005-0000-0000-0000045B0000}"/>
    <cellStyle name="40 % - Markeringsfarve6 2 2 4 2 2 4" xfId="26406" xr:uid="{00000000-0005-0000-0000-0000055B0000}"/>
    <cellStyle name="40 % - Markeringsfarve6 2 2 4 2 3" xfId="8685" xr:uid="{00000000-0005-0000-0000-0000065B0000}"/>
    <cellStyle name="40 % - Markeringsfarve6 2 2 4 2 3 2" xfId="16599" xr:uid="{00000000-0005-0000-0000-0000075B0000}"/>
    <cellStyle name="40 % - Markeringsfarve6 2 2 4 2 3 2 2" xfId="34759" xr:uid="{00000000-0005-0000-0000-0000085B0000}"/>
    <cellStyle name="40 % - Markeringsfarve6 2 2 4 2 3 3" xfId="27758" xr:uid="{00000000-0005-0000-0000-0000095B0000}"/>
    <cellStyle name="40 % - Markeringsfarve6 2 2 4 2 4" xfId="15241" xr:uid="{00000000-0005-0000-0000-00000A5B0000}"/>
    <cellStyle name="40 % - Markeringsfarve6 2 2 4 2 4 2" xfId="33407" xr:uid="{00000000-0005-0000-0000-00000B5B0000}"/>
    <cellStyle name="40 % - Markeringsfarve6 2 2 4 2 5" xfId="26405" xr:uid="{00000000-0005-0000-0000-00000C5B0000}"/>
    <cellStyle name="40 % - Markeringsfarve6 2 2 4 3" xfId="6689" xr:uid="{00000000-0005-0000-0000-00000D5B0000}"/>
    <cellStyle name="40 % - Markeringsfarve6 2 2 4 3 2" xfId="9426" xr:uid="{00000000-0005-0000-0000-00000E5B0000}"/>
    <cellStyle name="40 % - Markeringsfarve6 2 2 4 3 2 2" xfId="17336" xr:uid="{00000000-0005-0000-0000-00000F5B0000}"/>
    <cellStyle name="40 % - Markeringsfarve6 2 2 4 3 2 2 2" xfId="35496" xr:uid="{00000000-0005-0000-0000-0000105B0000}"/>
    <cellStyle name="40 % - Markeringsfarve6 2 2 4 3 2 3" xfId="28495" xr:uid="{00000000-0005-0000-0000-0000115B0000}"/>
    <cellStyle name="40 % - Markeringsfarve6 2 2 4 3 3" xfId="15243" xr:uid="{00000000-0005-0000-0000-0000125B0000}"/>
    <cellStyle name="40 % - Markeringsfarve6 2 2 4 3 3 2" xfId="33409" xr:uid="{00000000-0005-0000-0000-0000135B0000}"/>
    <cellStyle name="40 % - Markeringsfarve6 2 2 4 3 4" xfId="26407" xr:uid="{00000000-0005-0000-0000-0000145B0000}"/>
    <cellStyle name="40 % - Markeringsfarve6 2 2 4 4" xfId="6690" xr:uid="{00000000-0005-0000-0000-0000155B0000}"/>
    <cellStyle name="40 % - Markeringsfarve6 2 2 4 4 2" xfId="10708" xr:uid="{00000000-0005-0000-0000-0000165B0000}"/>
    <cellStyle name="40 % - Markeringsfarve6 2 2 4 4 2 2" xfId="18597" xr:uid="{00000000-0005-0000-0000-0000175B0000}"/>
    <cellStyle name="40 % - Markeringsfarve6 2 2 4 4 2 2 2" xfId="36757" xr:uid="{00000000-0005-0000-0000-0000185B0000}"/>
    <cellStyle name="40 % - Markeringsfarve6 2 2 4 4 2 3" xfId="29756" xr:uid="{00000000-0005-0000-0000-0000195B0000}"/>
    <cellStyle name="40 % - Markeringsfarve6 2 2 4 4 3" xfId="15244" xr:uid="{00000000-0005-0000-0000-00001A5B0000}"/>
    <cellStyle name="40 % - Markeringsfarve6 2 2 4 4 3 2" xfId="33410" xr:uid="{00000000-0005-0000-0000-00001B5B0000}"/>
    <cellStyle name="40 % - Markeringsfarve6 2 2 4 4 4" xfId="26408" xr:uid="{00000000-0005-0000-0000-00001C5B0000}"/>
    <cellStyle name="40 % - Markeringsfarve6 2 2 4 5" xfId="8264" xr:uid="{00000000-0005-0000-0000-00001D5B0000}"/>
    <cellStyle name="40 % - Markeringsfarve6 2 2 4 5 2" xfId="16182" xr:uid="{00000000-0005-0000-0000-00001E5B0000}"/>
    <cellStyle name="40 % - Markeringsfarve6 2 2 4 5 2 2" xfId="34342" xr:uid="{00000000-0005-0000-0000-00001F5B0000}"/>
    <cellStyle name="40 % - Markeringsfarve6 2 2 4 5 3" xfId="27341" xr:uid="{00000000-0005-0000-0000-0000205B0000}"/>
    <cellStyle name="40 % - Markeringsfarve6 2 2 4 6" xfId="15240" xr:uid="{00000000-0005-0000-0000-0000215B0000}"/>
    <cellStyle name="40 % - Markeringsfarve6 2 2 4 6 2" xfId="33406" xr:uid="{00000000-0005-0000-0000-0000225B0000}"/>
    <cellStyle name="40 % - Markeringsfarve6 2 2 4 7" xfId="26404" xr:uid="{00000000-0005-0000-0000-0000235B0000}"/>
    <cellStyle name="40 % - Markeringsfarve6 2 2 5" xfId="6691" xr:uid="{00000000-0005-0000-0000-0000245B0000}"/>
    <cellStyle name="40 % - Markeringsfarve6 2 2 5 2" xfId="6692" xr:uid="{00000000-0005-0000-0000-0000255B0000}"/>
    <cellStyle name="40 % - Markeringsfarve6 2 2 5 2 2" xfId="6693" xr:uid="{00000000-0005-0000-0000-0000265B0000}"/>
    <cellStyle name="40 % - Markeringsfarve6 2 2 5 2 2 2" xfId="10267" xr:uid="{00000000-0005-0000-0000-0000275B0000}"/>
    <cellStyle name="40 % - Markeringsfarve6 2 2 5 2 2 2 2" xfId="18168" xr:uid="{00000000-0005-0000-0000-0000285B0000}"/>
    <cellStyle name="40 % - Markeringsfarve6 2 2 5 2 2 2 2 2" xfId="36328" xr:uid="{00000000-0005-0000-0000-0000295B0000}"/>
    <cellStyle name="40 % - Markeringsfarve6 2 2 5 2 2 2 3" xfId="29327" xr:uid="{00000000-0005-0000-0000-00002A5B0000}"/>
    <cellStyle name="40 % - Markeringsfarve6 2 2 5 2 2 3" xfId="15247" xr:uid="{00000000-0005-0000-0000-00002B5B0000}"/>
    <cellStyle name="40 % - Markeringsfarve6 2 2 5 2 2 3 2" xfId="33413" xr:uid="{00000000-0005-0000-0000-00002C5B0000}"/>
    <cellStyle name="40 % - Markeringsfarve6 2 2 5 2 2 4" xfId="26411" xr:uid="{00000000-0005-0000-0000-00002D5B0000}"/>
    <cellStyle name="40 % - Markeringsfarve6 2 2 5 2 3" xfId="8784" xr:uid="{00000000-0005-0000-0000-00002E5B0000}"/>
    <cellStyle name="40 % - Markeringsfarve6 2 2 5 2 3 2" xfId="16698" xr:uid="{00000000-0005-0000-0000-00002F5B0000}"/>
    <cellStyle name="40 % - Markeringsfarve6 2 2 5 2 3 2 2" xfId="34858" xr:uid="{00000000-0005-0000-0000-0000305B0000}"/>
    <cellStyle name="40 % - Markeringsfarve6 2 2 5 2 3 3" xfId="27857" xr:uid="{00000000-0005-0000-0000-0000315B0000}"/>
    <cellStyle name="40 % - Markeringsfarve6 2 2 5 2 4" xfId="15246" xr:uid="{00000000-0005-0000-0000-0000325B0000}"/>
    <cellStyle name="40 % - Markeringsfarve6 2 2 5 2 4 2" xfId="33412" xr:uid="{00000000-0005-0000-0000-0000335B0000}"/>
    <cellStyle name="40 % - Markeringsfarve6 2 2 5 2 5" xfId="26410" xr:uid="{00000000-0005-0000-0000-0000345B0000}"/>
    <cellStyle name="40 % - Markeringsfarve6 2 2 5 3" xfId="6694" xr:uid="{00000000-0005-0000-0000-0000355B0000}"/>
    <cellStyle name="40 % - Markeringsfarve6 2 2 5 3 2" xfId="9543" xr:uid="{00000000-0005-0000-0000-0000365B0000}"/>
    <cellStyle name="40 % - Markeringsfarve6 2 2 5 3 2 2" xfId="17453" xr:uid="{00000000-0005-0000-0000-0000375B0000}"/>
    <cellStyle name="40 % - Markeringsfarve6 2 2 5 3 2 2 2" xfId="35613" xr:uid="{00000000-0005-0000-0000-0000385B0000}"/>
    <cellStyle name="40 % - Markeringsfarve6 2 2 5 3 2 3" xfId="28612" xr:uid="{00000000-0005-0000-0000-0000395B0000}"/>
    <cellStyle name="40 % - Markeringsfarve6 2 2 5 3 3" xfId="15248" xr:uid="{00000000-0005-0000-0000-00003A5B0000}"/>
    <cellStyle name="40 % - Markeringsfarve6 2 2 5 3 3 2" xfId="33414" xr:uid="{00000000-0005-0000-0000-00003B5B0000}"/>
    <cellStyle name="40 % - Markeringsfarve6 2 2 5 3 4" xfId="26412" xr:uid="{00000000-0005-0000-0000-00003C5B0000}"/>
    <cellStyle name="40 % - Markeringsfarve6 2 2 5 4" xfId="6695" xr:uid="{00000000-0005-0000-0000-00003D5B0000}"/>
    <cellStyle name="40 % - Markeringsfarve6 2 2 5 4 2" xfId="10946" xr:uid="{00000000-0005-0000-0000-00003E5B0000}"/>
    <cellStyle name="40 % - Markeringsfarve6 2 2 5 4 2 2" xfId="18826" xr:uid="{00000000-0005-0000-0000-00003F5B0000}"/>
    <cellStyle name="40 % - Markeringsfarve6 2 2 5 4 2 2 2" xfId="36986" xr:uid="{00000000-0005-0000-0000-0000405B0000}"/>
    <cellStyle name="40 % - Markeringsfarve6 2 2 5 4 2 3" xfId="29985" xr:uid="{00000000-0005-0000-0000-0000415B0000}"/>
    <cellStyle name="40 % - Markeringsfarve6 2 2 5 4 3" xfId="15249" xr:uid="{00000000-0005-0000-0000-0000425B0000}"/>
    <cellStyle name="40 % - Markeringsfarve6 2 2 5 4 3 2" xfId="33415" xr:uid="{00000000-0005-0000-0000-0000435B0000}"/>
    <cellStyle name="40 % - Markeringsfarve6 2 2 5 4 4" xfId="26413" xr:uid="{00000000-0005-0000-0000-0000445B0000}"/>
    <cellStyle name="40 % - Markeringsfarve6 2 2 5 5" xfId="8265" xr:uid="{00000000-0005-0000-0000-0000455B0000}"/>
    <cellStyle name="40 % - Markeringsfarve6 2 2 5 5 2" xfId="16183" xr:uid="{00000000-0005-0000-0000-0000465B0000}"/>
    <cellStyle name="40 % - Markeringsfarve6 2 2 5 5 2 2" xfId="34343" xr:uid="{00000000-0005-0000-0000-0000475B0000}"/>
    <cellStyle name="40 % - Markeringsfarve6 2 2 5 5 3" xfId="27342" xr:uid="{00000000-0005-0000-0000-0000485B0000}"/>
    <cellStyle name="40 % - Markeringsfarve6 2 2 5 6" xfId="15245" xr:uid="{00000000-0005-0000-0000-0000495B0000}"/>
    <cellStyle name="40 % - Markeringsfarve6 2 2 5 6 2" xfId="33411" xr:uid="{00000000-0005-0000-0000-00004A5B0000}"/>
    <cellStyle name="40 % - Markeringsfarve6 2 2 5 7" xfId="26409" xr:uid="{00000000-0005-0000-0000-00004B5B0000}"/>
    <cellStyle name="40 % - Markeringsfarve6 2 2 6" xfId="6696" xr:uid="{00000000-0005-0000-0000-00004C5B0000}"/>
    <cellStyle name="40 % - Markeringsfarve6 2 2 6 2" xfId="6697" xr:uid="{00000000-0005-0000-0000-00004D5B0000}"/>
    <cellStyle name="40 % - Markeringsfarve6 2 2 6 2 2" xfId="6698" xr:uid="{00000000-0005-0000-0000-00004E5B0000}"/>
    <cellStyle name="40 % - Markeringsfarve6 2 2 6 2 2 2" xfId="10409" xr:uid="{00000000-0005-0000-0000-00004F5B0000}"/>
    <cellStyle name="40 % - Markeringsfarve6 2 2 6 2 2 2 2" xfId="18310" xr:uid="{00000000-0005-0000-0000-0000505B0000}"/>
    <cellStyle name="40 % - Markeringsfarve6 2 2 6 2 2 2 2 2" xfId="36470" xr:uid="{00000000-0005-0000-0000-0000515B0000}"/>
    <cellStyle name="40 % - Markeringsfarve6 2 2 6 2 2 2 3" xfId="29469" xr:uid="{00000000-0005-0000-0000-0000525B0000}"/>
    <cellStyle name="40 % - Markeringsfarve6 2 2 6 2 2 3" xfId="15252" xr:uid="{00000000-0005-0000-0000-0000535B0000}"/>
    <cellStyle name="40 % - Markeringsfarve6 2 2 6 2 2 3 2" xfId="33418" xr:uid="{00000000-0005-0000-0000-0000545B0000}"/>
    <cellStyle name="40 % - Markeringsfarve6 2 2 6 2 2 4" xfId="26416" xr:uid="{00000000-0005-0000-0000-0000555B0000}"/>
    <cellStyle name="40 % - Markeringsfarve6 2 2 6 2 3" xfId="8902" xr:uid="{00000000-0005-0000-0000-0000565B0000}"/>
    <cellStyle name="40 % - Markeringsfarve6 2 2 6 2 3 2" xfId="16816" xr:uid="{00000000-0005-0000-0000-0000575B0000}"/>
    <cellStyle name="40 % - Markeringsfarve6 2 2 6 2 3 2 2" xfId="34976" xr:uid="{00000000-0005-0000-0000-0000585B0000}"/>
    <cellStyle name="40 % - Markeringsfarve6 2 2 6 2 3 3" xfId="27975" xr:uid="{00000000-0005-0000-0000-0000595B0000}"/>
    <cellStyle name="40 % - Markeringsfarve6 2 2 6 2 4" xfId="15251" xr:uid="{00000000-0005-0000-0000-00005A5B0000}"/>
    <cellStyle name="40 % - Markeringsfarve6 2 2 6 2 4 2" xfId="33417" xr:uid="{00000000-0005-0000-0000-00005B5B0000}"/>
    <cellStyle name="40 % - Markeringsfarve6 2 2 6 2 5" xfId="26415" xr:uid="{00000000-0005-0000-0000-00005C5B0000}"/>
    <cellStyle name="40 % - Markeringsfarve6 2 2 6 3" xfId="6699" xr:uid="{00000000-0005-0000-0000-00005D5B0000}"/>
    <cellStyle name="40 % - Markeringsfarve6 2 2 6 3 2" xfId="9686" xr:uid="{00000000-0005-0000-0000-00005E5B0000}"/>
    <cellStyle name="40 % - Markeringsfarve6 2 2 6 3 2 2" xfId="17596" xr:uid="{00000000-0005-0000-0000-00005F5B0000}"/>
    <cellStyle name="40 % - Markeringsfarve6 2 2 6 3 2 2 2" xfId="35756" xr:uid="{00000000-0005-0000-0000-0000605B0000}"/>
    <cellStyle name="40 % - Markeringsfarve6 2 2 6 3 2 3" xfId="28755" xr:uid="{00000000-0005-0000-0000-0000615B0000}"/>
    <cellStyle name="40 % - Markeringsfarve6 2 2 6 3 3" xfId="15253" xr:uid="{00000000-0005-0000-0000-0000625B0000}"/>
    <cellStyle name="40 % - Markeringsfarve6 2 2 6 3 3 2" xfId="33419" xr:uid="{00000000-0005-0000-0000-0000635B0000}"/>
    <cellStyle name="40 % - Markeringsfarve6 2 2 6 3 4" xfId="26417" xr:uid="{00000000-0005-0000-0000-0000645B0000}"/>
    <cellStyle name="40 % - Markeringsfarve6 2 2 6 4" xfId="6700" xr:uid="{00000000-0005-0000-0000-0000655B0000}"/>
    <cellStyle name="40 % - Markeringsfarve6 2 2 6 4 2" xfId="10671" xr:uid="{00000000-0005-0000-0000-0000665B0000}"/>
    <cellStyle name="40 % - Markeringsfarve6 2 2 6 4 2 2" xfId="18563" xr:uid="{00000000-0005-0000-0000-0000675B0000}"/>
    <cellStyle name="40 % - Markeringsfarve6 2 2 6 4 2 2 2" xfId="36723" xr:uid="{00000000-0005-0000-0000-0000685B0000}"/>
    <cellStyle name="40 % - Markeringsfarve6 2 2 6 4 2 3" xfId="29722" xr:uid="{00000000-0005-0000-0000-0000695B0000}"/>
    <cellStyle name="40 % - Markeringsfarve6 2 2 6 4 3" xfId="15254" xr:uid="{00000000-0005-0000-0000-00006A5B0000}"/>
    <cellStyle name="40 % - Markeringsfarve6 2 2 6 4 3 2" xfId="33420" xr:uid="{00000000-0005-0000-0000-00006B5B0000}"/>
    <cellStyle name="40 % - Markeringsfarve6 2 2 6 4 4" xfId="26418" xr:uid="{00000000-0005-0000-0000-00006C5B0000}"/>
    <cellStyle name="40 % - Markeringsfarve6 2 2 6 5" xfId="8266" xr:uid="{00000000-0005-0000-0000-00006D5B0000}"/>
    <cellStyle name="40 % - Markeringsfarve6 2 2 6 5 2" xfId="16184" xr:uid="{00000000-0005-0000-0000-00006E5B0000}"/>
    <cellStyle name="40 % - Markeringsfarve6 2 2 6 5 2 2" xfId="34344" xr:uid="{00000000-0005-0000-0000-00006F5B0000}"/>
    <cellStyle name="40 % - Markeringsfarve6 2 2 6 5 3" xfId="27343" xr:uid="{00000000-0005-0000-0000-0000705B0000}"/>
    <cellStyle name="40 % - Markeringsfarve6 2 2 6 6" xfId="15250" xr:uid="{00000000-0005-0000-0000-0000715B0000}"/>
    <cellStyle name="40 % - Markeringsfarve6 2 2 6 6 2" xfId="33416" xr:uid="{00000000-0005-0000-0000-0000725B0000}"/>
    <cellStyle name="40 % - Markeringsfarve6 2 2 6 7" xfId="26414" xr:uid="{00000000-0005-0000-0000-0000735B0000}"/>
    <cellStyle name="40 % - Markeringsfarve6 2 2 7" xfId="6701" xr:uid="{00000000-0005-0000-0000-0000745B0000}"/>
    <cellStyle name="40 % - Markeringsfarve6 2 2 7 2" xfId="6702" xr:uid="{00000000-0005-0000-0000-0000755B0000}"/>
    <cellStyle name="40 % - Markeringsfarve6 2 2 7 2 2" xfId="9793" xr:uid="{00000000-0005-0000-0000-0000765B0000}"/>
    <cellStyle name="40 % - Markeringsfarve6 2 2 7 2 2 2" xfId="17694" xr:uid="{00000000-0005-0000-0000-0000775B0000}"/>
    <cellStyle name="40 % - Markeringsfarve6 2 2 7 2 2 2 2" xfId="35854" xr:uid="{00000000-0005-0000-0000-0000785B0000}"/>
    <cellStyle name="40 % - Markeringsfarve6 2 2 7 2 2 3" xfId="28853" xr:uid="{00000000-0005-0000-0000-0000795B0000}"/>
    <cellStyle name="40 % - Markeringsfarve6 2 2 7 2 3" xfId="15256" xr:uid="{00000000-0005-0000-0000-00007A5B0000}"/>
    <cellStyle name="40 % - Markeringsfarve6 2 2 7 2 3 2" xfId="33422" xr:uid="{00000000-0005-0000-0000-00007B5B0000}"/>
    <cellStyle name="40 % - Markeringsfarve6 2 2 7 2 4" xfId="26420" xr:uid="{00000000-0005-0000-0000-00007C5B0000}"/>
    <cellStyle name="40 % - Markeringsfarve6 2 2 7 3" xfId="8384" xr:uid="{00000000-0005-0000-0000-00007D5B0000}"/>
    <cellStyle name="40 % - Markeringsfarve6 2 2 7 3 2" xfId="16301" xr:uid="{00000000-0005-0000-0000-00007E5B0000}"/>
    <cellStyle name="40 % - Markeringsfarve6 2 2 7 3 2 2" xfId="34461" xr:uid="{00000000-0005-0000-0000-00007F5B0000}"/>
    <cellStyle name="40 % - Markeringsfarve6 2 2 7 3 3" xfId="27460" xr:uid="{00000000-0005-0000-0000-0000805B0000}"/>
    <cellStyle name="40 % - Markeringsfarve6 2 2 7 4" xfId="15255" xr:uid="{00000000-0005-0000-0000-0000815B0000}"/>
    <cellStyle name="40 % - Markeringsfarve6 2 2 7 4 2" xfId="33421" xr:uid="{00000000-0005-0000-0000-0000825B0000}"/>
    <cellStyle name="40 % - Markeringsfarve6 2 2 7 5" xfId="26419" xr:uid="{00000000-0005-0000-0000-0000835B0000}"/>
    <cellStyle name="40 % - Markeringsfarve6 2 2 8" xfId="6703" xr:uid="{00000000-0005-0000-0000-0000845B0000}"/>
    <cellStyle name="40 % - Markeringsfarve6 2 2 8 2" xfId="9021" xr:uid="{00000000-0005-0000-0000-0000855B0000}"/>
    <cellStyle name="40 % - Markeringsfarve6 2 2 8 2 2" xfId="16932" xr:uid="{00000000-0005-0000-0000-0000865B0000}"/>
    <cellStyle name="40 % - Markeringsfarve6 2 2 8 2 2 2" xfId="35092" xr:uid="{00000000-0005-0000-0000-0000875B0000}"/>
    <cellStyle name="40 % - Markeringsfarve6 2 2 8 2 3" xfId="28091" xr:uid="{00000000-0005-0000-0000-0000885B0000}"/>
    <cellStyle name="40 % - Markeringsfarve6 2 2 8 3" xfId="15257" xr:uid="{00000000-0005-0000-0000-0000895B0000}"/>
    <cellStyle name="40 % - Markeringsfarve6 2 2 8 3 2" xfId="33423" xr:uid="{00000000-0005-0000-0000-00008A5B0000}"/>
    <cellStyle name="40 % - Markeringsfarve6 2 2 8 4" xfId="26421" xr:uid="{00000000-0005-0000-0000-00008B5B0000}"/>
    <cellStyle name="40 % - Markeringsfarve6 2 2 9" xfId="6704" xr:uid="{00000000-0005-0000-0000-00008C5B0000}"/>
    <cellStyle name="40 % - Markeringsfarve6 2 2 9 2" xfId="10432" xr:uid="{00000000-0005-0000-0000-00008D5B0000}"/>
    <cellStyle name="40 % - Markeringsfarve6 2 2 9 2 2" xfId="18330" xr:uid="{00000000-0005-0000-0000-00008E5B0000}"/>
    <cellStyle name="40 % - Markeringsfarve6 2 2 9 2 2 2" xfId="36490" xr:uid="{00000000-0005-0000-0000-00008F5B0000}"/>
    <cellStyle name="40 % - Markeringsfarve6 2 2 9 2 3" xfId="29489" xr:uid="{00000000-0005-0000-0000-0000905B0000}"/>
    <cellStyle name="40 % - Markeringsfarve6 2 2 9 3" xfId="15258" xr:uid="{00000000-0005-0000-0000-0000915B0000}"/>
    <cellStyle name="40 % - Markeringsfarve6 2 2 9 3 2" xfId="33424" xr:uid="{00000000-0005-0000-0000-0000925B0000}"/>
    <cellStyle name="40 % - Markeringsfarve6 2 2 9 4" xfId="26422" xr:uid="{00000000-0005-0000-0000-0000935B0000}"/>
    <cellStyle name="40 % - Markeringsfarve6 2 3" xfId="1945" xr:uid="{00000000-0005-0000-0000-0000945B0000}"/>
    <cellStyle name="40 % - Markeringsfarve6 2 3 10" xfId="8267" xr:uid="{00000000-0005-0000-0000-0000955B0000}"/>
    <cellStyle name="40 % - Markeringsfarve6 2 3 10 2" xfId="16185" xr:uid="{00000000-0005-0000-0000-0000965B0000}"/>
    <cellStyle name="40 % - Markeringsfarve6 2 3 10 2 2" xfId="34345" xr:uid="{00000000-0005-0000-0000-0000975B0000}"/>
    <cellStyle name="40 % - Markeringsfarve6 2 3 10 3" xfId="27344" xr:uid="{00000000-0005-0000-0000-0000985B0000}"/>
    <cellStyle name="40 % - Markeringsfarve6 2 3 11" xfId="15259" xr:uid="{00000000-0005-0000-0000-0000995B0000}"/>
    <cellStyle name="40 % - Markeringsfarve6 2 3 11 2" xfId="33425" xr:uid="{00000000-0005-0000-0000-00009A5B0000}"/>
    <cellStyle name="40 % - Markeringsfarve6 2 3 12" xfId="6705" xr:uid="{00000000-0005-0000-0000-00009B5B0000}"/>
    <cellStyle name="40 % - Markeringsfarve6 2 3 12 2" xfId="26423" xr:uid="{00000000-0005-0000-0000-00009C5B0000}"/>
    <cellStyle name="40 % - Markeringsfarve6 2 3 13" xfId="22063" xr:uid="{00000000-0005-0000-0000-00009D5B0000}"/>
    <cellStyle name="40 % - Markeringsfarve6 2 3 2" xfId="1946" xr:uid="{00000000-0005-0000-0000-00009E5B0000}"/>
    <cellStyle name="40 % - Markeringsfarve6 2 3 2 2" xfId="6707" xr:uid="{00000000-0005-0000-0000-00009F5B0000}"/>
    <cellStyle name="40 % - Markeringsfarve6 2 3 2 2 2" xfId="6708" xr:uid="{00000000-0005-0000-0000-0000A05B0000}"/>
    <cellStyle name="40 % - Markeringsfarve6 2 3 2 2 2 2" xfId="9951" xr:uid="{00000000-0005-0000-0000-0000A15B0000}"/>
    <cellStyle name="40 % - Markeringsfarve6 2 3 2 2 2 2 2" xfId="17852" xr:uid="{00000000-0005-0000-0000-0000A25B0000}"/>
    <cellStyle name="40 % - Markeringsfarve6 2 3 2 2 2 2 2 2" xfId="36012" xr:uid="{00000000-0005-0000-0000-0000A35B0000}"/>
    <cellStyle name="40 % - Markeringsfarve6 2 3 2 2 2 2 3" xfId="29011" xr:uid="{00000000-0005-0000-0000-0000A45B0000}"/>
    <cellStyle name="40 % - Markeringsfarve6 2 3 2 2 2 3" xfId="15262" xr:uid="{00000000-0005-0000-0000-0000A55B0000}"/>
    <cellStyle name="40 % - Markeringsfarve6 2 3 2 2 2 3 2" xfId="33428" xr:uid="{00000000-0005-0000-0000-0000A65B0000}"/>
    <cellStyle name="40 % - Markeringsfarve6 2 3 2 2 2 4" xfId="26426" xr:uid="{00000000-0005-0000-0000-0000A75B0000}"/>
    <cellStyle name="40 % - Markeringsfarve6 2 3 2 2 3" xfId="8516" xr:uid="{00000000-0005-0000-0000-0000A85B0000}"/>
    <cellStyle name="40 % - Markeringsfarve6 2 3 2 2 3 2" xfId="16433" xr:uid="{00000000-0005-0000-0000-0000A95B0000}"/>
    <cellStyle name="40 % - Markeringsfarve6 2 3 2 2 3 2 2" xfId="34593" xr:uid="{00000000-0005-0000-0000-0000AA5B0000}"/>
    <cellStyle name="40 % - Markeringsfarve6 2 3 2 2 3 3" xfId="27592" xr:uid="{00000000-0005-0000-0000-0000AB5B0000}"/>
    <cellStyle name="40 % - Markeringsfarve6 2 3 2 2 4" xfId="15261" xr:uid="{00000000-0005-0000-0000-0000AC5B0000}"/>
    <cellStyle name="40 % - Markeringsfarve6 2 3 2 2 4 2" xfId="33427" xr:uid="{00000000-0005-0000-0000-0000AD5B0000}"/>
    <cellStyle name="40 % - Markeringsfarve6 2 3 2 2 5" xfId="26425" xr:uid="{00000000-0005-0000-0000-0000AE5B0000}"/>
    <cellStyle name="40 % - Markeringsfarve6 2 3 2 3" xfId="6709" xr:uid="{00000000-0005-0000-0000-0000AF5B0000}"/>
    <cellStyle name="40 % - Markeringsfarve6 2 3 2 3 2" xfId="9181" xr:uid="{00000000-0005-0000-0000-0000B05B0000}"/>
    <cellStyle name="40 % - Markeringsfarve6 2 3 2 3 2 2" xfId="17092" xr:uid="{00000000-0005-0000-0000-0000B15B0000}"/>
    <cellStyle name="40 % - Markeringsfarve6 2 3 2 3 2 2 2" xfId="35252" xr:uid="{00000000-0005-0000-0000-0000B25B0000}"/>
    <cellStyle name="40 % - Markeringsfarve6 2 3 2 3 2 3" xfId="28251" xr:uid="{00000000-0005-0000-0000-0000B35B0000}"/>
    <cellStyle name="40 % - Markeringsfarve6 2 3 2 3 3" xfId="15263" xr:uid="{00000000-0005-0000-0000-0000B45B0000}"/>
    <cellStyle name="40 % - Markeringsfarve6 2 3 2 3 3 2" xfId="33429" xr:uid="{00000000-0005-0000-0000-0000B55B0000}"/>
    <cellStyle name="40 % - Markeringsfarve6 2 3 2 3 4" xfId="26427" xr:uid="{00000000-0005-0000-0000-0000B65B0000}"/>
    <cellStyle name="40 % - Markeringsfarve6 2 3 2 4" xfId="6710" xr:uid="{00000000-0005-0000-0000-0000B75B0000}"/>
    <cellStyle name="40 % - Markeringsfarve6 2 3 2 4 2" xfId="10629" xr:uid="{00000000-0005-0000-0000-0000B85B0000}"/>
    <cellStyle name="40 % - Markeringsfarve6 2 3 2 4 2 2" xfId="18522" xr:uid="{00000000-0005-0000-0000-0000B95B0000}"/>
    <cellStyle name="40 % - Markeringsfarve6 2 3 2 4 2 2 2" xfId="36682" xr:uid="{00000000-0005-0000-0000-0000BA5B0000}"/>
    <cellStyle name="40 % - Markeringsfarve6 2 3 2 4 2 3" xfId="29681" xr:uid="{00000000-0005-0000-0000-0000BB5B0000}"/>
    <cellStyle name="40 % - Markeringsfarve6 2 3 2 4 3" xfId="15264" xr:uid="{00000000-0005-0000-0000-0000BC5B0000}"/>
    <cellStyle name="40 % - Markeringsfarve6 2 3 2 4 3 2" xfId="33430" xr:uid="{00000000-0005-0000-0000-0000BD5B0000}"/>
    <cellStyle name="40 % - Markeringsfarve6 2 3 2 4 4" xfId="26428" xr:uid="{00000000-0005-0000-0000-0000BE5B0000}"/>
    <cellStyle name="40 % - Markeringsfarve6 2 3 2 5" xfId="8268" xr:uid="{00000000-0005-0000-0000-0000BF5B0000}"/>
    <cellStyle name="40 % - Markeringsfarve6 2 3 2 5 2" xfId="16186" xr:uid="{00000000-0005-0000-0000-0000C05B0000}"/>
    <cellStyle name="40 % - Markeringsfarve6 2 3 2 5 2 2" xfId="34346" xr:uid="{00000000-0005-0000-0000-0000C15B0000}"/>
    <cellStyle name="40 % - Markeringsfarve6 2 3 2 5 3" xfId="27345" xr:uid="{00000000-0005-0000-0000-0000C25B0000}"/>
    <cellStyle name="40 % - Markeringsfarve6 2 3 2 6" xfId="15260" xr:uid="{00000000-0005-0000-0000-0000C35B0000}"/>
    <cellStyle name="40 % - Markeringsfarve6 2 3 2 6 2" xfId="33426" xr:uid="{00000000-0005-0000-0000-0000C45B0000}"/>
    <cellStyle name="40 % - Markeringsfarve6 2 3 2 7" xfId="6706" xr:uid="{00000000-0005-0000-0000-0000C55B0000}"/>
    <cellStyle name="40 % - Markeringsfarve6 2 3 2 7 2" xfId="26424" xr:uid="{00000000-0005-0000-0000-0000C65B0000}"/>
    <cellStyle name="40 % - Markeringsfarve6 2 3 2 8" xfId="22064" xr:uid="{00000000-0005-0000-0000-0000C75B0000}"/>
    <cellStyle name="40 % - Markeringsfarve6 2 3 3" xfId="6711" xr:uid="{00000000-0005-0000-0000-0000C85B0000}"/>
    <cellStyle name="40 % - Markeringsfarve6 2 3 3 2" xfId="6712" xr:uid="{00000000-0005-0000-0000-0000C95B0000}"/>
    <cellStyle name="40 % - Markeringsfarve6 2 3 3 2 2" xfId="6713" xr:uid="{00000000-0005-0000-0000-0000CA5B0000}"/>
    <cellStyle name="40 % - Markeringsfarve6 2 3 3 2 2 2" xfId="10056" xr:uid="{00000000-0005-0000-0000-0000CB5B0000}"/>
    <cellStyle name="40 % - Markeringsfarve6 2 3 3 2 2 2 2" xfId="17957" xr:uid="{00000000-0005-0000-0000-0000CC5B0000}"/>
    <cellStyle name="40 % - Markeringsfarve6 2 3 3 2 2 2 2 2" xfId="36117" xr:uid="{00000000-0005-0000-0000-0000CD5B0000}"/>
    <cellStyle name="40 % - Markeringsfarve6 2 3 3 2 2 2 3" xfId="29116" xr:uid="{00000000-0005-0000-0000-0000CE5B0000}"/>
    <cellStyle name="40 % - Markeringsfarve6 2 3 3 2 2 3" xfId="15267" xr:uid="{00000000-0005-0000-0000-0000CF5B0000}"/>
    <cellStyle name="40 % - Markeringsfarve6 2 3 3 2 2 3 2" xfId="33433" xr:uid="{00000000-0005-0000-0000-0000D05B0000}"/>
    <cellStyle name="40 % - Markeringsfarve6 2 3 3 2 2 4" xfId="26431" xr:uid="{00000000-0005-0000-0000-0000D15B0000}"/>
    <cellStyle name="40 % - Markeringsfarve6 2 3 3 2 3" xfId="8602" xr:uid="{00000000-0005-0000-0000-0000D25B0000}"/>
    <cellStyle name="40 % - Markeringsfarve6 2 3 3 2 3 2" xfId="16519" xr:uid="{00000000-0005-0000-0000-0000D35B0000}"/>
    <cellStyle name="40 % - Markeringsfarve6 2 3 3 2 3 2 2" xfId="34679" xr:uid="{00000000-0005-0000-0000-0000D45B0000}"/>
    <cellStyle name="40 % - Markeringsfarve6 2 3 3 2 3 3" xfId="27678" xr:uid="{00000000-0005-0000-0000-0000D55B0000}"/>
    <cellStyle name="40 % - Markeringsfarve6 2 3 3 2 4" xfId="15266" xr:uid="{00000000-0005-0000-0000-0000D65B0000}"/>
    <cellStyle name="40 % - Markeringsfarve6 2 3 3 2 4 2" xfId="33432" xr:uid="{00000000-0005-0000-0000-0000D75B0000}"/>
    <cellStyle name="40 % - Markeringsfarve6 2 3 3 2 5" xfId="26430" xr:uid="{00000000-0005-0000-0000-0000D85B0000}"/>
    <cellStyle name="40 % - Markeringsfarve6 2 3 3 3" xfId="6714" xr:uid="{00000000-0005-0000-0000-0000D95B0000}"/>
    <cellStyle name="40 % - Markeringsfarve6 2 3 3 3 2" xfId="9286" xr:uid="{00000000-0005-0000-0000-0000DA5B0000}"/>
    <cellStyle name="40 % - Markeringsfarve6 2 3 3 3 2 2" xfId="17197" xr:uid="{00000000-0005-0000-0000-0000DB5B0000}"/>
    <cellStyle name="40 % - Markeringsfarve6 2 3 3 3 2 2 2" xfId="35357" xr:uid="{00000000-0005-0000-0000-0000DC5B0000}"/>
    <cellStyle name="40 % - Markeringsfarve6 2 3 3 3 2 3" xfId="28356" xr:uid="{00000000-0005-0000-0000-0000DD5B0000}"/>
    <cellStyle name="40 % - Markeringsfarve6 2 3 3 3 3" xfId="15268" xr:uid="{00000000-0005-0000-0000-0000DE5B0000}"/>
    <cellStyle name="40 % - Markeringsfarve6 2 3 3 3 3 2" xfId="33434" xr:uid="{00000000-0005-0000-0000-0000DF5B0000}"/>
    <cellStyle name="40 % - Markeringsfarve6 2 3 3 3 4" xfId="26432" xr:uid="{00000000-0005-0000-0000-0000E05B0000}"/>
    <cellStyle name="40 % - Markeringsfarve6 2 3 3 4" xfId="6715" xr:uid="{00000000-0005-0000-0000-0000E15B0000}"/>
    <cellStyle name="40 % - Markeringsfarve6 2 3 3 4 2" xfId="10853" xr:uid="{00000000-0005-0000-0000-0000E25B0000}"/>
    <cellStyle name="40 % - Markeringsfarve6 2 3 3 4 2 2" xfId="18736" xr:uid="{00000000-0005-0000-0000-0000E35B0000}"/>
    <cellStyle name="40 % - Markeringsfarve6 2 3 3 4 2 2 2" xfId="36896" xr:uid="{00000000-0005-0000-0000-0000E45B0000}"/>
    <cellStyle name="40 % - Markeringsfarve6 2 3 3 4 2 3" xfId="29895" xr:uid="{00000000-0005-0000-0000-0000E55B0000}"/>
    <cellStyle name="40 % - Markeringsfarve6 2 3 3 4 3" xfId="15269" xr:uid="{00000000-0005-0000-0000-0000E65B0000}"/>
    <cellStyle name="40 % - Markeringsfarve6 2 3 3 4 3 2" xfId="33435" xr:uid="{00000000-0005-0000-0000-0000E75B0000}"/>
    <cellStyle name="40 % - Markeringsfarve6 2 3 3 4 4" xfId="26433" xr:uid="{00000000-0005-0000-0000-0000E85B0000}"/>
    <cellStyle name="40 % - Markeringsfarve6 2 3 3 5" xfId="8269" xr:uid="{00000000-0005-0000-0000-0000E95B0000}"/>
    <cellStyle name="40 % - Markeringsfarve6 2 3 3 5 2" xfId="16187" xr:uid="{00000000-0005-0000-0000-0000EA5B0000}"/>
    <cellStyle name="40 % - Markeringsfarve6 2 3 3 5 2 2" xfId="34347" xr:uid="{00000000-0005-0000-0000-0000EB5B0000}"/>
    <cellStyle name="40 % - Markeringsfarve6 2 3 3 5 3" xfId="27346" xr:uid="{00000000-0005-0000-0000-0000EC5B0000}"/>
    <cellStyle name="40 % - Markeringsfarve6 2 3 3 6" xfId="15265" xr:uid="{00000000-0005-0000-0000-0000ED5B0000}"/>
    <cellStyle name="40 % - Markeringsfarve6 2 3 3 6 2" xfId="33431" xr:uid="{00000000-0005-0000-0000-0000EE5B0000}"/>
    <cellStyle name="40 % - Markeringsfarve6 2 3 3 7" xfId="26429" xr:uid="{00000000-0005-0000-0000-0000EF5B0000}"/>
    <cellStyle name="40 % - Markeringsfarve6 2 3 4" xfId="6716" xr:uid="{00000000-0005-0000-0000-0000F05B0000}"/>
    <cellStyle name="40 % - Markeringsfarve6 2 3 4 2" xfId="6717" xr:uid="{00000000-0005-0000-0000-0000F15B0000}"/>
    <cellStyle name="40 % - Markeringsfarve6 2 3 4 2 2" xfId="6718" xr:uid="{00000000-0005-0000-0000-0000F25B0000}"/>
    <cellStyle name="40 % - Markeringsfarve6 2 3 4 2 2 2" xfId="10189" xr:uid="{00000000-0005-0000-0000-0000F35B0000}"/>
    <cellStyle name="40 % - Markeringsfarve6 2 3 4 2 2 2 2" xfId="18090" xr:uid="{00000000-0005-0000-0000-0000F45B0000}"/>
    <cellStyle name="40 % - Markeringsfarve6 2 3 4 2 2 2 2 2" xfId="36250" xr:uid="{00000000-0005-0000-0000-0000F55B0000}"/>
    <cellStyle name="40 % - Markeringsfarve6 2 3 4 2 2 2 3" xfId="29249" xr:uid="{00000000-0005-0000-0000-0000F65B0000}"/>
    <cellStyle name="40 % - Markeringsfarve6 2 3 4 2 2 3" xfId="15272" xr:uid="{00000000-0005-0000-0000-0000F75B0000}"/>
    <cellStyle name="40 % - Markeringsfarve6 2 3 4 2 2 3 2" xfId="33438" xr:uid="{00000000-0005-0000-0000-0000F85B0000}"/>
    <cellStyle name="40 % - Markeringsfarve6 2 3 4 2 2 4" xfId="26436" xr:uid="{00000000-0005-0000-0000-0000F95B0000}"/>
    <cellStyle name="40 % - Markeringsfarve6 2 3 4 2 3" xfId="8718" xr:uid="{00000000-0005-0000-0000-0000FA5B0000}"/>
    <cellStyle name="40 % - Markeringsfarve6 2 3 4 2 3 2" xfId="16632" xr:uid="{00000000-0005-0000-0000-0000FB5B0000}"/>
    <cellStyle name="40 % - Markeringsfarve6 2 3 4 2 3 2 2" xfId="34792" xr:uid="{00000000-0005-0000-0000-0000FC5B0000}"/>
    <cellStyle name="40 % - Markeringsfarve6 2 3 4 2 3 3" xfId="27791" xr:uid="{00000000-0005-0000-0000-0000FD5B0000}"/>
    <cellStyle name="40 % - Markeringsfarve6 2 3 4 2 4" xfId="15271" xr:uid="{00000000-0005-0000-0000-0000FE5B0000}"/>
    <cellStyle name="40 % - Markeringsfarve6 2 3 4 2 4 2" xfId="33437" xr:uid="{00000000-0005-0000-0000-0000FF5B0000}"/>
    <cellStyle name="40 % - Markeringsfarve6 2 3 4 2 5" xfId="26435" xr:uid="{00000000-0005-0000-0000-0000005C0000}"/>
    <cellStyle name="40 % - Markeringsfarve6 2 3 4 3" xfId="6719" xr:uid="{00000000-0005-0000-0000-0000015C0000}"/>
    <cellStyle name="40 % - Markeringsfarve6 2 3 4 3 2" xfId="9465" xr:uid="{00000000-0005-0000-0000-0000025C0000}"/>
    <cellStyle name="40 % - Markeringsfarve6 2 3 4 3 2 2" xfId="17375" xr:uid="{00000000-0005-0000-0000-0000035C0000}"/>
    <cellStyle name="40 % - Markeringsfarve6 2 3 4 3 2 2 2" xfId="35535" xr:uid="{00000000-0005-0000-0000-0000045C0000}"/>
    <cellStyle name="40 % - Markeringsfarve6 2 3 4 3 2 3" xfId="28534" xr:uid="{00000000-0005-0000-0000-0000055C0000}"/>
    <cellStyle name="40 % - Markeringsfarve6 2 3 4 3 3" xfId="15273" xr:uid="{00000000-0005-0000-0000-0000065C0000}"/>
    <cellStyle name="40 % - Markeringsfarve6 2 3 4 3 3 2" xfId="33439" xr:uid="{00000000-0005-0000-0000-0000075C0000}"/>
    <cellStyle name="40 % - Markeringsfarve6 2 3 4 3 4" xfId="26437" xr:uid="{00000000-0005-0000-0000-0000085C0000}"/>
    <cellStyle name="40 % - Markeringsfarve6 2 3 4 4" xfId="6720" xr:uid="{00000000-0005-0000-0000-0000095C0000}"/>
    <cellStyle name="40 % - Markeringsfarve6 2 3 4 4 2" xfId="10503" xr:uid="{00000000-0005-0000-0000-00000A5C0000}"/>
    <cellStyle name="40 % - Markeringsfarve6 2 3 4 4 2 2" xfId="18397" xr:uid="{00000000-0005-0000-0000-00000B5C0000}"/>
    <cellStyle name="40 % - Markeringsfarve6 2 3 4 4 2 2 2" xfId="36557" xr:uid="{00000000-0005-0000-0000-00000C5C0000}"/>
    <cellStyle name="40 % - Markeringsfarve6 2 3 4 4 2 3" xfId="29556" xr:uid="{00000000-0005-0000-0000-00000D5C0000}"/>
    <cellStyle name="40 % - Markeringsfarve6 2 3 4 4 3" xfId="15274" xr:uid="{00000000-0005-0000-0000-00000E5C0000}"/>
    <cellStyle name="40 % - Markeringsfarve6 2 3 4 4 3 2" xfId="33440" xr:uid="{00000000-0005-0000-0000-00000F5C0000}"/>
    <cellStyle name="40 % - Markeringsfarve6 2 3 4 4 4" xfId="26438" xr:uid="{00000000-0005-0000-0000-0000105C0000}"/>
    <cellStyle name="40 % - Markeringsfarve6 2 3 4 5" xfId="8270" xr:uid="{00000000-0005-0000-0000-0000115C0000}"/>
    <cellStyle name="40 % - Markeringsfarve6 2 3 4 5 2" xfId="16188" xr:uid="{00000000-0005-0000-0000-0000125C0000}"/>
    <cellStyle name="40 % - Markeringsfarve6 2 3 4 5 2 2" xfId="34348" xr:uid="{00000000-0005-0000-0000-0000135C0000}"/>
    <cellStyle name="40 % - Markeringsfarve6 2 3 4 5 3" xfId="27347" xr:uid="{00000000-0005-0000-0000-0000145C0000}"/>
    <cellStyle name="40 % - Markeringsfarve6 2 3 4 6" xfId="15270" xr:uid="{00000000-0005-0000-0000-0000155C0000}"/>
    <cellStyle name="40 % - Markeringsfarve6 2 3 4 6 2" xfId="33436" xr:uid="{00000000-0005-0000-0000-0000165C0000}"/>
    <cellStyle name="40 % - Markeringsfarve6 2 3 4 7" xfId="26434" xr:uid="{00000000-0005-0000-0000-0000175C0000}"/>
    <cellStyle name="40 % - Markeringsfarve6 2 3 5" xfId="6721" xr:uid="{00000000-0005-0000-0000-0000185C0000}"/>
    <cellStyle name="40 % - Markeringsfarve6 2 3 5 2" xfId="6722" xr:uid="{00000000-0005-0000-0000-0000195C0000}"/>
    <cellStyle name="40 % - Markeringsfarve6 2 3 5 2 2" xfId="6723" xr:uid="{00000000-0005-0000-0000-00001A5C0000}"/>
    <cellStyle name="40 % - Markeringsfarve6 2 3 5 2 2 2" xfId="10306" xr:uid="{00000000-0005-0000-0000-00001B5C0000}"/>
    <cellStyle name="40 % - Markeringsfarve6 2 3 5 2 2 2 2" xfId="18207" xr:uid="{00000000-0005-0000-0000-00001C5C0000}"/>
    <cellStyle name="40 % - Markeringsfarve6 2 3 5 2 2 2 2 2" xfId="36367" xr:uid="{00000000-0005-0000-0000-00001D5C0000}"/>
    <cellStyle name="40 % - Markeringsfarve6 2 3 5 2 2 2 3" xfId="29366" xr:uid="{00000000-0005-0000-0000-00001E5C0000}"/>
    <cellStyle name="40 % - Markeringsfarve6 2 3 5 2 2 3" xfId="15277" xr:uid="{00000000-0005-0000-0000-00001F5C0000}"/>
    <cellStyle name="40 % - Markeringsfarve6 2 3 5 2 2 3 2" xfId="33443" xr:uid="{00000000-0005-0000-0000-0000205C0000}"/>
    <cellStyle name="40 % - Markeringsfarve6 2 3 5 2 2 4" xfId="26441" xr:uid="{00000000-0005-0000-0000-0000215C0000}"/>
    <cellStyle name="40 % - Markeringsfarve6 2 3 5 2 3" xfId="8817" xr:uid="{00000000-0005-0000-0000-0000225C0000}"/>
    <cellStyle name="40 % - Markeringsfarve6 2 3 5 2 3 2" xfId="16731" xr:uid="{00000000-0005-0000-0000-0000235C0000}"/>
    <cellStyle name="40 % - Markeringsfarve6 2 3 5 2 3 2 2" xfId="34891" xr:uid="{00000000-0005-0000-0000-0000245C0000}"/>
    <cellStyle name="40 % - Markeringsfarve6 2 3 5 2 3 3" xfId="27890" xr:uid="{00000000-0005-0000-0000-0000255C0000}"/>
    <cellStyle name="40 % - Markeringsfarve6 2 3 5 2 4" xfId="15276" xr:uid="{00000000-0005-0000-0000-0000265C0000}"/>
    <cellStyle name="40 % - Markeringsfarve6 2 3 5 2 4 2" xfId="33442" xr:uid="{00000000-0005-0000-0000-0000275C0000}"/>
    <cellStyle name="40 % - Markeringsfarve6 2 3 5 2 5" xfId="26440" xr:uid="{00000000-0005-0000-0000-0000285C0000}"/>
    <cellStyle name="40 % - Markeringsfarve6 2 3 5 3" xfId="6724" xr:uid="{00000000-0005-0000-0000-0000295C0000}"/>
    <cellStyle name="40 % - Markeringsfarve6 2 3 5 3 2" xfId="9582" xr:uid="{00000000-0005-0000-0000-00002A5C0000}"/>
    <cellStyle name="40 % - Markeringsfarve6 2 3 5 3 2 2" xfId="17492" xr:uid="{00000000-0005-0000-0000-00002B5C0000}"/>
    <cellStyle name="40 % - Markeringsfarve6 2 3 5 3 2 2 2" xfId="35652" xr:uid="{00000000-0005-0000-0000-00002C5C0000}"/>
    <cellStyle name="40 % - Markeringsfarve6 2 3 5 3 2 3" xfId="28651" xr:uid="{00000000-0005-0000-0000-00002D5C0000}"/>
    <cellStyle name="40 % - Markeringsfarve6 2 3 5 3 3" xfId="15278" xr:uid="{00000000-0005-0000-0000-00002E5C0000}"/>
    <cellStyle name="40 % - Markeringsfarve6 2 3 5 3 3 2" xfId="33444" xr:uid="{00000000-0005-0000-0000-00002F5C0000}"/>
    <cellStyle name="40 % - Markeringsfarve6 2 3 5 3 4" xfId="26442" xr:uid="{00000000-0005-0000-0000-0000305C0000}"/>
    <cellStyle name="40 % - Markeringsfarve6 2 3 5 4" xfId="6725" xr:uid="{00000000-0005-0000-0000-0000315C0000}"/>
    <cellStyle name="40 % - Markeringsfarve6 2 3 5 4 2" xfId="10814" xr:uid="{00000000-0005-0000-0000-0000325C0000}"/>
    <cellStyle name="40 % - Markeringsfarve6 2 3 5 4 2 2" xfId="18701" xr:uid="{00000000-0005-0000-0000-0000335C0000}"/>
    <cellStyle name="40 % - Markeringsfarve6 2 3 5 4 2 2 2" xfId="36861" xr:uid="{00000000-0005-0000-0000-0000345C0000}"/>
    <cellStyle name="40 % - Markeringsfarve6 2 3 5 4 2 3" xfId="29860" xr:uid="{00000000-0005-0000-0000-0000355C0000}"/>
    <cellStyle name="40 % - Markeringsfarve6 2 3 5 4 3" xfId="15279" xr:uid="{00000000-0005-0000-0000-0000365C0000}"/>
    <cellStyle name="40 % - Markeringsfarve6 2 3 5 4 3 2" xfId="33445" xr:uid="{00000000-0005-0000-0000-0000375C0000}"/>
    <cellStyle name="40 % - Markeringsfarve6 2 3 5 4 4" xfId="26443" xr:uid="{00000000-0005-0000-0000-0000385C0000}"/>
    <cellStyle name="40 % - Markeringsfarve6 2 3 5 5" xfId="8271" xr:uid="{00000000-0005-0000-0000-0000395C0000}"/>
    <cellStyle name="40 % - Markeringsfarve6 2 3 5 5 2" xfId="16189" xr:uid="{00000000-0005-0000-0000-00003A5C0000}"/>
    <cellStyle name="40 % - Markeringsfarve6 2 3 5 5 2 2" xfId="34349" xr:uid="{00000000-0005-0000-0000-00003B5C0000}"/>
    <cellStyle name="40 % - Markeringsfarve6 2 3 5 5 3" xfId="27348" xr:uid="{00000000-0005-0000-0000-00003C5C0000}"/>
    <cellStyle name="40 % - Markeringsfarve6 2 3 5 6" xfId="15275" xr:uid="{00000000-0005-0000-0000-00003D5C0000}"/>
    <cellStyle name="40 % - Markeringsfarve6 2 3 5 6 2" xfId="33441" xr:uid="{00000000-0005-0000-0000-00003E5C0000}"/>
    <cellStyle name="40 % - Markeringsfarve6 2 3 5 7" xfId="26439" xr:uid="{00000000-0005-0000-0000-00003F5C0000}"/>
    <cellStyle name="40 % - Markeringsfarve6 2 3 6" xfId="6726" xr:uid="{00000000-0005-0000-0000-0000405C0000}"/>
    <cellStyle name="40 % - Markeringsfarve6 2 3 6 2" xfId="6727" xr:uid="{00000000-0005-0000-0000-0000415C0000}"/>
    <cellStyle name="40 % - Markeringsfarve6 2 3 6 2 2" xfId="6728" xr:uid="{00000000-0005-0000-0000-0000425C0000}"/>
    <cellStyle name="40 % - Markeringsfarve6 2 3 6 2 2 2" xfId="10410" xr:uid="{00000000-0005-0000-0000-0000435C0000}"/>
    <cellStyle name="40 % - Markeringsfarve6 2 3 6 2 2 2 2" xfId="18311" xr:uid="{00000000-0005-0000-0000-0000445C0000}"/>
    <cellStyle name="40 % - Markeringsfarve6 2 3 6 2 2 2 2 2" xfId="36471" xr:uid="{00000000-0005-0000-0000-0000455C0000}"/>
    <cellStyle name="40 % - Markeringsfarve6 2 3 6 2 2 2 3" xfId="29470" xr:uid="{00000000-0005-0000-0000-0000465C0000}"/>
    <cellStyle name="40 % - Markeringsfarve6 2 3 6 2 2 3" xfId="15282" xr:uid="{00000000-0005-0000-0000-0000475C0000}"/>
    <cellStyle name="40 % - Markeringsfarve6 2 3 6 2 2 3 2" xfId="33448" xr:uid="{00000000-0005-0000-0000-0000485C0000}"/>
    <cellStyle name="40 % - Markeringsfarve6 2 3 6 2 2 4" xfId="26446" xr:uid="{00000000-0005-0000-0000-0000495C0000}"/>
    <cellStyle name="40 % - Markeringsfarve6 2 3 6 2 3" xfId="8903" xr:uid="{00000000-0005-0000-0000-00004A5C0000}"/>
    <cellStyle name="40 % - Markeringsfarve6 2 3 6 2 3 2" xfId="16817" xr:uid="{00000000-0005-0000-0000-00004B5C0000}"/>
    <cellStyle name="40 % - Markeringsfarve6 2 3 6 2 3 2 2" xfId="34977" xr:uid="{00000000-0005-0000-0000-00004C5C0000}"/>
    <cellStyle name="40 % - Markeringsfarve6 2 3 6 2 3 3" xfId="27976" xr:uid="{00000000-0005-0000-0000-00004D5C0000}"/>
    <cellStyle name="40 % - Markeringsfarve6 2 3 6 2 4" xfId="15281" xr:uid="{00000000-0005-0000-0000-00004E5C0000}"/>
    <cellStyle name="40 % - Markeringsfarve6 2 3 6 2 4 2" xfId="33447" xr:uid="{00000000-0005-0000-0000-00004F5C0000}"/>
    <cellStyle name="40 % - Markeringsfarve6 2 3 6 2 5" xfId="26445" xr:uid="{00000000-0005-0000-0000-0000505C0000}"/>
    <cellStyle name="40 % - Markeringsfarve6 2 3 6 3" xfId="6729" xr:uid="{00000000-0005-0000-0000-0000515C0000}"/>
    <cellStyle name="40 % - Markeringsfarve6 2 3 6 3 2" xfId="9687" xr:uid="{00000000-0005-0000-0000-0000525C0000}"/>
    <cellStyle name="40 % - Markeringsfarve6 2 3 6 3 2 2" xfId="17597" xr:uid="{00000000-0005-0000-0000-0000535C0000}"/>
    <cellStyle name="40 % - Markeringsfarve6 2 3 6 3 2 2 2" xfId="35757" xr:uid="{00000000-0005-0000-0000-0000545C0000}"/>
    <cellStyle name="40 % - Markeringsfarve6 2 3 6 3 2 3" xfId="28756" xr:uid="{00000000-0005-0000-0000-0000555C0000}"/>
    <cellStyle name="40 % - Markeringsfarve6 2 3 6 3 3" xfId="15283" xr:uid="{00000000-0005-0000-0000-0000565C0000}"/>
    <cellStyle name="40 % - Markeringsfarve6 2 3 6 3 3 2" xfId="33449" xr:uid="{00000000-0005-0000-0000-0000575C0000}"/>
    <cellStyle name="40 % - Markeringsfarve6 2 3 6 3 4" xfId="26447" xr:uid="{00000000-0005-0000-0000-0000585C0000}"/>
    <cellStyle name="40 % - Markeringsfarve6 2 3 6 4" xfId="6730" xr:uid="{00000000-0005-0000-0000-0000595C0000}"/>
    <cellStyle name="40 % - Markeringsfarve6 2 3 6 4 2" xfId="10464" xr:uid="{00000000-0005-0000-0000-00005A5C0000}"/>
    <cellStyle name="40 % - Markeringsfarve6 2 3 6 4 2 2" xfId="18361" xr:uid="{00000000-0005-0000-0000-00005B5C0000}"/>
    <cellStyle name="40 % - Markeringsfarve6 2 3 6 4 2 2 2" xfId="36521" xr:uid="{00000000-0005-0000-0000-00005C5C0000}"/>
    <cellStyle name="40 % - Markeringsfarve6 2 3 6 4 2 3" xfId="29520" xr:uid="{00000000-0005-0000-0000-00005D5C0000}"/>
    <cellStyle name="40 % - Markeringsfarve6 2 3 6 4 3" xfId="15284" xr:uid="{00000000-0005-0000-0000-00005E5C0000}"/>
    <cellStyle name="40 % - Markeringsfarve6 2 3 6 4 3 2" xfId="33450" xr:uid="{00000000-0005-0000-0000-00005F5C0000}"/>
    <cellStyle name="40 % - Markeringsfarve6 2 3 6 4 4" xfId="26448" xr:uid="{00000000-0005-0000-0000-0000605C0000}"/>
    <cellStyle name="40 % - Markeringsfarve6 2 3 6 5" xfId="8272" xr:uid="{00000000-0005-0000-0000-0000615C0000}"/>
    <cellStyle name="40 % - Markeringsfarve6 2 3 6 5 2" xfId="16190" xr:uid="{00000000-0005-0000-0000-0000625C0000}"/>
    <cellStyle name="40 % - Markeringsfarve6 2 3 6 5 2 2" xfId="34350" xr:uid="{00000000-0005-0000-0000-0000635C0000}"/>
    <cellStyle name="40 % - Markeringsfarve6 2 3 6 5 3" xfId="27349" xr:uid="{00000000-0005-0000-0000-0000645C0000}"/>
    <cellStyle name="40 % - Markeringsfarve6 2 3 6 6" xfId="15280" xr:uid="{00000000-0005-0000-0000-0000655C0000}"/>
    <cellStyle name="40 % - Markeringsfarve6 2 3 6 6 2" xfId="33446" xr:uid="{00000000-0005-0000-0000-0000665C0000}"/>
    <cellStyle name="40 % - Markeringsfarve6 2 3 6 7" xfId="26444" xr:uid="{00000000-0005-0000-0000-0000675C0000}"/>
    <cellStyle name="40 % - Markeringsfarve6 2 3 7" xfId="6731" xr:uid="{00000000-0005-0000-0000-0000685C0000}"/>
    <cellStyle name="40 % - Markeringsfarve6 2 3 7 2" xfId="6732" xr:uid="{00000000-0005-0000-0000-0000695C0000}"/>
    <cellStyle name="40 % - Markeringsfarve6 2 3 7 2 2" xfId="9832" xr:uid="{00000000-0005-0000-0000-00006A5C0000}"/>
    <cellStyle name="40 % - Markeringsfarve6 2 3 7 2 2 2" xfId="17733" xr:uid="{00000000-0005-0000-0000-00006B5C0000}"/>
    <cellStyle name="40 % - Markeringsfarve6 2 3 7 2 2 2 2" xfId="35893" xr:uid="{00000000-0005-0000-0000-00006C5C0000}"/>
    <cellStyle name="40 % - Markeringsfarve6 2 3 7 2 2 3" xfId="28892" xr:uid="{00000000-0005-0000-0000-00006D5C0000}"/>
    <cellStyle name="40 % - Markeringsfarve6 2 3 7 2 3" xfId="15286" xr:uid="{00000000-0005-0000-0000-00006E5C0000}"/>
    <cellStyle name="40 % - Markeringsfarve6 2 3 7 2 3 2" xfId="33452" xr:uid="{00000000-0005-0000-0000-00006F5C0000}"/>
    <cellStyle name="40 % - Markeringsfarve6 2 3 7 2 4" xfId="26450" xr:uid="{00000000-0005-0000-0000-0000705C0000}"/>
    <cellStyle name="40 % - Markeringsfarve6 2 3 7 3" xfId="8417" xr:uid="{00000000-0005-0000-0000-0000715C0000}"/>
    <cellStyle name="40 % - Markeringsfarve6 2 3 7 3 2" xfId="16334" xr:uid="{00000000-0005-0000-0000-0000725C0000}"/>
    <cellStyle name="40 % - Markeringsfarve6 2 3 7 3 2 2" xfId="34494" xr:uid="{00000000-0005-0000-0000-0000735C0000}"/>
    <cellStyle name="40 % - Markeringsfarve6 2 3 7 3 3" xfId="27493" xr:uid="{00000000-0005-0000-0000-0000745C0000}"/>
    <cellStyle name="40 % - Markeringsfarve6 2 3 7 4" xfId="15285" xr:uid="{00000000-0005-0000-0000-0000755C0000}"/>
    <cellStyle name="40 % - Markeringsfarve6 2 3 7 4 2" xfId="33451" xr:uid="{00000000-0005-0000-0000-0000765C0000}"/>
    <cellStyle name="40 % - Markeringsfarve6 2 3 7 5" xfId="26449" xr:uid="{00000000-0005-0000-0000-0000775C0000}"/>
    <cellStyle name="40 % - Markeringsfarve6 2 3 8" xfId="6733" xr:uid="{00000000-0005-0000-0000-0000785C0000}"/>
    <cellStyle name="40 % - Markeringsfarve6 2 3 8 2" xfId="9060" xr:uid="{00000000-0005-0000-0000-0000795C0000}"/>
    <cellStyle name="40 % - Markeringsfarve6 2 3 8 2 2" xfId="16971" xr:uid="{00000000-0005-0000-0000-00007A5C0000}"/>
    <cellStyle name="40 % - Markeringsfarve6 2 3 8 2 2 2" xfId="35131" xr:uid="{00000000-0005-0000-0000-00007B5C0000}"/>
    <cellStyle name="40 % - Markeringsfarve6 2 3 8 2 3" xfId="28130" xr:uid="{00000000-0005-0000-0000-00007C5C0000}"/>
    <cellStyle name="40 % - Markeringsfarve6 2 3 8 3" xfId="15287" xr:uid="{00000000-0005-0000-0000-00007D5C0000}"/>
    <cellStyle name="40 % - Markeringsfarve6 2 3 8 3 2" xfId="33453" xr:uid="{00000000-0005-0000-0000-00007E5C0000}"/>
    <cellStyle name="40 % - Markeringsfarve6 2 3 8 4" xfId="26451" xr:uid="{00000000-0005-0000-0000-00007F5C0000}"/>
    <cellStyle name="40 % - Markeringsfarve6 2 3 9" xfId="6734" xr:uid="{00000000-0005-0000-0000-0000805C0000}"/>
    <cellStyle name="40 % - Markeringsfarve6 2 3 9 2" xfId="10905" xr:uid="{00000000-0005-0000-0000-0000815C0000}"/>
    <cellStyle name="40 % - Markeringsfarve6 2 3 9 2 2" xfId="18787" xr:uid="{00000000-0005-0000-0000-0000825C0000}"/>
    <cellStyle name="40 % - Markeringsfarve6 2 3 9 2 2 2" xfId="36947" xr:uid="{00000000-0005-0000-0000-0000835C0000}"/>
    <cellStyle name="40 % - Markeringsfarve6 2 3 9 2 3" xfId="29946" xr:uid="{00000000-0005-0000-0000-0000845C0000}"/>
    <cellStyle name="40 % - Markeringsfarve6 2 3 9 3" xfId="15288" xr:uid="{00000000-0005-0000-0000-0000855C0000}"/>
    <cellStyle name="40 % - Markeringsfarve6 2 3 9 3 2" xfId="33454" xr:uid="{00000000-0005-0000-0000-0000865C0000}"/>
    <cellStyle name="40 % - Markeringsfarve6 2 3 9 4" xfId="26452" xr:uid="{00000000-0005-0000-0000-0000875C0000}"/>
    <cellStyle name="40 % - Markeringsfarve6 2 4" xfId="1947" xr:uid="{00000000-0005-0000-0000-0000885C0000}"/>
    <cellStyle name="40 % - Markeringsfarve6 2 4 2" xfId="6736" xr:uid="{00000000-0005-0000-0000-0000895C0000}"/>
    <cellStyle name="40 % - Markeringsfarve6 2 4 2 2" xfId="6737" xr:uid="{00000000-0005-0000-0000-00008A5C0000}"/>
    <cellStyle name="40 % - Markeringsfarve6 2 4 2 2 2" xfId="9873" xr:uid="{00000000-0005-0000-0000-00008B5C0000}"/>
    <cellStyle name="40 % - Markeringsfarve6 2 4 2 2 2 2" xfId="17774" xr:uid="{00000000-0005-0000-0000-00008C5C0000}"/>
    <cellStyle name="40 % - Markeringsfarve6 2 4 2 2 2 2 2" xfId="35934" xr:uid="{00000000-0005-0000-0000-00008D5C0000}"/>
    <cellStyle name="40 % - Markeringsfarve6 2 4 2 2 2 3" xfId="28933" xr:uid="{00000000-0005-0000-0000-00008E5C0000}"/>
    <cellStyle name="40 % - Markeringsfarve6 2 4 2 2 3" xfId="15291" xr:uid="{00000000-0005-0000-0000-00008F5C0000}"/>
    <cellStyle name="40 % - Markeringsfarve6 2 4 2 2 3 2" xfId="33457" xr:uid="{00000000-0005-0000-0000-0000905C0000}"/>
    <cellStyle name="40 % - Markeringsfarve6 2 4 2 2 4" xfId="26455" xr:uid="{00000000-0005-0000-0000-0000915C0000}"/>
    <cellStyle name="40 % - Markeringsfarve6 2 4 2 3" xfId="8450" xr:uid="{00000000-0005-0000-0000-0000925C0000}"/>
    <cellStyle name="40 % - Markeringsfarve6 2 4 2 3 2" xfId="16367" xr:uid="{00000000-0005-0000-0000-0000935C0000}"/>
    <cellStyle name="40 % - Markeringsfarve6 2 4 2 3 2 2" xfId="34527" xr:uid="{00000000-0005-0000-0000-0000945C0000}"/>
    <cellStyle name="40 % - Markeringsfarve6 2 4 2 3 3" xfId="27526" xr:uid="{00000000-0005-0000-0000-0000955C0000}"/>
    <cellStyle name="40 % - Markeringsfarve6 2 4 2 4" xfId="15290" xr:uid="{00000000-0005-0000-0000-0000965C0000}"/>
    <cellStyle name="40 % - Markeringsfarve6 2 4 2 4 2" xfId="33456" xr:uid="{00000000-0005-0000-0000-0000975C0000}"/>
    <cellStyle name="40 % - Markeringsfarve6 2 4 2 5" xfId="26454" xr:uid="{00000000-0005-0000-0000-0000985C0000}"/>
    <cellStyle name="40 % - Markeringsfarve6 2 4 3" xfId="6738" xr:uid="{00000000-0005-0000-0000-0000995C0000}"/>
    <cellStyle name="40 % - Markeringsfarve6 2 4 3 2" xfId="9103" xr:uid="{00000000-0005-0000-0000-00009A5C0000}"/>
    <cellStyle name="40 % - Markeringsfarve6 2 4 3 2 2" xfId="17014" xr:uid="{00000000-0005-0000-0000-00009B5C0000}"/>
    <cellStyle name="40 % - Markeringsfarve6 2 4 3 2 2 2" xfId="35174" xr:uid="{00000000-0005-0000-0000-00009C5C0000}"/>
    <cellStyle name="40 % - Markeringsfarve6 2 4 3 2 3" xfId="28173" xr:uid="{00000000-0005-0000-0000-00009D5C0000}"/>
    <cellStyle name="40 % - Markeringsfarve6 2 4 3 3" xfId="15292" xr:uid="{00000000-0005-0000-0000-00009E5C0000}"/>
    <cellStyle name="40 % - Markeringsfarve6 2 4 3 3 2" xfId="33458" xr:uid="{00000000-0005-0000-0000-00009F5C0000}"/>
    <cellStyle name="40 % - Markeringsfarve6 2 4 3 4" xfId="26456" xr:uid="{00000000-0005-0000-0000-0000A05C0000}"/>
    <cellStyle name="40 % - Markeringsfarve6 2 4 4" xfId="6739" xr:uid="{00000000-0005-0000-0000-0000A15C0000}"/>
    <cellStyle name="40 % - Markeringsfarve6 2 4 4 2" xfId="8944" xr:uid="{00000000-0005-0000-0000-0000A25C0000}"/>
    <cellStyle name="40 % - Markeringsfarve6 2 4 4 2 2" xfId="16857" xr:uid="{00000000-0005-0000-0000-0000A35C0000}"/>
    <cellStyle name="40 % - Markeringsfarve6 2 4 4 2 2 2" xfId="35017" xr:uid="{00000000-0005-0000-0000-0000A45C0000}"/>
    <cellStyle name="40 % - Markeringsfarve6 2 4 4 2 3" xfId="28016" xr:uid="{00000000-0005-0000-0000-0000A55C0000}"/>
    <cellStyle name="40 % - Markeringsfarve6 2 4 4 3" xfId="15293" xr:uid="{00000000-0005-0000-0000-0000A65C0000}"/>
    <cellStyle name="40 % - Markeringsfarve6 2 4 4 3 2" xfId="33459" xr:uid="{00000000-0005-0000-0000-0000A75C0000}"/>
    <cellStyle name="40 % - Markeringsfarve6 2 4 4 4" xfId="26457" xr:uid="{00000000-0005-0000-0000-0000A85C0000}"/>
    <cellStyle name="40 % - Markeringsfarve6 2 4 5" xfId="8273" xr:uid="{00000000-0005-0000-0000-0000A95C0000}"/>
    <cellStyle name="40 % - Markeringsfarve6 2 4 5 2" xfId="16191" xr:uid="{00000000-0005-0000-0000-0000AA5C0000}"/>
    <cellStyle name="40 % - Markeringsfarve6 2 4 5 2 2" xfId="34351" xr:uid="{00000000-0005-0000-0000-0000AB5C0000}"/>
    <cellStyle name="40 % - Markeringsfarve6 2 4 5 3" xfId="27350" xr:uid="{00000000-0005-0000-0000-0000AC5C0000}"/>
    <cellStyle name="40 % - Markeringsfarve6 2 4 6" xfId="15289" xr:uid="{00000000-0005-0000-0000-0000AD5C0000}"/>
    <cellStyle name="40 % - Markeringsfarve6 2 4 6 2" xfId="33455" xr:uid="{00000000-0005-0000-0000-0000AE5C0000}"/>
    <cellStyle name="40 % - Markeringsfarve6 2 4 7" xfId="6735" xr:uid="{00000000-0005-0000-0000-0000AF5C0000}"/>
    <cellStyle name="40 % - Markeringsfarve6 2 4 7 2" xfId="26453" xr:uid="{00000000-0005-0000-0000-0000B05C0000}"/>
    <cellStyle name="40 % - Markeringsfarve6 2 4 8" xfId="22065" xr:uid="{00000000-0005-0000-0000-0000B15C0000}"/>
    <cellStyle name="40 % - Markeringsfarve6 2 5" xfId="6740" xr:uid="{00000000-0005-0000-0000-0000B25C0000}"/>
    <cellStyle name="40 % - Markeringsfarve6 2 5 2" xfId="6741" xr:uid="{00000000-0005-0000-0000-0000B35C0000}"/>
    <cellStyle name="40 % - Markeringsfarve6 2 5 2 2" xfId="6742" xr:uid="{00000000-0005-0000-0000-0000B45C0000}"/>
    <cellStyle name="40 % - Markeringsfarve6 2 5 2 2 2" xfId="10054" xr:uid="{00000000-0005-0000-0000-0000B55C0000}"/>
    <cellStyle name="40 % - Markeringsfarve6 2 5 2 2 2 2" xfId="17955" xr:uid="{00000000-0005-0000-0000-0000B65C0000}"/>
    <cellStyle name="40 % - Markeringsfarve6 2 5 2 2 2 2 2" xfId="36115" xr:uid="{00000000-0005-0000-0000-0000B75C0000}"/>
    <cellStyle name="40 % - Markeringsfarve6 2 5 2 2 2 3" xfId="29114" xr:uid="{00000000-0005-0000-0000-0000B85C0000}"/>
    <cellStyle name="40 % - Markeringsfarve6 2 5 2 2 3" xfId="15296" xr:uid="{00000000-0005-0000-0000-0000B95C0000}"/>
    <cellStyle name="40 % - Markeringsfarve6 2 5 2 2 3 2" xfId="33462" xr:uid="{00000000-0005-0000-0000-0000BA5C0000}"/>
    <cellStyle name="40 % - Markeringsfarve6 2 5 2 2 4" xfId="26460" xr:uid="{00000000-0005-0000-0000-0000BB5C0000}"/>
    <cellStyle name="40 % - Markeringsfarve6 2 5 2 3" xfId="8600" xr:uid="{00000000-0005-0000-0000-0000BC5C0000}"/>
    <cellStyle name="40 % - Markeringsfarve6 2 5 2 3 2" xfId="16517" xr:uid="{00000000-0005-0000-0000-0000BD5C0000}"/>
    <cellStyle name="40 % - Markeringsfarve6 2 5 2 3 2 2" xfId="34677" xr:uid="{00000000-0005-0000-0000-0000BE5C0000}"/>
    <cellStyle name="40 % - Markeringsfarve6 2 5 2 3 3" xfId="27676" xr:uid="{00000000-0005-0000-0000-0000BF5C0000}"/>
    <cellStyle name="40 % - Markeringsfarve6 2 5 2 4" xfId="15295" xr:uid="{00000000-0005-0000-0000-0000C05C0000}"/>
    <cellStyle name="40 % - Markeringsfarve6 2 5 2 4 2" xfId="33461" xr:uid="{00000000-0005-0000-0000-0000C15C0000}"/>
    <cellStyle name="40 % - Markeringsfarve6 2 5 2 5" xfId="26459" xr:uid="{00000000-0005-0000-0000-0000C25C0000}"/>
    <cellStyle name="40 % - Markeringsfarve6 2 5 3" xfId="6743" xr:uid="{00000000-0005-0000-0000-0000C35C0000}"/>
    <cellStyle name="40 % - Markeringsfarve6 2 5 3 2" xfId="9284" xr:uid="{00000000-0005-0000-0000-0000C45C0000}"/>
    <cellStyle name="40 % - Markeringsfarve6 2 5 3 2 2" xfId="17195" xr:uid="{00000000-0005-0000-0000-0000C55C0000}"/>
    <cellStyle name="40 % - Markeringsfarve6 2 5 3 2 2 2" xfId="35355" xr:uid="{00000000-0005-0000-0000-0000C65C0000}"/>
    <cellStyle name="40 % - Markeringsfarve6 2 5 3 2 3" xfId="28354" xr:uid="{00000000-0005-0000-0000-0000C75C0000}"/>
    <cellStyle name="40 % - Markeringsfarve6 2 5 3 3" xfId="15297" xr:uid="{00000000-0005-0000-0000-0000C85C0000}"/>
    <cellStyle name="40 % - Markeringsfarve6 2 5 3 3 2" xfId="33463" xr:uid="{00000000-0005-0000-0000-0000C95C0000}"/>
    <cellStyle name="40 % - Markeringsfarve6 2 5 3 4" xfId="26461" xr:uid="{00000000-0005-0000-0000-0000CA5C0000}"/>
    <cellStyle name="40 % - Markeringsfarve6 2 5 4" xfId="6744" xr:uid="{00000000-0005-0000-0000-0000CB5C0000}"/>
    <cellStyle name="40 % - Markeringsfarve6 2 5 4 2" xfId="10764" xr:uid="{00000000-0005-0000-0000-0000CC5C0000}"/>
    <cellStyle name="40 % - Markeringsfarve6 2 5 4 2 2" xfId="18652" xr:uid="{00000000-0005-0000-0000-0000CD5C0000}"/>
    <cellStyle name="40 % - Markeringsfarve6 2 5 4 2 2 2" xfId="36812" xr:uid="{00000000-0005-0000-0000-0000CE5C0000}"/>
    <cellStyle name="40 % - Markeringsfarve6 2 5 4 2 3" xfId="29811" xr:uid="{00000000-0005-0000-0000-0000CF5C0000}"/>
    <cellStyle name="40 % - Markeringsfarve6 2 5 4 3" xfId="15298" xr:uid="{00000000-0005-0000-0000-0000D05C0000}"/>
    <cellStyle name="40 % - Markeringsfarve6 2 5 4 3 2" xfId="33464" xr:uid="{00000000-0005-0000-0000-0000D15C0000}"/>
    <cellStyle name="40 % - Markeringsfarve6 2 5 4 4" xfId="26462" xr:uid="{00000000-0005-0000-0000-0000D25C0000}"/>
    <cellStyle name="40 % - Markeringsfarve6 2 5 5" xfId="8274" xr:uid="{00000000-0005-0000-0000-0000D35C0000}"/>
    <cellStyle name="40 % - Markeringsfarve6 2 5 5 2" xfId="16192" xr:uid="{00000000-0005-0000-0000-0000D45C0000}"/>
    <cellStyle name="40 % - Markeringsfarve6 2 5 5 2 2" xfId="34352" xr:uid="{00000000-0005-0000-0000-0000D55C0000}"/>
    <cellStyle name="40 % - Markeringsfarve6 2 5 5 3" xfId="27351" xr:uid="{00000000-0005-0000-0000-0000D65C0000}"/>
    <cellStyle name="40 % - Markeringsfarve6 2 5 6" xfId="15294" xr:uid="{00000000-0005-0000-0000-0000D75C0000}"/>
    <cellStyle name="40 % - Markeringsfarve6 2 5 6 2" xfId="33460" xr:uid="{00000000-0005-0000-0000-0000D85C0000}"/>
    <cellStyle name="40 % - Markeringsfarve6 2 5 7" xfId="26458" xr:uid="{00000000-0005-0000-0000-0000D95C0000}"/>
    <cellStyle name="40 % - Markeringsfarve6 2 6" xfId="6745" xr:uid="{00000000-0005-0000-0000-0000DA5C0000}"/>
    <cellStyle name="40 % - Markeringsfarve6 2 6 2" xfId="6746" xr:uid="{00000000-0005-0000-0000-0000DB5C0000}"/>
    <cellStyle name="40 % - Markeringsfarve6 2 6 2 2" xfId="6747" xr:uid="{00000000-0005-0000-0000-0000DC5C0000}"/>
    <cellStyle name="40 % - Markeringsfarve6 2 6 2 2 2" xfId="10111" xr:uid="{00000000-0005-0000-0000-0000DD5C0000}"/>
    <cellStyle name="40 % - Markeringsfarve6 2 6 2 2 2 2" xfId="18012" xr:uid="{00000000-0005-0000-0000-0000DE5C0000}"/>
    <cellStyle name="40 % - Markeringsfarve6 2 6 2 2 2 2 2" xfId="36172" xr:uid="{00000000-0005-0000-0000-0000DF5C0000}"/>
    <cellStyle name="40 % - Markeringsfarve6 2 6 2 2 2 3" xfId="29171" xr:uid="{00000000-0005-0000-0000-0000E05C0000}"/>
    <cellStyle name="40 % - Markeringsfarve6 2 6 2 2 3" xfId="15301" xr:uid="{00000000-0005-0000-0000-0000E15C0000}"/>
    <cellStyle name="40 % - Markeringsfarve6 2 6 2 2 3 2" xfId="33467" xr:uid="{00000000-0005-0000-0000-0000E25C0000}"/>
    <cellStyle name="40 % - Markeringsfarve6 2 6 2 2 4" xfId="26465" xr:uid="{00000000-0005-0000-0000-0000E35C0000}"/>
    <cellStyle name="40 % - Markeringsfarve6 2 6 2 3" xfId="8652" xr:uid="{00000000-0005-0000-0000-0000E45C0000}"/>
    <cellStyle name="40 % - Markeringsfarve6 2 6 2 3 2" xfId="16566" xr:uid="{00000000-0005-0000-0000-0000E55C0000}"/>
    <cellStyle name="40 % - Markeringsfarve6 2 6 2 3 2 2" xfId="34726" xr:uid="{00000000-0005-0000-0000-0000E65C0000}"/>
    <cellStyle name="40 % - Markeringsfarve6 2 6 2 3 3" xfId="27725" xr:uid="{00000000-0005-0000-0000-0000E75C0000}"/>
    <cellStyle name="40 % - Markeringsfarve6 2 6 2 4" xfId="15300" xr:uid="{00000000-0005-0000-0000-0000E85C0000}"/>
    <cellStyle name="40 % - Markeringsfarve6 2 6 2 4 2" xfId="33466" xr:uid="{00000000-0005-0000-0000-0000E95C0000}"/>
    <cellStyle name="40 % - Markeringsfarve6 2 6 2 5" xfId="26464" xr:uid="{00000000-0005-0000-0000-0000EA5C0000}"/>
    <cellStyle name="40 % - Markeringsfarve6 2 6 3" xfId="6748" xr:uid="{00000000-0005-0000-0000-0000EB5C0000}"/>
    <cellStyle name="40 % - Markeringsfarve6 2 6 3 2" xfId="9387" xr:uid="{00000000-0005-0000-0000-0000EC5C0000}"/>
    <cellStyle name="40 % - Markeringsfarve6 2 6 3 2 2" xfId="17297" xr:uid="{00000000-0005-0000-0000-0000ED5C0000}"/>
    <cellStyle name="40 % - Markeringsfarve6 2 6 3 2 2 2" xfId="35457" xr:uid="{00000000-0005-0000-0000-0000EE5C0000}"/>
    <cellStyle name="40 % - Markeringsfarve6 2 6 3 2 3" xfId="28456" xr:uid="{00000000-0005-0000-0000-0000EF5C0000}"/>
    <cellStyle name="40 % - Markeringsfarve6 2 6 3 3" xfId="15302" xr:uid="{00000000-0005-0000-0000-0000F05C0000}"/>
    <cellStyle name="40 % - Markeringsfarve6 2 6 3 3 2" xfId="33468" xr:uid="{00000000-0005-0000-0000-0000F15C0000}"/>
    <cellStyle name="40 % - Markeringsfarve6 2 6 3 4" xfId="26466" xr:uid="{00000000-0005-0000-0000-0000F25C0000}"/>
    <cellStyle name="40 % - Markeringsfarve6 2 6 4" xfId="6749" xr:uid="{00000000-0005-0000-0000-0000F35C0000}"/>
    <cellStyle name="40 % - Markeringsfarve6 2 6 4 2" xfId="10985" xr:uid="{00000000-0005-0000-0000-0000F45C0000}"/>
    <cellStyle name="40 % - Markeringsfarve6 2 6 4 2 2" xfId="18861" xr:uid="{00000000-0005-0000-0000-0000F55C0000}"/>
    <cellStyle name="40 % - Markeringsfarve6 2 6 4 2 2 2" xfId="37021" xr:uid="{00000000-0005-0000-0000-0000F65C0000}"/>
    <cellStyle name="40 % - Markeringsfarve6 2 6 4 2 3" xfId="30020" xr:uid="{00000000-0005-0000-0000-0000F75C0000}"/>
    <cellStyle name="40 % - Markeringsfarve6 2 6 4 3" xfId="15303" xr:uid="{00000000-0005-0000-0000-0000F85C0000}"/>
    <cellStyle name="40 % - Markeringsfarve6 2 6 4 3 2" xfId="33469" xr:uid="{00000000-0005-0000-0000-0000F95C0000}"/>
    <cellStyle name="40 % - Markeringsfarve6 2 6 4 4" xfId="26467" xr:uid="{00000000-0005-0000-0000-0000FA5C0000}"/>
    <cellStyle name="40 % - Markeringsfarve6 2 6 5" xfId="8275" xr:uid="{00000000-0005-0000-0000-0000FB5C0000}"/>
    <cellStyle name="40 % - Markeringsfarve6 2 6 5 2" xfId="16193" xr:uid="{00000000-0005-0000-0000-0000FC5C0000}"/>
    <cellStyle name="40 % - Markeringsfarve6 2 6 5 2 2" xfId="34353" xr:uid="{00000000-0005-0000-0000-0000FD5C0000}"/>
    <cellStyle name="40 % - Markeringsfarve6 2 6 5 3" xfId="27352" xr:uid="{00000000-0005-0000-0000-0000FE5C0000}"/>
    <cellStyle name="40 % - Markeringsfarve6 2 6 6" xfId="15299" xr:uid="{00000000-0005-0000-0000-0000FF5C0000}"/>
    <cellStyle name="40 % - Markeringsfarve6 2 6 6 2" xfId="33465" xr:uid="{00000000-0005-0000-0000-0000005D0000}"/>
    <cellStyle name="40 % - Markeringsfarve6 2 6 7" xfId="26463" xr:uid="{00000000-0005-0000-0000-0000015D0000}"/>
    <cellStyle name="40 % - Markeringsfarve6 2 7" xfId="6750" xr:uid="{00000000-0005-0000-0000-0000025D0000}"/>
    <cellStyle name="40 % - Markeringsfarve6 2 7 2" xfId="6751" xr:uid="{00000000-0005-0000-0000-0000035D0000}"/>
    <cellStyle name="40 % - Markeringsfarve6 2 7 2 2" xfId="6752" xr:uid="{00000000-0005-0000-0000-0000045D0000}"/>
    <cellStyle name="40 % - Markeringsfarve6 2 7 2 2 2" xfId="10228" xr:uid="{00000000-0005-0000-0000-0000055D0000}"/>
    <cellStyle name="40 % - Markeringsfarve6 2 7 2 2 2 2" xfId="18129" xr:uid="{00000000-0005-0000-0000-0000065D0000}"/>
    <cellStyle name="40 % - Markeringsfarve6 2 7 2 2 2 2 2" xfId="36289" xr:uid="{00000000-0005-0000-0000-0000075D0000}"/>
    <cellStyle name="40 % - Markeringsfarve6 2 7 2 2 2 3" xfId="29288" xr:uid="{00000000-0005-0000-0000-0000085D0000}"/>
    <cellStyle name="40 % - Markeringsfarve6 2 7 2 2 3" xfId="15306" xr:uid="{00000000-0005-0000-0000-0000095D0000}"/>
    <cellStyle name="40 % - Markeringsfarve6 2 7 2 2 3 2" xfId="33472" xr:uid="{00000000-0005-0000-0000-00000A5D0000}"/>
    <cellStyle name="40 % - Markeringsfarve6 2 7 2 2 4" xfId="26470" xr:uid="{00000000-0005-0000-0000-00000B5D0000}"/>
    <cellStyle name="40 % - Markeringsfarve6 2 7 2 3" xfId="8751" xr:uid="{00000000-0005-0000-0000-00000C5D0000}"/>
    <cellStyle name="40 % - Markeringsfarve6 2 7 2 3 2" xfId="16665" xr:uid="{00000000-0005-0000-0000-00000D5D0000}"/>
    <cellStyle name="40 % - Markeringsfarve6 2 7 2 3 2 2" xfId="34825" xr:uid="{00000000-0005-0000-0000-00000E5D0000}"/>
    <cellStyle name="40 % - Markeringsfarve6 2 7 2 3 3" xfId="27824" xr:uid="{00000000-0005-0000-0000-00000F5D0000}"/>
    <cellStyle name="40 % - Markeringsfarve6 2 7 2 4" xfId="15305" xr:uid="{00000000-0005-0000-0000-0000105D0000}"/>
    <cellStyle name="40 % - Markeringsfarve6 2 7 2 4 2" xfId="33471" xr:uid="{00000000-0005-0000-0000-0000115D0000}"/>
    <cellStyle name="40 % - Markeringsfarve6 2 7 2 5" xfId="26469" xr:uid="{00000000-0005-0000-0000-0000125D0000}"/>
    <cellStyle name="40 % - Markeringsfarve6 2 7 3" xfId="6753" xr:uid="{00000000-0005-0000-0000-0000135D0000}"/>
    <cellStyle name="40 % - Markeringsfarve6 2 7 3 2" xfId="9504" xr:uid="{00000000-0005-0000-0000-0000145D0000}"/>
    <cellStyle name="40 % - Markeringsfarve6 2 7 3 2 2" xfId="17414" xr:uid="{00000000-0005-0000-0000-0000155D0000}"/>
    <cellStyle name="40 % - Markeringsfarve6 2 7 3 2 2 2" xfId="35574" xr:uid="{00000000-0005-0000-0000-0000165D0000}"/>
    <cellStyle name="40 % - Markeringsfarve6 2 7 3 2 3" xfId="28573" xr:uid="{00000000-0005-0000-0000-0000175D0000}"/>
    <cellStyle name="40 % - Markeringsfarve6 2 7 3 3" xfId="15307" xr:uid="{00000000-0005-0000-0000-0000185D0000}"/>
    <cellStyle name="40 % - Markeringsfarve6 2 7 3 3 2" xfId="33473" xr:uid="{00000000-0005-0000-0000-0000195D0000}"/>
    <cellStyle name="40 % - Markeringsfarve6 2 7 3 4" xfId="26471" xr:uid="{00000000-0005-0000-0000-00001A5D0000}"/>
    <cellStyle name="40 % - Markeringsfarve6 2 7 4" xfId="6754" xr:uid="{00000000-0005-0000-0000-00001B5D0000}"/>
    <cellStyle name="40 % - Markeringsfarve6 2 7 4 2" xfId="10705" xr:uid="{00000000-0005-0000-0000-00001C5D0000}"/>
    <cellStyle name="40 % - Markeringsfarve6 2 7 4 2 2" xfId="18594" xr:uid="{00000000-0005-0000-0000-00001D5D0000}"/>
    <cellStyle name="40 % - Markeringsfarve6 2 7 4 2 2 2" xfId="36754" xr:uid="{00000000-0005-0000-0000-00001E5D0000}"/>
    <cellStyle name="40 % - Markeringsfarve6 2 7 4 2 3" xfId="29753" xr:uid="{00000000-0005-0000-0000-00001F5D0000}"/>
    <cellStyle name="40 % - Markeringsfarve6 2 7 4 3" xfId="15308" xr:uid="{00000000-0005-0000-0000-0000205D0000}"/>
    <cellStyle name="40 % - Markeringsfarve6 2 7 4 3 2" xfId="33474" xr:uid="{00000000-0005-0000-0000-0000215D0000}"/>
    <cellStyle name="40 % - Markeringsfarve6 2 7 4 4" xfId="26472" xr:uid="{00000000-0005-0000-0000-0000225D0000}"/>
    <cellStyle name="40 % - Markeringsfarve6 2 7 5" xfId="8276" xr:uid="{00000000-0005-0000-0000-0000235D0000}"/>
    <cellStyle name="40 % - Markeringsfarve6 2 7 5 2" xfId="16194" xr:uid="{00000000-0005-0000-0000-0000245D0000}"/>
    <cellStyle name="40 % - Markeringsfarve6 2 7 5 2 2" xfId="34354" xr:uid="{00000000-0005-0000-0000-0000255D0000}"/>
    <cellStyle name="40 % - Markeringsfarve6 2 7 5 3" xfId="27353" xr:uid="{00000000-0005-0000-0000-0000265D0000}"/>
    <cellStyle name="40 % - Markeringsfarve6 2 7 6" xfId="15304" xr:uid="{00000000-0005-0000-0000-0000275D0000}"/>
    <cellStyle name="40 % - Markeringsfarve6 2 7 6 2" xfId="33470" xr:uid="{00000000-0005-0000-0000-0000285D0000}"/>
    <cellStyle name="40 % - Markeringsfarve6 2 7 7" xfId="26468" xr:uid="{00000000-0005-0000-0000-0000295D0000}"/>
    <cellStyle name="40 % - Markeringsfarve6 2 8" xfId="6755" xr:uid="{00000000-0005-0000-0000-00002A5D0000}"/>
    <cellStyle name="40 % - Markeringsfarve6 2 8 2" xfId="6756" xr:uid="{00000000-0005-0000-0000-00002B5D0000}"/>
    <cellStyle name="40 % - Markeringsfarve6 2 8 2 2" xfId="6757" xr:uid="{00000000-0005-0000-0000-00002C5D0000}"/>
    <cellStyle name="40 % - Markeringsfarve6 2 8 2 2 2" xfId="10408" xr:uid="{00000000-0005-0000-0000-00002D5D0000}"/>
    <cellStyle name="40 % - Markeringsfarve6 2 8 2 2 2 2" xfId="18309" xr:uid="{00000000-0005-0000-0000-00002E5D0000}"/>
    <cellStyle name="40 % - Markeringsfarve6 2 8 2 2 2 2 2" xfId="36469" xr:uid="{00000000-0005-0000-0000-00002F5D0000}"/>
    <cellStyle name="40 % - Markeringsfarve6 2 8 2 2 2 3" xfId="29468" xr:uid="{00000000-0005-0000-0000-0000305D0000}"/>
    <cellStyle name="40 % - Markeringsfarve6 2 8 2 2 3" xfId="15311" xr:uid="{00000000-0005-0000-0000-0000315D0000}"/>
    <cellStyle name="40 % - Markeringsfarve6 2 8 2 2 3 2" xfId="33477" xr:uid="{00000000-0005-0000-0000-0000325D0000}"/>
    <cellStyle name="40 % - Markeringsfarve6 2 8 2 2 4" xfId="26475" xr:uid="{00000000-0005-0000-0000-0000335D0000}"/>
    <cellStyle name="40 % - Markeringsfarve6 2 8 2 3" xfId="8901" xr:uid="{00000000-0005-0000-0000-0000345D0000}"/>
    <cellStyle name="40 % - Markeringsfarve6 2 8 2 3 2" xfId="16815" xr:uid="{00000000-0005-0000-0000-0000355D0000}"/>
    <cellStyle name="40 % - Markeringsfarve6 2 8 2 3 2 2" xfId="34975" xr:uid="{00000000-0005-0000-0000-0000365D0000}"/>
    <cellStyle name="40 % - Markeringsfarve6 2 8 2 3 3" xfId="27974" xr:uid="{00000000-0005-0000-0000-0000375D0000}"/>
    <cellStyle name="40 % - Markeringsfarve6 2 8 2 4" xfId="15310" xr:uid="{00000000-0005-0000-0000-0000385D0000}"/>
    <cellStyle name="40 % - Markeringsfarve6 2 8 2 4 2" xfId="33476" xr:uid="{00000000-0005-0000-0000-0000395D0000}"/>
    <cellStyle name="40 % - Markeringsfarve6 2 8 2 5" xfId="26474" xr:uid="{00000000-0005-0000-0000-00003A5D0000}"/>
    <cellStyle name="40 % - Markeringsfarve6 2 8 3" xfId="6758" xr:uid="{00000000-0005-0000-0000-00003B5D0000}"/>
    <cellStyle name="40 % - Markeringsfarve6 2 8 3 2" xfId="9685" xr:uid="{00000000-0005-0000-0000-00003C5D0000}"/>
    <cellStyle name="40 % - Markeringsfarve6 2 8 3 2 2" xfId="17595" xr:uid="{00000000-0005-0000-0000-00003D5D0000}"/>
    <cellStyle name="40 % - Markeringsfarve6 2 8 3 2 2 2" xfId="35755" xr:uid="{00000000-0005-0000-0000-00003E5D0000}"/>
    <cellStyle name="40 % - Markeringsfarve6 2 8 3 2 3" xfId="28754" xr:uid="{00000000-0005-0000-0000-00003F5D0000}"/>
    <cellStyle name="40 % - Markeringsfarve6 2 8 3 3" xfId="15312" xr:uid="{00000000-0005-0000-0000-0000405D0000}"/>
    <cellStyle name="40 % - Markeringsfarve6 2 8 3 3 2" xfId="33478" xr:uid="{00000000-0005-0000-0000-0000415D0000}"/>
    <cellStyle name="40 % - Markeringsfarve6 2 8 3 4" xfId="26476" xr:uid="{00000000-0005-0000-0000-0000425D0000}"/>
    <cellStyle name="40 % - Markeringsfarve6 2 8 4" xfId="6759" xr:uid="{00000000-0005-0000-0000-0000435D0000}"/>
    <cellStyle name="40 % - Markeringsfarve6 2 8 4 2" xfId="10938" xr:uid="{00000000-0005-0000-0000-0000445D0000}"/>
    <cellStyle name="40 % - Markeringsfarve6 2 8 4 2 2" xfId="18818" xr:uid="{00000000-0005-0000-0000-0000455D0000}"/>
    <cellStyle name="40 % - Markeringsfarve6 2 8 4 2 2 2" xfId="36978" xr:uid="{00000000-0005-0000-0000-0000465D0000}"/>
    <cellStyle name="40 % - Markeringsfarve6 2 8 4 2 3" xfId="29977" xr:uid="{00000000-0005-0000-0000-0000475D0000}"/>
    <cellStyle name="40 % - Markeringsfarve6 2 8 4 3" xfId="15313" xr:uid="{00000000-0005-0000-0000-0000485D0000}"/>
    <cellStyle name="40 % - Markeringsfarve6 2 8 4 3 2" xfId="33479" xr:uid="{00000000-0005-0000-0000-0000495D0000}"/>
    <cellStyle name="40 % - Markeringsfarve6 2 8 4 4" xfId="26477" xr:uid="{00000000-0005-0000-0000-00004A5D0000}"/>
    <cellStyle name="40 % - Markeringsfarve6 2 8 5" xfId="8277" xr:uid="{00000000-0005-0000-0000-00004B5D0000}"/>
    <cellStyle name="40 % - Markeringsfarve6 2 8 5 2" xfId="16195" xr:uid="{00000000-0005-0000-0000-00004C5D0000}"/>
    <cellStyle name="40 % - Markeringsfarve6 2 8 5 2 2" xfId="34355" xr:uid="{00000000-0005-0000-0000-00004D5D0000}"/>
    <cellStyle name="40 % - Markeringsfarve6 2 8 5 3" xfId="27354" xr:uid="{00000000-0005-0000-0000-00004E5D0000}"/>
    <cellStyle name="40 % - Markeringsfarve6 2 8 6" xfId="15309" xr:uid="{00000000-0005-0000-0000-00004F5D0000}"/>
    <cellStyle name="40 % - Markeringsfarve6 2 8 6 2" xfId="33475" xr:uid="{00000000-0005-0000-0000-0000505D0000}"/>
    <cellStyle name="40 % - Markeringsfarve6 2 8 7" xfId="26473" xr:uid="{00000000-0005-0000-0000-0000515D0000}"/>
    <cellStyle name="40 % - Markeringsfarve6 2 9" xfId="6760" xr:uid="{00000000-0005-0000-0000-0000525D0000}"/>
    <cellStyle name="40 % - Markeringsfarve6 2 9 2" xfId="6761" xr:uid="{00000000-0005-0000-0000-0000535D0000}"/>
    <cellStyle name="40 % - Markeringsfarve6 2 9 2 2" xfId="9754" xr:uid="{00000000-0005-0000-0000-0000545D0000}"/>
    <cellStyle name="40 % - Markeringsfarve6 2 9 2 2 2" xfId="17655" xr:uid="{00000000-0005-0000-0000-0000555D0000}"/>
    <cellStyle name="40 % - Markeringsfarve6 2 9 2 2 2 2" xfId="35815" xr:uid="{00000000-0005-0000-0000-0000565D0000}"/>
    <cellStyle name="40 % - Markeringsfarve6 2 9 2 2 3" xfId="28814" xr:uid="{00000000-0005-0000-0000-0000575D0000}"/>
    <cellStyle name="40 % - Markeringsfarve6 2 9 2 3" xfId="15315" xr:uid="{00000000-0005-0000-0000-0000585D0000}"/>
    <cellStyle name="40 % - Markeringsfarve6 2 9 2 3 2" xfId="33481" xr:uid="{00000000-0005-0000-0000-0000595D0000}"/>
    <cellStyle name="40 % - Markeringsfarve6 2 9 2 4" xfId="26479" xr:uid="{00000000-0005-0000-0000-00005A5D0000}"/>
    <cellStyle name="40 % - Markeringsfarve6 2 9 3" xfId="8351" xr:uid="{00000000-0005-0000-0000-00005B5D0000}"/>
    <cellStyle name="40 % - Markeringsfarve6 2 9 3 2" xfId="16268" xr:uid="{00000000-0005-0000-0000-00005C5D0000}"/>
    <cellStyle name="40 % - Markeringsfarve6 2 9 3 2 2" xfId="34428" xr:uid="{00000000-0005-0000-0000-00005D5D0000}"/>
    <cellStyle name="40 % - Markeringsfarve6 2 9 3 3" xfId="27427" xr:uid="{00000000-0005-0000-0000-00005E5D0000}"/>
    <cellStyle name="40 % - Markeringsfarve6 2 9 4" xfId="15314" xr:uid="{00000000-0005-0000-0000-00005F5D0000}"/>
    <cellStyle name="40 % - Markeringsfarve6 2 9 4 2" xfId="33480" xr:uid="{00000000-0005-0000-0000-0000605D0000}"/>
    <cellStyle name="40 % - Markeringsfarve6 2 9 5" xfId="26478" xr:uid="{00000000-0005-0000-0000-0000615D0000}"/>
    <cellStyle name="40 % - Markeringsfarve6 3" xfId="1948" xr:uid="{00000000-0005-0000-0000-0000625D0000}"/>
    <cellStyle name="40 % - Markeringsfarve6 3 10" xfId="6763" xr:uid="{00000000-0005-0000-0000-0000635D0000}"/>
    <cellStyle name="40 % - Markeringsfarve6 3 10 2" xfId="8967" xr:uid="{00000000-0005-0000-0000-0000645D0000}"/>
    <cellStyle name="40 % - Markeringsfarve6 3 10 2 2" xfId="16879" xr:uid="{00000000-0005-0000-0000-0000655D0000}"/>
    <cellStyle name="40 % - Markeringsfarve6 3 10 2 2 2" xfId="35039" xr:uid="{00000000-0005-0000-0000-0000665D0000}"/>
    <cellStyle name="40 % - Markeringsfarve6 3 10 2 3" xfId="28038" xr:uid="{00000000-0005-0000-0000-0000675D0000}"/>
    <cellStyle name="40 % - Markeringsfarve6 3 10 3" xfId="15317" xr:uid="{00000000-0005-0000-0000-0000685D0000}"/>
    <cellStyle name="40 % - Markeringsfarve6 3 10 3 2" xfId="33483" xr:uid="{00000000-0005-0000-0000-0000695D0000}"/>
    <cellStyle name="40 % - Markeringsfarve6 3 10 4" xfId="26481" xr:uid="{00000000-0005-0000-0000-00006A5D0000}"/>
    <cellStyle name="40 % - Markeringsfarve6 3 11" xfId="6764" xr:uid="{00000000-0005-0000-0000-00006B5D0000}"/>
    <cellStyle name="40 % - Markeringsfarve6 3 11 2" xfId="10663" xr:uid="{00000000-0005-0000-0000-00006C5D0000}"/>
    <cellStyle name="40 % - Markeringsfarve6 3 11 2 2" xfId="18555" xr:uid="{00000000-0005-0000-0000-00006D5D0000}"/>
    <cellStyle name="40 % - Markeringsfarve6 3 11 2 2 2" xfId="36715" xr:uid="{00000000-0005-0000-0000-00006E5D0000}"/>
    <cellStyle name="40 % - Markeringsfarve6 3 11 2 3" xfId="29714" xr:uid="{00000000-0005-0000-0000-00006F5D0000}"/>
    <cellStyle name="40 % - Markeringsfarve6 3 11 3" xfId="15318" xr:uid="{00000000-0005-0000-0000-0000705D0000}"/>
    <cellStyle name="40 % - Markeringsfarve6 3 11 3 2" xfId="33484" xr:uid="{00000000-0005-0000-0000-0000715D0000}"/>
    <cellStyle name="40 % - Markeringsfarve6 3 11 4" xfId="26482" xr:uid="{00000000-0005-0000-0000-0000725D0000}"/>
    <cellStyle name="40 % - Markeringsfarve6 3 12" xfId="8278" xr:uid="{00000000-0005-0000-0000-0000735D0000}"/>
    <cellStyle name="40 % - Markeringsfarve6 3 12 2" xfId="16196" xr:uid="{00000000-0005-0000-0000-0000745D0000}"/>
    <cellStyle name="40 % - Markeringsfarve6 3 12 2 2" xfId="34356" xr:uid="{00000000-0005-0000-0000-0000755D0000}"/>
    <cellStyle name="40 % - Markeringsfarve6 3 12 3" xfId="27355" xr:uid="{00000000-0005-0000-0000-0000765D0000}"/>
    <cellStyle name="40 % - Markeringsfarve6 3 13" xfId="15316" xr:uid="{00000000-0005-0000-0000-0000775D0000}"/>
    <cellStyle name="40 % - Markeringsfarve6 3 13 2" xfId="33482" xr:uid="{00000000-0005-0000-0000-0000785D0000}"/>
    <cellStyle name="40 % - Markeringsfarve6 3 14" xfId="6762" xr:uid="{00000000-0005-0000-0000-0000795D0000}"/>
    <cellStyle name="40 % - Markeringsfarve6 3 14 2" xfId="26480" xr:uid="{00000000-0005-0000-0000-00007A5D0000}"/>
    <cellStyle name="40 % - Markeringsfarve6 3 15" xfId="22066" xr:uid="{00000000-0005-0000-0000-00007B5D0000}"/>
    <cellStyle name="40 % - Markeringsfarve6 3 2" xfId="1949" xr:uid="{00000000-0005-0000-0000-00007C5D0000}"/>
    <cellStyle name="40 % - Markeringsfarve6 3 2 10" xfId="8279" xr:uid="{00000000-0005-0000-0000-00007D5D0000}"/>
    <cellStyle name="40 % - Markeringsfarve6 3 2 10 2" xfId="16197" xr:uid="{00000000-0005-0000-0000-00007E5D0000}"/>
    <cellStyle name="40 % - Markeringsfarve6 3 2 10 2 2" xfId="34357" xr:uid="{00000000-0005-0000-0000-00007F5D0000}"/>
    <cellStyle name="40 % - Markeringsfarve6 3 2 10 3" xfId="27356" xr:uid="{00000000-0005-0000-0000-0000805D0000}"/>
    <cellStyle name="40 % - Markeringsfarve6 3 2 11" xfId="15319" xr:uid="{00000000-0005-0000-0000-0000815D0000}"/>
    <cellStyle name="40 % - Markeringsfarve6 3 2 11 2" xfId="33485" xr:uid="{00000000-0005-0000-0000-0000825D0000}"/>
    <cellStyle name="40 % - Markeringsfarve6 3 2 12" xfId="6765" xr:uid="{00000000-0005-0000-0000-0000835D0000}"/>
    <cellStyle name="40 % - Markeringsfarve6 3 2 12 2" xfId="26483" xr:uid="{00000000-0005-0000-0000-0000845D0000}"/>
    <cellStyle name="40 % - Markeringsfarve6 3 2 13" xfId="22067" xr:uid="{00000000-0005-0000-0000-0000855D0000}"/>
    <cellStyle name="40 % - Markeringsfarve6 3 2 2" xfId="6766" xr:uid="{00000000-0005-0000-0000-0000865D0000}"/>
    <cellStyle name="40 % - Markeringsfarve6 3 2 2 2" xfId="6767" xr:uid="{00000000-0005-0000-0000-0000875D0000}"/>
    <cellStyle name="40 % - Markeringsfarve6 3 2 2 2 2" xfId="6768" xr:uid="{00000000-0005-0000-0000-0000885D0000}"/>
    <cellStyle name="40 % - Markeringsfarve6 3 2 2 2 2 2" xfId="9900" xr:uid="{00000000-0005-0000-0000-0000895D0000}"/>
    <cellStyle name="40 % - Markeringsfarve6 3 2 2 2 2 2 2" xfId="17801" xr:uid="{00000000-0005-0000-0000-00008A5D0000}"/>
    <cellStyle name="40 % - Markeringsfarve6 3 2 2 2 2 2 2 2" xfId="35961" xr:uid="{00000000-0005-0000-0000-00008B5D0000}"/>
    <cellStyle name="40 % - Markeringsfarve6 3 2 2 2 2 2 3" xfId="28960" xr:uid="{00000000-0005-0000-0000-00008C5D0000}"/>
    <cellStyle name="40 % - Markeringsfarve6 3 2 2 2 2 3" xfId="15322" xr:uid="{00000000-0005-0000-0000-00008D5D0000}"/>
    <cellStyle name="40 % - Markeringsfarve6 3 2 2 2 2 3 2" xfId="33488" xr:uid="{00000000-0005-0000-0000-00008E5D0000}"/>
    <cellStyle name="40 % - Markeringsfarve6 3 2 2 2 2 4" xfId="26486" xr:uid="{00000000-0005-0000-0000-00008F5D0000}"/>
    <cellStyle name="40 % - Markeringsfarve6 3 2 2 2 3" xfId="8473" xr:uid="{00000000-0005-0000-0000-0000905D0000}"/>
    <cellStyle name="40 % - Markeringsfarve6 3 2 2 2 3 2" xfId="16390" xr:uid="{00000000-0005-0000-0000-0000915D0000}"/>
    <cellStyle name="40 % - Markeringsfarve6 3 2 2 2 3 2 2" xfId="34550" xr:uid="{00000000-0005-0000-0000-0000925D0000}"/>
    <cellStyle name="40 % - Markeringsfarve6 3 2 2 2 3 3" xfId="27549" xr:uid="{00000000-0005-0000-0000-0000935D0000}"/>
    <cellStyle name="40 % - Markeringsfarve6 3 2 2 2 4" xfId="15321" xr:uid="{00000000-0005-0000-0000-0000945D0000}"/>
    <cellStyle name="40 % - Markeringsfarve6 3 2 2 2 4 2" xfId="33487" xr:uid="{00000000-0005-0000-0000-0000955D0000}"/>
    <cellStyle name="40 % - Markeringsfarve6 3 2 2 2 5" xfId="26485" xr:uid="{00000000-0005-0000-0000-0000965D0000}"/>
    <cellStyle name="40 % - Markeringsfarve6 3 2 2 3" xfId="6769" xr:uid="{00000000-0005-0000-0000-0000975D0000}"/>
    <cellStyle name="40 % - Markeringsfarve6 3 2 2 3 2" xfId="9130" xr:uid="{00000000-0005-0000-0000-0000985D0000}"/>
    <cellStyle name="40 % - Markeringsfarve6 3 2 2 3 2 2" xfId="17041" xr:uid="{00000000-0005-0000-0000-0000995D0000}"/>
    <cellStyle name="40 % - Markeringsfarve6 3 2 2 3 2 2 2" xfId="35201" xr:uid="{00000000-0005-0000-0000-00009A5D0000}"/>
    <cellStyle name="40 % - Markeringsfarve6 3 2 2 3 2 3" xfId="28200" xr:uid="{00000000-0005-0000-0000-00009B5D0000}"/>
    <cellStyle name="40 % - Markeringsfarve6 3 2 2 3 3" xfId="15323" xr:uid="{00000000-0005-0000-0000-00009C5D0000}"/>
    <cellStyle name="40 % - Markeringsfarve6 3 2 2 3 3 2" xfId="33489" xr:uid="{00000000-0005-0000-0000-00009D5D0000}"/>
    <cellStyle name="40 % - Markeringsfarve6 3 2 2 3 4" xfId="26487" xr:uid="{00000000-0005-0000-0000-00009E5D0000}"/>
    <cellStyle name="40 % - Markeringsfarve6 3 2 2 4" xfId="6770" xr:uid="{00000000-0005-0000-0000-00009F5D0000}"/>
    <cellStyle name="40 % - Markeringsfarve6 3 2 2 4 2" xfId="10621" xr:uid="{00000000-0005-0000-0000-0000A05D0000}"/>
    <cellStyle name="40 % - Markeringsfarve6 3 2 2 4 2 2" xfId="18514" xr:uid="{00000000-0005-0000-0000-0000A15D0000}"/>
    <cellStyle name="40 % - Markeringsfarve6 3 2 2 4 2 2 2" xfId="36674" xr:uid="{00000000-0005-0000-0000-0000A25D0000}"/>
    <cellStyle name="40 % - Markeringsfarve6 3 2 2 4 2 3" xfId="29673" xr:uid="{00000000-0005-0000-0000-0000A35D0000}"/>
    <cellStyle name="40 % - Markeringsfarve6 3 2 2 4 3" xfId="15324" xr:uid="{00000000-0005-0000-0000-0000A45D0000}"/>
    <cellStyle name="40 % - Markeringsfarve6 3 2 2 4 3 2" xfId="33490" xr:uid="{00000000-0005-0000-0000-0000A55D0000}"/>
    <cellStyle name="40 % - Markeringsfarve6 3 2 2 4 4" xfId="26488" xr:uid="{00000000-0005-0000-0000-0000A65D0000}"/>
    <cellStyle name="40 % - Markeringsfarve6 3 2 2 5" xfId="8280" xr:uid="{00000000-0005-0000-0000-0000A75D0000}"/>
    <cellStyle name="40 % - Markeringsfarve6 3 2 2 5 2" xfId="16198" xr:uid="{00000000-0005-0000-0000-0000A85D0000}"/>
    <cellStyle name="40 % - Markeringsfarve6 3 2 2 5 2 2" xfId="34358" xr:uid="{00000000-0005-0000-0000-0000A95D0000}"/>
    <cellStyle name="40 % - Markeringsfarve6 3 2 2 5 3" xfId="27357" xr:uid="{00000000-0005-0000-0000-0000AA5D0000}"/>
    <cellStyle name="40 % - Markeringsfarve6 3 2 2 6" xfId="15320" xr:uid="{00000000-0005-0000-0000-0000AB5D0000}"/>
    <cellStyle name="40 % - Markeringsfarve6 3 2 2 6 2" xfId="33486" xr:uid="{00000000-0005-0000-0000-0000AC5D0000}"/>
    <cellStyle name="40 % - Markeringsfarve6 3 2 2 7" xfId="26484" xr:uid="{00000000-0005-0000-0000-0000AD5D0000}"/>
    <cellStyle name="40 % - Markeringsfarve6 3 2 3" xfId="6771" xr:uid="{00000000-0005-0000-0000-0000AE5D0000}"/>
    <cellStyle name="40 % - Markeringsfarve6 3 2 3 2" xfId="6772" xr:uid="{00000000-0005-0000-0000-0000AF5D0000}"/>
    <cellStyle name="40 % - Markeringsfarve6 3 2 3 2 2" xfId="6773" xr:uid="{00000000-0005-0000-0000-0000B05D0000}"/>
    <cellStyle name="40 % - Markeringsfarve6 3 2 3 2 2 2" xfId="10058" xr:uid="{00000000-0005-0000-0000-0000B15D0000}"/>
    <cellStyle name="40 % - Markeringsfarve6 3 2 3 2 2 2 2" xfId="17959" xr:uid="{00000000-0005-0000-0000-0000B25D0000}"/>
    <cellStyle name="40 % - Markeringsfarve6 3 2 3 2 2 2 2 2" xfId="36119" xr:uid="{00000000-0005-0000-0000-0000B35D0000}"/>
    <cellStyle name="40 % - Markeringsfarve6 3 2 3 2 2 2 3" xfId="29118" xr:uid="{00000000-0005-0000-0000-0000B45D0000}"/>
    <cellStyle name="40 % - Markeringsfarve6 3 2 3 2 2 3" xfId="15327" xr:uid="{00000000-0005-0000-0000-0000B55D0000}"/>
    <cellStyle name="40 % - Markeringsfarve6 3 2 3 2 2 3 2" xfId="33493" xr:uid="{00000000-0005-0000-0000-0000B65D0000}"/>
    <cellStyle name="40 % - Markeringsfarve6 3 2 3 2 2 4" xfId="26491" xr:uid="{00000000-0005-0000-0000-0000B75D0000}"/>
    <cellStyle name="40 % - Markeringsfarve6 3 2 3 2 3" xfId="8604" xr:uid="{00000000-0005-0000-0000-0000B85D0000}"/>
    <cellStyle name="40 % - Markeringsfarve6 3 2 3 2 3 2" xfId="16521" xr:uid="{00000000-0005-0000-0000-0000B95D0000}"/>
    <cellStyle name="40 % - Markeringsfarve6 3 2 3 2 3 2 2" xfId="34681" xr:uid="{00000000-0005-0000-0000-0000BA5D0000}"/>
    <cellStyle name="40 % - Markeringsfarve6 3 2 3 2 3 3" xfId="27680" xr:uid="{00000000-0005-0000-0000-0000BB5D0000}"/>
    <cellStyle name="40 % - Markeringsfarve6 3 2 3 2 4" xfId="15326" xr:uid="{00000000-0005-0000-0000-0000BC5D0000}"/>
    <cellStyle name="40 % - Markeringsfarve6 3 2 3 2 4 2" xfId="33492" xr:uid="{00000000-0005-0000-0000-0000BD5D0000}"/>
    <cellStyle name="40 % - Markeringsfarve6 3 2 3 2 5" xfId="26490" xr:uid="{00000000-0005-0000-0000-0000BE5D0000}"/>
    <cellStyle name="40 % - Markeringsfarve6 3 2 3 3" xfId="6774" xr:uid="{00000000-0005-0000-0000-0000BF5D0000}"/>
    <cellStyle name="40 % - Markeringsfarve6 3 2 3 3 2" xfId="9288" xr:uid="{00000000-0005-0000-0000-0000C05D0000}"/>
    <cellStyle name="40 % - Markeringsfarve6 3 2 3 3 2 2" xfId="17199" xr:uid="{00000000-0005-0000-0000-0000C15D0000}"/>
    <cellStyle name="40 % - Markeringsfarve6 3 2 3 3 2 2 2" xfId="35359" xr:uid="{00000000-0005-0000-0000-0000C25D0000}"/>
    <cellStyle name="40 % - Markeringsfarve6 3 2 3 3 2 3" xfId="28358" xr:uid="{00000000-0005-0000-0000-0000C35D0000}"/>
    <cellStyle name="40 % - Markeringsfarve6 3 2 3 3 3" xfId="15328" xr:uid="{00000000-0005-0000-0000-0000C45D0000}"/>
    <cellStyle name="40 % - Markeringsfarve6 3 2 3 3 3 2" xfId="33494" xr:uid="{00000000-0005-0000-0000-0000C55D0000}"/>
    <cellStyle name="40 % - Markeringsfarve6 3 2 3 3 4" xfId="26492" xr:uid="{00000000-0005-0000-0000-0000C65D0000}"/>
    <cellStyle name="40 % - Markeringsfarve6 3 2 3 4" xfId="6775" xr:uid="{00000000-0005-0000-0000-0000C75D0000}"/>
    <cellStyle name="40 % - Markeringsfarve6 3 2 3 4 2" xfId="10850" xr:uid="{00000000-0005-0000-0000-0000C85D0000}"/>
    <cellStyle name="40 % - Markeringsfarve6 3 2 3 4 2 2" xfId="18733" xr:uid="{00000000-0005-0000-0000-0000C95D0000}"/>
    <cellStyle name="40 % - Markeringsfarve6 3 2 3 4 2 2 2" xfId="36893" xr:uid="{00000000-0005-0000-0000-0000CA5D0000}"/>
    <cellStyle name="40 % - Markeringsfarve6 3 2 3 4 2 3" xfId="29892" xr:uid="{00000000-0005-0000-0000-0000CB5D0000}"/>
    <cellStyle name="40 % - Markeringsfarve6 3 2 3 4 3" xfId="15329" xr:uid="{00000000-0005-0000-0000-0000CC5D0000}"/>
    <cellStyle name="40 % - Markeringsfarve6 3 2 3 4 3 2" xfId="33495" xr:uid="{00000000-0005-0000-0000-0000CD5D0000}"/>
    <cellStyle name="40 % - Markeringsfarve6 3 2 3 4 4" xfId="26493" xr:uid="{00000000-0005-0000-0000-0000CE5D0000}"/>
    <cellStyle name="40 % - Markeringsfarve6 3 2 3 5" xfId="8281" xr:uid="{00000000-0005-0000-0000-0000CF5D0000}"/>
    <cellStyle name="40 % - Markeringsfarve6 3 2 3 5 2" xfId="16199" xr:uid="{00000000-0005-0000-0000-0000D05D0000}"/>
    <cellStyle name="40 % - Markeringsfarve6 3 2 3 5 2 2" xfId="34359" xr:uid="{00000000-0005-0000-0000-0000D15D0000}"/>
    <cellStyle name="40 % - Markeringsfarve6 3 2 3 5 3" xfId="27358" xr:uid="{00000000-0005-0000-0000-0000D25D0000}"/>
    <cellStyle name="40 % - Markeringsfarve6 3 2 3 6" xfId="15325" xr:uid="{00000000-0005-0000-0000-0000D35D0000}"/>
    <cellStyle name="40 % - Markeringsfarve6 3 2 3 6 2" xfId="33491" xr:uid="{00000000-0005-0000-0000-0000D45D0000}"/>
    <cellStyle name="40 % - Markeringsfarve6 3 2 3 7" xfId="26489" xr:uid="{00000000-0005-0000-0000-0000D55D0000}"/>
    <cellStyle name="40 % - Markeringsfarve6 3 2 4" xfId="6776" xr:uid="{00000000-0005-0000-0000-0000D65D0000}"/>
    <cellStyle name="40 % - Markeringsfarve6 3 2 4 2" xfId="6777" xr:uid="{00000000-0005-0000-0000-0000D75D0000}"/>
    <cellStyle name="40 % - Markeringsfarve6 3 2 4 2 2" xfId="6778" xr:uid="{00000000-0005-0000-0000-0000D85D0000}"/>
    <cellStyle name="40 % - Markeringsfarve6 3 2 4 2 2 2" xfId="10138" xr:uid="{00000000-0005-0000-0000-0000D95D0000}"/>
    <cellStyle name="40 % - Markeringsfarve6 3 2 4 2 2 2 2" xfId="18039" xr:uid="{00000000-0005-0000-0000-0000DA5D0000}"/>
    <cellStyle name="40 % - Markeringsfarve6 3 2 4 2 2 2 2 2" xfId="36199" xr:uid="{00000000-0005-0000-0000-0000DB5D0000}"/>
    <cellStyle name="40 % - Markeringsfarve6 3 2 4 2 2 2 3" xfId="29198" xr:uid="{00000000-0005-0000-0000-0000DC5D0000}"/>
    <cellStyle name="40 % - Markeringsfarve6 3 2 4 2 2 3" xfId="15332" xr:uid="{00000000-0005-0000-0000-0000DD5D0000}"/>
    <cellStyle name="40 % - Markeringsfarve6 3 2 4 2 2 3 2" xfId="33498" xr:uid="{00000000-0005-0000-0000-0000DE5D0000}"/>
    <cellStyle name="40 % - Markeringsfarve6 3 2 4 2 2 4" xfId="26496" xr:uid="{00000000-0005-0000-0000-0000DF5D0000}"/>
    <cellStyle name="40 % - Markeringsfarve6 3 2 4 2 3" xfId="8675" xr:uid="{00000000-0005-0000-0000-0000E05D0000}"/>
    <cellStyle name="40 % - Markeringsfarve6 3 2 4 2 3 2" xfId="16589" xr:uid="{00000000-0005-0000-0000-0000E15D0000}"/>
    <cellStyle name="40 % - Markeringsfarve6 3 2 4 2 3 2 2" xfId="34749" xr:uid="{00000000-0005-0000-0000-0000E25D0000}"/>
    <cellStyle name="40 % - Markeringsfarve6 3 2 4 2 3 3" xfId="27748" xr:uid="{00000000-0005-0000-0000-0000E35D0000}"/>
    <cellStyle name="40 % - Markeringsfarve6 3 2 4 2 4" xfId="15331" xr:uid="{00000000-0005-0000-0000-0000E45D0000}"/>
    <cellStyle name="40 % - Markeringsfarve6 3 2 4 2 4 2" xfId="33497" xr:uid="{00000000-0005-0000-0000-0000E55D0000}"/>
    <cellStyle name="40 % - Markeringsfarve6 3 2 4 2 5" xfId="26495" xr:uid="{00000000-0005-0000-0000-0000E65D0000}"/>
    <cellStyle name="40 % - Markeringsfarve6 3 2 4 3" xfId="6779" xr:uid="{00000000-0005-0000-0000-0000E75D0000}"/>
    <cellStyle name="40 % - Markeringsfarve6 3 2 4 3 2" xfId="9414" xr:uid="{00000000-0005-0000-0000-0000E85D0000}"/>
    <cellStyle name="40 % - Markeringsfarve6 3 2 4 3 2 2" xfId="17324" xr:uid="{00000000-0005-0000-0000-0000E95D0000}"/>
    <cellStyle name="40 % - Markeringsfarve6 3 2 4 3 2 2 2" xfId="35484" xr:uid="{00000000-0005-0000-0000-0000EA5D0000}"/>
    <cellStyle name="40 % - Markeringsfarve6 3 2 4 3 2 3" xfId="28483" xr:uid="{00000000-0005-0000-0000-0000EB5D0000}"/>
    <cellStyle name="40 % - Markeringsfarve6 3 2 4 3 3" xfId="15333" xr:uid="{00000000-0005-0000-0000-0000EC5D0000}"/>
    <cellStyle name="40 % - Markeringsfarve6 3 2 4 3 3 2" xfId="33499" xr:uid="{00000000-0005-0000-0000-0000ED5D0000}"/>
    <cellStyle name="40 % - Markeringsfarve6 3 2 4 3 4" xfId="26497" xr:uid="{00000000-0005-0000-0000-0000EE5D0000}"/>
    <cellStyle name="40 % - Markeringsfarve6 3 2 4 4" xfId="6780" xr:uid="{00000000-0005-0000-0000-0000EF5D0000}"/>
    <cellStyle name="40 % - Markeringsfarve6 3 2 4 4 2" xfId="10500" xr:uid="{00000000-0005-0000-0000-0000F05D0000}"/>
    <cellStyle name="40 % - Markeringsfarve6 3 2 4 4 2 2" xfId="18394" xr:uid="{00000000-0005-0000-0000-0000F15D0000}"/>
    <cellStyle name="40 % - Markeringsfarve6 3 2 4 4 2 2 2" xfId="36554" xr:uid="{00000000-0005-0000-0000-0000F25D0000}"/>
    <cellStyle name="40 % - Markeringsfarve6 3 2 4 4 2 3" xfId="29553" xr:uid="{00000000-0005-0000-0000-0000F35D0000}"/>
    <cellStyle name="40 % - Markeringsfarve6 3 2 4 4 3" xfId="15334" xr:uid="{00000000-0005-0000-0000-0000F45D0000}"/>
    <cellStyle name="40 % - Markeringsfarve6 3 2 4 4 3 2" xfId="33500" xr:uid="{00000000-0005-0000-0000-0000F55D0000}"/>
    <cellStyle name="40 % - Markeringsfarve6 3 2 4 4 4" xfId="26498" xr:uid="{00000000-0005-0000-0000-0000F65D0000}"/>
    <cellStyle name="40 % - Markeringsfarve6 3 2 4 5" xfId="8282" xr:uid="{00000000-0005-0000-0000-0000F75D0000}"/>
    <cellStyle name="40 % - Markeringsfarve6 3 2 4 5 2" xfId="16200" xr:uid="{00000000-0005-0000-0000-0000F85D0000}"/>
    <cellStyle name="40 % - Markeringsfarve6 3 2 4 5 2 2" xfId="34360" xr:uid="{00000000-0005-0000-0000-0000F95D0000}"/>
    <cellStyle name="40 % - Markeringsfarve6 3 2 4 5 3" xfId="27359" xr:uid="{00000000-0005-0000-0000-0000FA5D0000}"/>
    <cellStyle name="40 % - Markeringsfarve6 3 2 4 6" xfId="15330" xr:uid="{00000000-0005-0000-0000-0000FB5D0000}"/>
    <cellStyle name="40 % - Markeringsfarve6 3 2 4 6 2" xfId="33496" xr:uid="{00000000-0005-0000-0000-0000FC5D0000}"/>
    <cellStyle name="40 % - Markeringsfarve6 3 2 4 7" xfId="26494" xr:uid="{00000000-0005-0000-0000-0000FD5D0000}"/>
    <cellStyle name="40 % - Markeringsfarve6 3 2 5" xfId="6781" xr:uid="{00000000-0005-0000-0000-0000FE5D0000}"/>
    <cellStyle name="40 % - Markeringsfarve6 3 2 5 2" xfId="6782" xr:uid="{00000000-0005-0000-0000-0000FF5D0000}"/>
    <cellStyle name="40 % - Markeringsfarve6 3 2 5 2 2" xfId="6783" xr:uid="{00000000-0005-0000-0000-0000005E0000}"/>
    <cellStyle name="40 % - Markeringsfarve6 3 2 5 2 2 2" xfId="10255" xr:uid="{00000000-0005-0000-0000-0000015E0000}"/>
    <cellStyle name="40 % - Markeringsfarve6 3 2 5 2 2 2 2" xfId="18156" xr:uid="{00000000-0005-0000-0000-0000025E0000}"/>
    <cellStyle name="40 % - Markeringsfarve6 3 2 5 2 2 2 2 2" xfId="36316" xr:uid="{00000000-0005-0000-0000-0000035E0000}"/>
    <cellStyle name="40 % - Markeringsfarve6 3 2 5 2 2 2 3" xfId="29315" xr:uid="{00000000-0005-0000-0000-0000045E0000}"/>
    <cellStyle name="40 % - Markeringsfarve6 3 2 5 2 2 3" xfId="15337" xr:uid="{00000000-0005-0000-0000-0000055E0000}"/>
    <cellStyle name="40 % - Markeringsfarve6 3 2 5 2 2 3 2" xfId="33503" xr:uid="{00000000-0005-0000-0000-0000065E0000}"/>
    <cellStyle name="40 % - Markeringsfarve6 3 2 5 2 2 4" xfId="26501" xr:uid="{00000000-0005-0000-0000-0000075E0000}"/>
    <cellStyle name="40 % - Markeringsfarve6 3 2 5 2 3" xfId="8774" xr:uid="{00000000-0005-0000-0000-0000085E0000}"/>
    <cellStyle name="40 % - Markeringsfarve6 3 2 5 2 3 2" xfId="16688" xr:uid="{00000000-0005-0000-0000-0000095E0000}"/>
    <cellStyle name="40 % - Markeringsfarve6 3 2 5 2 3 2 2" xfId="34848" xr:uid="{00000000-0005-0000-0000-00000A5E0000}"/>
    <cellStyle name="40 % - Markeringsfarve6 3 2 5 2 3 3" xfId="27847" xr:uid="{00000000-0005-0000-0000-00000B5E0000}"/>
    <cellStyle name="40 % - Markeringsfarve6 3 2 5 2 4" xfId="15336" xr:uid="{00000000-0005-0000-0000-00000C5E0000}"/>
    <cellStyle name="40 % - Markeringsfarve6 3 2 5 2 4 2" xfId="33502" xr:uid="{00000000-0005-0000-0000-00000D5E0000}"/>
    <cellStyle name="40 % - Markeringsfarve6 3 2 5 2 5" xfId="26500" xr:uid="{00000000-0005-0000-0000-00000E5E0000}"/>
    <cellStyle name="40 % - Markeringsfarve6 3 2 5 3" xfId="6784" xr:uid="{00000000-0005-0000-0000-00000F5E0000}"/>
    <cellStyle name="40 % - Markeringsfarve6 3 2 5 3 2" xfId="9531" xr:uid="{00000000-0005-0000-0000-0000105E0000}"/>
    <cellStyle name="40 % - Markeringsfarve6 3 2 5 3 2 2" xfId="17441" xr:uid="{00000000-0005-0000-0000-0000115E0000}"/>
    <cellStyle name="40 % - Markeringsfarve6 3 2 5 3 2 2 2" xfId="35601" xr:uid="{00000000-0005-0000-0000-0000125E0000}"/>
    <cellStyle name="40 % - Markeringsfarve6 3 2 5 3 2 3" xfId="28600" xr:uid="{00000000-0005-0000-0000-0000135E0000}"/>
    <cellStyle name="40 % - Markeringsfarve6 3 2 5 3 3" xfId="15338" xr:uid="{00000000-0005-0000-0000-0000145E0000}"/>
    <cellStyle name="40 % - Markeringsfarve6 3 2 5 3 3 2" xfId="33504" xr:uid="{00000000-0005-0000-0000-0000155E0000}"/>
    <cellStyle name="40 % - Markeringsfarve6 3 2 5 3 4" xfId="26502" xr:uid="{00000000-0005-0000-0000-0000165E0000}"/>
    <cellStyle name="40 % - Markeringsfarve6 3 2 5 4" xfId="6785" xr:uid="{00000000-0005-0000-0000-0000175E0000}"/>
    <cellStyle name="40 % - Markeringsfarve6 3 2 5 4 2" xfId="10806" xr:uid="{00000000-0005-0000-0000-0000185E0000}"/>
    <cellStyle name="40 % - Markeringsfarve6 3 2 5 4 2 2" xfId="18693" xr:uid="{00000000-0005-0000-0000-0000195E0000}"/>
    <cellStyle name="40 % - Markeringsfarve6 3 2 5 4 2 2 2" xfId="36853" xr:uid="{00000000-0005-0000-0000-00001A5E0000}"/>
    <cellStyle name="40 % - Markeringsfarve6 3 2 5 4 2 3" xfId="29852" xr:uid="{00000000-0005-0000-0000-00001B5E0000}"/>
    <cellStyle name="40 % - Markeringsfarve6 3 2 5 4 3" xfId="15339" xr:uid="{00000000-0005-0000-0000-00001C5E0000}"/>
    <cellStyle name="40 % - Markeringsfarve6 3 2 5 4 3 2" xfId="33505" xr:uid="{00000000-0005-0000-0000-00001D5E0000}"/>
    <cellStyle name="40 % - Markeringsfarve6 3 2 5 4 4" xfId="26503" xr:uid="{00000000-0005-0000-0000-00001E5E0000}"/>
    <cellStyle name="40 % - Markeringsfarve6 3 2 5 5" xfId="8283" xr:uid="{00000000-0005-0000-0000-00001F5E0000}"/>
    <cellStyle name="40 % - Markeringsfarve6 3 2 5 5 2" xfId="16201" xr:uid="{00000000-0005-0000-0000-0000205E0000}"/>
    <cellStyle name="40 % - Markeringsfarve6 3 2 5 5 2 2" xfId="34361" xr:uid="{00000000-0005-0000-0000-0000215E0000}"/>
    <cellStyle name="40 % - Markeringsfarve6 3 2 5 5 3" xfId="27360" xr:uid="{00000000-0005-0000-0000-0000225E0000}"/>
    <cellStyle name="40 % - Markeringsfarve6 3 2 5 6" xfId="15335" xr:uid="{00000000-0005-0000-0000-0000235E0000}"/>
    <cellStyle name="40 % - Markeringsfarve6 3 2 5 6 2" xfId="33501" xr:uid="{00000000-0005-0000-0000-0000245E0000}"/>
    <cellStyle name="40 % - Markeringsfarve6 3 2 5 7" xfId="26499" xr:uid="{00000000-0005-0000-0000-0000255E0000}"/>
    <cellStyle name="40 % - Markeringsfarve6 3 2 6" xfId="6786" xr:uid="{00000000-0005-0000-0000-0000265E0000}"/>
    <cellStyle name="40 % - Markeringsfarve6 3 2 6 2" xfId="6787" xr:uid="{00000000-0005-0000-0000-0000275E0000}"/>
    <cellStyle name="40 % - Markeringsfarve6 3 2 6 2 2" xfId="6788" xr:uid="{00000000-0005-0000-0000-0000285E0000}"/>
    <cellStyle name="40 % - Markeringsfarve6 3 2 6 2 2 2" xfId="10412" xr:uid="{00000000-0005-0000-0000-0000295E0000}"/>
    <cellStyle name="40 % - Markeringsfarve6 3 2 6 2 2 2 2" xfId="18313" xr:uid="{00000000-0005-0000-0000-00002A5E0000}"/>
    <cellStyle name="40 % - Markeringsfarve6 3 2 6 2 2 2 2 2" xfId="36473" xr:uid="{00000000-0005-0000-0000-00002B5E0000}"/>
    <cellStyle name="40 % - Markeringsfarve6 3 2 6 2 2 2 3" xfId="29472" xr:uid="{00000000-0005-0000-0000-00002C5E0000}"/>
    <cellStyle name="40 % - Markeringsfarve6 3 2 6 2 2 3" xfId="15342" xr:uid="{00000000-0005-0000-0000-00002D5E0000}"/>
    <cellStyle name="40 % - Markeringsfarve6 3 2 6 2 2 3 2" xfId="33508" xr:uid="{00000000-0005-0000-0000-00002E5E0000}"/>
    <cellStyle name="40 % - Markeringsfarve6 3 2 6 2 2 4" xfId="26506" xr:uid="{00000000-0005-0000-0000-00002F5E0000}"/>
    <cellStyle name="40 % - Markeringsfarve6 3 2 6 2 3" xfId="8905" xr:uid="{00000000-0005-0000-0000-0000305E0000}"/>
    <cellStyle name="40 % - Markeringsfarve6 3 2 6 2 3 2" xfId="16819" xr:uid="{00000000-0005-0000-0000-0000315E0000}"/>
    <cellStyle name="40 % - Markeringsfarve6 3 2 6 2 3 2 2" xfId="34979" xr:uid="{00000000-0005-0000-0000-0000325E0000}"/>
    <cellStyle name="40 % - Markeringsfarve6 3 2 6 2 3 3" xfId="27978" xr:uid="{00000000-0005-0000-0000-0000335E0000}"/>
    <cellStyle name="40 % - Markeringsfarve6 3 2 6 2 4" xfId="15341" xr:uid="{00000000-0005-0000-0000-0000345E0000}"/>
    <cellStyle name="40 % - Markeringsfarve6 3 2 6 2 4 2" xfId="33507" xr:uid="{00000000-0005-0000-0000-0000355E0000}"/>
    <cellStyle name="40 % - Markeringsfarve6 3 2 6 2 5" xfId="26505" xr:uid="{00000000-0005-0000-0000-0000365E0000}"/>
    <cellStyle name="40 % - Markeringsfarve6 3 2 6 3" xfId="6789" xr:uid="{00000000-0005-0000-0000-0000375E0000}"/>
    <cellStyle name="40 % - Markeringsfarve6 3 2 6 3 2" xfId="9689" xr:uid="{00000000-0005-0000-0000-0000385E0000}"/>
    <cellStyle name="40 % - Markeringsfarve6 3 2 6 3 2 2" xfId="17599" xr:uid="{00000000-0005-0000-0000-0000395E0000}"/>
    <cellStyle name="40 % - Markeringsfarve6 3 2 6 3 2 2 2" xfId="35759" xr:uid="{00000000-0005-0000-0000-00003A5E0000}"/>
    <cellStyle name="40 % - Markeringsfarve6 3 2 6 3 2 3" xfId="28758" xr:uid="{00000000-0005-0000-0000-00003B5E0000}"/>
    <cellStyle name="40 % - Markeringsfarve6 3 2 6 3 3" xfId="15343" xr:uid="{00000000-0005-0000-0000-00003C5E0000}"/>
    <cellStyle name="40 % - Markeringsfarve6 3 2 6 3 3 2" xfId="33509" xr:uid="{00000000-0005-0000-0000-00003D5E0000}"/>
    <cellStyle name="40 % - Markeringsfarve6 3 2 6 3 4" xfId="26507" xr:uid="{00000000-0005-0000-0000-00003E5E0000}"/>
    <cellStyle name="40 % - Markeringsfarve6 3 2 6 4" xfId="6790" xr:uid="{00000000-0005-0000-0000-00003F5E0000}"/>
    <cellStyle name="40 % - Markeringsfarve6 3 2 6 4 2" xfId="10455" xr:uid="{00000000-0005-0000-0000-0000405E0000}"/>
    <cellStyle name="40 % - Markeringsfarve6 3 2 6 4 2 2" xfId="18352" xr:uid="{00000000-0005-0000-0000-0000415E0000}"/>
    <cellStyle name="40 % - Markeringsfarve6 3 2 6 4 2 2 2" xfId="36512" xr:uid="{00000000-0005-0000-0000-0000425E0000}"/>
    <cellStyle name="40 % - Markeringsfarve6 3 2 6 4 2 3" xfId="29511" xr:uid="{00000000-0005-0000-0000-0000435E0000}"/>
    <cellStyle name="40 % - Markeringsfarve6 3 2 6 4 3" xfId="15344" xr:uid="{00000000-0005-0000-0000-0000445E0000}"/>
    <cellStyle name="40 % - Markeringsfarve6 3 2 6 4 3 2" xfId="33510" xr:uid="{00000000-0005-0000-0000-0000455E0000}"/>
    <cellStyle name="40 % - Markeringsfarve6 3 2 6 4 4" xfId="26508" xr:uid="{00000000-0005-0000-0000-0000465E0000}"/>
    <cellStyle name="40 % - Markeringsfarve6 3 2 6 5" xfId="8284" xr:uid="{00000000-0005-0000-0000-0000475E0000}"/>
    <cellStyle name="40 % - Markeringsfarve6 3 2 6 5 2" xfId="16202" xr:uid="{00000000-0005-0000-0000-0000485E0000}"/>
    <cellStyle name="40 % - Markeringsfarve6 3 2 6 5 2 2" xfId="34362" xr:uid="{00000000-0005-0000-0000-0000495E0000}"/>
    <cellStyle name="40 % - Markeringsfarve6 3 2 6 5 3" xfId="27361" xr:uid="{00000000-0005-0000-0000-00004A5E0000}"/>
    <cellStyle name="40 % - Markeringsfarve6 3 2 6 6" xfId="15340" xr:uid="{00000000-0005-0000-0000-00004B5E0000}"/>
    <cellStyle name="40 % - Markeringsfarve6 3 2 6 6 2" xfId="33506" xr:uid="{00000000-0005-0000-0000-00004C5E0000}"/>
    <cellStyle name="40 % - Markeringsfarve6 3 2 6 7" xfId="26504" xr:uid="{00000000-0005-0000-0000-00004D5E0000}"/>
    <cellStyle name="40 % - Markeringsfarve6 3 2 7" xfId="6791" xr:uid="{00000000-0005-0000-0000-00004E5E0000}"/>
    <cellStyle name="40 % - Markeringsfarve6 3 2 7 2" xfId="6792" xr:uid="{00000000-0005-0000-0000-00004F5E0000}"/>
    <cellStyle name="40 % - Markeringsfarve6 3 2 7 2 2" xfId="9781" xr:uid="{00000000-0005-0000-0000-0000505E0000}"/>
    <cellStyle name="40 % - Markeringsfarve6 3 2 7 2 2 2" xfId="17682" xr:uid="{00000000-0005-0000-0000-0000515E0000}"/>
    <cellStyle name="40 % - Markeringsfarve6 3 2 7 2 2 2 2" xfId="35842" xr:uid="{00000000-0005-0000-0000-0000525E0000}"/>
    <cellStyle name="40 % - Markeringsfarve6 3 2 7 2 2 3" xfId="28841" xr:uid="{00000000-0005-0000-0000-0000535E0000}"/>
    <cellStyle name="40 % - Markeringsfarve6 3 2 7 2 3" xfId="15346" xr:uid="{00000000-0005-0000-0000-0000545E0000}"/>
    <cellStyle name="40 % - Markeringsfarve6 3 2 7 2 3 2" xfId="33512" xr:uid="{00000000-0005-0000-0000-0000555E0000}"/>
    <cellStyle name="40 % - Markeringsfarve6 3 2 7 2 4" xfId="26510" xr:uid="{00000000-0005-0000-0000-0000565E0000}"/>
    <cellStyle name="40 % - Markeringsfarve6 3 2 7 3" xfId="8374" xr:uid="{00000000-0005-0000-0000-0000575E0000}"/>
    <cellStyle name="40 % - Markeringsfarve6 3 2 7 3 2" xfId="16291" xr:uid="{00000000-0005-0000-0000-0000585E0000}"/>
    <cellStyle name="40 % - Markeringsfarve6 3 2 7 3 2 2" xfId="34451" xr:uid="{00000000-0005-0000-0000-0000595E0000}"/>
    <cellStyle name="40 % - Markeringsfarve6 3 2 7 3 3" xfId="27450" xr:uid="{00000000-0005-0000-0000-00005A5E0000}"/>
    <cellStyle name="40 % - Markeringsfarve6 3 2 7 4" xfId="15345" xr:uid="{00000000-0005-0000-0000-00005B5E0000}"/>
    <cellStyle name="40 % - Markeringsfarve6 3 2 7 4 2" xfId="33511" xr:uid="{00000000-0005-0000-0000-00005C5E0000}"/>
    <cellStyle name="40 % - Markeringsfarve6 3 2 7 5" xfId="26509" xr:uid="{00000000-0005-0000-0000-00005D5E0000}"/>
    <cellStyle name="40 % - Markeringsfarve6 3 2 8" xfId="6793" xr:uid="{00000000-0005-0000-0000-00005E5E0000}"/>
    <cellStyle name="40 % - Markeringsfarve6 3 2 8 2" xfId="9009" xr:uid="{00000000-0005-0000-0000-00005F5E0000}"/>
    <cellStyle name="40 % - Markeringsfarve6 3 2 8 2 2" xfId="16920" xr:uid="{00000000-0005-0000-0000-0000605E0000}"/>
    <cellStyle name="40 % - Markeringsfarve6 3 2 8 2 2 2" xfId="35080" xr:uid="{00000000-0005-0000-0000-0000615E0000}"/>
    <cellStyle name="40 % - Markeringsfarve6 3 2 8 2 3" xfId="28079" xr:uid="{00000000-0005-0000-0000-0000625E0000}"/>
    <cellStyle name="40 % - Markeringsfarve6 3 2 8 3" xfId="15347" xr:uid="{00000000-0005-0000-0000-0000635E0000}"/>
    <cellStyle name="40 % - Markeringsfarve6 3 2 8 3 2" xfId="33513" xr:uid="{00000000-0005-0000-0000-0000645E0000}"/>
    <cellStyle name="40 % - Markeringsfarve6 3 2 8 4" xfId="26511" xr:uid="{00000000-0005-0000-0000-0000655E0000}"/>
    <cellStyle name="40 % - Markeringsfarve6 3 2 9" xfId="6794" xr:uid="{00000000-0005-0000-0000-0000665E0000}"/>
    <cellStyle name="40 % - Markeringsfarve6 3 2 9 2" xfId="10898" xr:uid="{00000000-0005-0000-0000-0000675E0000}"/>
    <cellStyle name="40 % - Markeringsfarve6 3 2 9 2 2" xfId="18780" xr:uid="{00000000-0005-0000-0000-0000685E0000}"/>
    <cellStyle name="40 % - Markeringsfarve6 3 2 9 2 2 2" xfId="36940" xr:uid="{00000000-0005-0000-0000-0000695E0000}"/>
    <cellStyle name="40 % - Markeringsfarve6 3 2 9 2 3" xfId="29939" xr:uid="{00000000-0005-0000-0000-00006A5E0000}"/>
    <cellStyle name="40 % - Markeringsfarve6 3 2 9 3" xfId="15348" xr:uid="{00000000-0005-0000-0000-00006B5E0000}"/>
    <cellStyle name="40 % - Markeringsfarve6 3 2 9 3 2" xfId="33514" xr:uid="{00000000-0005-0000-0000-00006C5E0000}"/>
    <cellStyle name="40 % - Markeringsfarve6 3 2 9 4" xfId="26512" xr:uid="{00000000-0005-0000-0000-00006D5E0000}"/>
    <cellStyle name="40 % - Markeringsfarve6 3 3" xfId="6795" xr:uid="{00000000-0005-0000-0000-00006E5E0000}"/>
    <cellStyle name="40 % - Markeringsfarve6 3 3 10" xfId="8285" xr:uid="{00000000-0005-0000-0000-00006F5E0000}"/>
    <cellStyle name="40 % - Markeringsfarve6 3 3 10 2" xfId="16203" xr:uid="{00000000-0005-0000-0000-0000705E0000}"/>
    <cellStyle name="40 % - Markeringsfarve6 3 3 10 2 2" xfId="34363" xr:uid="{00000000-0005-0000-0000-0000715E0000}"/>
    <cellStyle name="40 % - Markeringsfarve6 3 3 10 3" xfId="27362" xr:uid="{00000000-0005-0000-0000-0000725E0000}"/>
    <cellStyle name="40 % - Markeringsfarve6 3 3 11" xfId="15349" xr:uid="{00000000-0005-0000-0000-0000735E0000}"/>
    <cellStyle name="40 % - Markeringsfarve6 3 3 11 2" xfId="33515" xr:uid="{00000000-0005-0000-0000-0000745E0000}"/>
    <cellStyle name="40 % - Markeringsfarve6 3 3 12" xfId="26513" xr:uid="{00000000-0005-0000-0000-0000755E0000}"/>
    <cellStyle name="40 % - Markeringsfarve6 3 3 2" xfId="6796" xr:uid="{00000000-0005-0000-0000-0000765E0000}"/>
    <cellStyle name="40 % - Markeringsfarve6 3 3 2 2" xfId="6797" xr:uid="{00000000-0005-0000-0000-0000775E0000}"/>
    <cellStyle name="40 % - Markeringsfarve6 3 3 2 2 2" xfId="6798" xr:uid="{00000000-0005-0000-0000-0000785E0000}"/>
    <cellStyle name="40 % - Markeringsfarve6 3 3 2 2 2 2" xfId="9939" xr:uid="{00000000-0005-0000-0000-0000795E0000}"/>
    <cellStyle name="40 % - Markeringsfarve6 3 3 2 2 2 2 2" xfId="17840" xr:uid="{00000000-0005-0000-0000-00007A5E0000}"/>
    <cellStyle name="40 % - Markeringsfarve6 3 3 2 2 2 2 2 2" xfId="36000" xr:uid="{00000000-0005-0000-0000-00007B5E0000}"/>
    <cellStyle name="40 % - Markeringsfarve6 3 3 2 2 2 2 3" xfId="28999" xr:uid="{00000000-0005-0000-0000-00007C5E0000}"/>
    <cellStyle name="40 % - Markeringsfarve6 3 3 2 2 2 3" xfId="15352" xr:uid="{00000000-0005-0000-0000-00007D5E0000}"/>
    <cellStyle name="40 % - Markeringsfarve6 3 3 2 2 2 3 2" xfId="33518" xr:uid="{00000000-0005-0000-0000-00007E5E0000}"/>
    <cellStyle name="40 % - Markeringsfarve6 3 3 2 2 2 4" xfId="26516" xr:uid="{00000000-0005-0000-0000-00007F5E0000}"/>
    <cellStyle name="40 % - Markeringsfarve6 3 3 2 2 3" xfId="8506" xr:uid="{00000000-0005-0000-0000-0000805E0000}"/>
    <cellStyle name="40 % - Markeringsfarve6 3 3 2 2 3 2" xfId="16423" xr:uid="{00000000-0005-0000-0000-0000815E0000}"/>
    <cellStyle name="40 % - Markeringsfarve6 3 3 2 2 3 2 2" xfId="34583" xr:uid="{00000000-0005-0000-0000-0000825E0000}"/>
    <cellStyle name="40 % - Markeringsfarve6 3 3 2 2 3 3" xfId="27582" xr:uid="{00000000-0005-0000-0000-0000835E0000}"/>
    <cellStyle name="40 % - Markeringsfarve6 3 3 2 2 4" xfId="15351" xr:uid="{00000000-0005-0000-0000-0000845E0000}"/>
    <cellStyle name="40 % - Markeringsfarve6 3 3 2 2 4 2" xfId="33517" xr:uid="{00000000-0005-0000-0000-0000855E0000}"/>
    <cellStyle name="40 % - Markeringsfarve6 3 3 2 2 5" xfId="26515" xr:uid="{00000000-0005-0000-0000-0000865E0000}"/>
    <cellStyle name="40 % - Markeringsfarve6 3 3 2 3" xfId="6799" xr:uid="{00000000-0005-0000-0000-0000875E0000}"/>
    <cellStyle name="40 % - Markeringsfarve6 3 3 2 3 2" xfId="9169" xr:uid="{00000000-0005-0000-0000-0000885E0000}"/>
    <cellStyle name="40 % - Markeringsfarve6 3 3 2 3 2 2" xfId="17080" xr:uid="{00000000-0005-0000-0000-0000895E0000}"/>
    <cellStyle name="40 % - Markeringsfarve6 3 3 2 3 2 2 2" xfId="35240" xr:uid="{00000000-0005-0000-0000-00008A5E0000}"/>
    <cellStyle name="40 % - Markeringsfarve6 3 3 2 3 2 3" xfId="28239" xr:uid="{00000000-0005-0000-0000-00008B5E0000}"/>
    <cellStyle name="40 % - Markeringsfarve6 3 3 2 3 3" xfId="15353" xr:uid="{00000000-0005-0000-0000-00008C5E0000}"/>
    <cellStyle name="40 % - Markeringsfarve6 3 3 2 3 3 2" xfId="33519" xr:uid="{00000000-0005-0000-0000-00008D5E0000}"/>
    <cellStyle name="40 % - Markeringsfarve6 3 3 2 3 4" xfId="26517" xr:uid="{00000000-0005-0000-0000-00008E5E0000}"/>
    <cellStyle name="40 % - Markeringsfarve6 3 3 2 4" xfId="6800" xr:uid="{00000000-0005-0000-0000-00008F5E0000}"/>
    <cellStyle name="40 % - Markeringsfarve6 3 3 2 4 2" xfId="10987" xr:uid="{00000000-0005-0000-0000-0000905E0000}"/>
    <cellStyle name="40 % - Markeringsfarve6 3 3 2 4 2 2" xfId="18863" xr:uid="{00000000-0005-0000-0000-0000915E0000}"/>
    <cellStyle name="40 % - Markeringsfarve6 3 3 2 4 2 2 2" xfId="37023" xr:uid="{00000000-0005-0000-0000-0000925E0000}"/>
    <cellStyle name="40 % - Markeringsfarve6 3 3 2 4 2 3" xfId="30022" xr:uid="{00000000-0005-0000-0000-0000935E0000}"/>
    <cellStyle name="40 % - Markeringsfarve6 3 3 2 4 3" xfId="15354" xr:uid="{00000000-0005-0000-0000-0000945E0000}"/>
    <cellStyle name="40 % - Markeringsfarve6 3 3 2 4 3 2" xfId="33520" xr:uid="{00000000-0005-0000-0000-0000955E0000}"/>
    <cellStyle name="40 % - Markeringsfarve6 3 3 2 4 4" xfId="26518" xr:uid="{00000000-0005-0000-0000-0000965E0000}"/>
    <cellStyle name="40 % - Markeringsfarve6 3 3 2 5" xfId="8286" xr:uid="{00000000-0005-0000-0000-0000975E0000}"/>
    <cellStyle name="40 % - Markeringsfarve6 3 3 2 5 2" xfId="16204" xr:uid="{00000000-0005-0000-0000-0000985E0000}"/>
    <cellStyle name="40 % - Markeringsfarve6 3 3 2 5 2 2" xfId="34364" xr:uid="{00000000-0005-0000-0000-0000995E0000}"/>
    <cellStyle name="40 % - Markeringsfarve6 3 3 2 5 3" xfId="27363" xr:uid="{00000000-0005-0000-0000-00009A5E0000}"/>
    <cellStyle name="40 % - Markeringsfarve6 3 3 2 6" xfId="15350" xr:uid="{00000000-0005-0000-0000-00009B5E0000}"/>
    <cellStyle name="40 % - Markeringsfarve6 3 3 2 6 2" xfId="33516" xr:uid="{00000000-0005-0000-0000-00009C5E0000}"/>
    <cellStyle name="40 % - Markeringsfarve6 3 3 2 7" xfId="26514" xr:uid="{00000000-0005-0000-0000-00009D5E0000}"/>
    <cellStyle name="40 % - Markeringsfarve6 3 3 3" xfId="6801" xr:uid="{00000000-0005-0000-0000-00009E5E0000}"/>
    <cellStyle name="40 % - Markeringsfarve6 3 3 3 2" xfId="6802" xr:uid="{00000000-0005-0000-0000-00009F5E0000}"/>
    <cellStyle name="40 % - Markeringsfarve6 3 3 3 2 2" xfId="6803" xr:uid="{00000000-0005-0000-0000-0000A05E0000}"/>
    <cellStyle name="40 % - Markeringsfarve6 3 3 3 2 2 2" xfId="10059" xr:uid="{00000000-0005-0000-0000-0000A15E0000}"/>
    <cellStyle name="40 % - Markeringsfarve6 3 3 3 2 2 2 2" xfId="17960" xr:uid="{00000000-0005-0000-0000-0000A25E0000}"/>
    <cellStyle name="40 % - Markeringsfarve6 3 3 3 2 2 2 2 2" xfId="36120" xr:uid="{00000000-0005-0000-0000-0000A35E0000}"/>
    <cellStyle name="40 % - Markeringsfarve6 3 3 3 2 2 2 3" xfId="29119" xr:uid="{00000000-0005-0000-0000-0000A45E0000}"/>
    <cellStyle name="40 % - Markeringsfarve6 3 3 3 2 2 3" xfId="15357" xr:uid="{00000000-0005-0000-0000-0000A55E0000}"/>
    <cellStyle name="40 % - Markeringsfarve6 3 3 3 2 2 3 2" xfId="33523" xr:uid="{00000000-0005-0000-0000-0000A65E0000}"/>
    <cellStyle name="40 % - Markeringsfarve6 3 3 3 2 2 4" xfId="26521" xr:uid="{00000000-0005-0000-0000-0000A75E0000}"/>
    <cellStyle name="40 % - Markeringsfarve6 3 3 3 2 3" xfId="8605" xr:uid="{00000000-0005-0000-0000-0000A85E0000}"/>
    <cellStyle name="40 % - Markeringsfarve6 3 3 3 2 3 2" xfId="16522" xr:uid="{00000000-0005-0000-0000-0000A95E0000}"/>
    <cellStyle name="40 % - Markeringsfarve6 3 3 3 2 3 2 2" xfId="34682" xr:uid="{00000000-0005-0000-0000-0000AA5E0000}"/>
    <cellStyle name="40 % - Markeringsfarve6 3 3 3 2 3 3" xfId="27681" xr:uid="{00000000-0005-0000-0000-0000AB5E0000}"/>
    <cellStyle name="40 % - Markeringsfarve6 3 3 3 2 4" xfId="15356" xr:uid="{00000000-0005-0000-0000-0000AC5E0000}"/>
    <cellStyle name="40 % - Markeringsfarve6 3 3 3 2 4 2" xfId="33522" xr:uid="{00000000-0005-0000-0000-0000AD5E0000}"/>
    <cellStyle name="40 % - Markeringsfarve6 3 3 3 2 5" xfId="26520" xr:uid="{00000000-0005-0000-0000-0000AE5E0000}"/>
    <cellStyle name="40 % - Markeringsfarve6 3 3 3 3" xfId="6804" xr:uid="{00000000-0005-0000-0000-0000AF5E0000}"/>
    <cellStyle name="40 % - Markeringsfarve6 3 3 3 3 2" xfId="9289" xr:uid="{00000000-0005-0000-0000-0000B05E0000}"/>
    <cellStyle name="40 % - Markeringsfarve6 3 3 3 3 2 2" xfId="17200" xr:uid="{00000000-0005-0000-0000-0000B15E0000}"/>
    <cellStyle name="40 % - Markeringsfarve6 3 3 3 3 2 2 2" xfId="35360" xr:uid="{00000000-0005-0000-0000-0000B25E0000}"/>
    <cellStyle name="40 % - Markeringsfarve6 3 3 3 3 2 3" xfId="28359" xr:uid="{00000000-0005-0000-0000-0000B35E0000}"/>
    <cellStyle name="40 % - Markeringsfarve6 3 3 3 3 3" xfId="15358" xr:uid="{00000000-0005-0000-0000-0000B45E0000}"/>
    <cellStyle name="40 % - Markeringsfarve6 3 3 3 3 3 2" xfId="33524" xr:uid="{00000000-0005-0000-0000-0000B55E0000}"/>
    <cellStyle name="40 % - Markeringsfarve6 3 3 3 3 4" xfId="26522" xr:uid="{00000000-0005-0000-0000-0000B65E0000}"/>
    <cellStyle name="40 % - Markeringsfarve6 3 3 3 4" xfId="6805" xr:uid="{00000000-0005-0000-0000-0000B75E0000}"/>
    <cellStyle name="40 % - Markeringsfarve6 3 3 3 4 2" xfId="10707" xr:uid="{00000000-0005-0000-0000-0000B85E0000}"/>
    <cellStyle name="40 % - Markeringsfarve6 3 3 3 4 2 2" xfId="18596" xr:uid="{00000000-0005-0000-0000-0000B95E0000}"/>
    <cellStyle name="40 % - Markeringsfarve6 3 3 3 4 2 2 2" xfId="36756" xr:uid="{00000000-0005-0000-0000-0000BA5E0000}"/>
    <cellStyle name="40 % - Markeringsfarve6 3 3 3 4 2 3" xfId="29755" xr:uid="{00000000-0005-0000-0000-0000BB5E0000}"/>
    <cellStyle name="40 % - Markeringsfarve6 3 3 3 4 3" xfId="15359" xr:uid="{00000000-0005-0000-0000-0000BC5E0000}"/>
    <cellStyle name="40 % - Markeringsfarve6 3 3 3 4 3 2" xfId="33525" xr:uid="{00000000-0005-0000-0000-0000BD5E0000}"/>
    <cellStyle name="40 % - Markeringsfarve6 3 3 3 4 4" xfId="26523" xr:uid="{00000000-0005-0000-0000-0000BE5E0000}"/>
    <cellStyle name="40 % - Markeringsfarve6 3 3 3 5" xfId="8287" xr:uid="{00000000-0005-0000-0000-0000BF5E0000}"/>
    <cellStyle name="40 % - Markeringsfarve6 3 3 3 5 2" xfId="16205" xr:uid="{00000000-0005-0000-0000-0000C05E0000}"/>
    <cellStyle name="40 % - Markeringsfarve6 3 3 3 5 2 2" xfId="34365" xr:uid="{00000000-0005-0000-0000-0000C15E0000}"/>
    <cellStyle name="40 % - Markeringsfarve6 3 3 3 5 3" xfId="27364" xr:uid="{00000000-0005-0000-0000-0000C25E0000}"/>
    <cellStyle name="40 % - Markeringsfarve6 3 3 3 6" xfId="15355" xr:uid="{00000000-0005-0000-0000-0000C35E0000}"/>
    <cellStyle name="40 % - Markeringsfarve6 3 3 3 6 2" xfId="33521" xr:uid="{00000000-0005-0000-0000-0000C45E0000}"/>
    <cellStyle name="40 % - Markeringsfarve6 3 3 3 7" xfId="26519" xr:uid="{00000000-0005-0000-0000-0000C55E0000}"/>
    <cellStyle name="40 % - Markeringsfarve6 3 3 4" xfId="6806" xr:uid="{00000000-0005-0000-0000-0000C65E0000}"/>
    <cellStyle name="40 % - Markeringsfarve6 3 3 4 2" xfId="6807" xr:uid="{00000000-0005-0000-0000-0000C75E0000}"/>
    <cellStyle name="40 % - Markeringsfarve6 3 3 4 2 2" xfId="6808" xr:uid="{00000000-0005-0000-0000-0000C85E0000}"/>
    <cellStyle name="40 % - Markeringsfarve6 3 3 4 2 2 2" xfId="10177" xr:uid="{00000000-0005-0000-0000-0000C95E0000}"/>
    <cellStyle name="40 % - Markeringsfarve6 3 3 4 2 2 2 2" xfId="18078" xr:uid="{00000000-0005-0000-0000-0000CA5E0000}"/>
    <cellStyle name="40 % - Markeringsfarve6 3 3 4 2 2 2 2 2" xfId="36238" xr:uid="{00000000-0005-0000-0000-0000CB5E0000}"/>
    <cellStyle name="40 % - Markeringsfarve6 3 3 4 2 2 2 3" xfId="29237" xr:uid="{00000000-0005-0000-0000-0000CC5E0000}"/>
    <cellStyle name="40 % - Markeringsfarve6 3 3 4 2 2 3" xfId="15362" xr:uid="{00000000-0005-0000-0000-0000CD5E0000}"/>
    <cellStyle name="40 % - Markeringsfarve6 3 3 4 2 2 3 2" xfId="33528" xr:uid="{00000000-0005-0000-0000-0000CE5E0000}"/>
    <cellStyle name="40 % - Markeringsfarve6 3 3 4 2 2 4" xfId="26526" xr:uid="{00000000-0005-0000-0000-0000CF5E0000}"/>
    <cellStyle name="40 % - Markeringsfarve6 3 3 4 2 3" xfId="8708" xr:uid="{00000000-0005-0000-0000-0000D05E0000}"/>
    <cellStyle name="40 % - Markeringsfarve6 3 3 4 2 3 2" xfId="16622" xr:uid="{00000000-0005-0000-0000-0000D15E0000}"/>
    <cellStyle name="40 % - Markeringsfarve6 3 3 4 2 3 2 2" xfId="34782" xr:uid="{00000000-0005-0000-0000-0000D25E0000}"/>
    <cellStyle name="40 % - Markeringsfarve6 3 3 4 2 3 3" xfId="27781" xr:uid="{00000000-0005-0000-0000-0000D35E0000}"/>
    <cellStyle name="40 % - Markeringsfarve6 3 3 4 2 4" xfId="15361" xr:uid="{00000000-0005-0000-0000-0000D45E0000}"/>
    <cellStyle name="40 % - Markeringsfarve6 3 3 4 2 4 2" xfId="33527" xr:uid="{00000000-0005-0000-0000-0000D55E0000}"/>
    <cellStyle name="40 % - Markeringsfarve6 3 3 4 2 5" xfId="26525" xr:uid="{00000000-0005-0000-0000-0000D65E0000}"/>
    <cellStyle name="40 % - Markeringsfarve6 3 3 4 3" xfId="6809" xr:uid="{00000000-0005-0000-0000-0000D75E0000}"/>
    <cellStyle name="40 % - Markeringsfarve6 3 3 4 3 2" xfId="9453" xr:uid="{00000000-0005-0000-0000-0000D85E0000}"/>
    <cellStyle name="40 % - Markeringsfarve6 3 3 4 3 2 2" xfId="17363" xr:uid="{00000000-0005-0000-0000-0000D95E0000}"/>
    <cellStyle name="40 % - Markeringsfarve6 3 3 4 3 2 2 2" xfId="35523" xr:uid="{00000000-0005-0000-0000-0000DA5E0000}"/>
    <cellStyle name="40 % - Markeringsfarve6 3 3 4 3 2 3" xfId="28522" xr:uid="{00000000-0005-0000-0000-0000DB5E0000}"/>
    <cellStyle name="40 % - Markeringsfarve6 3 3 4 3 3" xfId="15363" xr:uid="{00000000-0005-0000-0000-0000DC5E0000}"/>
    <cellStyle name="40 % - Markeringsfarve6 3 3 4 3 3 2" xfId="33529" xr:uid="{00000000-0005-0000-0000-0000DD5E0000}"/>
    <cellStyle name="40 % - Markeringsfarve6 3 3 4 3 4" xfId="26527" xr:uid="{00000000-0005-0000-0000-0000DE5E0000}"/>
    <cellStyle name="40 % - Markeringsfarve6 3 3 4 4" xfId="6810" xr:uid="{00000000-0005-0000-0000-0000DF5E0000}"/>
    <cellStyle name="40 % - Markeringsfarve6 3 3 4 4 2" xfId="10966" xr:uid="{00000000-0005-0000-0000-0000E05E0000}"/>
    <cellStyle name="40 % - Markeringsfarve6 3 3 4 4 2 2" xfId="18845" xr:uid="{00000000-0005-0000-0000-0000E15E0000}"/>
    <cellStyle name="40 % - Markeringsfarve6 3 3 4 4 2 2 2" xfId="37005" xr:uid="{00000000-0005-0000-0000-0000E25E0000}"/>
    <cellStyle name="40 % - Markeringsfarve6 3 3 4 4 2 3" xfId="30004" xr:uid="{00000000-0005-0000-0000-0000E35E0000}"/>
    <cellStyle name="40 % - Markeringsfarve6 3 3 4 4 3" xfId="15364" xr:uid="{00000000-0005-0000-0000-0000E45E0000}"/>
    <cellStyle name="40 % - Markeringsfarve6 3 3 4 4 3 2" xfId="33530" xr:uid="{00000000-0005-0000-0000-0000E55E0000}"/>
    <cellStyle name="40 % - Markeringsfarve6 3 3 4 4 4" xfId="26528" xr:uid="{00000000-0005-0000-0000-0000E65E0000}"/>
    <cellStyle name="40 % - Markeringsfarve6 3 3 4 5" xfId="8288" xr:uid="{00000000-0005-0000-0000-0000E75E0000}"/>
    <cellStyle name="40 % - Markeringsfarve6 3 3 4 5 2" xfId="16206" xr:uid="{00000000-0005-0000-0000-0000E85E0000}"/>
    <cellStyle name="40 % - Markeringsfarve6 3 3 4 5 2 2" xfId="34366" xr:uid="{00000000-0005-0000-0000-0000E95E0000}"/>
    <cellStyle name="40 % - Markeringsfarve6 3 3 4 5 3" xfId="27365" xr:uid="{00000000-0005-0000-0000-0000EA5E0000}"/>
    <cellStyle name="40 % - Markeringsfarve6 3 3 4 6" xfId="15360" xr:uid="{00000000-0005-0000-0000-0000EB5E0000}"/>
    <cellStyle name="40 % - Markeringsfarve6 3 3 4 6 2" xfId="33526" xr:uid="{00000000-0005-0000-0000-0000EC5E0000}"/>
    <cellStyle name="40 % - Markeringsfarve6 3 3 4 7" xfId="26524" xr:uid="{00000000-0005-0000-0000-0000ED5E0000}"/>
    <cellStyle name="40 % - Markeringsfarve6 3 3 5" xfId="6811" xr:uid="{00000000-0005-0000-0000-0000EE5E0000}"/>
    <cellStyle name="40 % - Markeringsfarve6 3 3 5 2" xfId="6812" xr:uid="{00000000-0005-0000-0000-0000EF5E0000}"/>
    <cellStyle name="40 % - Markeringsfarve6 3 3 5 2 2" xfId="6813" xr:uid="{00000000-0005-0000-0000-0000F05E0000}"/>
    <cellStyle name="40 % - Markeringsfarve6 3 3 5 2 2 2" xfId="10294" xr:uid="{00000000-0005-0000-0000-0000F15E0000}"/>
    <cellStyle name="40 % - Markeringsfarve6 3 3 5 2 2 2 2" xfId="18195" xr:uid="{00000000-0005-0000-0000-0000F25E0000}"/>
    <cellStyle name="40 % - Markeringsfarve6 3 3 5 2 2 2 2 2" xfId="36355" xr:uid="{00000000-0005-0000-0000-0000F35E0000}"/>
    <cellStyle name="40 % - Markeringsfarve6 3 3 5 2 2 2 3" xfId="29354" xr:uid="{00000000-0005-0000-0000-0000F45E0000}"/>
    <cellStyle name="40 % - Markeringsfarve6 3 3 5 2 2 3" xfId="15367" xr:uid="{00000000-0005-0000-0000-0000F55E0000}"/>
    <cellStyle name="40 % - Markeringsfarve6 3 3 5 2 2 3 2" xfId="33533" xr:uid="{00000000-0005-0000-0000-0000F65E0000}"/>
    <cellStyle name="40 % - Markeringsfarve6 3 3 5 2 2 4" xfId="26531" xr:uid="{00000000-0005-0000-0000-0000F75E0000}"/>
    <cellStyle name="40 % - Markeringsfarve6 3 3 5 2 3" xfId="8807" xr:uid="{00000000-0005-0000-0000-0000F85E0000}"/>
    <cellStyle name="40 % - Markeringsfarve6 3 3 5 2 3 2" xfId="16721" xr:uid="{00000000-0005-0000-0000-0000F95E0000}"/>
    <cellStyle name="40 % - Markeringsfarve6 3 3 5 2 3 2 2" xfId="34881" xr:uid="{00000000-0005-0000-0000-0000FA5E0000}"/>
    <cellStyle name="40 % - Markeringsfarve6 3 3 5 2 3 3" xfId="27880" xr:uid="{00000000-0005-0000-0000-0000FB5E0000}"/>
    <cellStyle name="40 % - Markeringsfarve6 3 3 5 2 4" xfId="15366" xr:uid="{00000000-0005-0000-0000-0000FC5E0000}"/>
    <cellStyle name="40 % - Markeringsfarve6 3 3 5 2 4 2" xfId="33532" xr:uid="{00000000-0005-0000-0000-0000FD5E0000}"/>
    <cellStyle name="40 % - Markeringsfarve6 3 3 5 2 5" xfId="26530" xr:uid="{00000000-0005-0000-0000-0000FE5E0000}"/>
    <cellStyle name="40 % - Markeringsfarve6 3 3 5 3" xfId="6814" xr:uid="{00000000-0005-0000-0000-0000FF5E0000}"/>
    <cellStyle name="40 % - Markeringsfarve6 3 3 5 3 2" xfId="9570" xr:uid="{00000000-0005-0000-0000-0000005F0000}"/>
    <cellStyle name="40 % - Markeringsfarve6 3 3 5 3 2 2" xfId="17480" xr:uid="{00000000-0005-0000-0000-0000015F0000}"/>
    <cellStyle name="40 % - Markeringsfarve6 3 3 5 3 2 2 2" xfId="35640" xr:uid="{00000000-0005-0000-0000-0000025F0000}"/>
    <cellStyle name="40 % - Markeringsfarve6 3 3 5 3 2 3" xfId="28639" xr:uid="{00000000-0005-0000-0000-0000035F0000}"/>
    <cellStyle name="40 % - Markeringsfarve6 3 3 5 3 3" xfId="15368" xr:uid="{00000000-0005-0000-0000-0000045F0000}"/>
    <cellStyle name="40 % - Markeringsfarve6 3 3 5 3 3 2" xfId="33534" xr:uid="{00000000-0005-0000-0000-0000055F0000}"/>
    <cellStyle name="40 % - Markeringsfarve6 3 3 5 3 4" xfId="26532" xr:uid="{00000000-0005-0000-0000-0000065F0000}"/>
    <cellStyle name="40 % - Markeringsfarve6 3 3 5 4" xfId="6815" xr:uid="{00000000-0005-0000-0000-0000075F0000}"/>
    <cellStyle name="40 % - Markeringsfarve6 3 3 5 4 2" xfId="10689" xr:uid="{00000000-0005-0000-0000-0000085F0000}"/>
    <cellStyle name="40 % - Markeringsfarve6 3 3 5 4 2 2" xfId="18580" xr:uid="{00000000-0005-0000-0000-0000095F0000}"/>
    <cellStyle name="40 % - Markeringsfarve6 3 3 5 4 2 2 2" xfId="36740" xr:uid="{00000000-0005-0000-0000-00000A5F0000}"/>
    <cellStyle name="40 % - Markeringsfarve6 3 3 5 4 2 3" xfId="29739" xr:uid="{00000000-0005-0000-0000-00000B5F0000}"/>
    <cellStyle name="40 % - Markeringsfarve6 3 3 5 4 3" xfId="15369" xr:uid="{00000000-0005-0000-0000-00000C5F0000}"/>
    <cellStyle name="40 % - Markeringsfarve6 3 3 5 4 3 2" xfId="33535" xr:uid="{00000000-0005-0000-0000-00000D5F0000}"/>
    <cellStyle name="40 % - Markeringsfarve6 3 3 5 4 4" xfId="26533" xr:uid="{00000000-0005-0000-0000-00000E5F0000}"/>
    <cellStyle name="40 % - Markeringsfarve6 3 3 5 5" xfId="8289" xr:uid="{00000000-0005-0000-0000-00000F5F0000}"/>
    <cellStyle name="40 % - Markeringsfarve6 3 3 5 5 2" xfId="16207" xr:uid="{00000000-0005-0000-0000-0000105F0000}"/>
    <cellStyle name="40 % - Markeringsfarve6 3 3 5 5 2 2" xfId="34367" xr:uid="{00000000-0005-0000-0000-0000115F0000}"/>
    <cellStyle name="40 % - Markeringsfarve6 3 3 5 5 3" xfId="27366" xr:uid="{00000000-0005-0000-0000-0000125F0000}"/>
    <cellStyle name="40 % - Markeringsfarve6 3 3 5 6" xfId="15365" xr:uid="{00000000-0005-0000-0000-0000135F0000}"/>
    <cellStyle name="40 % - Markeringsfarve6 3 3 5 6 2" xfId="33531" xr:uid="{00000000-0005-0000-0000-0000145F0000}"/>
    <cellStyle name="40 % - Markeringsfarve6 3 3 5 7" xfId="26529" xr:uid="{00000000-0005-0000-0000-0000155F0000}"/>
    <cellStyle name="40 % - Markeringsfarve6 3 3 6" xfId="6816" xr:uid="{00000000-0005-0000-0000-0000165F0000}"/>
    <cellStyle name="40 % - Markeringsfarve6 3 3 6 2" xfId="6817" xr:uid="{00000000-0005-0000-0000-0000175F0000}"/>
    <cellStyle name="40 % - Markeringsfarve6 3 3 6 2 2" xfId="6818" xr:uid="{00000000-0005-0000-0000-0000185F0000}"/>
    <cellStyle name="40 % - Markeringsfarve6 3 3 6 2 2 2" xfId="10413" xr:uid="{00000000-0005-0000-0000-0000195F0000}"/>
    <cellStyle name="40 % - Markeringsfarve6 3 3 6 2 2 2 2" xfId="18314" xr:uid="{00000000-0005-0000-0000-00001A5F0000}"/>
    <cellStyle name="40 % - Markeringsfarve6 3 3 6 2 2 2 2 2" xfId="36474" xr:uid="{00000000-0005-0000-0000-00001B5F0000}"/>
    <cellStyle name="40 % - Markeringsfarve6 3 3 6 2 2 2 3" xfId="29473" xr:uid="{00000000-0005-0000-0000-00001C5F0000}"/>
    <cellStyle name="40 % - Markeringsfarve6 3 3 6 2 2 3" xfId="15372" xr:uid="{00000000-0005-0000-0000-00001D5F0000}"/>
    <cellStyle name="40 % - Markeringsfarve6 3 3 6 2 2 3 2" xfId="33538" xr:uid="{00000000-0005-0000-0000-00001E5F0000}"/>
    <cellStyle name="40 % - Markeringsfarve6 3 3 6 2 2 4" xfId="26536" xr:uid="{00000000-0005-0000-0000-00001F5F0000}"/>
    <cellStyle name="40 % - Markeringsfarve6 3 3 6 2 3" xfId="8906" xr:uid="{00000000-0005-0000-0000-0000205F0000}"/>
    <cellStyle name="40 % - Markeringsfarve6 3 3 6 2 3 2" xfId="16820" xr:uid="{00000000-0005-0000-0000-0000215F0000}"/>
    <cellStyle name="40 % - Markeringsfarve6 3 3 6 2 3 2 2" xfId="34980" xr:uid="{00000000-0005-0000-0000-0000225F0000}"/>
    <cellStyle name="40 % - Markeringsfarve6 3 3 6 2 3 3" xfId="27979" xr:uid="{00000000-0005-0000-0000-0000235F0000}"/>
    <cellStyle name="40 % - Markeringsfarve6 3 3 6 2 4" xfId="15371" xr:uid="{00000000-0005-0000-0000-0000245F0000}"/>
    <cellStyle name="40 % - Markeringsfarve6 3 3 6 2 4 2" xfId="33537" xr:uid="{00000000-0005-0000-0000-0000255F0000}"/>
    <cellStyle name="40 % - Markeringsfarve6 3 3 6 2 5" xfId="26535" xr:uid="{00000000-0005-0000-0000-0000265F0000}"/>
    <cellStyle name="40 % - Markeringsfarve6 3 3 6 3" xfId="6819" xr:uid="{00000000-0005-0000-0000-0000275F0000}"/>
    <cellStyle name="40 % - Markeringsfarve6 3 3 6 3 2" xfId="9690" xr:uid="{00000000-0005-0000-0000-0000285F0000}"/>
    <cellStyle name="40 % - Markeringsfarve6 3 3 6 3 2 2" xfId="17600" xr:uid="{00000000-0005-0000-0000-0000295F0000}"/>
    <cellStyle name="40 % - Markeringsfarve6 3 3 6 3 2 2 2" xfId="35760" xr:uid="{00000000-0005-0000-0000-00002A5F0000}"/>
    <cellStyle name="40 % - Markeringsfarve6 3 3 6 3 2 3" xfId="28759" xr:uid="{00000000-0005-0000-0000-00002B5F0000}"/>
    <cellStyle name="40 % - Markeringsfarve6 3 3 6 3 3" xfId="15373" xr:uid="{00000000-0005-0000-0000-00002C5F0000}"/>
    <cellStyle name="40 % - Markeringsfarve6 3 3 6 3 3 2" xfId="33539" xr:uid="{00000000-0005-0000-0000-00002D5F0000}"/>
    <cellStyle name="40 % - Markeringsfarve6 3 3 6 3 4" xfId="26537" xr:uid="{00000000-0005-0000-0000-00002E5F0000}"/>
    <cellStyle name="40 % - Markeringsfarve6 3 3 6 4" xfId="6820" xr:uid="{00000000-0005-0000-0000-00002F5F0000}"/>
    <cellStyle name="40 % - Markeringsfarve6 3 3 6 4 2" xfId="10924" xr:uid="{00000000-0005-0000-0000-0000305F0000}"/>
    <cellStyle name="40 % - Markeringsfarve6 3 3 6 4 2 2" xfId="18805" xr:uid="{00000000-0005-0000-0000-0000315F0000}"/>
    <cellStyle name="40 % - Markeringsfarve6 3 3 6 4 2 2 2" xfId="36965" xr:uid="{00000000-0005-0000-0000-0000325F0000}"/>
    <cellStyle name="40 % - Markeringsfarve6 3 3 6 4 2 3" xfId="29964" xr:uid="{00000000-0005-0000-0000-0000335F0000}"/>
    <cellStyle name="40 % - Markeringsfarve6 3 3 6 4 3" xfId="15374" xr:uid="{00000000-0005-0000-0000-0000345F0000}"/>
    <cellStyle name="40 % - Markeringsfarve6 3 3 6 4 3 2" xfId="33540" xr:uid="{00000000-0005-0000-0000-0000355F0000}"/>
    <cellStyle name="40 % - Markeringsfarve6 3 3 6 4 4" xfId="26538" xr:uid="{00000000-0005-0000-0000-0000365F0000}"/>
    <cellStyle name="40 % - Markeringsfarve6 3 3 6 5" xfId="8290" xr:uid="{00000000-0005-0000-0000-0000375F0000}"/>
    <cellStyle name="40 % - Markeringsfarve6 3 3 6 5 2" xfId="16208" xr:uid="{00000000-0005-0000-0000-0000385F0000}"/>
    <cellStyle name="40 % - Markeringsfarve6 3 3 6 5 2 2" xfId="34368" xr:uid="{00000000-0005-0000-0000-0000395F0000}"/>
    <cellStyle name="40 % - Markeringsfarve6 3 3 6 5 3" xfId="27367" xr:uid="{00000000-0005-0000-0000-00003A5F0000}"/>
    <cellStyle name="40 % - Markeringsfarve6 3 3 6 6" xfId="15370" xr:uid="{00000000-0005-0000-0000-00003B5F0000}"/>
    <cellStyle name="40 % - Markeringsfarve6 3 3 6 6 2" xfId="33536" xr:uid="{00000000-0005-0000-0000-00003C5F0000}"/>
    <cellStyle name="40 % - Markeringsfarve6 3 3 6 7" xfId="26534" xr:uid="{00000000-0005-0000-0000-00003D5F0000}"/>
    <cellStyle name="40 % - Markeringsfarve6 3 3 7" xfId="6821" xr:uid="{00000000-0005-0000-0000-00003E5F0000}"/>
    <cellStyle name="40 % - Markeringsfarve6 3 3 7 2" xfId="6822" xr:uid="{00000000-0005-0000-0000-00003F5F0000}"/>
    <cellStyle name="40 % - Markeringsfarve6 3 3 7 2 2" xfId="9820" xr:uid="{00000000-0005-0000-0000-0000405F0000}"/>
    <cellStyle name="40 % - Markeringsfarve6 3 3 7 2 2 2" xfId="17721" xr:uid="{00000000-0005-0000-0000-0000415F0000}"/>
    <cellStyle name="40 % - Markeringsfarve6 3 3 7 2 2 2 2" xfId="35881" xr:uid="{00000000-0005-0000-0000-0000425F0000}"/>
    <cellStyle name="40 % - Markeringsfarve6 3 3 7 2 2 3" xfId="28880" xr:uid="{00000000-0005-0000-0000-0000435F0000}"/>
    <cellStyle name="40 % - Markeringsfarve6 3 3 7 2 3" xfId="15376" xr:uid="{00000000-0005-0000-0000-0000445F0000}"/>
    <cellStyle name="40 % - Markeringsfarve6 3 3 7 2 3 2" xfId="33542" xr:uid="{00000000-0005-0000-0000-0000455F0000}"/>
    <cellStyle name="40 % - Markeringsfarve6 3 3 7 2 4" xfId="26540" xr:uid="{00000000-0005-0000-0000-0000465F0000}"/>
    <cellStyle name="40 % - Markeringsfarve6 3 3 7 3" xfId="8407" xr:uid="{00000000-0005-0000-0000-0000475F0000}"/>
    <cellStyle name="40 % - Markeringsfarve6 3 3 7 3 2" xfId="16324" xr:uid="{00000000-0005-0000-0000-0000485F0000}"/>
    <cellStyle name="40 % - Markeringsfarve6 3 3 7 3 2 2" xfId="34484" xr:uid="{00000000-0005-0000-0000-0000495F0000}"/>
    <cellStyle name="40 % - Markeringsfarve6 3 3 7 3 3" xfId="27483" xr:uid="{00000000-0005-0000-0000-00004A5F0000}"/>
    <cellStyle name="40 % - Markeringsfarve6 3 3 7 4" xfId="15375" xr:uid="{00000000-0005-0000-0000-00004B5F0000}"/>
    <cellStyle name="40 % - Markeringsfarve6 3 3 7 4 2" xfId="33541" xr:uid="{00000000-0005-0000-0000-00004C5F0000}"/>
    <cellStyle name="40 % - Markeringsfarve6 3 3 7 5" xfId="26539" xr:uid="{00000000-0005-0000-0000-00004D5F0000}"/>
    <cellStyle name="40 % - Markeringsfarve6 3 3 8" xfId="6823" xr:uid="{00000000-0005-0000-0000-00004E5F0000}"/>
    <cellStyle name="40 % - Markeringsfarve6 3 3 8 2" xfId="9048" xr:uid="{00000000-0005-0000-0000-00004F5F0000}"/>
    <cellStyle name="40 % - Markeringsfarve6 3 3 8 2 2" xfId="16959" xr:uid="{00000000-0005-0000-0000-0000505F0000}"/>
    <cellStyle name="40 % - Markeringsfarve6 3 3 8 2 2 2" xfId="35119" xr:uid="{00000000-0005-0000-0000-0000515F0000}"/>
    <cellStyle name="40 % - Markeringsfarve6 3 3 8 2 3" xfId="28118" xr:uid="{00000000-0005-0000-0000-0000525F0000}"/>
    <cellStyle name="40 % - Markeringsfarve6 3 3 8 3" xfId="15377" xr:uid="{00000000-0005-0000-0000-0000535F0000}"/>
    <cellStyle name="40 % - Markeringsfarve6 3 3 8 3 2" xfId="33543" xr:uid="{00000000-0005-0000-0000-0000545F0000}"/>
    <cellStyle name="40 % - Markeringsfarve6 3 3 8 4" xfId="26541" xr:uid="{00000000-0005-0000-0000-0000555F0000}"/>
    <cellStyle name="40 % - Markeringsfarve6 3 3 9" xfId="6824" xr:uid="{00000000-0005-0000-0000-0000565F0000}"/>
    <cellStyle name="40 % - Markeringsfarve6 3 3 9 2" xfId="10792" xr:uid="{00000000-0005-0000-0000-0000575F0000}"/>
    <cellStyle name="40 % - Markeringsfarve6 3 3 9 2 2" xfId="18679" xr:uid="{00000000-0005-0000-0000-0000585F0000}"/>
    <cellStyle name="40 % - Markeringsfarve6 3 3 9 2 2 2" xfId="36839" xr:uid="{00000000-0005-0000-0000-0000595F0000}"/>
    <cellStyle name="40 % - Markeringsfarve6 3 3 9 2 3" xfId="29838" xr:uid="{00000000-0005-0000-0000-00005A5F0000}"/>
    <cellStyle name="40 % - Markeringsfarve6 3 3 9 3" xfId="15378" xr:uid="{00000000-0005-0000-0000-00005B5F0000}"/>
    <cellStyle name="40 % - Markeringsfarve6 3 3 9 3 2" xfId="33544" xr:uid="{00000000-0005-0000-0000-00005C5F0000}"/>
    <cellStyle name="40 % - Markeringsfarve6 3 3 9 4" xfId="26542" xr:uid="{00000000-0005-0000-0000-00005D5F0000}"/>
    <cellStyle name="40 % - Markeringsfarve6 3 4" xfId="6825" xr:uid="{00000000-0005-0000-0000-00005E5F0000}"/>
    <cellStyle name="40 % - Markeringsfarve6 3 4 2" xfId="6826" xr:uid="{00000000-0005-0000-0000-00005F5F0000}"/>
    <cellStyle name="40 % - Markeringsfarve6 3 4 2 2" xfId="6827" xr:uid="{00000000-0005-0000-0000-0000605F0000}"/>
    <cellStyle name="40 % - Markeringsfarve6 3 4 2 2 2" xfId="9861" xr:uid="{00000000-0005-0000-0000-0000615F0000}"/>
    <cellStyle name="40 % - Markeringsfarve6 3 4 2 2 2 2" xfId="17762" xr:uid="{00000000-0005-0000-0000-0000625F0000}"/>
    <cellStyle name="40 % - Markeringsfarve6 3 4 2 2 2 2 2" xfId="35922" xr:uid="{00000000-0005-0000-0000-0000635F0000}"/>
    <cellStyle name="40 % - Markeringsfarve6 3 4 2 2 2 3" xfId="28921" xr:uid="{00000000-0005-0000-0000-0000645F0000}"/>
    <cellStyle name="40 % - Markeringsfarve6 3 4 2 2 3" xfId="15381" xr:uid="{00000000-0005-0000-0000-0000655F0000}"/>
    <cellStyle name="40 % - Markeringsfarve6 3 4 2 2 3 2" xfId="33547" xr:uid="{00000000-0005-0000-0000-0000665F0000}"/>
    <cellStyle name="40 % - Markeringsfarve6 3 4 2 2 4" xfId="26545" xr:uid="{00000000-0005-0000-0000-0000675F0000}"/>
    <cellStyle name="40 % - Markeringsfarve6 3 4 2 3" xfId="8440" xr:uid="{00000000-0005-0000-0000-0000685F0000}"/>
    <cellStyle name="40 % - Markeringsfarve6 3 4 2 3 2" xfId="16357" xr:uid="{00000000-0005-0000-0000-0000695F0000}"/>
    <cellStyle name="40 % - Markeringsfarve6 3 4 2 3 2 2" xfId="34517" xr:uid="{00000000-0005-0000-0000-00006A5F0000}"/>
    <cellStyle name="40 % - Markeringsfarve6 3 4 2 3 3" xfId="27516" xr:uid="{00000000-0005-0000-0000-00006B5F0000}"/>
    <cellStyle name="40 % - Markeringsfarve6 3 4 2 4" xfId="15380" xr:uid="{00000000-0005-0000-0000-00006C5F0000}"/>
    <cellStyle name="40 % - Markeringsfarve6 3 4 2 4 2" xfId="33546" xr:uid="{00000000-0005-0000-0000-00006D5F0000}"/>
    <cellStyle name="40 % - Markeringsfarve6 3 4 2 5" xfId="26544" xr:uid="{00000000-0005-0000-0000-00006E5F0000}"/>
    <cellStyle name="40 % - Markeringsfarve6 3 4 3" xfId="6828" xr:uid="{00000000-0005-0000-0000-00006F5F0000}"/>
    <cellStyle name="40 % - Markeringsfarve6 3 4 3 2" xfId="9091" xr:uid="{00000000-0005-0000-0000-0000705F0000}"/>
    <cellStyle name="40 % - Markeringsfarve6 3 4 3 2 2" xfId="17002" xr:uid="{00000000-0005-0000-0000-0000715F0000}"/>
    <cellStyle name="40 % - Markeringsfarve6 3 4 3 2 2 2" xfId="35162" xr:uid="{00000000-0005-0000-0000-0000725F0000}"/>
    <cellStyle name="40 % - Markeringsfarve6 3 4 3 2 3" xfId="28161" xr:uid="{00000000-0005-0000-0000-0000735F0000}"/>
    <cellStyle name="40 % - Markeringsfarve6 3 4 3 3" xfId="15382" xr:uid="{00000000-0005-0000-0000-0000745F0000}"/>
    <cellStyle name="40 % - Markeringsfarve6 3 4 3 3 2" xfId="33548" xr:uid="{00000000-0005-0000-0000-0000755F0000}"/>
    <cellStyle name="40 % - Markeringsfarve6 3 4 3 4" xfId="26546" xr:uid="{00000000-0005-0000-0000-0000765F0000}"/>
    <cellStyle name="40 % - Markeringsfarve6 3 4 4" xfId="6829" xr:uid="{00000000-0005-0000-0000-0000775F0000}"/>
    <cellStyle name="40 % - Markeringsfarve6 3 4 4 2" xfId="10649" xr:uid="{00000000-0005-0000-0000-0000785F0000}"/>
    <cellStyle name="40 % - Markeringsfarve6 3 4 4 2 2" xfId="18542" xr:uid="{00000000-0005-0000-0000-0000795F0000}"/>
    <cellStyle name="40 % - Markeringsfarve6 3 4 4 2 2 2" xfId="36702" xr:uid="{00000000-0005-0000-0000-00007A5F0000}"/>
    <cellStyle name="40 % - Markeringsfarve6 3 4 4 2 3" xfId="29701" xr:uid="{00000000-0005-0000-0000-00007B5F0000}"/>
    <cellStyle name="40 % - Markeringsfarve6 3 4 4 3" xfId="15383" xr:uid="{00000000-0005-0000-0000-00007C5F0000}"/>
    <cellStyle name="40 % - Markeringsfarve6 3 4 4 3 2" xfId="33549" xr:uid="{00000000-0005-0000-0000-00007D5F0000}"/>
    <cellStyle name="40 % - Markeringsfarve6 3 4 4 4" xfId="26547" xr:uid="{00000000-0005-0000-0000-00007E5F0000}"/>
    <cellStyle name="40 % - Markeringsfarve6 3 4 5" xfId="8291" xr:uid="{00000000-0005-0000-0000-00007F5F0000}"/>
    <cellStyle name="40 % - Markeringsfarve6 3 4 5 2" xfId="16209" xr:uid="{00000000-0005-0000-0000-0000805F0000}"/>
    <cellStyle name="40 % - Markeringsfarve6 3 4 5 2 2" xfId="34369" xr:uid="{00000000-0005-0000-0000-0000815F0000}"/>
    <cellStyle name="40 % - Markeringsfarve6 3 4 5 3" xfId="27368" xr:uid="{00000000-0005-0000-0000-0000825F0000}"/>
    <cellStyle name="40 % - Markeringsfarve6 3 4 6" xfId="15379" xr:uid="{00000000-0005-0000-0000-0000835F0000}"/>
    <cellStyle name="40 % - Markeringsfarve6 3 4 6 2" xfId="33545" xr:uid="{00000000-0005-0000-0000-0000845F0000}"/>
    <cellStyle name="40 % - Markeringsfarve6 3 4 7" xfId="26543" xr:uid="{00000000-0005-0000-0000-0000855F0000}"/>
    <cellStyle name="40 % - Markeringsfarve6 3 5" xfId="6830" xr:uid="{00000000-0005-0000-0000-0000865F0000}"/>
    <cellStyle name="40 % - Markeringsfarve6 3 5 2" xfId="6831" xr:uid="{00000000-0005-0000-0000-0000875F0000}"/>
    <cellStyle name="40 % - Markeringsfarve6 3 5 2 2" xfId="6832" xr:uid="{00000000-0005-0000-0000-0000885F0000}"/>
    <cellStyle name="40 % - Markeringsfarve6 3 5 2 2 2" xfId="10057" xr:uid="{00000000-0005-0000-0000-0000895F0000}"/>
    <cellStyle name="40 % - Markeringsfarve6 3 5 2 2 2 2" xfId="17958" xr:uid="{00000000-0005-0000-0000-00008A5F0000}"/>
    <cellStyle name="40 % - Markeringsfarve6 3 5 2 2 2 2 2" xfId="36118" xr:uid="{00000000-0005-0000-0000-00008B5F0000}"/>
    <cellStyle name="40 % - Markeringsfarve6 3 5 2 2 2 3" xfId="29117" xr:uid="{00000000-0005-0000-0000-00008C5F0000}"/>
    <cellStyle name="40 % - Markeringsfarve6 3 5 2 2 3" xfId="15386" xr:uid="{00000000-0005-0000-0000-00008D5F0000}"/>
    <cellStyle name="40 % - Markeringsfarve6 3 5 2 2 3 2" xfId="33552" xr:uid="{00000000-0005-0000-0000-00008E5F0000}"/>
    <cellStyle name="40 % - Markeringsfarve6 3 5 2 2 4" xfId="26550" xr:uid="{00000000-0005-0000-0000-00008F5F0000}"/>
    <cellStyle name="40 % - Markeringsfarve6 3 5 2 3" xfId="8603" xr:uid="{00000000-0005-0000-0000-0000905F0000}"/>
    <cellStyle name="40 % - Markeringsfarve6 3 5 2 3 2" xfId="16520" xr:uid="{00000000-0005-0000-0000-0000915F0000}"/>
    <cellStyle name="40 % - Markeringsfarve6 3 5 2 3 2 2" xfId="34680" xr:uid="{00000000-0005-0000-0000-0000925F0000}"/>
    <cellStyle name="40 % - Markeringsfarve6 3 5 2 3 3" xfId="27679" xr:uid="{00000000-0005-0000-0000-0000935F0000}"/>
    <cellStyle name="40 % - Markeringsfarve6 3 5 2 4" xfId="15385" xr:uid="{00000000-0005-0000-0000-0000945F0000}"/>
    <cellStyle name="40 % - Markeringsfarve6 3 5 2 4 2" xfId="33551" xr:uid="{00000000-0005-0000-0000-0000955F0000}"/>
    <cellStyle name="40 % - Markeringsfarve6 3 5 2 5" xfId="26549" xr:uid="{00000000-0005-0000-0000-0000965F0000}"/>
    <cellStyle name="40 % - Markeringsfarve6 3 5 3" xfId="6833" xr:uid="{00000000-0005-0000-0000-0000975F0000}"/>
    <cellStyle name="40 % - Markeringsfarve6 3 5 3 2" xfId="9287" xr:uid="{00000000-0005-0000-0000-0000985F0000}"/>
    <cellStyle name="40 % - Markeringsfarve6 3 5 3 2 2" xfId="17198" xr:uid="{00000000-0005-0000-0000-0000995F0000}"/>
    <cellStyle name="40 % - Markeringsfarve6 3 5 3 2 2 2" xfId="35358" xr:uid="{00000000-0005-0000-0000-00009A5F0000}"/>
    <cellStyle name="40 % - Markeringsfarve6 3 5 3 2 3" xfId="28357" xr:uid="{00000000-0005-0000-0000-00009B5F0000}"/>
    <cellStyle name="40 % - Markeringsfarve6 3 5 3 3" xfId="15387" xr:uid="{00000000-0005-0000-0000-00009C5F0000}"/>
    <cellStyle name="40 % - Markeringsfarve6 3 5 3 3 2" xfId="33553" xr:uid="{00000000-0005-0000-0000-00009D5F0000}"/>
    <cellStyle name="40 % - Markeringsfarve6 3 5 3 4" xfId="26551" xr:uid="{00000000-0005-0000-0000-00009E5F0000}"/>
    <cellStyle name="40 % - Markeringsfarve6 3 5 4" xfId="6834" xr:uid="{00000000-0005-0000-0000-00009F5F0000}"/>
    <cellStyle name="40 % - Markeringsfarve6 3 5 4 2" xfId="10852" xr:uid="{00000000-0005-0000-0000-0000A05F0000}"/>
    <cellStyle name="40 % - Markeringsfarve6 3 5 4 2 2" xfId="18735" xr:uid="{00000000-0005-0000-0000-0000A15F0000}"/>
    <cellStyle name="40 % - Markeringsfarve6 3 5 4 2 2 2" xfId="36895" xr:uid="{00000000-0005-0000-0000-0000A25F0000}"/>
    <cellStyle name="40 % - Markeringsfarve6 3 5 4 2 3" xfId="29894" xr:uid="{00000000-0005-0000-0000-0000A35F0000}"/>
    <cellStyle name="40 % - Markeringsfarve6 3 5 4 3" xfId="15388" xr:uid="{00000000-0005-0000-0000-0000A45F0000}"/>
    <cellStyle name="40 % - Markeringsfarve6 3 5 4 3 2" xfId="33554" xr:uid="{00000000-0005-0000-0000-0000A55F0000}"/>
    <cellStyle name="40 % - Markeringsfarve6 3 5 4 4" xfId="26552" xr:uid="{00000000-0005-0000-0000-0000A65F0000}"/>
    <cellStyle name="40 % - Markeringsfarve6 3 5 5" xfId="8292" xr:uid="{00000000-0005-0000-0000-0000A75F0000}"/>
    <cellStyle name="40 % - Markeringsfarve6 3 5 5 2" xfId="16210" xr:uid="{00000000-0005-0000-0000-0000A85F0000}"/>
    <cellStyle name="40 % - Markeringsfarve6 3 5 5 2 2" xfId="34370" xr:uid="{00000000-0005-0000-0000-0000A95F0000}"/>
    <cellStyle name="40 % - Markeringsfarve6 3 5 5 3" xfId="27369" xr:uid="{00000000-0005-0000-0000-0000AA5F0000}"/>
    <cellStyle name="40 % - Markeringsfarve6 3 5 6" xfId="15384" xr:uid="{00000000-0005-0000-0000-0000AB5F0000}"/>
    <cellStyle name="40 % - Markeringsfarve6 3 5 6 2" xfId="33550" xr:uid="{00000000-0005-0000-0000-0000AC5F0000}"/>
    <cellStyle name="40 % - Markeringsfarve6 3 5 7" xfId="26548" xr:uid="{00000000-0005-0000-0000-0000AD5F0000}"/>
    <cellStyle name="40 % - Markeringsfarve6 3 6" xfId="6835" xr:uid="{00000000-0005-0000-0000-0000AE5F0000}"/>
    <cellStyle name="40 % - Markeringsfarve6 3 6 2" xfId="6836" xr:uid="{00000000-0005-0000-0000-0000AF5F0000}"/>
    <cellStyle name="40 % - Markeringsfarve6 3 6 2 2" xfId="6837" xr:uid="{00000000-0005-0000-0000-0000B05F0000}"/>
    <cellStyle name="40 % - Markeringsfarve6 3 6 2 2 2" xfId="10099" xr:uid="{00000000-0005-0000-0000-0000B15F0000}"/>
    <cellStyle name="40 % - Markeringsfarve6 3 6 2 2 2 2" xfId="18000" xr:uid="{00000000-0005-0000-0000-0000B25F0000}"/>
    <cellStyle name="40 % - Markeringsfarve6 3 6 2 2 2 2 2" xfId="36160" xr:uid="{00000000-0005-0000-0000-0000B35F0000}"/>
    <cellStyle name="40 % - Markeringsfarve6 3 6 2 2 2 3" xfId="29159" xr:uid="{00000000-0005-0000-0000-0000B45F0000}"/>
    <cellStyle name="40 % - Markeringsfarve6 3 6 2 2 3" xfId="15391" xr:uid="{00000000-0005-0000-0000-0000B55F0000}"/>
    <cellStyle name="40 % - Markeringsfarve6 3 6 2 2 3 2" xfId="33557" xr:uid="{00000000-0005-0000-0000-0000B65F0000}"/>
    <cellStyle name="40 % - Markeringsfarve6 3 6 2 2 4" xfId="26555" xr:uid="{00000000-0005-0000-0000-0000B75F0000}"/>
    <cellStyle name="40 % - Markeringsfarve6 3 6 2 3" xfId="8642" xr:uid="{00000000-0005-0000-0000-0000B85F0000}"/>
    <cellStyle name="40 % - Markeringsfarve6 3 6 2 3 2" xfId="16556" xr:uid="{00000000-0005-0000-0000-0000B95F0000}"/>
    <cellStyle name="40 % - Markeringsfarve6 3 6 2 3 2 2" xfId="34716" xr:uid="{00000000-0005-0000-0000-0000BA5F0000}"/>
    <cellStyle name="40 % - Markeringsfarve6 3 6 2 3 3" xfId="27715" xr:uid="{00000000-0005-0000-0000-0000BB5F0000}"/>
    <cellStyle name="40 % - Markeringsfarve6 3 6 2 4" xfId="15390" xr:uid="{00000000-0005-0000-0000-0000BC5F0000}"/>
    <cellStyle name="40 % - Markeringsfarve6 3 6 2 4 2" xfId="33556" xr:uid="{00000000-0005-0000-0000-0000BD5F0000}"/>
    <cellStyle name="40 % - Markeringsfarve6 3 6 2 5" xfId="26554" xr:uid="{00000000-0005-0000-0000-0000BE5F0000}"/>
    <cellStyle name="40 % - Markeringsfarve6 3 6 3" xfId="6838" xr:uid="{00000000-0005-0000-0000-0000BF5F0000}"/>
    <cellStyle name="40 % - Markeringsfarve6 3 6 3 2" xfId="9375" xr:uid="{00000000-0005-0000-0000-0000C05F0000}"/>
    <cellStyle name="40 % - Markeringsfarve6 3 6 3 2 2" xfId="17285" xr:uid="{00000000-0005-0000-0000-0000C15F0000}"/>
    <cellStyle name="40 % - Markeringsfarve6 3 6 3 2 2 2" xfId="35445" xr:uid="{00000000-0005-0000-0000-0000C25F0000}"/>
    <cellStyle name="40 % - Markeringsfarve6 3 6 3 2 3" xfId="28444" xr:uid="{00000000-0005-0000-0000-0000C35F0000}"/>
    <cellStyle name="40 % - Markeringsfarve6 3 6 3 3" xfId="15392" xr:uid="{00000000-0005-0000-0000-0000C45F0000}"/>
    <cellStyle name="40 % - Markeringsfarve6 3 6 3 3 2" xfId="33558" xr:uid="{00000000-0005-0000-0000-0000C55F0000}"/>
    <cellStyle name="40 % - Markeringsfarve6 3 6 3 4" xfId="26556" xr:uid="{00000000-0005-0000-0000-0000C65F0000}"/>
    <cellStyle name="40 % - Markeringsfarve6 3 6 4" xfId="6839" xr:uid="{00000000-0005-0000-0000-0000C75F0000}"/>
    <cellStyle name="40 % - Markeringsfarve6 3 6 4 2" xfId="10502" xr:uid="{00000000-0005-0000-0000-0000C85F0000}"/>
    <cellStyle name="40 % - Markeringsfarve6 3 6 4 2 2" xfId="18396" xr:uid="{00000000-0005-0000-0000-0000C95F0000}"/>
    <cellStyle name="40 % - Markeringsfarve6 3 6 4 2 2 2" xfId="36556" xr:uid="{00000000-0005-0000-0000-0000CA5F0000}"/>
    <cellStyle name="40 % - Markeringsfarve6 3 6 4 2 3" xfId="29555" xr:uid="{00000000-0005-0000-0000-0000CB5F0000}"/>
    <cellStyle name="40 % - Markeringsfarve6 3 6 4 3" xfId="15393" xr:uid="{00000000-0005-0000-0000-0000CC5F0000}"/>
    <cellStyle name="40 % - Markeringsfarve6 3 6 4 3 2" xfId="33559" xr:uid="{00000000-0005-0000-0000-0000CD5F0000}"/>
    <cellStyle name="40 % - Markeringsfarve6 3 6 4 4" xfId="26557" xr:uid="{00000000-0005-0000-0000-0000CE5F0000}"/>
    <cellStyle name="40 % - Markeringsfarve6 3 6 5" xfId="8293" xr:uid="{00000000-0005-0000-0000-0000CF5F0000}"/>
    <cellStyle name="40 % - Markeringsfarve6 3 6 5 2" xfId="16211" xr:uid="{00000000-0005-0000-0000-0000D05F0000}"/>
    <cellStyle name="40 % - Markeringsfarve6 3 6 5 2 2" xfId="34371" xr:uid="{00000000-0005-0000-0000-0000D15F0000}"/>
    <cellStyle name="40 % - Markeringsfarve6 3 6 5 3" xfId="27370" xr:uid="{00000000-0005-0000-0000-0000D25F0000}"/>
    <cellStyle name="40 % - Markeringsfarve6 3 6 6" xfId="15389" xr:uid="{00000000-0005-0000-0000-0000D35F0000}"/>
    <cellStyle name="40 % - Markeringsfarve6 3 6 6 2" xfId="33555" xr:uid="{00000000-0005-0000-0000-0000D45F0000}"/>
    <cellStyle name="40 % - Markeringsfarve6 3 6 7" xfId="26553" xr:uid="{00000000-0005-0000-0000-0000D55F0000}"/>
    <cellStyle name="40 % - Markeringsfarve6 3 7" xfId="6840" xr:uid="{00000000-0005-0000-0000-0000D65F0000}"/>
    <cellStyle name="40 % - Markeringsfarve6 3 7 2" xfId="6841" xr:uid="{00000000-0005-0000-0000-0000D75F0000}"/>
    <cellStyle name="40 % - Markeringsfarve6 3 7 2 2" xfId="6842" xr:uid="{00000000-0005-0000-0000-0000D85F0000}"/>
    <cellStyle name="40 % - Markeringsfarve6 3 7 2 2 2" xfId="10216" xr:uid="{00000000-0005-0000-0000-0000D95F0000}"/>
    <cellStyle name="40 % - Markeringsfarve6 3 7 2 2 2 2" xfId="18117" xr:uid="{00000000-0005-0000-0000-0000DA5F0000}"/>
    <cellStyle name="40 % - Markeringsfarve6 3 7 2 2 2 2 2" xfId="36277" xr:uid="{00000000-0005-0000-0000-0000DB5F0000}"/>
    <cellStyle name="40 % - Markeringsfarve6 3 7 2 2 2 3" xfId="29276" xr:uid="{00000000-0005-0000-0000-0000DC5F0000}"/>
    <cellStyle name="40 % - Markeringsfarve6 3 7 2 2 3" xfId="15396" xr:uid="{00000000-0005-0000-0000-0000DD5F0000}"/>
    <cellStyle name="40 % - Markeringsfarve6 3 7 2 2 3 2" xfId="33562" xr:uid="{00000000-0005-0000-0000-0000DE5F0000}"/>
    <cellStyle name="40 % - Markeringsfarve6 3 7 2 2 4" xfId="26560" xr:uid="{00000000-0005-0000-0000-0000DF5F0000}"/>
    <cellStyle name="40 % - Markeringsfarve6 3 7 2 3" xfId="8741" xr:uid="{00000000-0005-0000-0000-0000E05F0000}"/>
    <cellStyle name="40 % - Markeringsfarve6 3 7 2 3 2" xfId="16655" xr:uid="{00000000-0005-0000-0000-0000E15F0000}"/>
    <cellStyle name="40 % - Markeringsfarve6 3 7 2 3 2 2" xfId="34815" xr:uid="{00000000-0005-0000-0000-0000E25F0000}"/>
    <cellStyle name="40 % - Markeringsfarve6 3 7 2 3 3" xfId="27814" xr:uid="{00000000-0005-0000-0000-0000E35F0000}"/>
    <cellStyle name="40 % - Markeringsfarve6 3 7 2 4" xfId="15395" xr:uid="{00000000-0005-0000-0000-0000E45F0000}"/>
    <cellStyle name="40 % - Markeringsfarve6 3 7 2 4 2" xfId="33561" xr:uid="{00000000-0005-0000-0000-0000E55F0000}"/>
    <cellStyle name="40 % - Markeringsfarve6 3 7 2 5" xfId="26559" xr:uid="{00000000-0005-0000-0000-0000E65F0000}"/>
    <cellStyle name="40 % - Markeringsfarve6 3 7 3" xfId="6843" xr:uid="{00000000-0005-0000-0000-0000E75F0000}"/>
    <cellStyle name="40 % - Markeringsfarve6 3 7 3 2" xfId="9492" xr:uid="{00000000-0005-0000-0000-0000E85F0000}"/>
    <cellStyle name="40 % - Markeringsfarve6 3 7 3 2 2" xfId="17402" xr:uid="{00000000-0005-0000-0000-0000E95F0000}"/>
    <cellStyle name="40 % - Markeringsfarve6 3 7 3 2 2 2" xfId="35562" xr:uid="{00000000-0005-0000-0000-0000EA5F0000}"/>
    <cellStyle name="40 % - Markeringsfarve6 3 7 3 2 3" xfId="28561" xr:uid="{00000000-0005-0000-0000-0000EB5F0000}"/>
    <cellStyle name="40 % - Markeringsfarve6 3 7 3 3" xfId="15397" xr:uid="{00000000-0005-0000-0000-0000EC5F0000}"/>
    <cellStyle name="40 % - Markeringsfarve6 3 7 3 3 2" xfId="33563" xr:uid="{00000000-0005-0000-0000-0000ED5F0000}"/>
    <cellStyle name="40 % - Markeringsfarve6 3 7 3 4" xfId="26561" xr:uid="{00000000-0005-0000-0000-0000EE5F0000}"/>
    <cellStyle name="40 % - Markeringsfarve6 3 7 4" xfId="6844" xr:uid="{00000000-0005-0000-0000-0000EF5F0000}"/>
    <cellStyle name="40 % - Markeringsfarve6 3 7 4 2" xfId="10834" xr:uid="{00000000-0005-0000-0000-0000F05F0000}"/>
    <cellStyle name="40 % - Markeringsfarve6 3 7 4 2 2" xfId="18720" xr:uid="{00000000-0005-0000-0000-0000F15F0000}"/>
    <cellStyle name="40 % - Markeringsfarve6 3 7 4 2 2 2" xfId="36880" xr:uid="{00000000-0005-0000-0000-0000F25F0000}"/>
    <cellStyle name="40 % - Markeringsfarve6 3 7 4 2 3" xfId="29879" xr:uid="{00000000-0005-0000-0000-0000F35F0000}"/>
    <cellStyle name="40 % - Markeringsfarve6 3 7 4 3" xfId="15398" xr:uid="{00000000-0005-0000-0000-0000F45F0000}"/>
    <cellStyle name="40 % - Markeringsfarve6 3 7 4 3 2" xfId="33564" xr:uid="{00000000-0005-0000-0000-0000F55F0000}"/>
    <cellStyle name="40 % - Markeringsfarve6 3 7 4 4" xfId="26562" xr:uid="{00000000-0005-0000-0000-0000F65F0000}"/>
    <cellStyle name="40 % - Markeringsfarve6 3 7 5" xfId="8294" xr:uid="{00000000-0005-0000-0000-0000F75F0000}"/>
    <cellStyle name="40 % - Markeringsfarve6 3 7 5 2" xfId="16212" xr:uid="{00000000-0005-0000-0000-0000F85F0000}"/>
    <cellStyle name="40 % - Markeringsfarve6 3 7 5 2 2" xfId="34372" xr:uid="{00000000-0005-0000-0000-0000F95F0000}"/>
    <cellStyle name="40 % - Markeringsfarve6 3 7 5 3" xfId="27371" xr:uid="{00000000-0005-0000-0000-0000FA5F0000}"/>
    <cellStyle name="40 % - Markeringsfarve6 3 7 6" xfId="15394" xr:uid="{00000000-0005-0000-0000-0000FB5F0000}"/>
    <cellStyle name="40 % - Markeringsfarve6 3 7 6 2" xfId="33560" xr:uid="{00000000-0005-0000-0000-0000FC5F0000}"/>
    <cellStyle name="40 % - Markeringsfarve6 3 7 7" xfId="26558" xr:uid="{00000000-0005-0000-0000-0000FD5F0000}"/>
    <cellStyle name="40 % - Markeringsfarve6 3 8" xfId="6845" xr:uid="{00000000-0005-0000-0000-0000FE5F0000}"/>
    <cellStyle name="40 % - Markeringsfarve6 3 8 2" xfId="6846" xr:uid="{00000000-0005-0000-0000-0000FF5F0000}"/>
    <cellStyle name="40 % - Markeringsfarve6 3 8 2 2" xfId="6847" xr:uid="{00000000-0005-0000-0000-000000600000}"/>
    <cellStyle name="40 % - Markeringsfarve6 3 8 2 2 2" xfId="10411" xr:uid="{00000000-0005-0000-0000-000001600000}"/>
    <cellStyle name="40 % - Markeringsfarve6 3 8 2 2 2 2" xfId="18312" xr:uid="{00000000-0005-0000-0000-000002600000}"/>
    <cellStyle name="40 % - Markeringsfarve6 3 8 2 2 2 2 2" xfId="36472" xr:uid="{00000000-0005-0000-0000-000003600000}"/>
    <cellStyle name="40 % - Markeringsfarve6 3 8 2 2 2 3" xfId="29471" xr:uid="{00000000-0005-0000-0000-000004600000}"/>
    <cellStyle name="40 % - Markeringsfarve6 3 8 2 2 3" xfId="15401" xr:uid="{00000000-0005-0000-0000-000005600000}"/>
    <cellStyle name="40 % - Markeringsfarve6 3 8 2 2 3 2" xfId="33567" xr:uid="{00000000-0005-0000-0000-000006600000}"/>
    <cellStyle name="40 % - Markeringsfarve6 3 8 2 2 4" xfId="26565" xr:uid="{00000000-0005-0000-0000-000007600000}"/>
    <cellStyle name="40 % - Markeringsfarve6 3 8 2 3" xfId="8904" xr:uid="{00000000-0005-0000-0000-000008600000}"/>
    <cellStyle name="40 % - Markeringsfarve6 3 8 2 3 2" xfId="16818" xr:uid="{00000000-0005-0000-0000-000009600000}"/>
    <cellStyle name="40 % - Markeringsfarve6 3 8 2 3 2 2" xfId="34978" xr:uid="{00000000-0005-0000-0000-00000A600000}"/>
    <cellStyle name="40 % - Markeringsfarve6 3 8 2 3 3" xfId="27977" xr:uid="{00000000-0005-0000-0000-00000B600000}"/>
    <cellStyle name="40 % - Markeringsfarve6 3 8 2 4" xfId="15400" xr:uid="{00000000-0005-0000-0000-00000C600000}"/>
    <cellStyle name="40 % - Markeringsfarve6 3 8 2 4 2" xfId="33566" xr:uid="{00000000-0005-0000-0000-00000D600000}"/>
    <cellStyle name="40 % - Markeringsfarve6 3 8 2 5" xfId="26564" xr:uid="{00000000-0005-0000-0000-00000E600000}"/>
    <cellStyle name="40 % - Markeringsfarve6 3 8 3" xfId="6848" xr:uid="{00000000-0005-0000-0000-00000F600000}"/>
    <cellStyle name="40 % - Markeringsfarve6 3 8 3 2" xfId="9688" xr:uid="{00000000-0005-0000-0000-000010600000}"/>
    <cellStyle name="40 % - Markeringsfarve6 3 8 3 2 2" xfId="17598" xr:uid="{00000000-0005-0000-0000-000011600000}"/>
    <cellStyle name="40 % - Markeringsfarve6 3 8 3 2 2 2" xfId="35758" xr:uid="{00000000-0005-0000-0000-000012600000}"/>
    <cellStyle name="40 % - Markeringsfarve6 3 8 3 2 3" xfId="28757" xr:uid="{00000000-0005-0000-0000-000013600000}"/>
    <cellStyle name="40 % - Markeringsfarve6 3 8 3 3" xfId="15402" xr:uid="{00000000-0005-0000-0000-000014600000}"/>
    <cellStyle name="40 % - Markeringsfarve6 3 8 3 3 2" xfId="33568" xr:uid="{00000000-0005-0000-0000-000015600000}"/>
    <cellStyle name="40 % - Markeringsfarve6 3 8 3 4" xfId="26566" xr:uid="{00000000-0005-0000-0000-000016600000}"/>
    <cellStyle name="40 % - Markeringsfarve6 3 8 4" xfId="6849" xr:uid="{00000000-0005-0000-0000-000017600000}"/>
    <cellStyle name="40 % - Markeringsfarve6 3 8 4 2" xfId="10485" xr:uid="{00000000-0005-0000-0000-000018600000}"/>
    <cellStyle name="40 % - Markeringsfarve6 3 8 4 2 2" xfId="18381" xr:uid="{00000000-0005-0000-0000-000019600000}"/>
    <cellStyle name="40 % - Markeringsfarve6 3 8 4 2 2 2" xfId="36541" xr:uid="{00000000-0005-0000-0000-00001A600000}"/>
    <cellStyle name="40 % - Markeringsfarve6 3 8 4 2 3" xfId="29540" xr:uid="{00000000-0005-0000-0000-00001B600000}"/>
    <cellStyle name="40 % - Markeringsfarve6 3 8 4 3" xfId="15403" xr:uid="{00000000-0005-0000-0000-00001C600000}"/>
    <cellStyle name="40 % - Markeringsfarve6 3 8 4 3 2" xfId="33569" xr:uid="{00000000-0005-0000-0000-00001D600000}"/>
    <cellStyle name="40 % - Markeringsfarve6 3 8 4 4" xfId="26567" xr:uid="{00000000-0005-0000-0000-00001E600000}"/>
    <cellStyle name="40 % - Markeringsfarve6 3 8 5" xfId="8295" xr:uid="{00000000-0005-0000-0000-00001F600000}"/>
    <cellStyle name="40 % - Markeringsfarve6 3 8 5 2" xfId="16213" xr:uid="{00000000-0005-0000-0000-000020600000}"/>
    <cellStyle name="40 % - Markeringsfarve6 3 8 5 2 2" xfId="34373" xr:uid="{00000000-0005-0000-0000-000021600000}"/>
    <cellStyle name="40 % - Markeringsfarve6 3 8 5 3" xfId="27372" xr:uid="{00000000-0005-0000-0000-000022600000}"/>
    <cellStyle name="40 % - Markeringsfarve6 3 8 6" xfId="15399" xr:uid="{00000000-0005-0000-0000-000023600000}"/>
    <cellStyle name="40 % - Markeringsfarve6 3 8 6 2" xfId="33565" xr:uid="{00000000-0005-0000-0000-000024600000}"/>
    <cellStyle name="40 % - Markeringsfarve6 3 8 7" xfId="26563" xr:uid="{00000000-0005-0000-0000-000025600000}"/>
    <cellStyle name="40 % - Markeringsfarve6 3 9" xfId="6850" xr:uid="{00000000-0005-0000-0000-000026600000}"/>
    <cellStyle name="40 % - Markeringsfarve6 3 9 2" xfId="6851" xr:uid="{00000000-0005-0000-0000-000027600000}"/>
    <cellStyle name="40 % - Markeringsfarve6 3 9 2 2" xfId="9742" xr:uid="{00000000-0005-0000-0000-000028600000}"/>
    <cellStyle name="40 % - Markeringsfarve6 3 9 2 2 2" xfId="17643" xr:uid="{00000000-0005-0000-0000-000029600000}"/>
    <cellStyle name="40 % - Markeringsfarve6 3 9 2 2 2 2" xfId="35803" xr:uid="{00000000-0005-0000-0000-00002A600000}"/>
    <cellStyle name="40 % - Markeringsfarve6 3 9 2 2 3" xfId="28802" xr:uid="{00000000-0005-0000-0000-00002B600000}"/>
    <cellStyle name="40 % - Markeringsfarve6 3 9 2 3" xfId="15405" xr:uid="{00000000-0005-0000-0000-00002C600000}"/>
    <cellStyle name="40 % - Markeringsfarve6 3 9 2 3 2" xfId="33571" xr:uid="{00000000-0005-0000-0000-00002D600000}"/>
    <cellStyle name="40 % - Markeringsfarve6 3 9 2 4" xfId="26569" xr:uid="{00000000-0005-0000-0000-00002E600000}"/>
    <cellStyle name="40 % - Markeringsfarve6 3 9 3" xfId="8341" xr:uid="{00000000-0005-0000-0000-00002F600000}"/>
    <cellStyle name="40 % - Markeringsfarve6 3 9 3 2" xfId="16258" xr:uid="{00000000-0005-0000-0000-000030600000}"/>
    <cellStyle name="40 % - Markeringsfarve6 3 9 3 2 2" xfId="34418" xr:uid="{00000000-0005-0000-0000-000031600000}"/>
    <cellStyle name="40 % - Markeringsfarve6 3 9 3 3" xfId="27417" xr:uid="{00000000-0005-0000-0000-000032600000}"/>
    <cellStyle name="40 % - Markeringsfarve6 3 9 4" xfId="15404" xr:uid="{00000000-0005-0000-0000-000033600000}"/>
    <cellStyle name="40 % - Markeringsfarve6 3 9 4 2" xfId="33570" xr:uid="{00000000-0005-0000-0000-000034600000}"/>
    <cellStyle name="40 % - Markeringsfarve6 3 9 5" xfId="26568" xr:uid="{00000000-0005-0000-0000-000035600000}"/>
    <cellStyle name="40 % - Markeringsfarve6 4" xfId="1950" xr:uid="{00000000-0005-0000-0000-000036600000}"/>
    <cellStyle name="40 % - Markeringsfarve6 4 10" xfId="8296" xr:uid="{00000000-0005-0000-0000-000037600000}"/>
    <cellStyle name="40 % - Markeringsfarve6 4 10 2" xfId="16214" xr:uid="{00000000-0005-0000-0000-000038600000}"/>
    <cellStyle name="40 % - Markeringsfarve6 4 10 2 2" xfId="34374" xr:uid="{00000000-0005-0000-0000-000039600000}"/>
    <cellStyle name="40 % - Markeringsfarve6 4 10 3" xfId="27373" xr:uid="{00000000-0005-0000-0000-00003A600000}"/>
    <cellStyle name="40 % - Markeringsfarve6 4 11" xfId="15406" xr:uid="{00000000-0005-0000-0000-00003B600000}"/>
    <cellStyle name="40 % - Markeringsfarve6 4 11 2" xfId="33572" xr:uid="{00000000-0005-0000-0000-00003C600000}"/>
    <cellStyle name="40 % - Markeringsfarve6 4 12" xfId="6852" xr:uid="{00000000-0005-0000-0000-00003D600000}"/>
    <cellStyle name="40 % - Markeringsfarve6 4 12 2" xfId="26570" xr:uid="{00000000-0005-0000-0000-00003E600000}"/>
    <cellStyle name="40 % - Markeringsfarve6 4 13" xfId="22068" xr:uid="{00000000-0005-0000-0000-00003F600000}"/>
    <cellStyle name="40 % - Markeringsfarve6 4 2" xfId="1951" xr:uid="{00000000-0005-0000-0000-000040600000}"/>
    <cellStyle name="40 % - Markeringsfarve6 4 2 2" xfId="6854" xr:uid="{00000000-0005-0000-0000-000041600000}"/>
    <cellStyle name="40 % - Markeringsfarve6 4 2 2 2" xfId="6855" xr:uid="{00000000-0005-0000-0000-000042600000}"/>
    <cellStyle name="40 % - Markeringsfarve6 4 2 2 2 2" xfId="9886" xr:uid="{00000000-0005-0000-0000-000043600000}"/>
    <cellStyle name="40 % - Markeringsfarve6 4 2 2 2 2 2" xfId="17787" xr:uid="{00000000-0005-0000-0000-000044600000}"/>
    <cellStyle name="40 % - Markeringsfarve6 4 2 2 2 2 2 2" xfId="35947" xr:uid="{00000000-0005-0000-0000-000045600000}"/>
    <cellStyle name="40 % - Markeringsfarve6 4 2 2 2 2 3" xfId="28946" xr:uid="{00000000-0005-0000-0000-000046600000}"/>
    <cellStyle name="40 % - Markeringsfarve6 4 2 2 2 3" xfId="15409" xr:uid="{00000000-0005-0000-0000-000047600000}"/>
    <cellStyle name="40 % - Markeringsfarve6 4 2 2 2 3 2" xfId="33575" xr:uid="{00000000-0005-0000-0000-000048600000}"/>
    <cellStyle name="40 % - Markeringsfarve6 4 2 2 2 4" xfId="26573" xr:uid="{00000000-0005-0000-0000-000049600000}"/>
    <cellStyle name="40 % - Markeringsfarve6 4 2 2 3" xfId="8461" xr:uid="{00000000-0005-0000-0000-00004A600000}"/>
    <cellStyle name="40 % - Markeringsfarve6 4 2 2 3 2" xfId="16378" xr:uid="{00000000-0005-0000-0000-00004B600000}"/>
    <cellStyle name="40 % - Markeringsfarve6 4 2 2 3 2 2" xfId="34538" xr:uid="{00000000-0005-0000-0000-00004C600000}"/>
    <cellStyle name="40 % - Markeringsfarve6 4 2 2 3 3" xfId="27537" xr:uid="{00000000-0005-0000-0000-00004D600000}"/>
    <cellStyle name="40 % - Markeringsfarve6 4 2 2 4" xfId="15408" xr:uid="{00000000-0005-0000-0000-00004E600000}"/>
    <cellStyle name="40 % - Markeringsfarve6 4 2 2 4 2" xfId="33574" xr:uid="{00000000-0005-0000-0000-00004F600000}"/>
    <cellStyle name="40 % - Markeringsfarve6 4 2 2 5" xfId="26572" xr:uid="{00000000-0005-0000-0000-000050600000}"/>
    <cellStyle name="40 % - Markeringsfarve6 4 2 3" xfId="6856" xr:uid="{00000000-0005-0000-0000-000051600000}"/>
    <cellStyle name="40 % - Markeringsfarve6 4 2 3 2" xfId="9116" xr:uid="{00000000-0005-0000-0000-000052600000}"/>
    <cellStyle name="40 % - Markeringsfarve6 4 2 3 2 2" xfId="17027" xr:uid="{00000000-0005-0000-0000-000053600000}"/>
    <cellStyle name="40 % - Markeringsfarve6 4 2 3 2 2 2" xfId="35187" xr:uid="{00000000-0005-0000-0000-000054600000}"/>
    <cellStyle name="40 % - Markeringsfarve6 4 2 3 2 3" xfId="28186" xr:uid="{00000000-0005-0000-0000-000055600000}"/>
    <cellStyle name="40 % - Markeringsfarve6 4 2 3 3" xfId="15410" xr:uid="{00000000-0005-0000-0000-000056600000}"/>
    <cellStyle name="40 % - Markeringsfarve6 4 2 3 3 2" xfId="33576" xr:uid="{00000000-0005-0000-0000-000057600000}"/>
    <cellStyle name="40 % - Markeringsfarve6 4 2 3 4" xfId="26574" xr:uid="{00000000-0005-0000-0000-000058600000}"/>
    <cellStyle name="40 % - Markeringsfarve6 4 2 4" xfId="6857" xr:uid="{00000000-0005-0000-0000-000059600000}"/>
    <cellStyle name="40 % - Markeringsfarve6 4 2 4 2" xfId="10779" xr:uid="{00000000-0005-0000-0000-00005A600000}"/>
    <cellStyle name="40 % - Markeringsfarve6 4 2 4 2 2" xfId="18667" xr:uid="{00000000-0005-0000-0000-00005B600000}"/>
    <cellStyle name="40 % - Markeringsfarve6 4 2 4 2 2 2" xfId="36827" xr:uid="{00000000-0005-0000-0000-00005C600000}"/>
    <cellStyle name="40 % - Markeringsfarve6 4 2 4 2 3" xfId="29826" xr:uid="{00000000-0005-0000-0000-00005D600000}"/>
    <cellStyle name="40 % - Markeringsfarve6 4 2 4 3" xfId="15411" xr:uid="{00000000-0005-0000-0000-00005E600000}"/>
    <cellStyle name="40 % - Markeringsfarve6 4 2 4 3 2" xfId="33577" xr:uid="{00000000-0005-0000-0000-00005F600000}"/>
    <cellStyle name="40 % - Markeringsfarve6 4 2 4 4" xfId="26575" xr:uid="{00000000-0005-0000-0000-000060600000}"/>
    <cellStyle name="40 % - Markeringsfarve6 4 2 5" xfId="8297" xr:uid="{00000000-0005-0000-0000-000061600000}"/>
    <cellStyle name="40 % - Markeringsfarve6 4 2 5 2" xfId="16215" xr:uid="{00000000-0005-0000-0000-000062600000}"/>
    <cellStyle name="40 % - Markeringsfarve6 4 2 5 2 2" xfId="34375" xr:uid="{00000000-0005-0000-0000-000063600000}"/>
    <cellStyle name="40 % - Markeringsfarve6 4 2 5 3" xfId="27374" xr:uid="{00000000-0005-0000-0000-000064600000}"/>
    <cellStyle name="40 % - Markeringsfarve6 4 2 6" xfId="15407" xr:uid="{00000000-0005-0000-0000-000065600000}"/>
    <cellStyle name="40 % - Markeringsfarve6 4 2 6 2" xfId="33573" xr:uid="{00000000-0005-0000-0000-000066600000}"/>
    <cellStyle name="40 % - Markeringsfarve6 4 2 7" xfId="6853" xr:uid="{00000000-0005-0000-0000-000067600000}"/>
    <cellStyle name="40 % - Markeringsfarve6 4 2 7 2" xfId="26571" xr:uid="{00000000-0005-0000-0000-000068600000}"/>
    <cellStyle name="40 % - Markeringsfarve6 4 2 8" xfId="22069" xr:uid="{00000000-0005-0000-0000-000069600000}"/>
    <cellStyle name="40 % - Markeringsfarve6 4 3" xfId="6858" xr:uid="{00000000-0005-0000-0000-00006A600000}"/>
    <cellStyle name="40 % - Markeringsfarve6 4 3 2" xfId="6859" xr:uid="{00000000-0005-0000-0000-00006B600000}"/>
    <cellStyle name="40 % - Markeringsfarve6 4 3 2 2" xfId="6860" xr:uid="{00000000-0005-0000-0000-00006C600000}"/>
    <cellStyle name="40 % - Markeringsfarve6 4 3 2 2 2" xfId="10060" xr:uid="{00000000-0005-0000-0000-00006D600000}"/>
    <cellStyle name="40 % - Markeringsfarve6 4 3 2 2 2 2" xfId="17961" xr:uid="{00000000-0005-0000-0000-00006E600000}"/>
    <cellStyle name="40 % - Markeringsfarve6 4 3 2 2 2 2 2" xfId="36121" xr:uid="{00000000-0005-0000-0000-00006F600000}"/>
    <cellStyle name="40 % - Markeringsfarve6 4 3 2 2 2 3" xfId="29120" xr:uid="{00000000-0005-0000-0000-000070600000}"/>
    <cellStyle name="40 % - Markeringsfarve6 4 3 2 2 3" xfId="15414" xr:uid="{00000000-0005-0000-0000-000071600000}"/>
    <cellStyle name="40 % - Markeringsfarve6 4 3 2 2 3 2" xfId="33580" xr:uid="{00000000-0005-0000-0000-000072600000}"/>
    <cellStyle name="40 % - Markeringsfarve6 4 3 2 2 4" xfId="26578" xr:uid="{00000000-0005-0000-0000-000073600000}"/>
    <cellStyle name="40 % - Markeringsfarve6 4 3 2 3" xfId="8606" xr:uid="{00000000-0005-0000-0000-000074600000}"/>
    <cellStyle name="40 % - Markeringsfarve6 4 3 2 3 2" xfId="16523" xr:uid="{00000000-0005-0000-0000-000075600000}"/>
    <cellStyle name="40 % - Markeringsfarve6 4 3 2 3 2 2" xfId="34683" xr:uid="{00000000-0005-0000-0000-000076600000}"/>
    <cellStyle name="40 % - Markeringsfarve6 4 3 2 3 3" xfId="27682" xr:uid="{00000000-0005-0000-0000-000077600000}"/>
    <cellStyle name="40 % - Markeringsfarve6 4 3 2 4" xfId="15413" xr:uid="{00000000-0005-0000-0000-000078600000}"/>
    <cellStyle name="40 % - Markeringsfarve6 4 3 2 4 2" xfId="33579" xr:uid="{00000000-0005-0000-0000-000079600000}"/>
    <cellStyle name="40 % - Markeringsfarve6 4 3 2 5" xfId="26577" xr:uid="{00000000-0005-0000-0000-00007A600000}"/>
    <cellStyle name="40 % - Markeringsfarve6 4 3 3" xfId="6861" xr:uid="{00000000-0005-0000-0000-00007B600000}"/>
    <cellStyle name="40 % - Markeringsfarve6 4 3 3 2" xfId="9290" xr:uid="{00000000-0005-0000-0000-00007C600000}"/>
    <cellStyle name="40 % - Markeringsfarve6 4 3 3 2 2" xfId="17201" xr:uid="{00000000-0005-0000-0000-00007D600000}"/>
    <cellStyle name="40 % - Markeringsfarve6 4 3 3 2 2 2" xfId="35361" xr:uid="{00000000-0005-0000-0000-00007E600000}"/>
    <cellStyle name="40 % - Markeringsfarve6 4 3 3 2 3" xfId="28360" xr:uid="{00000000-0005-0000-0000-00007F600000}"/>
    <cellStyle name="40 % - Markeringsfarve6 4 3 3 3" xfId="15415" xr:uid="{00000000-0005-0000-0000-000080600000}"/>
    <cellStyle name="40 % - Markeringsfarve6 4 3 3 3 2" xfId="33581" xr:uid="{00000000-0005-0000-0000-000081600000}"/>
    <cellStyle name="40 % - Markeringsfarve6 4 3 3 4" xfId="26579" xr:uid="{00000000-0005-0000-0000-000082600000}"/>
    <cellStyle name="40 % - Markeringsfarve6 4 3 4" xfId="6862" xr:uid="{00000000-0005-0000-0000-000083600000}"/>
    <cellStyle name="40 % - Markeringsfarve6 4 3 4 2" xfId="10986" xr:uid="{00000000-0005-0000-0000-000084600000}"/>
    <cellStyle name="40 % - Markeringsfarve6 4 3 4 2 2" xfId="18862" xr:uid="{00000000-0005-0000-0000-000085600000}"/>
    <cellStyle name="40 % - Markeringsfarve6 4 3 4 2 2 2" xfId="37022" xr:uid="{00000000-0005-0000-0000-000086600000}"/>
    <cellStyle name="40 % - Markeringsfarve6 4 3 4 2 3" xfId="30021" xr:uid="{00000000-0005-0000-0000-000087600000}"/>
    <cellStyle name="40 % - Markeringsfarve6 4 3 4 3" xfId="15416" xr:uid="{00000000-0005-0000-0000-000088600000}"/>
    <cellStyle name="40 % - Markeringsfarve6 4 3 4 3 2" xfId="33582" xr:uid="{00000000-0005-0000-0000-000089600000}"/>
    <cellStyle name="40 % - Markeringsfarve6 4 3 4 4" xfId="26580" xr:uid="{00000000-0005-0000-0000-00008A600000}"/>
    <cellStyle name="40 % - Markeringsfarve6 4 3 5" xfId="8298" xr:uid="{00000000-0005-0000-0000-00008B600000}"/>
    <cellStyle name="40 % - Markeringsfarve6 4 3 5 2" xfId="16216" xr:uid="{00000000-0005-0000-0000-00008C600000}"/>
    <cellStyle name="40 % - Markeringsfarve6 4 3 5 2 2" xfId="34376" xr:uid="{00000000-0005-0000-0000-00008D600000}"/>
    <cellStyle name="40 % - Markeringsfarve6 4 3 5 3" xfId="27375" xr:uid="{00000000-0005-0000-0000-00008E600000}"/>
    <cellStyle name="40 % - Markeringsfarve6 4 3 6" xfId="15412" xr:uid="{00000000-0005-0000-0000-00008F600000}"/>
    <cellStyle name="40 % - Markeringsfarve6 4 3 6 2" xfId="33578" xr:uid="{00000000-0005-0000-0000-000090600000}"/>
    <cellStyle name="40 % - Markeringsfarve6 4 3 7" xfId="26576" xr:uid="{00000000-0005-0000-0000-000091600000}"/>
    <cellStyle name="40 % - Markeringsfarve6 4 4" xfId="6863" xr:uid="{00000000-0005-0000-0000-000092600000}"/>
    <cellStyle name="40 % - Markeringsfarve6 4 4 2" xfId="6864" xr:uid="{00000000-0005-0000-0000-000093600000}"/>
    <cellStyle name="40 % - Markeringsfarve6 4 4 2 2" xfId="6865" xr:uid="{00000000-0005-0000-0000-000094600000}"/>
    <cellStyle name="40 % - Markeringsfarve6 4 4 2 2 2" xfId="10124" xr:uid="{00000000-0005-0000-0000-000095600000}"/>
    <cellStyle name="40 % - Markeringsfarve6 4 4 2 2 2 2" xfId="18025" xr:uid="{00000000-0005-0000-0000-000096600000}"/>
    <cellStyle name="40 % - Markeringsfarve6 4 4 2 2 2 2 2" xfId="36185" xr:uid="{00000000-0005-0000-0000-000097600000}"/>
    <cellStyle name="40 % - Markeringsfarve6 4 4 2 2 2 3" xfId="29184" xr:uid="{00000000-0005-0000-0000-000098600000}"/>
    <cellStyle name="40 % - Markeringsfarve6 4 4 2 2 3" xfId="15419" xr:uid="{00000000-0005-0000-0000-000099600000}"/>
    <cellStyle name="40 % - Markeringsfarve6 4 4 2 2 3 2" xfId="33585" xr:uid="{00000000-0005-0000-0000-00009A600000}"/>
    <cellStyle name="40 % - Markeringsfarve6 4 4 2 2 4" xfId="26583" xr:uid="{00000000-0005-0000-0000-00009B600000}"/>
    <cellStyle name="40 % - Markeringsfarve6 4 4 2 3" xfId="8663" xr:uid="{00000000-0005-0000-0000-00009C600000}"/>
    <cellStyle name="40 % - Markeringsfarve6 4 4 2 3 2" xfId="16577" xr:uid="{00000000-0005-0000-0000-00009D600000}"/>
    <cellStyle name="40 % - Markeringsfarve6 4 4 2 3 2 2" xfId="34737" xr:uid="{00000000-0005-0000-0000-00009E600000}"/>
    <cellStyle name="40 % - Markeringsfarve6 4 4 2 3 3" xfId="27736" xr:uid="{00000000-0005-0000-0000-00009F600000}"/>
    <cellStyle name="40 % - Markeringsfarve6 4 4 2 4" xfId="15418" xr:uid="{00000000-0005-0000-0000-0000A0600000}"/>
    <cellStyle name="40 % - Markeringsfarve6 4 4 2 4 2" xfId="33584" xr:uid="{00000000-0005-0000-0000-0000A1600000}"/>
    <cellStyle name="40 % - Markeringsfarve6 4 4 2 5" xfId="26582" xr:uid="{00000000-0005-0000-0000-0000A2600000}"/>
    <cellStyle name="40 % - Markeringsfarve6 4 4 3" xfId="6866" xr:uid="{00000000-0005-0000-0000-0000A3600000}"/>
    <cellStyle name="40 % - Markeringsfarve6 4 4 3 2" xfId="9400" xr:uid="{00000000-0005-0000-0000-0000A4600000}"/>
    <cellStyle name="40 % - Markeringsfarve6 4 4 3 2 2" xfId="17310" xr:uid="{00000000-0005-0000-0000-0000A5600000}"/>
    <cellStyle name="40 % - Markeringsfarve6 4 4 3 2 2 2" xfId="35470" xr:uid="{00000000-0005-0000-0000-0000A6600000}"/>
    <cellStyle name="40 % - Markeringsfarve6 4 4 3 2 3" xfId="28469" xr:uid="{00000000-0005-0000-0000-0000A7600000}"/>
    <cellStyle name="40 % - Markeringsfarve6 4 4 3 3" xfId="15420" xr:uid="{00000000-0005-0000-0000-0000A8600000}"/>
    <cellStyle name="40 % - Markeringsfarve6 4 4 3 3 2" xfId="33586" xr:uid="{00000000-0005-0000-0000-0000A9600000}"/>
    <cellStyle name="40 % - Markeringsfarve6 4 4 3 4" xfId="26584" xr:uid="{00000000-0005-0000-0000-0000AA600000}"/>
    <cellStyle name="40 % - Markeringsfarve6 4 4 4" xfId="6867" xr:uid="{00000000-0005-0000-0000-0000AB600000}"/>
    <cellStyle name="40 % - Markeringsfarve6 4 4 4 2" xfId="10706" xr:uid="{00000000-0005-0000-0000-0000AC600000}"/>
    <cellStyle name="40 % - Markeringsfarve6 4 4 4 2 2" xfId="18595" xr:uid="{00000000-0005-0000-0000-0000AD600000}"/>
    <cellStyle name="40 % - Markeringsfarve6 4 4 4 2 2 2" xfId="36755" xr:uid="{00000000-0005-0000-0000-0000AE600000}"/>
    <cellStyle name="40 % - Markeringsfarve6 4 4 4 2 3" xfId="29754" xr:uid="{00000000-0005-0000-0000-0000AF600000}"/>
    <cellStyle name="40 % - Markeringsfarve6 4 4 4 3" xfId="15421" xr:uid="{00000000-0005-0000-0000-0000B0600000}"/>
    <cellStyle name="40 % - Markeringsfarve6 4 4 4 3 2" xfId="33587" xr:uid="{00000000-0005-0000-0000-0000B1600000}"/>
    <cellStyle name="40 % - Markeringsfarve6 4 4 4 4" xfId="26585" xr:uid="{00000000-0005-0000-0000-0000B2600000}"/>
    <cellStyle name="40 % - Markeringsfarve6 4 4 5" xfId="8299" xr:uid="{00000000-0005-0000-0000-0000B3600000}"/>
    <cellStyle name="40 % - Markeringsfarve6 4 4 5 2" xfId="16217" xr:uid="{00000000-0005-0000-0000-0000B4600000}"/>
    <cellStyle name="40 % - Markeringsfarve6 4 4 5 2 2" xfId="34377" xr:uid="{00000000-0005-0000-0000-0000B5600000}"/>
    <cellStyle name="40 % - Markeringsfarve6 4 4 5 3" xfId="27376" xr:uid="{00000000-0005-0000-0000-0000B6600000}"/>
    <cellStyle name="40 % - Markeringsfarve6 4 4 6" xfId="15417" xr:uid="{00000000-0005-0000-0000-0000B7600000}"/>
    <cellStyle name="40 % - Markeringsfarve6 4 4 6 2" xfId="33583" xr:uid="{00000000-0005-0000-0000-0000B8600000}"/>
    <cellStyle name="40 % - Markeringsfarve6 4 4 7" xfId="26581" xr:uid="{00000000-0005-0000-0000-0000B9600000}"/>
    <cellStyle name="40 % - Markeringsfarve6 4 5" xfId="6868" xr:uid="{00000000-0005-0000-0000-0000BA600000}"/>
    <cellStyle name="40 % - Markeringsfarve6 4 5 2" xfId="6869" xr:uid="{00000000-0005-0000-0000-0000BB600000}"/>
    <cellStyle name="40 % - Markeringsfarve6 4 5 2 2" xfId="6870" xr:uid="{00000000-0005-0000-0000-0000BC600000}"/>
    <cellStyle name="40 % - Markeringsfarve6 4 5 2 2 2" xfId="10241" xr:uid="{00000000-0005-0000-0000-0000BD600000}"/>
    <cellStyle name="40 % - Markeringsfarve6 4 5 2 2 2 2" xfId="18142" xr:uid="{00000000-0005-0000-0000-0000BE600000}"/>
    <cellStyle name="40 % - Markeringsfarve6 4 5 2 2 2 2 2" xfId="36302" xr:uid="{00000000-0005-0000-0000-0000BF600000}"/>
    <cellStyle name="40 % - Markeringsfarve6 4 5 2 2 2 3" xfId="29301" xr:uid="{00000000-0005-0000-0000-0000C0600000}"/>
    <cellStyle name="40 % - Markeringsfarve6 4 5 2 2 3" xfId="15424" xr:uid="{00000000-0005-0000-0000-0000C1600000}"/>
    <cellStyle name="40 % - Markeringsfarve6 4 5 2 2 3 2" xfId="33590" xr:uid="{00000000-0005-0000-0000-0000C2600000}"/>
    <cellStyle name="40 % - Markeringsfarve6 4 5 2 2 4" xfId="26588" xr:uid="{00000000-0005-0000-0000-0000C3600000}"/>
    <cellStyle name="40 % - Markeringsfarve6 4 5 2 3" xfId="8762" xr:uid="{00000000-0005-0000-0000-0000C4600000}"/>
    <cellStyle name="40 % - Markeringsfarve6 4 5 2 3 2" xfId="16676" xr:uid="{00000000-0005-0000-0000-0000C5600000}"/>
    <cellStyle name="40 % - Markeringsfarve6 4 5 2 3 2 2" xfId="34836" xr:uid="{00000000-0005-0000-0000-0000C6600000}"/>
    <cellStyle name="40 % - Markeringsfarve6 4 5 2 3 3" xfId="27835" xr:uid="{00000000-0005-0000-0000-0000C7600000}"/>
    <cellStyle name="40 % - Markeringsfarve6 4 5 2 4" xfId="15423" xr:uid="{00000000-0005-0000-0000-0000C8600000}"/>
    <cellStyle name="40 % - Markeringsfarve6 4 5 2 4 2" xfId="33589" xr:uid="{00000000-0005-0000-0000-0000C9600000}"/>
    <cellStyle name="40 % - Markeringsfarve6 4 5 2 5" xfId="26587" xr:uid="{00000000-0005-0000-0000-0000CA600000}"/>
    <cellStyle name="40 % - Markeringsfarve6 4 5 3" xfId="6871" xr:uid="{00000000-0005-0000-0000-0000CB600000}"/>
    <cellStyle name="40 % - Markeringsfarve6 4 5 3 2" xfId="9517" xr:uid="{00000000-0005-0000-0000-0000CC600000}"/>
    <cellStyle name="40 % - Markeringsfarve6 4 5 3 2 2" xfId="17427" xr:uid="{00000000-0005-0000-0000-0000CD600000}"/>
    <cellStyle name="40 % - Markeringsfarve6 4 5 3 2 2 2" xfId="35587" xr:uid="{00000000-0005-0000-0000-0000CE600000}"/>
    <cellStyle name="40 % - Markeringsfarve6 4 5 3 2 3" xfId="28586" xr:uid="{00000000-0005-0000-0000-0000CF600000}"/>
    <cellStyle name="40 % - Markeringsfarve6 4 5 3 3" xfId="15425" xr:uid="{00000000-0005-0000-0000-0000D0600000}"/>
    <cellStyle name="40 % - Markeringsfarve6 4 5 3 3 2" xfId="33591" xr:uid="{00000000-0005-0000-0000-0000D1600000}"/>
    <cellStyle name="40 % - Markeringsfarve6 4 5 3 4" xfId="26589" xr:uid="{00000000-0005-0000-0000-0000D2600000}"/>
    <cellStyle name="40 % - Markeringsfarve6 4 5 4" xfId="6872" xr:uid="{00000000-0005-0000-0000-0000D3600000}"/>
    <cellStyle name="40 % - Markeringsfarve6 4 5 4 2" xfId="10951" xr:uid="{00000000-0005-0000-0000-0000D4600000}"/>
    <cellStyle name="40 % - Markeringsfarve6 4 5 4 2 2" xfId="18831" xr:uid="{00000000-0005-0000-0000-0000D5600000}"/>
    <cellStyle name="40 % - Markeringsfarve6 4 5 4 2 2 2" xfId="36991" xr:uid="{00000000-0005-0000-0000-0000D6600000}"/>
    <cellStyle name="40 % - Markeringsfarve6 4 5 4 2 3" xfId="29990" xr:uid="{00000000-0005-0000-0000-0000D7600000}"/>
    <cellStyle name="40 % - Markeringsfarve6 4 5 4 3" xfId="15426" xr:uid="{00000000-0005-0000-0000-0000D8600000}"/>
    <cellStyle name="40 % - Markeringsfarve6 4 5 4 3 2" xfId="33592" xr:uid="{00000000-0005-0000-0000-0000D9600000}"/>
    <cellStyle name="40 % - Markeringsfarve6 4 5 4 4" xfId="26590" xr:uid="{00000000-0005-0000-0000-0000DA600000}"/>
    <cellStyle name="40 % - Markeringsfarve6 4 5 5" xfId="8300" xr:uid="{00000000-0005-0000-0000-0000DB600000}"/>
    <cellStyle name="40 % - Markeringsfarve6 4 5 5 2" xfId="16218" xr:uid="{00000000-0005-0000-0000-0000DC600000}"/>
    <cellStyle name="40 % - Markeringsfarve6 4 5 5 2 2" xfId="34378" xr:uid="{00000000-0005-0000-0000-0000DD600000}"/>
    <cellStyle name="40 % - Markeringsfarve6 4 5 5 3" xfId="27377" xr:uid="{00000000-0005-0000-0000-0000DE600000}"/>
    <cellStyle name="40 % - Markeringsfarve6 4 5 6" xfId="15422" xr:uid="{00000000-0005-0000-0000-0000DF600000}"/>
    <cellStyle name="40 % - Markeringsfarve6 4 5 6 2" xfId="33588" xr:uid="{00000000-0005-0000-0000-0000E0600000}"/>
    <cellStyle name="40 % - Markeringsfarve6 4 5 7" xfId="26586" xr:uid="{00000000-0005-0000-0000-0000E1600000}"/>
    <cellStyle name="40 % - Markeringsfarve6 4 6" xfId="6873" xr:uid="{00000000-0005-0000-0000-0000E2600000}"/>
    <cellStyle name="40 % - Markeringsfarve6 4 6 2" xfId="6874" xr:uid="{00000000-0005-0000-0000-0000E3600000}"/>
    <cellStyle name="40 % - Markeringsfarve6 4 6 2 2" xfId="6875" xr:uid="{00000000-0005-0000-0000-0000E4600000}"/>
    <cellStyle name="40 % - Markeringsfarve6 4 6 2 2 2" xfId="10414" xr:uid="{00000000-0005-0000-0000-0000E5600000}"/>
    <cellStyle name="40 % - Markeringsfarve6 4 6 2 2 2 2" xfId="18315" xr:uid="{00000000-0005-0000-0000-0000E6600000}"/>
    <cellStyle name="40 % - Markeringsfarve6 4 6 2 2 2 2 2" xfId="36475" xr:uid="{00000000-0005-0000-0000-0000E7600000}"/>
    <cellStyle name="40 % - Markeringsfarve6 4 6 2 2 2 3" xfId="29474" xr:uid="{00000000-0005-0000-0000-0000E8600000}"/>
    <cellStyle name="40 % - Markeringsfarve6 4 6 2 2 3" xfId="15429" xr:uid="{00000000-0005-0000-0000-0000E9600000}"/>
    <cellStyle name="40 % - Markeringsfarve6 4 6 2 2 3 2" xfId="33595" xr:uid="{00000000-0005-0000-0000-0000EA600000}"/>
    <cellStyle name="40 % - Markeringsfarve6 4 6 2 2 4" xfId="26593" xr:uid="{00000000-0005-0000-0000-0000EB600000}"/>
    <cellStyle name="40 % - Markeringsfarve6 4 6 2 3" xfId="8907" xr:uid="{00000000-0005-0000-0000-0000EC600000}"/>
    <cellStyle name="40 % - Markeringsfarve6 4 6 2 3 2" xfId="16821" xr:uid="{00000000-0005-0000-0000-0000ED600000}"/>
    <cellStyle name="40 % - Markeringsfarve6 4 6 2 3 2 2" xfId="34981" xr:uid="{00000000-0005-0000-0000-0000EE600000}"/>
    <cellStyle name="40 % - Markeringsfarve6 4 6 2 3 3" xfId="27980" xr:uid="{00000000-0005-0000-0000-0000EF600000}"/>
    <cellStyle name="40 % - Markeringsfarve6 4 6 2 4" xfId="15428" xr:uid="{00000000-0005-0000-0000-0000F0600000}"/>
    <cellStyle name="40 % - Markeringsfarve6 4 6 2 4 2" xfId="33594" xr:uid="{00000000-0005-0000-0000-0000F1600000}"/>
    <cellStyle name="40 % - Markeringsfarve6 4 6 2 5" xfId="26592" xr:uid="{00000000-0005-0000-0000-0000F2600000}"/>
    <cellStyle name="40 % - Markeringsfarve6 4 6 3" xfId="6876" xr:uid="{00000000-0005-0000-0000-0000F3600000}"/>
    <cellStyle name="40 % - Markeringsfarve6 4 6 3 2" xfId="9691" xr:uid="{00000000-0005-0000-0000-0000F4600000}"/>
    <cellStyle name="40 % - Markeringsfarve6 4 6 3 2 2" xfId="17601" xr:uid="{00000000-0005-0000-0000-0000F5600000}"/>
    <cellStyle name="40 % - Markeringsfarve6 4 6 3 2 2 2" xfId="35761" xr:uid="{00000000-0005-0000-0000-0000F6600000}"/>
    <cellStyle name="40 % - Markeringsfarve6 4 6 3 2 3" xfId="28760" xr:uid="{00000000-0005-0000-0000-0000F7600000}"/>
    <cellStyle name="40 % - Markeringsfarve6 4 6 3 3" xfId="15430" xr:uid="{00000000-0005-0000-0000-0000F8600000}"/>
    <cellStyle name="40 % - Markeringsfarve6 4 6 3 3 2" xfId="33596" xr:uid="{00000000-0005-0000-0000-0000F9600000}"/>
    <cellStyle name="40 % - Markeringsfarve6 4 6 3 4" xfId="26594" xr:uid="{00000000-0005-0000-0000-0000FA600000}"/>
    <cellStyle name="40 % - Markeringsfarve6 4 6 4" xfId="6877" xr:uid="{00000000-0005-0000-0000-0000FB600000}"/>
    <cellStyle name="40 % - Markeringsfarve6 4 6 4 2" xfId="10676" xr:uid="{00000000-0005-0000-0000-0000FC600000}"/>
    <cellStyle name="40 % - Markeringsfarve6 4 6 4 2 2" xfId="18568" xr:uid="{00000000-0005-0000-0000-0000FD600000}"/>
    <cellStyle name="40 % - Markeringsfarve6 4 6 4 2 2 2" xfId="36728" xr:uid="{00000000-0005-0000-0000-0000FE600000}"/>
    <cellStyle name="40 % - Markeringsfarve6 4 6 4 2 3" xfId="29727" xr:uid="{00000000-0005-0000-0000-0000FF600000}"/>
    <cellStyle name="40 % - Markeringsfarve6 4 6 4 3" xfId="15431" xr:uid="{00000000-0005-0000-0000-000000610000}"/>
    <cellStyle name="40 % - Markeringsfarve6 4 6 4 3 2" xfId="33597" xr:uid="{00000000-0005-0000-0000-000001610000}"/>
    <cellStyle name="40 % - Markeringsfarve6 4 6 4 4" xfId="26595" xr:uid="{00000000-0005-0000-0000-000002610000}"/>
    <cellStyle name="40 % - Markeringsfarve6 4 6 5" xfId="8301" xr:uid="{00000000-0005-0000-0000-000003610000}"/>
    <cellStyle name="40 % - Markeringsfarve6 4 6 5 2" xfId="16219" xr:uid="{00000000-0005-0000-0000-000004610000}"/>
    <cellStyle name="40 % - Markeringsfarve6 4 6 5 2 2" xfId="34379" xr:uid="{00000000-0005-0000-0000-000005610000}"/>
    <cellStyle name="40 % - Markeringsfarve6 4 6 5 3" xfId="27378" xr:uid="{00000000-0005-0000-0000-000006610000}"/>
    <cellStyle name="40 % - Markeringsfarve6 4 6 6" xfId="15427" xr:uid="{00000000-0005-0000-0000-000007610000}"/>
    <cellStyle name="40 % - Markeringsfarve6 4 6 6 2" xfId="33593" xr:uid="{00000000-0005-0000-0000-000008610000}"/>
    <cellStyle name="40 % - Markeringsfarve6 4 6 7" xfId="26591" xr:uid="{00000000-0005-0000-0000-000009610000}"/>
    <cellStyle name="40 % - Markeringsfarve6 4 7" xfId="6878" xr:uid="{00000000-0005-0000-0000-00000A610000}"/>
    <cellStyle name="40 % - Markeringsfarve6 4 7 2" xfId="6879" xr:uid="{00000000-0005-0000-0000-00000B610000}"/>
    <cellStyle name="40 % - Markeringsfarve6 4 7 2 2" xfId="9767" xr:uid="{00000000-0005-0000-0000-00000C610000}"/>
    <cellStyle name="40 % - Markeringsfarve6 4 7 2 2 2" xfId="17668" xr:uid="{00000000-0005-0000-0000-00000D610000}"/>
    <cellStyle name="40 % - Markeringsfarve6 4 7 2 2 2 2" xfId="35828" xr:uid="{00000000-0005-0000-0000-00000E610000}"/>
    <cellStyle name="40 % - Markeringsfarve6 4 7 2 2 3" xfId="28827" xr:uid="{00000000-0005-0000-0000-00000F610000}"/>
    <cellStyle name="40 % - Markeringsfarve6 4 7 2 3" xfId="15433" xr:uid="{00000000-0005-0000-0000-000010610000}"/>
    <cellStyle name="40 % - Markeringsfarve6 4 7 2 3 2" xfId="33599" xr:uid="{00000000-0005-0000-0000-000011610000}"/>
    <cellStyle name="40 % - Markeringsfarve6 4 7 2 4" xfId="26597" xr:uid="{00000000-0005-0000-0000-000012610000}"/>
    <cellStyle name="40 % - Markeringsfarve6 4 7 3" xfId="8362" xr:uid="{00000000-0005-0000-0000-000013610000}"/>
    <cellStyle name="40 % - Markeringsfarve6 4 7 3 2" xfId="16279" xr:uid="{00000000-0005-0000-0000-000014610000}"/>
    <cellStyle name="40 % - Markeringsfarve6 4 7 3 2 2" xfId="34439" xr:uid="{00000000-0005-0000-0000-000015610000}"/>
    <cellStyle name="40 % - Markeringsfarve6 4 7 3 3" xfId="27438" xr:uid="{00000000-0005-0000-0000-000016610000}"/>
    <cellStyle name="40 % - Markeringsfarve6 4 7 4" xfId="15432" xr:uid="{00000000-0005-0000-0000-000017610000}"/>
    <cellStyle name="40 % - Markeringsfarve6 4 7 4 2" xfId="33598" xr:uid="{00000000-0005-0000-0000-000018610000}"/>
    <cellStyle name="40 % - Markeringsfarve6 4 7 5" xfId="26596" xr:uid="{00000000-0005-0000-0000-000019610000}"/>
    <cellStyle name="40 % - Markeringsfarve6 4 8" xfId="6880" xr:uid="{00000000-0005-0000-0000-00001A610000}"/>
    <cellStyle name="40 % - Markeringsfarve6 4 8 2" xfId="8995" xr:uid="{00000000-0005-0000-0000-00001B610000}"/>
    <cellStyle name="40 % - Markeringsfarve6 4 8 2 2" xfId="16906" xr:uid="{00000000-0005-0000-0000-00001C610000}"/>
    <cellStyle name="40 % - Markeringsfarve6 4 8 2 2 2" xfId="35066" xr:uid="{00000000-0005-0000-0000-00001D610000}"/>
    <cellStyle name="40 % - Markeringsfarve6 4 8 2 3" xfId="28065" xr:uid="{00000000-0005-0000-0000-00001E610000}"/>
    <cellStyle name="40 % - Markeringsfarve6 4 8 3" xfId="15434" xr:uid="{00000000-0005-0000-0000-00001F610000}"/>
    <cellStyle name="40 % - Markeringsfarve6 4 8 3 2" xfId="33600" xr:uid="{00000000-0005-0000-0000-000020610000}"/>
    <cellStyle name="40 % - Markeringsfarve6 4 8 4" xfId="26598" xr:uid="{00000000-0005-0000-0000-000021610000}"/>
    <cellStyle name="40 % - Markeringsfarve6 4 9" xfId="6881" xr:uid="{00000000-0005-0000-0000-000022610000}"/>
    <cellStyle name="40 % - Markeringsfarve6 4 9 2" xfId="10438" xr:uid="{00000000-0005-0000-0000-000023610000}"/>
    <cellStyle name="40 % - Markeringsfarve6 4 9 2 2" xfId="18335" xr:uid="{00000000-0005-0000-0000-000024610000}"/>
    <cellStyle name="40 % - Markeringsfarve6 4 9 2 2 2" xfId="36495" xr:uid="{00000000-0005-0000-0000-000025610000}"/>
    <cellStyle name="40 % - Markeringsfarve6 4 9 2 3" xfId="29494" xr:uid="{00000000-0005-0000-0000-000026610000}"/>
    <cellStyle name="40 % - Markeringsfarve6 4 9 3" xfId="15435" xr:uid="{00000000-0005-0000-0000-000027610000}"/>
    <cellStyle name="40 % - Markeringsfarve6 4 9 3 2" xfId="33601" xr:uid="{00000000-0005-0000-0000-000028610000}"/>
    <cellStyle name="40 % - Markeringsfarve6 4 9 4" xfId="26599" xr:uid="{00000000-0005-0000-0000-000029610000}"/>
    <cellStyle name="40 % - Markeringsfarve6 5" xfId="1952" xr:uid="{00000000-0005-0000-0000-00002A610000}"/>
    <cellStyle name="40 % - Markeringsfarve6 5 10" xfId="8302" xr:uid="{00000000-0005-0000-0000-00002B610000}"/>
    <cellStyle name="40 % - Markeringsfarve6 5 10 2" xfId="16220" xr:uid="{00000000-0005-0000-0000-00002C610000}"/>
    <cellStyle name="40 % - Markeringsfarve6 5 10 2 2" xfId="34380" xr:uid="{00000000-0005-0000-0000-00002D610000}"/>
    <cellStyle name="40 % - Markeringsfarve6 5 10 3" xfId="27379" xr:uid="{00000000-0005-0000-0000-00002E610000}"/>
    <cellStyle name="40 % - Markeringsfarve6 5 11" xfId="15436" xr:uid="{00000000-0005-0000-0000-00002F610000}"/>
    <cellStyle name="40 % - Markeringsfarve6 5 11 2" xfId="33602" xr:uid="{00000000-0005-0000-0000-000030610000}"/>
    <cellStyle name="40 % - Markeringsfarve6 5 12" xfId="6882" xr:uid="{00000000-0005-0000-0000-000031610000}"/>
    <cellStyle name="40 % - Markeringsfarve6 5 12 2" xfId="26600" xr:uid="{00000000-0005-0000-0000-000032610000}"/>
    <cellStyle name="40 % - Markeringsfarve6 5 13" xfId="22070" xr:uid="{00000000-0005-0000-0000-000033610000}"/>
    <cellStyle name="40 % - Markeringsfarve6 5 2" xfId="1953" xr:uid="{00000000-0005-0000-0000-000034610000}"/>
    <cellStyle name="40 % - Markeringsfarve6 5 2 2" xfId="6884" xr:uid="{00000000-0005-0000-0000-000035610000}"/>
    <cellStyle name="40 % - Markeringsfarve6 5 2 2 2" xfId="6885" xr:uid="{00000000-0005-0000-0000-000036610000}"/>
    <cellStyle name="40 % - Markeringsfarve6 5 2 2 2 2" xfId="9925" xr:uid="{00000000-0005-0000-0000-000037610000}"/>
    <cellStyle name="40 % - Markeringsfarve6 5 2 2 2 2 2" xfId="17826" xr:uid="{00000000-0005-0000-0000-000038610000}"/>
    <cellStyle name="40 % - Markeringsfarve6 5 2 2 2 2 2 2" xfId="35986" xr:uid="{00000000-0005-0000-0000-000039610000}"/>
    <cellStyle name="40 % - Markeringsfarve6 5 2 2 2 2 3" xfId="28985" xr:uid="{00000000-0005-0000-0000-00003A610000}"/>
    <cellStyle name="40 % - Markeringsfarve6 5 2 2 2 3" xfId="15439" xr:uid="{00000000-0005-0000-0000-00003B610000}"/>
    <cellStyle name="40 % - Markeringsfarve6 5 2 2 2 3 2" xfId="33605" xr:uid="{00000000-0005-0000-0000-00003C610000}"/>
    <cellStyle name="40 % - Markeringsfarve6 5 2 2 2 4" xfId="26603" xr:uid="{00000000-0005-0000-0000-00003D610000}"/>
    <cellStyle name="40 % - Markeringsfarve6 5 2 2 3" xfId="8494" xr:uid="{00000000-0005-0000-0000-00003E610000}"/>
    <cellStyle name="40 % - Markeringsfarve6 5 2 2 3 2" xfId="16411" xr:uid="{00000000-0005-0000-0000-00003F610000}"/>
    <cellStyle name="40 % - Markeringsfarve6 5 2 2 3 2 2" xfId="34571" xr:uid="{00000000-0005-0000-0000-000040610000}"/>
    <cellStyle name="40 % - Markeringsfarve6 5 2 2 3 3" xfId="27570" xr:uid="{00000000-0005-0000-0000-000041610000}"/>
    <cellStyle name="40 % - Markeringsfarve6 5 2 2 4" xfId="15438" xr:uid="{00000000-0005-0000-0000-000042610000}"/>
    <cellStyle name="40 % - Markeringsfarve6 5 2 2 4 2" xfId="33604" xr:uid="{00000000-0005-0000-0000-000043610000}"/>
    <cellStyle name="40 % - Markeringsfarve6 5 2 2 5" xfId="26602" xr:uid="{00000000-0005-0000-0000-000044610000}"/>
    <cellStyle name="40 % - Markeringsfarve6 5 2 3" xfId="6886" xr:uid="{00000000-0005-0000-0000-000045610000}"/>
    <cellStyle name="40 % - Markeringsfarve6 5 2 3 2" xfId="9155" xr:uid="{00000000-0005-0000-0000-000046610000}"/>
    <cellStyle name="40 % - Markeringsfarve6 5 2 3 2 2" xfId="17066" xr:uid="{00000000-0005-0000-0000-000047610000}"/>
    <cellStyle name="40 % - Markeringsfarve6 5 2 3 2 2 2" xfId="35226" xr:uid="{00000000-0005-0000-0000-000048610000}"/>
    <cellStyle name="40 % - Markeringsfarve6 5 2 3 2 3" xfId="28225" xr:uid="{00000000-0005-0000-0000-000049610000}"/>
    <cellStyle name="40 % - Markeringsfarve6 5 2 3 3" xfId="15440" xr:uid="{00000000-0005-0000-0000-00004A610000}"/>
    <cellStyle name="40 % - Markeringsfarve6 5 2 3 3 2" xfId="33606" xr:uid="{00000000-0005-0000-0000-00004B610000}"/>
    <cellStyle name="40 % - Markeringsfarve6 5 2 3 4" xfId="26604" xr:uid="{00000000-0005-0000-0000-00004C610000}"/>
    <cellStyle name="40 % - Markeringsfarve6 5 2 4" xfId="6887" xr:uid="{00000000-0005-0000-0000-00004D610000}"/>
    <cellStyle name="40 % - Markeringsfarve6 5 2 4 2" xfId="10635" xr:uid="{00000000-0005-0000-0000-00004E610000}"/>
    <cellStyle name="40 % - Markeringsfarve6 5 2 4 2 2" xfId="18528" xr:uid="{00000000-0005-0000-0000-00004F610000}"/>
    <cellStyle name="40 % - Markeringsfarve6 5 2 4 2 2 2" xfId="36688" xr:uid="{00000000-0005-0000-0000-000050610000}"/>
    <cellStyle name="40 % - Markeringsfarve6 5 2 4 2 3" xfId="29687" xr:uid="{00000000-0005-0000-0000-000051610000}"/>
    <cellStyle name="40 % - Markeringsfarve6 5 2 4 3" xfId="15441" xr:uid="{00000000-0005-0000-0000-000052610000}"/>
    <cellStyle name="40 % - Markeringsfarve6 5 2 4 3 2" xfId="33607" xr:uid="{00000000-0005-0000-0000-000053610000}"/>
    <cellStyle name="40 % - Markeringsfarve6 5 2 4 4" xfId="26605" xr:uid="{00000000-0005-0000-0000-000054610000}"/>
    <cellStyle name="40 % - Markeringsfarve6 5 2 5" xfId="8303" xr:uid="{00000000-0005-0000-0000-000055610000}"/>
    <cellStyle name="40 % - Markeringsfarve6 5 2 5 2" xfId="16221" xr:uid="{00000000-0005-0000-0000-000056610000}"/>
    <cellStyle name="40 % - Markeringsfarve6 5 2 5 2 2" xfId="34381" xr:uid="{00000000-0005-0000-0000-000057610000}"/>
    <cellStyle name="40 % - Markeringsfarve6 5 2 5 3" xfId="27380" xr:uid="{00000000-0005-0000-0000-000058610000}"/>
    <cellStyle name="40 % - Markeringsfarve6 5 2 6" xfId="15437" xr:uid="{00000000-0005-0000-0000-000059610000}"/>
    <cellStyle name="40 % - Markeringsfarve6 5 2 6 2" xfId="33603" xr:uid="{00000000-0005-0000-0000-00005A610000}"/>
    <cellStyle name="40 % - Markeringsfarve6 5 2 7" xfId="6883" xr:uid="{00000000-0005-0000-0000-00005B610000}"/>
    <cellStyle name="40 % - Markeringsfarve6 5 2 7 2" xfId="26601" xr:uid="{00000000-0005-0000-0000-00005C610000}"/>
    <cellStyle name="40 % - Markeringsfarve6 5 2 8" xfId="22071" xr:uid="{00000000-0005-0000-0000-00005D610000}"/>
    <cellStyle name="40 % - Markeringsfarve6 5 3" xfId="6888" xr:uid="{00000000-0005-0000-0000-00005E610000}"/>
    <cellStyle name="40 % - Markeringsfarve6 5 3 2" xfId="6889" xr:uid="{00000000-0005-0000-0000-00005F610000}"/>
    <cellStyle name="40 % - Markeringsfarve6 5 3 2 2" xfId="6890" xr:uid="{00000000-0005-0000-0000-000060610000}"/>
    <cellStyle name="40 % - Markeringsfarve6 5 3 2 2 2" xfId="10061" xr:uid="{00000000-0005-0000-0000-000061610000}"/>
    <cellStyle name="40 % - Markeringsfarve6 5 3 2 2 2 2" xfId="17962" xr:uid="{00000000-0005-0000-0000-000062610000}"/>
    <cellStyle name="40 % - Markeringsfarve6 5 3 2 2 2 2 2" xfId="36122" xr:uid="{00000000-0005-0000-0000-000063610000}"/>
    <cellStyle name="40 % - Markeringsfarve6 5 3 2 2 2 3" xfId="29121" xr:uid="{00000000-0005-0000-0000-000064610000}"/>
    <cellStyle name="40 % - Markeringsfarve6 5 3 2 2 3" xfId="15444" xr:uid="{00000000-0005-0000-0000-000065610000}"/>
    <cellStyle name="40 % - Markeringsfarve6 5 3 2 2 3 2" xfId="33610" xr:uid="{00000000-0005-0000-0000-000066610000}"/>
    <cellStyle name="40 % - Markeringsfarve6 5 3 2 2 4" xfId="26608" xr:uid="{00000000-0005-0000-0000-000067610000}"/>
    <cellStyle name="40 % - Markeringsfarve6 5 3 2 3" xfId="8607" xr:uid="{00000000-0005-0000-0000-000068610000}"/>
    <cellStyle name="40 % - Markeringsfarve6 5 3 2 3 2" xfId="16524" xr:uid="{00000000-0005-0000-0000-000069610000}"/>
    <cellStyle name="40 % - Markeringsfarve6 5 3 2 3 2 2" xfId="34684" xr:uid="{00000000-0005-0000-0000-00006A610000}"/>
    <cellStyle name="40 % - Markeringsfarve6 5 3 2 3 3" xfId="27683" xr:uid="{00000000-0005-0000-0000-00006B610000}"/>
    <cellStyle name="40 % - Markeringsfarve6 5 3 2 4" xfId="15443" xr:uid="{00000000-0005-0000-0000-00006C610000}"/>
    <cellStyle name="40 % - Markeringsfarve6 5 3 2 4 2" xfId="33609" xr:uid="{00000000-0005-0000-0000-00006D610000}"/>
    <cellStyle name="40 % - Markeringsfarve6 5 3 2 5" xfId="26607" xr:uid="{00000000-0005-0000-0000-00006E610000}"/>
    <cellStyle name="40 % - Markeringsfarve6 5 3 3" xfId="6891" xr:uid="{00000000-0005-0000-0000-00006F610000}"/>
    <cellStyle name="40 % - Markeringsfarve6 5 3 3 2" xfId="9291" xr:uid="{00000000-0005-0000-0000-000070610000}"/>
    <cellStyle name="40 % - Markeringsfarve6 5 3 3 2 2" xfId="17202" xr:uid="{00000000-0005-0000-0000-000071610000}"/>
    <cellStyle name="40 % - Markeringsfarve6 5 3 3 2 2 2" xfId="35362" xr:uid="{00000000-0005-0000-0000-000072610000}"/>
    <cellStyle name="40 % - Markeringsfarve6 5 3 3 2 3" xfId="28361" xr:uid="{00000000-0005-0000-0000-000073610000}"/>
    <cellStyle name="40 % - Markeringsfarve6 5 3 3 3" xfId="15445" xr:uid="{00000000-0005-0000-0000-000074610000}"/>
    <cellStyle name="40 % - Markeringsfarve6 5 3 3 3 2" xfId="33611" xr:uid="{00000000-0005-0000-0000-000075610000}"/>
    <cellStyle name="40 % - Markeringsfarve6 5 3 3 4" xfId="26609" xr:uid="{00000000-0005-0000-0000-000076610000}"/>
    <cellStyle name="40 % - Markeringsfarve6 5 3 4" xfId="6892" xr:uid="{00000000-0005-0000-0000-000077610000}"/>
    <cellStyle name="40 % - Markeringsfarve6 5 3 4 2" xfId="10851" xr:uid="{00000000-0005-0000-0000-000078610000}"/>
    <cellStyle name="40 % - Markeringsfarve6 5 3 4 2 2" xfId="18734" xr:uid="{00000000-0005-0000-0000-000079610000}"/>
    <cellStyle name="40 % - Markeringsfarve6 5 3 4 2 2 2" xfId="36894" xr:uid="{00000000-0005-0000-0000-00007A610000}"/>
    <cellStyle name="40 % - Markeringsfarve6 5 3 4 2 3" xfId="29893" xr:uid="{00000000-0005-0000-0000-00007B610000}"/>
    <cellStyle name="40 % - Markeringsfarve6 5 3 4 3" xfId="15446" xr:uid="{00000000-0005-0000-0000-00007C610000}"/>
    <cellStyle name="40 % - Markeringsfarve6 5 3 4 3 2" xfId="33612" xr:uid="{00000000-0005-0000-0000-00007D610000}"/>
    <cellStyle name="40 % - Markeringsfarve6 5 3 4 4" xfId="26610" xr:uid="{00000000-0005-0000-0000-00007E610000}"/>
    <cellStyle name="40 % - Markeringsfarve6 5 3 5" xfId="8304" xr:uid="{00000000-0005-0000-0000-00007F610000}"/>
    <cellStyle name="40 % - Markeringsfarve6 5 3 5 2" xfId="16222" xr:uid="{00000000-0005-0000-0000-000080610000}"/>
    <cellStyle name="40 % - Markeringsfarve6 5 3 5 2 2" xfId="34382" xr:uid="{00000000-0005-0000-0000-000081610000}"/>
    <cellStyle name="40 % - Markeringsfarve6 5 3 5 3" xfId="27381" xr:uid="{00000000-0005-0000-0000-000082610000}"/>
    <cellStyle name="40 % - Markeringsfarve6 5 3 6" xfId="15442" xr:uid="{00000000-0005-0000-0000-000083610000}"/>
    <cellStyle name="40 % - Markeringsfarve6 5 3 6 2" xfId="33608" xr:uid="{00000000-0005-0000-0000-000084610000}"/>
    <cellStyle name="40 % - Markeringsfarve6 5 3 7" xfId="26606" xr:uid="{00000000-0005-0000-0000-000085610000}"/>
    <cellStyle name="40 % - Markeringsfarve6 5 4" xfId="6893" xr:uid="{00000000-0005-0000-0000-000086610000}"/>
    <cellStyle name="40 % - Markeringsfarve6 5 4 2" xfId="6894" xr:uid="{00000000-0005-0000-0000-000087610000}"/>
    <cellStyle name="40 % - Markeringsfarve6 5 4 2 2" xfId="6895" xr:uid="{00000000-0005-0000-0000-000088610000}"/>
    <cellStyle name="40 % - Markeringsfarve6 5 4 2 2 2" xfId="10163" xr:uid="{00000000-0005-0000-0000-000089610000}"/>
    <cellStyle name="40 % - Markeringsfarve6 5 4 2 2 2 2" xfId="18064" xr:uid="{00000000-0005-0000-0000-00008A610000}"/>
    <cellStyle name="40 % - Markeringsfarve6 5 4 2 2 2 2 2" xfId="36224" xr:uid="{00000000-0005-0000-0000-00008B610000}"/>
    <cellStyle name="40 % - Markeringsfarve6 5 4 2 2 2 3" xfId="29223" xr:uid="{00000000-0005-0000-0000-00008C610000}"/>
    <cellStyle name="40 % - Markeringsfarve6 5 4 2 2 3" xfId="15449" xr:uid="{00000000-0005-0000-0000-00008D610000}"/>
    <cellStyle name="40 % - Markeringsfarve6 5 4 2 2 3 2" xfId="33615" xr:uid="{00000000-0005-0000-0000-00008E610000}"/>
    <cellStyle name="40 % - Markeringsfarve6 5 4 2 2 4" xfId="26613" xr:uid="{00000000-0005-0000-0000-00008F610000}"/>
    <cellStyle name="40 % - Markeringsfarve6 5 4 2 3" xfId="8696" xr:uid="{00000000-0005-0000-0000-000090610000}"/>
    <cellStyle name="40 % - Markeringsfarve6 5 4 2 3 2" xfId="16610" xr:uid="{00000000-0005-0000-0000-000091610000}"/>
    <cellStyle name="40 % - Markeringsfarve6 5 4 2 3 2 2" xfId="34770" xr:uid="{00000000-0005-0000-0000-000092610000}"/>
    <cellStyle name="40 % - Markeringsfarve6 5 4 2 3 3" xfId="27769" xr:uid="{00000000-0005-0000-0000-000093610000}"/>
    <cellStyle name="40 % - Markeringsfarve6 5 4 2 4" xfId="15448" xr:uid="{00000000-0005-0000-0000-000094610000}"/>
    <cellStyle name="40 % - Markeringsfarve6 5 4 2 4 2" xfId="33614" xr:uid="{00000000-0005-0000-0000-000095610000}"/>
    <cellStyle name="40 % - Markeringsfarve6 5 4 2 5" xfId="26612" xr:uid="{00000000-0005-0000-0000-000096610000}"/>
    <cellStyle name="40 % - Markeringsfarve6 5 4 3" xfId="6896" xr:uid="{00000000-0005-0000-0000-000097610000}"/>
    <cellStyle name="40 % - Markeringsfarve6 5 4 3 2" xfId="9439" xr:uid="{00000000-0005-0000-0000-000098610000}"/>
    <cellStyle name="40 % - Markeringsfarve6 5 4 3 2 2" xfId="17349" xr:uid="{00000000-0005-0000-0000-000099610000}"/>
    <cellStyle name="40 % - Markeringsfarve6 5 4 3 2 2 2" xfId="35509" xr:uid="{00000000-0005-0000-0000-00009A610000}"/>
    <cellStyle name="40 % - Markeringsfarve6 5 4 3 2 3" xfId="28508" xr:uid="{00000000-0005-0000-0000-00009B610000}"/>
    <cellStyle name="40 % - Markeringsfarve6 5 4 3 3" xfId="15450" xr:uid="{00000000-0005-0000-0000-00009C610000}"/>
    <cellStyle name="40 % - Markeringsfarve6 5 4 3 3 2" xfId="33616" xr:uid="{00000000-0005-0000-0000-00009D610000}"/>
    <cellStyle name="40 % - Markeringsfarve6 5 4 3 4" xfId="26614" xr:uid="{00000000-0005-0000-0000-00009E610000}"/>
    <cellStyle name="40 % - Markeringsfarve6 5 4 4" xfId="6897" xr:uid="{00000000-0005-0000-0000-00009F610000}"/>
    <cellStyle name="40 % - Markeringsfarve6 5 4 4 2" xfId="10501" xr:uid="{00000000-0005-0000-0000-0000A0610000}"/>
    <cellStyle name="40 % - Markeringsfarve6 5 4 4 2 2" xfId="18395" xr:uid="{00000000-0005-0000-0000-0000A1610000}"/>
    <cellStyle name="40 % - Markeringsfarve6 5 4 4 2 2 2" xfId="36555" xr:uid="{00000000-0005-0000-0000-0000A2610000}"/>
    <cellStyle name="40 % - Markeringsfarve6 5 4 4 2 3" xfId="29554" xr:uid="{00000000-0005-0000-0000-0000A3610000}"/>
    <cellStyle name="40 % - Markeringsfarve6 5 4 4 3" xfId="15451" xr:uid="{00000000-0005-0000-0000-0000A4610000}"/>
    <cellStyle name="40 % - Markeringsfarve6 5 4 4 3 2" xfId="33617" xr:uid="{00000000-0005-0000-0000-0000A5610000}"/>
    <cellStyle name="40 % - Markeringsfarve6 5 4 4 4" xfId="26615" xr:uid="{00000000-0005-0000-0000-0000A6610000}"/>
    <cellStyle name="40 % - Markeringsfarve6 5 4 5" xfId="8305" xr:uid="{00000000-0005-0000-0000-0000A7610000}"/>
    <cellStyle name="40 % - Markeringsfarve6 5 4 5 2" xfId="16223" xr:uid="{00000000-0005-0000-0000-0000A8610000}"/>
    <cellStyle name="40 % - Markeringsfarve6 5 4 5 2 2" xfId="34383" xr:uid="{00000000-0005-0000-0000-0000A9610000}"/>
    <cellStyle name="40 % - Markeringsfarve6 5 4 5 3" xfId="27382" xr:uid="{00000000-0005-0000-0000-0000AA610000}"/>
    <cellStyle name="40 % - Markeringsfarve6 5 4 6" xfId="15447" xr:uid="{00000000-0005-0000-0000-0000AB610000}"/>
    <cellStyle name="40 % - Markeringsfarve6 5 4 6 2" xfId="33613" xr:uid="{00000000-0005-0000-0000-0000AC610000}"/>
    <cellStyle name="40 % - Markeringsfarve6 5 4 7" xfId="26611" xr:uid="{00000000-0005-0000-0000-0000AD610000}"/>
    <cellStyle name="40 % - Markeringsfarve6 5 5" xfId="6898" xr:uid="{00000000-0005-0000-0000-0000AE610000}"/>
    <cellStyle name="40 % - Markeringsfarve6 5 5 2" xfId="6899" xr:uid="{00000000-0005-0000-0000-0000AF610000}"/>
    <cellStyle name="40 % - Markeringsfarve6 5 5 2 2" xfId="6900" xr:uid="{00000000-0005-0000-0000-0000B0610000}"/>
    <cellStyle name="40 % - Markeringsfarve6 5 5 2 2 2" xfId="10280" xr:uid="{00000000-0005-0000-0000-0000B1610000}"/>
    <cellStyle name="40 % - Markeringsfarve6 5 5 2 2 2 2" xfId="18181" xr:uid="{00000000-0005-0000-0000-0000B2610000}"/>
    <cellStyle name="40 % - Markeringsfarve6 5 5 2 2 2 2 2" xfId="36341" xr:uid="{00000000-0005-0000-0000-0000B3610000}"/>
    <cellStyle name="40 % - Markeringsfarve6 5 5 2 2 2 3" xfId="29340" xr:uid="{00000000-0005-0000-0000-0000B4610000}"/>
    <cellStyle name="40 % - Markeringsfarve6 5 5 2 2 3" xfId="15454" xr:uid="{00000000-0005-0000-0000-0000B5610000}"/>
    <cellStyle name="40 % - Markeringsfarve6 5 5 2 2 3 2" xfId="33620" xr:uid="{00000000-0005-0000-0000-0000B6610000}"/>
    <cellStyle name="40 % - Markeringsfarve6 5 5 2 2 4" xfId="26618" xr:uid="{00000000-0005-0000-0000-0000B7610000}"/>
    <cellStyle name="40 % - Markeringsfarve6 5 5 2 3" xfId="8795" xr:uid="{00000000-0005-0000-0000-0000B8610000}"/>
    <cellStyle name="40 % - Markeringsfarve6 5 5 2 3 2" xfId="16709" xr:uid="{00000000-0005-0000-0000-0000B9610000}"/>
    <cellStyle name="40 % - Markeringsfarve6 5 5 2 3 2 2" xfId="34869" xr:uid="{00000000-0005-0000-0000-0000BA610000}"/>
    <cellStyle name="40 % - Markeringsfarve6 5 5 2 3 3" xfId="27868" xr:uid="{00000000-0005-0000-0000-0000BB610000}"/>
    <cellStyle name="40 % - Markeringsfarve6 5 5 2 4" xfId="15453" xr:uid="{00000000-0005-0000-0000-0000BC610000}"/>
    <cellStyle name="40 % - Markeringsfarve6 5 5 2 4 2" xfId="33619" xr:uid="{00000000-0005-0000-0000-0000BD610000}"/>
    <cellStyle name="40 % - Markeringsfarve6 5 5 2 5" xfId="26617" xr:uid="{00000000-0005-0000-0000-0000BE610000}"/>
    <cellStyle name="40 % - Markeringsfarve6 5 5 3" xfId="6901" xr:uid="{00000000-0005-0000-0000-0000BF610000}"/>
    <cellStyle name="40 % - Markeringsfarve6 5 5 3 2" xfId="9556" xr:uid="{00000000-0005-0000-0000-0000C0610000}"/>
    <cellStyle name="40 % - Markeringsfarve6 5 5 3 2 2" xfId="17466" xr:uid="{00000000-0005-0000-0000-0000C1610000}"/>
    <cellStyle name="40 % - Markeringsfarve6 5 5 3 2 2 2" xfId="35626" xr:uid="{00000000-0005-0000-0000-0000C2610000}"/>
    <cellStyle name="40 % - Markeringsfarve6 5 5 3 2 3" xfId="28625" xr:uid="{00000000-0005-0000-0000-0000C3610000}"/>
    <cellStyle name="40 % - Markeringsfarve6 5 5 3 3" xfId="15455" xr:uid="{00000000-0005-0000-0000-0000C4610000}"/>
    <cellStyle name="40 % - Markeringsfarve6 5 5 3 3 2" xfId="33621" xr:uid="{00000000-0005-0000-0000-0000C5610000}"/>
    <cellStyle name="40 % - Markeringsfarve6 5 5 3 4" xfId="26619" xr:uid="{00000000-0005-0000-0000-0000C6610000}"/>
    <cellStyle name="40 % - Markeringsfarve6 5 5 4" xfId="6902" xr:uid="{00000000-0005-0000-0000-0000C7610000}"/>
    <cellStyle name="40 % - Markeringsfarve6 5 5 4 2" xfId="10819" xr:uid="{00000000-0005-0000-0000-0000C8610000}"/>
    <cellStyle name="40 % - Markeringsfarve6 5 5 4 2 2" xfId="18706" xr:uid="{00000000-0005-0000-0000-0000C9610000}"/>
    <cellStyle name="40 % - Markeringsfarve6 5 5 4 2 2 2" xfId="36866" xr:uid="{00000000-0005-0000-0000-0000CA610000}"/>
    <cellStyle name="40 % - Markeringsfarve6 5 5 4 2 3" xfId="29865" xr:uid="{00000000-0005-0000-0000-0000CB610000}"/>
    <cellStyle name="40 % - Markeringsfarve6 5 5 4 3" xfId="15456" xr:uid="{00000000-0005-0000-0000-0000CC610000}"/>
    <cellStyle name="40 % - Markeringsfarve6 5 5 4 3 2" xfId="33622" xr:uid="{00000000-0005-0000-0000-0000CD610000}"/>
    <cellStyle name="40 % - Markeringsfarve6 5 5 4 4" xfId="26620" xr:uid="{00000000-0005-0000-0000-0000CE610000}"/>
    <cellStyle name="40 % - Markeringsfarve6 5 5 5" xfId="8306" xr:uid="{00000000-0005-0000-0000-0000CF610000}"/>
    <cellStyle name="40 % - Markeringsfarve6 5 5 5 2" xfId="16224" xr:uid="{00000000-0005-0000-0000-0000D0610000}"/>
    <cellStyle name="40 % - Markeringsfarve6 5 5 5 2 2" xfId="34384" xr:uid="{00000000-0005-0000-0000-0000D1610000}"/>
    <cellStyle name="40 % - Markeringsfarve6 5 5 5 3" xfId="27383" xr:uid="{00000000-0005-0000-0000-0000D2610000}"/>
    <cellStyle name="40 % - Markeringsfarve6 5 5 6" xfId="15452" xr:uid="{00000000-0005-0000-0000-0000D3610000}"/>
    <cellStyle name="40 % - Markeringsfarve6 5 5 6 2" xfId="33618" xr:uid="{00000000-0005-0000-0000-0000D4610000}"/>
    <cellStyle name="40 % - Markeringsfarve6 5 5 7" xfId="26616" xr:uid="{00000000-0005-0000-0000-0000D5610000}"/>
    <cellStyle name="40 % - Markeringsfarve6 5 6" xfId="6903" xr:uid="{00000000-0005-0000-0000-0000D6610000}"/>
    <cellStyle name="40 % - Markeringsfarve6 5 6 2" xfId="6904" xr:uid="{00000000-0005-0000-0000-0000D7610000}"/>
    <cellStyle name="40 % - Markeringsfarve6 5 6 2 2" xfId="6905" xr:uid="{00000000-0005-0000-0000-0000D8610000}"/>
    <cellStyle name="40 % - Markeringsfarve6 5 6 2 2 2" xfId="10415" xr:uid="{00000000-0005-0000-0000-0000D9610000}"/>
    <cellStyle name="40 % - Markeringsfarve6 5 6 2 2 2 2" xfId="18316" xr:uid="{00000000-0005-0000-0000-0000DA610000}"/>
    <cellStyle name="40 % - Markeringsfarve6 5 6 2 2 2 2 2" xfId="36476" xr:uid="{00000000-0005-0000-0000-0000DB610000}"/>
    <cellStyle name="40 % - Markeringsfarve6 5 6 2 2 2 3" xfId="29475" xr:uid="{00000000-0005-0000-0000-0000DC610000}"/>
    <cellStyle name="40 % - Markeringsfarve6 5 6 2 2 3" xfId="15459" xr:uid="{00000000-0005-0000-0000-0000DD610000}"/>
    <cellStyle name="40 % - Markeringsfarve6 5 6 2 2 3 2" xfId="33625" xr:uid="{00000000-0005-0000-0000-0000DE610000}"/>
    <cellStyle name="40 % - Markeringsfarve6 5 6 2 2 4" xfId="26623" xr:uid="{00000000-0005-0000-0000-0000DF610000}"/>
    <cellStyle name="40 % - Markeringsfarve6 5 6 2 3" xfId="8908" xr:uid="{00000000-0005-0000-0000-0000E0610000}"/>
    <cellStyle name="40 % - Markeringsfarve6 5 6 2 3 2" xfId="16822" xr:uid="{00000000-0005-0000-0000-0000E1610000}"/>
    <cellStyle name="40 % - Markeringsfarve6 5 6 2 3 2 2" xfId="34982" xr:uid="{00000000-0005-0000-0000-0000E2610000}"/>
    <cellStyle name="40 % - Markeringsfarve6 5 6 2 3 3" xfId="27981" xr:uid="{00000000-0005-0000-0000-0000E3610000}"/>
    <cellStyle name="40 % - Markeringsfarve6 5 6 2 4" xfId="15458" xr:uid="{00000000-0005-0000-0000-0000E4610000}"/>
    <cellStyle name="40 % - Markeringsfarve6 5 6 2 4 2" xfId="33624" xr:uid="{00000000-0005-0000-0000-0000E5610000}"/>
    <cellStyle name="40 % - Markeringsfarve6 5 6 2 5" xfId="26622" xr:uid="{00000000-0005-0000-0000-0000E6610000}"/>
    <cellStyle name="40 % - Markeringsfarve6 5 6 3" xfId="6906" xr:uid="{00000000-0005-0000-0000-0000E7610000}"/>
    <cellStyle name="40 % - Markeringsfarve6 5 6 3 2" xfId="9692" xr:uid="{00000000-0005-0000-0000-0000E8610000}"/>
    <cellStyle name="40 % - Markeringsfarve6 5 6 3 2 2" xfId="17602" xr:uid="{00000000-0005-0000-0000-0000E9610000}"/>
    <cellStyle name="40 % - Markeringsfarve6 5 6 3 2 2 2" xfId="35762" xr:uid="{00000000-0005-0000-0000-0000EA610000}"/>
    <cellStyle name="40 % - Markeringsfarve6 5 6 3 2 3" xfId="28761" xr:uid="{00000000-0005-0000-0000-0000EB610000}"/>
    <cellStyle name="40 % - Markeringsfarve6 5 6 3 3" xfId="15460" xr:uid="{00000000-0005-0000-0000-0000EC610000}"/>
    <cellStyle name="40 % - Markeringsfarve6 5 6 3 3 2" xfId="33626" xr:uid="{00000000-0005-0000-0000-0000ED610000}"/>
    <cellStyle name="40 % - Markeringsfarve6 5 6 3 4" xfId="26624" xr:uid="{00000000-0005-0000-0000-0000EE610000}"/>
    <cellStyle name="40 % - Markeringsfarve6 5 6 4" xfId="6907" xr:uid="{00000000-0005-0000-0000-0000EF610000}"/>
    <cellStyle name="40 % - Markeringsfarve6 5 6 4 2" xfId="10470" xr:uid="{00000000-0005-0000-0000-0000F0610000}"/>
    <cellStyle name="40 % - Markeringsfarve6 5 6 4 2 2" xfId="18367" xr:uid="{00000000-0005-0000-0000-0000F1610000}"/>
    <cellStyle name="40 % - Markeringsfarve6 5 6 4 2 2 2" xfId="36527" xr:uid="{00000000-0005-0000-0000-0000F2610000}"/>
    <cellStyle name="40 % - Markeringsfarve6 5 6 4 2 3" xfId="29526" xr:uid="{00000000-0005-0000-0000-0000F3610000}"/>
    <cellStyle name="40 % - Markeringsfarve6 5 6 4 3" xfId="15461" xr:uid="{00000000-0005-0000-0000-0000F4610000}"/>
    <cellStyle name="40 % - Markeringsfarve6 5 6 4 3 2" xfId="33627" xr:uid="{00000000-0005-0000-0000-0000F5610000}"/>
    <cellStyle name="40 % - Markeringsfarve6 5 6 4 4" xfId="26625" xr:uid="{00000000-0005-0000-0000-0000F6610000}"/>
    <cellStyle name="40 % - Markeringsfarve6 5 6 5" xfId="8307" xr:uid="{00000000-0005-0000-0000-0000F7610000}"/>
    <cellStyle name="40 % - Markeringsfarve6 5 6 5 2" xfId="16225" xr:uid="{00000000-0005-0000-0000-0000F8610000}"/>
    <cellStyle name="40 % - Markeringsfarve6 5 6 5 2 2" xfId="34385" xr:uid="{00000000-0005-0000-0000-0000F9610000}"/>
    <cellStyle name="40 % - Markeringsfarve6 5 6 5 3" xfId="27384" xr:uid="{00000000-0005-0000-0000-0000FA610000}"/>
    <cellStyle name="40 % - Markeringsfarve6 5 6 6" xfId="15457" xr:uid="{00000000-0005-0000-0000-0000FB610000}"/>
    <cellStyle name="40 % - Markeringsfarve6 5 6 6 2" xfId="33623" xr:uid="{00000000-0005-0000-0000-0000FC610000}"/>
    <cellStyle name="40 % - Markeringsfarve6 5 6 7" xfId="26621" xr:uid="{00000000-0005-0000-0000-0000FD610000}"/>
    <cellStyle name="40 % - Markeringsfarve6 5 7" xfId="6908" xr:uid="{00000000-0005-0000-0000-0000FE610000}"/>
    <cellStyle name="40 % - Markeringsfarve6 5 7 2" xfId="6909" xr:uid="{00000000-0005-0000-0000-0000FF610000}"/>
    <cellStyle name="40 % - Markeringsfarve6 5 7 2 2" xfId="9806" xr:uid="{00000000-0005-0000-0000-000000620000}"/>
    <cellStyle name="40 % - Markeringsfarve6 5 7 2 2 2" xfId="17707" xr:uid="{00000000-0005-0000-0000-000001620000}"/>
    <cellStyle name="40 % - Markeringsfarve6 5 7 2 2 2 2" xfId="35867" xr:uid="{00000000-0005-0000-0000-000002620000}"/>
    <cellStyle name="40 % - Markeringsfarve6 5 7 2 2 3" xfId="28866" xr:uid="{00000000-0005-0000-0000-000003620000}"/>
    <cellStyle name="40 % - Markeringsfarve6 5 7 2 3" xfId="15463" xr:uid="{00000000-0005-0000-0000-000004620000}"/>
    <cellStyle name="40 % - Markeringsfarve6 5 7 2 3 2" xfId="33629" xr:uid="{00000000-0005-0000-0000-000005620000}"/>
    <cellStyle name="40 % - Markeringsfarve6 5 7 2 4" xfId="26627" xr:uid="{00000000-0005-0000-0000-000006620000}"/>
    <cellStyle name="40 % - Markeringsfarve6 5 7 3" xfId="8395" xr:uid="{00000000-0005-0000-0000-000007620000}"/>
    <cellStyle name="40 % - Markeringsfarve6 5 7 3 2" xfId="16312" xr:uid="{00000000-0005-0000-0000-000008620000}"/>
    <cellStyle name="40 % - Markeringsfarve6 5 7 3 2 2" xfId="34472" xr:uid="{00000000-0005-0000-0000-000009620000}"/>
    <cellStyle name="40 % - Markeringsfarve6 5 7 3 3" xfId="27471" xr:uid="{00000000-0005-0000-0000-00000A620000}"/>
    <cellStyle name="40 % - Markeringsfarve6 5 7 4" xfId="15462" xr:uid="{00000000-0005-0000-0000-00000B620000}"/>
    <cellStyle name="40 % - Markeringsfarve6 5 7 4 2" xfId="33628" xr:uid="{00000000-0005-0000-0000-00000C620000}"/>
    <cellStyle name="40 % - Markeringsfarve6 5 7 5" xfId="26626" xr:uid="{00000000-0005-0000-0000-00000D620000}"/>
    <cellStyle name="40 % - Markeringsfarve6 5 8" xfId="6910" xr:uid="{00000000-0005-0000-0000-00000E620000}"/>
    <cellStyle name="40 % - Markeringsfarve6 5 8 2" xfId="9034" xr:uid="{00000000-0005-0000-0000-00000F620000}"/>
    <cellStyle name="40 % - Markeringsfarve6 5 8 2 2" xfId="16945" xr:uid="{00000000-0005-0000-0000-000010620000}"/>
    <cellStyle name="40 % - Markeringsfarve6 5 8 2 2 2" xfId="35105" xr:uid="{00000000-0005-0000-0000-000011620000}"/>
    <cellStyle name="40 % - Markeringsfarve6 5 8 2 3" xfId="28104" xr:uid="{00000000-0005-0000-0000-000012620000}"/>
    <cellStyle name="40 % - Markeringsfarve6 5 8 3" xfId="15464" xr:uid="{00000000-0005-0000-0000-000013620000}"/>
    <cellStyle name="40 % - Markeringsfarve6 5 8 3 2" xfId="33630" xr:uid="{00000000-0005-0000-0000-000014620000}"/>
    <cellStyle name="40 % - Markeringsfarve6 5 8 4" xfId="26628" xr:uid="{00000000-0005-0000-0000-000015620000}"/>
    <cellStyle name="40 % - Markeringsfarve6 5 9" xfId="6911" xr:uid="{00000000-0005-0000-0000-000016620000}"/>
    <cellStyle name="40 % - Markeringsfarve6 5 9 2" xfId="10911" xr:uid="{00000000-0005-0000-0000-000017620000}"/>
    <cellStyle name="40 % - Markeringsfarve6 5 9 2 2" xfId="18792" xr:uid="{00000000-0005-0000-0000-000018620000}"/>
    <cellStyle name="40 % - Markeringsfarve6 5 9 2 2 2" xfId="36952" xr:uid="{00000000-0005-0000-0000-000019620000}"/>
    <cellStyle name="40 % - Markeringsfarve6 5 9 2 3" xfId="29951" xr:uid="{00000000-0005-0000-0000-00001A620000}"/>
    <cellStyle name="40 % - Markeringsfarve6 5 9 3" xfId="15465" xr:uid="{00000000-0005-0000-0000-00001B620000}"/>
    <cellStyle name="40 % - Markeringsfarve6 5 9 3 2" xfId="33631" xr:uid="{00000000-0005-0000-0000-00001C620000}"/>
    <cellStyle name="40 % - Markeringsfarve6 5 9 4" xfId="26629" xr:uid="{00000000-0005-0000-0000-00001D620000}"/>
    <cellStyle name="40 % - Markeringsfarve6 6" xfId="1954" xr:uid="{00000000-0005-0000-0000-00001E620000}"/>
    <cellStyle name="40 % - Markeringsfarve6 6 2" xfId="1955" xr:uid="{00000000-0005-0000-0000-00001F620000}"/>
    <cellStyle name="40 % - Markeringsfarve6 6 2 2" xfId="6914" xr:uid="{00000000-0005-0000-0000-000020620000}"/>
    <cellStyle name="40 % - Markeringsfarve6 6 2 2 2" xfId="9847" xr:uid="{00000000-0005-0000-0000-000021620000}"/>
    <cellStyle name="40 % - Markeringsfarve6 6 2 2 2 2" xfId="17748" xr:uid="{00000000-0005-0000-0000-000022620000}"/>
    <cellStyle name="40 % - Markeringsfarve6 6 2 2 2 2 2" xfId="35908" xr:uid="{00000000-0005-0000-0000-000023620000}"/>
    <cellStyle name="40 % - Markeringsfarve6 6 2 2 2 3" xfId="28907" xr:uid="{00000000-0005-0000-0000-000024620000}"/>
    <cellStyle name="40 % - Markeringsfarve6 6 2 2 3" xfId="15468" xr:uid="{00000000-0005-0000-0000-000025620000}"/>
    <cellStyle name="40 % - Markeringsfarve6 6 2 2 3 2" xfId="33634" xr:uid="{00000000-0005-0000-0000-000026620000}"/>
    <cellStyle name="40 % - Markeringsfarve6 6 2 2 4" xfId="26632" xr:uid="{00000000-0005-0000-0000-000027620000}"/>
    <cellStyle name="40 % - Markeringsfarve6 6 2 3" xfId="8428" xr:uid="{00000000-0005-0000-0000-000028620000}"/>
    <cellStyle name="40 % - Markeringsfarve6 6 2 3 2" xfId="16345" xr:uid="{00000000-0005-0000-0000-000029620000}"/>
    <cellStyle name="40 % - Markeringsfarve6 6 2 3 2 2" xfId="34505" xr:uid="{00000000-0005-0000-0000-00002A620000}"/>
    <cellStyle name="40 % - Markeringsfarve6 6 2 3 3" xfId="27504" xr:uid="{00000000-0005-0000-0000-00002B620000}"/>
    <cellStyle name="40 % - Markeringsfarve6 6 2 4" xfId="15467" xr:uid="{00000000-0005-0000-0000-00002C620000}"/>
    <cellStyle name="40 % - Markeringsfarve6 6 2 4 2" xfId="33633" xr:uid="{00000000-0005-0000-0000-00002D620000}"/>
    <cellStyle name="40 % - Markeringsfarve6 6 2 5" xfId="6913" xr:uid="{00000000-0005-0000-0000-00002E620000}"/>
    <cellStyle name="40 % - Markeringsfarve6 6 2 5 2" xfId="26631" xr:uid="{00000000-0005-0000-0000-00002F620000}"/>
    <cellStyle name="40 % - Markeringsfarve6 6 2 6" xfId="22073" xr:uid="{00000000-0005-0000-0000-000030620000}"/>
    <cellStyle name="40 % - Markeringsfarve6 6 3" xfId="6915" xr:uid="{00000000-0005-0000-0000-000031620000}"/>
    <cellStyle name="40 % - Markeringsfarve6 6 3 2" xfId="9077" xr:uid="{00000000-0005-0000-0000-000032620000}"/>
    <cellStyle name="40 % - Markeringsfarve6 6 3 2 2" xfId="16988" xr:uid="{00000000-0005-0000-0000-000033620000}"/>
    <cellStyle name="40 % - Markeringsfarve6 6 3 2 2 2" xfId="35148" xr:uid="{00000000-0005-0000-0000-000034620000}"/>
    <cellStyle name="40 % - Markeringsfarve6 6 3 2 3" xfId="28147" xr:uid="{00000000-0005-0000-0000-000035620000}"/>
    <cellStyle name="40 % - Markeringsfarve6 6 3 3" xfId="15469" xr:uid="{00000000-0005-0000-0000-000036620000}"/>
    <cellStyle name="40 % - Markeringsfarve6 6 3 3 2" xfId="33635" xr:uid="{00000000-0005-0000-0000-000037620000}"/>
    <cellStyle name="40 % - Markeringsfarve6 6 3 4" xfId="26633" xr:uid="{00000000-0005-0000-0000-000038620000}"/>
    <cellStyle name="40 % - Markeringsfarve6 6 4" xfId="6916" xr:uid="{00000000-0005-0000-0000-000039620000}"/>
    <cellStyle name="40 % - Markeringsfarve6 6 4 2" xfId="9303" xr:uid="{00000000-0005-0000-0000-00003A620000}"/>
    <cellStyle name="40 % - Markeringsfarve6 6 4 2 2" xfId="17214" xr:uid="{00000000-0005-0000-0000-00003B620000}"/>
    <cellStyle name="40 % - Markeringsfarve6 6 4 2 2 2" xfId="35374" xr:uid="{00000000-0005-0000-0000-00003C620000}"/>
    <cellStyle name="40 % - Markeringsfarve6 6 4 2 3" xfId="28373" xr:uid="{00000000-0005-0000-0000-00003D620000}"/>
    <cellStyle name="40 % - Markeringsfarve6 6 4 3" xfId="15470" xr:uid="{00000000-0005-0000-0000-00003E620000}"/>
    <cellStyle name="40 % - Markeringsfarve6 6 4 3 2" xfId="33636" xr:uid="{00000000-0005-0000-0000-00003F620000}"/>
    <cellStyle name="40 % - Markeringsfarve6 6 4 4" xfId="26634" xr:uid="{00000000-0005-0000-0000-000040620000}"/>
    <cellStyle name="40 % - Markeringsfarve6 6 5" xfId="8308" xr:uid="{00000000-0005-0000-0000-000041620000}"/>
    <cellStyle name="40 % - Markeringsfarve6 6 5 2" xfId="16226" xr:uid="{00000000-0005-0000-0000-000042620000}"/>
    <cellStyle name="40 % - Markeringsfarve6 6 5 2 2" xfId="34386" xr:uid="{00000000-0005-0000-0000-000043620000}"/>
    <cellStyle name="40 % - Markeringsfarve6 6 5 3" xfId="27385" xr:uid="{00000000-0005-0000-0000-000044620000}"/>
    <cellStyle name="40 % - Markeringsfarve6 6 6" xfId="15466" xr:uid="{00000000-0005-0000-0000-000045620000}"/>
    <cellStyle name="40 % - Markeringsfarve6 6 6 2" xfId="33632" xr:uid="{00000000-0005-0000-0000-000046620000}"/>
    <cellStyle name="40 % - Markeringsfarve6 6 7" xfId="6912" xr:uid="{00000000-0005-0000-0000-000047620000}"/>
    <cellStyle name="40 % - Markeringsfarve6 6 7 2" xfId="26630" xr:uid="{00000000-0005-0000-0000-000048620000}"/>
    <cellStyle name="40 % - Markeringsfarve6 6 8" xfId="22072" xr:uid="{00000000-0005-0000-0000-000049620000}"/>
    <cellStyle name="40 % - Markeringsfarve6 7" xfId="1956" xr:uid="{00000000-0005-0000-0000-00004A620000}"/>
    <cellStyle name="40 % - Markeringsfarve6 7 2" xfId="6918" xr:uid="{00000000-0005-0000-0000-00004B620000}"/>
    <cellStyle name="40 % - Markeringsfarve6 7 2 2" xfId="6919" xr:uid="{00000000-0005-0000-0000-00004C620000}"/>
    <cellStyle name="40 % - Markeringsfarve6 7 2 2 2" xfId="10053" xr:uid="{00000000-0005-0000-0000-00004D620000}"/>
    <cellStyle name="40 % - Markeringsfarve6 7 2 2 2 2" xfId="17954" xr:uid="{00000000-0005-0000-0000-00004E620000}"/>
    <cellStyle name="40 % - Markeringsfarve6 7 2 2 2 2 2" xfId="36114" xr:uid="{00000000-0005-0000-0000-00004F620000}"/>
    <cellStyle name="40 % - Markeringsfarve6 7 2 2 2 3" xfId="29113" xr:uid="{00000000-0005-0000-0000-000050620000}"/>
    <cellStyle name="40 % - Markeringsfarve6 7 2 2 3" xfId="15473" xr:uid="{00000000-0005-0000-0000-000051620000}"/>
    <cellStyle name="40 % - Markeringsfarve6 7 2 2 3 2" xfId="33639" xr:uid="{00000000-0005-0000-0000-000052620000}"/>
    <cellStyle name="40 % - Markeringsfarve6 7 2 2 4" xfId="26637" xr:uid="{00000000-0005-0000-0000-000053620000}"/>
    <cellStyle name="40 % - Markeringsfarve6 7 2 3" xfId="8599" xr:uid="{00000000-0005-0000-0000-000054620000}"/>
    <cellStyle name="40 % - Markeringsfarve6 7 2 3 2" xfId="16516" xr:uid="{00000000-0005-0000-0000-000055620000}"/>
    <cellStyle name="40 % - Markeringsfarve6 7 2 3 2 2" xfId="34676" xr:uid="{00000000-0005-0000-0000-000056620000}"/>
    <cellStyle name="40 % - Markeringsfarve6 7 2 3 3" xfId="27675" xr:uid="{00000000-0005-0000-0000-000057620000}"/>
    <cellStyle name="40 % - Markeringsfarve6 7 2 4" xfId="15472" xr:uid="{00000000-0005-0000-0000-000058620000}"/>
    <cellStyle name="40 % - Markeringsfarve6 7 2 4 2" xfId="33638" xr:uid="{00000000-0005-0000-0000-000059620000}"/>
    <cellStyle name="40 % - Markeringsfarve6 7 2 5" xfId="26636" xr:uid="{00000000-0005-0000-0000-00005A620000}"/>
    <cellStyle name="40 % - Markeringsfarve6 7 3" xfId="6920" xr:uid="{00000000-0005-0000-0000-00005B620000}"/>
    <cellStyle name="40 % - Markeringsfarve6 7 3 2" xfId="9283" xr:uid="{00000000-0005-0000-0000-00005C620000}"/>
    <cellStyle name="40 % - Markeringsfarve6 7 3 2 2" xfId="17194" xr:uid="{00000000-0005-0000-0000-00005D620000}"/>
    <cellStyle name="40 % - Markeringsfarve6 7 3 2 2 2" xfId="35354" xr:uid="{00000000-0005-0000-0000-00005E620000}"/>
    <cellStyle name="40 % - Markeringsfarve6 7 3 2 3" xfId="28353" xr:uid="{00000000-0005-0000-0000-00005F620000}"/>
    <cellStyle name="40 % - Markeringsfarve6 7 3 3" xfId="15474" xr:uid="{00000000-0005-0000-0000-000060620000}"/>
    <cellStyle name="40 % - Markeringsfarve6 7 3 3 2" xfId="33640" xr:uid="{00000000-0005-0000-0000-000061620000}"/>
    <cellStyle name="40 % - Markeringsfarve6 7 3 4" xfId="26638" xr:uid="{00000000-0005-0000-0000-000062620000}"/>
    <cellStyle name="40 % - Markeringsfarve6 7 4" xfId="6921" xr:uid="{00000000-0005-0000-0000-000063620000}"/>
    <cellStyle name="40 % - Markeringsfarve6 7 4 2" xfId="8926" xr:uid="{00000000-0005-0000-0000-000064620000}"/>
    <cellStyle name="40 % - Markeringsfarve6 7 4 2 2" xfId="16839" xr:uid="{00000000-0005-0000-0000-000065620000}"/>
    <cellStyle name="40 % - Markeringsfarve6 7 4 2 2 2" xfId="34999" xr:uid="{00000000-0005-0000-0000-000066620000}"/>
    <cellStyle name="40 % - Markeringsfarve6 7 4 2 3" xfId="27998" xr:uid="{00000000-0005-0000-0000-000067620000}"/>
    <cellStyle name="40 % - Markeringsfarve6 7 4 3" xfId="15475" xr:uid="{00000000-0005-0000-0000-000068620000}"/>
    <cellStyle name="40 % - Markeringsfarve6 7 4 3 2" xfId="33641" xr:uid="{00000000-0005-0000-0000-000069620000}"/>
    <cellStyle name="40 % - Markeringsfarve6 7 4 4" xfId="26639" xr:uid="{00000000-0005-0000-0000-00006A620000}"/>
    <cellStyle name="40 % - Markeringsfarve6 7 5" xfId="8309" xr:uid="{00000000-0005-0000-0000-00006B620000}"/>
    <cellStyle name="40 % - Markeringsfarve6 7 5 2" xfId="16227" xr:uid="{00000000-0005-0000-0000-00006C620000}"/>
    <cellStyle name="40 % - Markeringsfarve6 7 5 2 2" xfId="34387" xr:uid="{00000000-0005-0000-0000-00006D620000}"/>
    <cellStyle name="40 % - Markeringsfarve6 7 5 3" xfId="27386" xr:uid="{00000000-0005-0000-0000-00006E620000}"/>
    <cellStyle name="40 % - Markeringsfarve6 7 6" xfId="15471" xr:uid="{00000000-0005-0000-0000-00006F620000}"/>
    <cellStyle name="40 % - Markeringsfarve6 7 6 2" xfId="33637" xr:uid="{00000000-0005-0000-0000-000070620000}"/>
    <cellStyle name="40 % - Markeringsfarve6 7 7" xfId="6917" xr:uid="{00000000-0005-0000-0000-000071620000}"/>
    <cellStyle name="40 % - Markeringsfarve6 7 7 2" xfId="26635" xr:uid="{00000000-0005-0000-0000-000072620000}"/>
    <cellStyle name="40 % - Markeringsfarve6 7 8" xfId="22074" xr:uid="{00000000-0005-0000-0000-000073620000}"/>
    <cellStyle name="40 % - Markeringsfarve6 8" xfId="6922" xr:uid="{00000000-0005-0000-0000-000074620000}"/>
    <cellStyle name="40 % - Markeringsfarve6 8 2" xfId="6923" xr:uid="{00000000-0005-0000-0000-000075620000}"/>
    <cellStyle name="40 % - Markeringsfarve6 8 2 2" xfId="6924" xr:uid="{00000000-0005-0000-0000-000076620000}"/>
    <cellStyle name="40 % - Markeringsfarve6 8 2 2 2" xfId="10085" xr:uid="{00000000-0005-0000-0000-000077620000}"/>
    <cellStyle name="40 % - Markeringsfarve6 8 2 2 2 2" xfId="17986" xr:uid="{00000000-0005-0000-0000-000078620000}"/>
    <cellStyle name="40 % - Markeringsfarve6 8 2 2 2 2 2" xfId="36146" xr:uid="{00000000-0005-0000-0000-000079620000}"/>
    <cellStyle name="40 % - Markeringsfarve6 8 2 2 2 3" xfId="29145" xr:uid="{00000000-0005-0000-0000-00007A620000}"/>
    <cellStyle name="40 % - Markeringsfarve6 8 2 2 3" xfId="15478" xr:uid="{00000000-0005-0000-0000-00007B620000}"/>
    <cellStyle name="40 % - Markeringsfarve6 8 2 2 3 2" xfId="33644" xr:uid="{00000000-0005-0000-0000-00007C620000}"/>
    <cellStyle name="40 % - Markeringsfarve6 8 2 2 4" xfId="26642" xr:uid="{00000000-0005-0000-0000-00007D620000}"/>
    <cellStyle name="40 % - Markeringsfarve6 8 2 3" xfId="8630" xr:uid="{00000000-0005-0000-0000-00007E620000}"/>
    <cellStyle name="40 % - Markeringsfarve6 8 2 3 2" xfId="16544" xr:uid="{00000000-0005-0000-0000-00007F620000}"/>
    <cellStyle name="40 % - Markeringsfarve6 8 2 3 2 2" xfId="34704" xr:uid="{00000000-0005-0000-0000-000080620000}"/>
    <cellStyle name="40 % - Markeringsfarve6 8 2 3 3" xfId="27703" xr:uid="{00000000-0005-0000-0000-000081620000}"/>
    <cellStyle name="40 % - Markeringsfarve6 8 2 4" xfId="15477" xr:uid="{00000000-0005-0000-0000-000082620000}"/>
    <cellStyle name="40 % - Markeringsfarve6 8 2 4 2" xfId="33643" xr:uid="{00000000-0005-0000-0000-000083620000}"/>
    <cellStyle name="40 % - Markeringsfarve6 8 2 5" xfId="26641" xr:uid="{00000000-0005-0000-0000-000084620000}"/>
    <cellStyle name="40 % - Markeringsfarve6 8 3" xfId="6925" xr:uid="{00000000-0005-0000-0000-000085620000}"/>
    <cellStyle name="40 % - Markeringsfarve6 8 3 2" xfId="9361" xr:uid="{00000000-0005-0000-0000-000086620000}"/>
    <cellStyle name="40 % - Markeringsfarve6 8 3 2 2" xfId="17271" xr:uid="{00000000-0005-0000-0000-000087620000}"/>
    <cellStyle name="40 % - Markeringsfarve6 8 3 2 2 2" xfId="35431" xr:uid="{00000000-0005-0000-0000-000088620000}"/>
    <cellStyle name="40 % - Markeringsfarve6 8 3 2 3" xfId="28430" xr:uid="{00000000-0005-0000-0000-000089620000}"/>
    <cellStyle name="40 % - Markeringsfarve6 8 3 3" xfId="15479" xr:uid="{00000000-0005-0000-0000-00008A620000}"/>
    <cellStyle name="40 % - Markeringsfarve6 8 3 3 2" xfId="33645" xr:uid="{00000000-0005-0000-0000-00008B620000}"/>
    <cellStyle name="40 % - Markeringsfarve6 8 3 4" xfId="26643" xr:uid="{00000000-0005-0000-0000-00008C620000}"/>
    <cellStyle name="40 % - Markeringsfarve6 8 4" xfId="6926" xr:uid="{00000000-0005-0000-0000-00008D620000}"/>
    <cellStyle name="40 % - Markeringsfarve6 8 4 2" xfId="10769" xr:uid="{00000000-0005-0000-0000-00008E620000}"/>
    <cellStyle name="40 % - Markeringsfarve6 8 4 2 2" xfId="18657" xr:uid="{00000000-0005-0000-0000-00008F620000}"/>
    <cellStyle name="40 % - Markeringsfarve6 8 4 2 2 2" xfId="36817" xr:uid="{00000000-0005-0000-0000-000090620000}"/>
    <cellStyle name="40 % - Markeringsfarve6 8 4 2 3" xfId="29816" xr:uid="{00000000-0005-0000-0000-000091620000}"/>
    <cellStyle name="40 % - Markeringsfarve6 8 4 3" xfId="15480" xr:uid="{00000000-0005-0000-0000-000092620000}"/>
    <cellStyle name="40 % - Markeringsfarve6 8 4 3 2" xfId="33646" xr:uid="{00000000-0005-0000-0000-000093620000}"/>
    <cellStyle name="40 % - Markeringsfarve6 8 4 4" xfId="26644" xr:uid="{00000000-0005-0000-0000-000094620000}"/>
    <cellStyle name="40 % - Markeringsfarve6 8 5" xfId="8310" xr:uid="{00000000-0005-0000-0000-000095620000}"/>
    <cellStyle name="40 % - Markeringsfarve6 8 5 2" xfId="16228" xr:uid="{00000000-0005-0000-0000-000096620000}"/>
    <cellStyle name="40 % - Markeringsfarve6 8 5 2 2" xfId="34388" xr:uid="{00000000-0005-0000-0000-000097620000}"/>
    <cellStyle name="40 % - Markeringsfarve6 8 5 3" xfId="27387" xr:uid="{00000000-0005-0000-0000-000098620000}"/>
    <cellStyle name="40 % - Markeringsfarve6 8 6" xfId="15476" xr:uid="{00000000-0005-0000-0000-000099620000}"/>
    <cellStyle name="40 % - Markeringsfarve6 8 6 2" xfId="33642" xr:uid="{00000000-0005-0000-0000-00009A620000}"/>
    <cellStyle name="40 % - Markeringsfarve6 8 7" xfId="26640" xr:uid="{00000000-0005-0000-0000-00009B620000}"/>
    <cellStyle name="40 % - Markeringsfarve6 9" xfId="6927" xr:uid="{00000000-0005-0000-0000-00009C620000}"/>
    <cellStyle name="40 % - Markeringsfarve6 9 2" xfId="6928" xr:uid="{00000000-0005-0000-0000-00009D620000}"/>
    <cellStyle name="40 % - Markeringsfarve6 9 2 2" xfId="6929" xr:uid="{00000000-0005-0000-0000-00009E620000}"/>
    <cellStyle name="40 % - Markeringsfarve6 9 2 2 2" xfId="10202" xr:uid="{00000000-0005-0000-0000-00009F620000}"/>
    <cellStyle name="40 % - Markeringsfarve6 9 2 2 2 2" xfId="18103" xr:uid="{00000000-0005-0000-0000-0000A0620000}"/>
    <cellStyle name="40 % - Markeringsfarve6 9 2 2 2 2 2" xfId="36263" xr:uid="{00000000-0005-0000-0000-0000A1620000}"/>
    <cellStyle name="40 % - Markeringsfarve6 9 2 2 2 3" xfId="29262" xr:uid="{00000000-0005-0000-0000-0000A2620000}"/>
    <cellStyle name="40 % - Markeringsfarve6 9 2 2 3" xfId="15483" xr:uid="{00000000-0005-0000-0000-0000A3620000}"/>
    <cellStyle name="40 % - Markeringsfarve6 9 2 2 3 2" xfId="33649" xr:uid="{00000000-0005-0000-0000-0000A4620000}"/>
    <cellStyle name="40 % - Markeringsfarve6 9 2 2 4" xfId="26647" xr:uid="{00000000-0005-0000-0000-0000A5620000}"/>
    <cellStyle name="40 % - Markeringsfarve6 9 2 3" xfId="8729" xr:uid="{00000000-0005-0000-0000-0000A6620000}"/>
    <cellStyle name="40 % - Markeringsfarve6 9 2 3 2" xfId="16643" xr:uid="{00000000-0005-0000-0000-0000A7620000}"/>
    <cellStyle name="40 % - Markeringsfarve6 9 2 3 2 2" xfId="34803" xr:uid="{00000000-0005-0000-0000-0000A8620000}"/>
    <cellStyle name="40 % - Markeringsfarve6 9 2 3 3" xfId="27802" xr:uid="{00000000-0005-0000-0000-0000A9620000}"/>
    <cellStyle name="40 % - Markeringsfarve6 9 2 4" xfId="15482" xr:uid="{00000000-0005-0000-0000-0000AA620000}"/>
    <cellStyle name="40 % - Markeringsfarve6 9 2 4 2" xfId="33648" xr:uid="{00000000-0005-0000-0000-0000AB620000}"/>
    <cellStyle name="40 % - Markeringsfarve6 9 2 5" xfId="26646" xr:uid="{00000000-0005-0000-0000-0000AC620000}"/>
    <cellStyle name="40 % - Markeringsfarve6 9 3" xfId="6930" xr:uid="{00000000-0005-0000-0000-0000AD620000}"/>
    <cellStyle name="40 % - Markeringsfarve6 9 3 2" xfId="9478" xr:uid="{00000000-0005-0000-0000-0000AE620000}"/>
    <cellStyle name="40 % - Markeringsfarve6 9 3 2 2" xfId="17388" xr:uid="{00000000-0005-0000-0000-0000AF620000}"/>
    <cellStyle name="40 % - Markeringsfarve6 9 3 2 2 2" xfId="35548" xr:uid="{00000000-0005-0000-0000-0000B0620000}"/>
    <cellStyle name="40 % - Markeringsfarve6 9 3 2 3" xfId="28547" xr:uid="{00000000-0005-0000-0000-0000B1620000}"/>
    <cellStyle name="40 % - Markeringsfarve6 9 3 3" xfId="15484" xr:uid="{00000000-0005-0000-0000-0000B2620000}"/>
    <cellStyle name="40 % - Markeringsfarve6 9 3 3 2" xfId="33650" xr:uid="{00000000-0005-0000-0000-0000B3620000}"/>
    <cellStyle name="40 % - Markeringsfarve6 9 3 4" xfId="26648" xr:uid="{00000000-0005-0000-0000-0000B4620000}"/>
    <cellStyle name="40 % - Markeringsfarve6 9 4" xfId="6931" xr:uid="{00000000-0005-0000-0000-0000B5620000}"/>
    <cellStyle name="40 % - Markeringsfarve6 9 4 2" xfId="10984" xr:uid="{00000000-0005-0000-0000-0000B6620000}"/>
    <cellStyle name="40 % - Markeringsfarve6 9 4 2 2" xfId="18860" xr:uid="{00000000-0005-0000-0000-0000B7620000}"/>
    <cellStyle name="40 % - Markeringsfarve6 9 4 2 2 2" xfId="37020" xr:uid="{00000000-0005-0000-0000-0000B8620000}"/>
    <cellStyle name="40 % - Markeringsfarve6 9 4 2 3" xfId="30019" xr:uid="{00000000-0005-0000-0000-0000B9620000}"/>
    <cellStyle name="40 % - Markeringsfarve6 9 4 3" xfId="15485" xr:uid="{00000000-0005-0000-0000-0000BA620000}"/>
    <cellStyle name="40 % - Markeringsfarve6 9 4 3 2" xfId="33651" xr:uid="{00000000-0005-0000-0000-0000BB620000}"/>
    <cellStyle name="40 % - Markeringsfarve6 9 4 4" xfId="26649" xr:uid="{00000000-0005-0000-0000-0000BC620000}"/>
    <cellStyle name="40 % - Markeringsfarve6 9 5" xfId="8311" xr:uid="{00000000-0005-0000-0000-0000BD620000}"/>
    <cellStyle name="40 % - Markeringsfarve6 9 5 2" xfId="16229" xr:uid="{00000000-0005-0000-0000-0000BE620000}"/>
    <cellStyle name="40 % - Markeringsfarve6 9 5 2 2" xfId="34389" xr:uid="{00000000-0005-0000-0000-0000BF620000}"/>
    <cellStyle name="40 % - Markeringsfarve6 9 5 3" xfId="27388" xr:uid="{00000000-0005-0000-0000-0000C0620000}"/>
    <cellStyle name="40 % - Markeringsfarve6 9 6" xfId="15481" xr:uid="{00000000-0005-0000-0000-0000C1620000}"/>
    <cellStyle name="40 % - Markeringsfarve6 9 6 2" xfId="33647" xr:uid="{00000000-0005-0000-0000-0000C2620000}"/>
    <cellStyle name="40 % - Markeringsfarve6 9 7" xfId="26645" xr:uid="{00000000-0005-0000-0000-0000C3620000}"/>
    <cellStyle name="40% - Accent1" xfId="3119" builtinId="31" customBuiltin="1"/>
    <cellStyle name="40% - Accent1 2" xfId="1957" xr:uid="{00000000-0005-0000-0000-0000C5620000}"/>
    <cellStyle name="40% - Accent1 2 2" xfId="18934" xr:uid="{00000000-0005-0000-0000-0000C6620000}"/>
    <cellStyle name="40% - Accent1 2 2 2" xfId="37093" xr:uid="{00000000-0005-0000-0000-0000C7620000}"/>
    <cellStyle name="40% - Accent1 2 3" xfId="11159" xr:uid="{00000000-0005-0000-0000-0000C8620000}"/>
    <cellStyle name="40% - Accent1 2 3 2" xfId="30092" xr:uid="{00000000-0005-0000-0000-0000C9620000}"/>
    <cellStyle name="40% - Accent1 3" xfId="11943" xr:uid="{00000000-0005-0000-0000-0000CA620000}"/>
    <cellStyle name="40% - Accent1 3 2" xfId="30135" xr:uid="{00000000-0005-0000-0000-0000CB620000}"/>
    <cellStyle name="40% - Accent1 4" xfId="23130" xr:uid="{00000000-0005-0000-0000-0000CC620000}"/>
    <cellStyle name="40% - Accent1 5" xfId="39358" xr:uid="{00000000-0005-0000-0000-0000CD620000}"/>
    <cellStyle name="40% - Accent2" xfId="3123" builtinId="35" customBuiltin="1"/>
    <cellStyle name="40% - Accent2 2" xfId="1958" xr:uid="{00000000-0005-0000-0000-0000CF620000}"/>
    <cellStyle name="40% - Accent2 2 2" xfId="12370" xr:uid="{00000000-0005-0000-0000-0000D0620000}"/>
    <cellStyle name="40% - Accent2 2 2 2" xfId="30537" xr:uid="{00000000-0005-0000-0000-0000D1620000}"/>
    <cellStyle name="40% - Accent2 2 3" xfId="3812" xr:uid="{00000000-0005-0000-0000-0000D2620000}"/>
    <cellStyle name="40% - Accent2 2 3 2" xfId="23535" xr:uid="{00000000-0005-0000-0000-0000D3620000}"/>
    <cellStyle name="40% - Accent2 3" xfId="11161" xr:uid="{00000000-0005-0000-0000-0000D4620000}"/>
    <cellStyle name="40% - Accent2 3 2" xfId="18936" xr:uid="{00000000-0005-0000-0000-0000D5620000}"/>
    <cellStyle name="40% - Accent2 3 2 2" xfId="37095" xr:uid="{00000000-0005-0000-0000-0000D6620000}"/>
    <cellStyle name="40% - Accent2 3 3" xfId="30094" xr:uid="{00000000-0005-0000-0000-0000D7620000}"/>
    <cellStyle name="40% - Accent2 4" xfId="11945" xr:uid="{00000000-0005-0000-0000-0000D8620000}"/>
    <cellStyle name="40% - Accent2 4 2" xfId="30137" xr:uid="{00000000-0005-0000-0000-0000D9620000}"/>
    <cellStyle name="40% - Accent2 5" xfId="23132" xr:uid="{00000000-0005-0000-0000-0000DA620000}"/>
    <cellStyle name="40% - Accent2 6" xfId="39360" xr:uid="{00000000-0005-0000-0000-0000DB620000}"/>
    <cellStyle name="40% - Accent3" xfId="3127" builtinId="39" customBuiltin="1"/>
    <cellStyle name="40% - Accent3 2" xfId="1959" xr:uid="{00000000-0005-0000-0000-0000DD620000}"/>
    <cellStyle name="40% - Accent3 2 2" xfId="18938" xr:uid="{00000000-0005-0000-0000-0000DE620000}"/>
    <cellStyle name="40% - Accent3 2 2 2" xfId="37097" xr:uid="{00000000-0005-0000-0000-0000DF620000}"/>
    <cellStyle name="40% - Accent3 2 3" xfId="11163" xr:uid="{00000000-0005-0000-0000-0000E0620000}"/>
    <cellStyle name="40% - Accent3 2 3 2" xfId="30096" xr:uid="{00000000-0005-0000-0000-0000E1620000}"/>
    <cellStyle name="40% - Accent3 3" xfId="11947" xr:uid="{00000000-0005-0000-0000-0000E2620000}"/>
    <cellStyle name="40% - Accent3 3 2" xfId="30139" xr:uid="{00000000-0005-0000-0000-0000E3620000}"/>
    <cellStyle name="40% - Accent3 4" xfId="23134" xr:uid="{00000000-0005-0000-0000-0000E4620000}"/>
    <cellStyle name="40% - Accent3 5" xfId="39362" xr:uid="{00000000-0005-0000-0000-0000E5620000}"/>
    <cellStyle name="40% - Accent4" xfId="3131" builtinId="43" customBuiltin="1"/>
    <cellStyle name="40% - Accent4 2" xfId="1960" xr:uid="{00000000-0005-0000-0000-0000E7620000}"/>
    <cellStyle name="40% - Accent4 2 2" xfId="18940" xr:uid="{00000000-0005-0000-0000-0000E8620000}"/>
    <cellStyle name="40% - Accent4 2 2 2" xfId="37099" xr:uid="{00000000-0005-0000-0000-0000E9620000}"/>
    <cellStyle name="40% - Accent4 2 3" xfId="11165" xr:uid="{00000000-0005-0000-0000-0000EA620000}"/>
    <cellStyle name="40% - Accent4 2 3 2" xfId="30098" xr:uid="{00000000-0005-0000-0000-0000EB620000}"/>
    <cellStyle name="40% - Accent4 3" xfId="11949" xr:uid="{00000000-0005-0000-0000-0000EC620000}"/>
    <cellStyle name="40% - Accent4 3 2" xfId="30141" xr:uid="{00000000-0005-0000-0000-0000ED620000}"/>
    <cellStyle name="40% - Accent4 4" xfId="23136" xr:uid="{00000000-0005-0000-0000-0000EE620000}"/>
    <cellStyle name="40% - Accent4 5" xfId="39364" xr:uid="{00000000-0005-0000-0000-0000EF620000}"/>
    <cellStyle name="40% - Accent5" xfId="3135" builtinId="47" customBuiltin="1"/>
    <cellStyle name="40% - Accent5 2" xfId="1961" xr:uid="{00000000-0005-0000-0000-0000F1620000}"/>
    <cellStyle name="40% - Accent5 2 2" xfId="18942" xr:uid="{00000000-0005-0000-0000-0000F2620000}"/>
    <cellStyle name="40% - Accent5 2 2 2" xfId="37101" xr:uid="{00000000-0005-0000-0000-0000F3620000}"/>
    <cellStyle name="40% - Accent5 2 3" xfId="11167" xr:uid="{00000000-0005-0000-0000-0000F4620000}"/>
    <cellStyle name="40% - Accent5 2 3 2" xfId="30100" xr:uid="{00000000-0005-0000-0000-0000F5620000}"/>
    <cellStyle name="40% - Accent5 3" xfId="11951" xr:uid="{00000000-0005-0000-0000-0000F6620000}"/>
    <cellStyle name="40% - Accent5 3 2" xfId="30143" xr:uid="{00000000-0005-0000-0000-0000F7620000}"/>
    <cellStyle name="40% - Accent5 4" xfId="23138" xr:uid="{00000000-0005-0000-0000-0000F8620000}"/>
    <cellStyle name="40% - Accent5 5" xfId="39366" xr:uid="{00000000-0005-0000-0000-0000F9620000}"/>
    <cellStyle name="40% - Accent6" xfId="3139" builtinId="51" customBuiltin="1"/>
    <cellStyle name="40% - Accent6 2" xfId="1962" xr:uid="{00000000-0005-0000-0000-0000FB620000}"/>
    <cellStyle name="40% - Accent6 2 2" xfId="18944" xr:uid="{00000000-0005-0000-0000-0000FC620000}"/>
    <cellStyle name="40% - Accent6 2 2 2" xfId="37103" xr:uid="{00000000-0005-0000-0000-0000FD620000}"/>
    <cellStyle name="40% - Accent6 2 3" xfId="11169" xr:uid="{00000000-0005-0000-0000-0000FE620000}"/>
    <cellStyle name="40% - Accent6 2 3 2" xfId="30102" xr:uid="{00000000-0005-0000-0000-0000FF620000}"/>
    <cellStyle name="40% - Accent6 3" xfId="11953" xr:uid="{00000000-0005-0000-0000-000000630000}"/>
    <cellStyle name="40% - Accent6 3 2" xfId="30145" xr:uid="{00000000-0005-0000-0000-000001630000}"/>
    <cellStyle name="40% - Accent6 4" xfId="23140" xr:uid="{00000000-0005-0000-0000-000002630000}"/>
    <cellStyle name="40% - Accent6 5" xfId="39368" xr:uid="{00000000-0005-0000-0000-000003630000}"/>
    <cellStyle name="40% - Colore 1" xfId="9" xr:uid="{00000000-0005-0000-0000-000004630000}"/>
    <cellStyle name="40% - Colore 2" xfId="10" xr:uid="{00000000-0005-0000-0000-000005630000}"/>
    <cellStyle name="40% - Colore 3" xfId="11" xr:uid="{00000000-0005-0000-0000-000006630000}"/>
    <cellStyle name="40% - Colore 4" xfId="12" xr:uid="{00000000-0005-0000-0000-000007630000}"/>
    <cellStyle name="40% - Colore 5" xfId="13" xr:uid="{00000000-0005-0000-0000-000008630000}"/>
    <cellStyle name="40% - Colore 6" xfId="14" xr:uid="{00000000-0005-0000-0000-000009630000}"/>
    <cellStyle name="5x indented GHG Textfiels" xfId="15" xr:uid="{00000000-0005-0000-0000-00000A630000}"/>
    <cellStyle name="5x indented GHG Textfiels 2" xfId="16" xr:uid="{00000000-0005-0000-0000-00000B630000}"/>
    <cellStyle name="5x indented GHG Textfiels 2 2" xfId="11955" xr:uid="{00000000-0005-0000-0000-00000C630000}"/>
    <cellStyle name="5x indented GHG Textfiels 2 3" xfId="11931" xr:uid="{00000000-0005-0000-0000-00000D630000}"/>
    <cellStyle name="5x indented GHG Textfiels 2 4" xfId="20236" xr:uid="{00000000-0005-0000-0000-00000E630000}"/>
    <cellStyle name="5x indented GHG Textfiels 3" xfId="3489" xr:uid="{00000000-0005-0000-0000-00000F630000}"/>
    <cellStyle name="60 % - Markeringsfarve1 2" xfId="6933" xr:uid="{00000000-0005-0000-0000-000010630000}"/>
    <cellStyle name="60 % - Markeringsfarve1 3" xfId="6934" xr:uid="{00000000-0005-0000-0000-000011630000}"/>
    <cellStyle name="60 % - Markeringsfarve1 4" xfId="6935" xr:uid="{00000000-0005-0000-0000-000012630000}"/>
    <cellStyle name="60 % - Markeringsfarve1 5" xfId="6936" xr:uid="{00000000-0005-0000-0000-000013630000}"/>
    <cellStyle name="60 % - Markeringsfarve1 5 2" xfId="10788" xr:uid="{00000000-0005-0000-0000-000014630000}"/>
    <cellStyle name="60 % - Markeringsfarve1 6" xfId="7614" xr:uid="{00000000-0005-0000-0000-000015630000}"/>
    <cellStyle name="60 % - Markeringsfarve1 7" xfId="6932" xr:uid="{00000000-0005-0000-0000-000016630000}"/>
    <cellStyle name="60 % - Markeringsfarve2 2" xfId="6938" xr:uid="{00000000-0005-0000-0000-000017630000}"/>
    <cellStyle name="60 % - Markeringsfarve2 3" xfId="6939" xr:uid="{00000000-0005-0000-0000-000018630000}"/>
    <cellStyle name="60 % - Markeringsfarve2 4" xfId="6940" xr:uid="{00000000-0005-0000-0000-000019630000}"/>
    <cellStyle name="60 % - Markeringsfarve2 5" xfId="6941" xr:uid="{00000000-0005-0000-0000-00001A630000}"/>
    <cellStyle name="60 % - Markeringsfarve2 5 2" xfId="10961" xr:uid="{00000000-0005-0000-0000-00001B630000}"/>
    <cellStyle name="60 % - Markeringsfarve2 6" xfId="7618" xr:uid="{00000000-0005-0000-0000-00001C630000}"/>
    <cellStyle name="60 % - Markeringsfarve2 7" xfId="6937" xr:uid="{00000000-0005-0000-0000-00001D630000}"/>
    <cellStyle name="60 % - Markeringsfarve3 2" xfId="6943" xr:uid="{00000000-0005-0000-0000-00001E630000}"/>
    <cellStyle name="60 % - Markeringsfarve3 2 2" xfId="6944" xr:uid="{00000000-0005-0000-0000-00001F630000}"/>
    <cellStyle name="60 % - Markeringsfarve3 2 2 2" xfId="8608" xr:uid="{00000000-0005-0000-0000-000020630000}"/>
    <cellStyle name="60 % - Markeringsfarve3 3" xfId="6945" xr:uid="{00000000-0005-0000-0000-000021630000}"/>
    <cellStyle name="60 % - Markeringsfarve3 4" xfId="6946" xr:uid="{00000000-0005-0000-0000-000022630000}"/>
    <cellStyle name="60 % - Markeringsfarve3 5" xfId="6947" xr:uid="{00000000-0005-0000-0000-000023630000}"/>
    <cellStyle name="60 % - Markeringsfarve3 6" xfId="6948" xr:uid="{00000000-0005-0000-0000-000024630000}"/>
    <cellStyle name="60 % - Markeringsfarve3 6 2" xfId="10846" xr:uid="{00000000-0005-0000-0000-000025630000}"/>
    <cellStyle name="60 % - Markeringsfarve3 7" xfId="7622" xr:uid="{00000000-0005-0000-0000-000026630000}"/>
    <cellStyle name="60 % - Markeringsfarve3 8" xfId="6942" xr:uid="{00000000-0005-0000-0000-000027630000}"/>
    <cellStyle name="60 % - Markeringsfarve4 2" xfId="6950" xr:uid="{00000000-0005-0000-0000-000028630000}"/>
    <cellStyle name="60 % - Markeringsfarve4 2 2" xfId="6951" xr:uid="{00000000-0005-0000-0000-000029630000}"/>
    <cellStyle name="60 % - Markeringsfarve4 2 2 2" xfId="8609" xr:uid="{00000000-0005-0000-0000-00002A630000}"/>
    <cellStyle name="60 % - Markeringsfarve4 3" xfId="6952" xr:uid="{00000000-0005-0000-0000-00002B630000}"/>
    <cellStyle name="60 % - Markeringsfarve4 4" xfId="6953" xr:uid="{00000000-0005-0000-0000-00002C630000}"/>
    <cellStyle name="60 % - Markeringsfarve4 5" xfId="6954" xr:uid="{00000000-0005-0000-0000-00002D630000}"/>
    <cellStyle name="60 % - Markeringsfarve4 6" xfId="6955" xr:uid="{00000000-0005-0000-0000-00002E630000}"/>
    <cellStyle name="60 % - Markeringsfarve4 6 2" xfId="10434" xr:uid="{00000000-0005-0000-0000-00002F630000}"/>
    <cellStyle name="60 % - Markeringsfarve4 7" xfId="7626" xr:uid="{00000000-0005-0000-0000-000030630000}"/>
    <cellStyle name="60 % - Markeringsfarve4 8" xfId="6949" xr:uid="{00000000-0005-0000-0000-000031630000}"/>
    <cellStyle name="60 % - Markeringsfarve5 2" xfId="6957" xr:uid="{00000000-0005-0000-0000-000032630000}"/>
    <cellStyle name="60 % - Markeringsfarve5 3" xfId="6958" xr:uid="{00000000-0005-0000-0000-000033630000}"/>
    <cellStyle name="60 % - Markeringsfarve5 4" xfId="6959" xr:uid="{00000000-0005-0000-0000-000034630000}"/>
    <cellStyle name="60 % - Markeringsfarve5 5" xfId="6960" xr:uid="{00000000-0005-0000-0000-000035630000}"/>
    <cellStyle name="60 % - Markeringsfarve5 5 2" xfId="10980" xr:uid="{00000000-0005-0000-0000-000036630000}"/>
    <cellStyle name="60 % - Markeringsfarve5 6" xfId="7629" xr:uid="{00000000-0005-0000-0000-000037630000}"/>
    <cellStyle name="60 % - Markeringsfarve5 7" xfId="6956" xr:uid="{00000000-0005-0000-0000-000038630000}"/>
    <cellStyle name="60 % - Markeringsfarve6 2" xfId="6962" xr:uid="{00000000-0005-0000-0000-000039630000}"/>
    <cellStyle name="60 % - Markeringsfarve6 2 2" xfId="6963" xr:uid="{00000000-0005-0000-0000-00003A630000}"/>
    <cellStyle name="60 % - Markeringsfarve6 2 2 2" xfId="8610" xr:uid="{00000000-0005-0000-0000-00003B630000}"/>
    <cellStyle name="60 % - Markeringsfarve6 3" xfId="6964" xr:uid="{00000000-0005-0000-0000-00003C630000}"/>
    <cellStyle name="60 % - Markeringsfarve6 4" xfId="6965" xr:uid="{00000000-0005-0000-0000-00003D630000}"/>
    <cellStyle name="60 % - Markeringsfarve6 5" xfId="6966" xr:uid="{00000000-0005-0000-0000-00003E630000}"/>
    <cellStyle name="60 % - Markeringsfarve6 6" xfId="6967" xr:uid="{00000000-0005-0000-0000-00003F630000}"/>
    <cellStyle name="60 % - Markeringsfarve6 6 2" xfId="10908" xr:uid="{00000000-0005-0000-0000-000040630000}"/>
    <cellStyle name="60 % - Markeringsfarve6 7" xfId="7633" xr:uid="{00000000-0005-0000-0000-000041630000}"/>
    <cellStyle name="60 % - Markeringsfarve6 8" xfId="6961" xr:uid="{00000000-0005-0000-0000-000042630000}"/>
    <cellStyle name="60% - Accent1" xfId="3120" builtinId="32" customBuiltin="1"/>
    <cellStyle name="60% - Accent1 2" xfId="1963" xr:uid="{00000000-0005-0000-0000-000044630000}"/>
    <cellStyle name="60% - Accent2" xfId="3124" builtinId="36" customBuiltin="1"/>
    <cellStyle name="60% - Accent2 2" xfId="1964" xr:uid="{00000000-0005-0000-0000-000046630000}"/>
    <cellStyle name="60% - Accent3" xfId="3128" builtinId="40" customBuiltin="1"/>
    <cellStyle name="60% - Accent3 2" xfId="1965" xr:uid="{00000000-0005-0000-0000-000048630000}"/>
    <cellStyle name="60% - Accent4" xfId="3132" builtinId="44" customBuiltin="1"/>
    <cellStyle name="60% - Accent4 2" xfId="1966" xr:uid="{00000000-0005-0000-0000-00004A630000}"/>
    <cellStyle name="60% - Accent5" xfId="3136" builtinId="48" customBuiltin="1"/>
    <cellStyle name="60% - Accent5 2" xfId="1967" xr:uid="{00000000-0005-0000-0000-00004C630000}"/>
    <cellStyle name="60% - Accent6" xfId="3140" builtinId="52" customBuiltin="1"/>
    <cellStyle name="60% - Accent6 2" xfId="1968" xr:uid="{00000000-0005-0000-0000-00004E630000}"/>
    <cellStyle name="60% - Colore 1" xfId="17" xr:uid="{00000000-0005-0000-0000-00004F630000}"/>
    <cellStyle name="60% - Colore 2" xfId="18" xr:uid="{00000000-0005-0000-0000-000050630000}"/>
    <cellStyle name="60% - Colore 3" xfId="19" xr:uid="{00000000-0005-0000-0000-000051630000}"/>
    <cellStyle name="60% - Colore 4" xfId="20" xr:uid="{00000000-0005-0000-0000-000052630000}"/>
    <cellStyle name="60% - Colore 5" xfId="21" xr:uid="{00000000-0005-0000-0000-000053630000}"/>
    <cellStyle name="60% - Colore 6" xfId="22" xr:uid="{00000000-0005-0000-0000-000054630000}"/>
    <cellStyle name="Accent1" xfId="3117" builtinId="29" customBuiltin="1"/>
    <cellStyle name="Accent1 2" xfId="1969" xr:uid="{00000000-0005-0000-0000-000056630000}"/>
    <cellStyle name="Accent2" xfId="3121" builtinId="33" customBuiltin="1"/>
    <cellStyle name="Accent2 2" xfId="1970" xr:uid="{00000000-0005-0000-0000-000058630000}"/>
    <cellStyle name="Accent3" xfId="3125" builtinId="37" customBuiltin="1"/>
    <cellStyle name="Accent3 2" xfId="1971" xr:uid="{00000000-0005-0000-0000-00005A630000}"/>
    <cellStyle name="Accent4" xfId="3129" builtinId="41" customBuiltin="1"/>
    <cellStyle name="Accent4 2" xfId="1972" xr:uid="{00000000-0005-0000-0000-00005C630000}"/>
    <cellStyle name="Accent5" xfId="3133" builtinId="45" customBuiltin="1"/>
    <cellStyle name="Accent5 2" xfId="1973" xr:uid="{00000000-0005-0000-0000-00005E630000}"/>
    <cellStyle name="Accent6" xfId="3137" builtinId="49" customBuiltin="1"/>
    <cellStyle name="Accent6 2" xfId="1974" xr:uid="{00000000-0005-0000-0000-000060630000}"/>
    <cellStyle name="AggOrange_CRFReport-template" xfId="23" xr:uid="{00000000-0005-0000-0000-000061630000}"/>
    <cellStyle name="AggOrange9_CRFReport-template" xfId="24" xr:uid="{00000000-0005-0000-0000-000062630000}"/>
    <cellStyle name="AZ1" xfId="6968" xr:uid="{00000000-0005-0000-0000-000063630000}"/>
    <cellStyle name="AZ1 2" xfId="6969" xr:uid="{00000000-0005-0000-0000-000064630000}"/>
    <cellStyle name="Background" xfId="3459" xr:uid="{00000000-0005-0000-0000-000065630000}"/>
    <cellStyle name="Bad" xfId="3109" builtinId="27" customBuiltin="1"/>
    <cellStyle name="Bad 2" xfId="25" xr:uid="{00000000-0005-0000-0000-000067630000}"/>
    <cellStyle name="Bad 3" xfId="20169" xr:uid="{00000000-0005-0000-0000-000068630000}"/>
    <cellStyle name="Bemærk! 2" xfId="1975" xr:uid="{00000000-0005-0000-0000-000069630000}"/>
    <cellStyle name="Bemærk! 2 10" xfId="6971" xr:uid="{00000000-0005-0000-0000-00006A630000}"/>
    <cellStyle name="Bemærk! 2 10 2" xfId="6972" xr:uid="{00000000-0005-0000-0000-00006B630000}"/>
    <cellStyle name="Bemærk! 2 10 2 2" xfId="9729" xr:uid="{00000000-0005-0000-0000-00006C630000}"/>
    <cellStyle name="Bemærk! 2 10 2 2 2" xfId="17630" xr:uid="{00000000-0005-0000-0000-00006D630000}"/>
    <cellStyle name="Bemærk! 2 10 2 2 2 2" xfId="35790" xr:uid="{00000000-0005-0000-0000-00006E630000}"/>
    <cellStyle name="Bemærk! 2 10 2 2 3" xfId="28789" xr:uid="{00000000-0005-0000-0000-00006F630000}"/>
    <cellStyle name="Bemærk! 2 11" xfId="6973" xr:uid="{00000000-0005-0000-0000-000070630000}"/>
    <cellStyle name="Bemærk! 2 11 2" xfId="6974" xr:uid="{00000000-0005-0000-0000-000071630000}"/>
    <cellStyle name="Bemærk! 2 11 2 2" xfId="10978" xr:uid="{00000000-0005-0000-0000-000072630000}"/>
    <cellStyle name="Bemærk! 2 11 2 2 2" xfId="18857" xr:uid="{00000000-0005-0000-0000-000073630000}"/>
    <cellStyle name="Bemærk! 2 11 2 2 2 2" xfId="37017" xr:uid="{00000000-0005-0000-0000-000074630000}"/>
    <cellStyle name="Bemærk! 2 11 2 2 3" xfId="30016" xr:uid="{00000000-0005-0000-0000-000075630000}"/>
    <cellStyle name="Bemærk! 2 11 3" xfId="8330" xr:uid="{00000000-0005-0000-0000-000076630000}"/>
    <cellStyle name="Bemærk! 2 11 3 2" xfId="16247" xr:uid="{00000000-0005-0000-0000-000077630000}"/>
    <cellStyle name="Bemærk! 2 11 3 2 2" xfId="34407" xr:uid="{00000000-0005-0000-0000-000078630000}"/>
    <cellStyle name="Bemærk! 2 11 3 3" xfId="27406" xr:uid="{00000000-0005-0000-0000-000079630000}"/>
    <cellStyle name="Bemærk! 2 12" xfId="6975" xr:uid="{00000000-0005-0000-0000-00007A630000}"/>
    <cellStyle name="Bemærk! 2 12 2" xfId="8954" xr:uid="{00000000-0005-0000-0000-00007B630000}"/>
    <cellStyle name="Bemærk! 2 12 2 2" xfId="16866" xr:uid="{00000000-0005-0000-0000-00007C630000}"/>
    <cellStyle name="Bemærk! 2 12 2 2 2" xfId="35026" xr:uid="{00000000-0005-0000-0000-00007D630000}"/>
    <cellStyle name="Bemærk! 2 12 2 3" xfId="28025" xr:uid="{00000000-0005-0000-0000-00007E630000}"/>
    <cellStyle name="Bemærk! 2 13" xfId="6970" xr:uid="{00000000-0005-0000-0000-00007F630000}"/>
    <cellStyle name="Bemærk! 2 14" xfId="3483" xr:uid="{00000000-0005-0000-0000-000080630000}"/>
    <cellStyle name="Bemærk! 2 15" xfId="22075" xr:uid="{00000000-0005-0000-0000-000081630000}"/>
    <cellStyle name="Bemærk! 2 2" xfId="1976" xr:uid="{00000000-0005-0000-0000-000082630000}"/>
    <cellStyle name="Bemærk! 2 2 10" xfId="6977" xr:uid="{00000000-0005-0000-0000-000083630000}"/>
    <cellStyle name="Bemærk! 2 2 10 2" xfId="6978" xr:uid="{00000000-0005-0000-0000-000084630000}"/>
    <cellStyle name="Bemærk! 2 2 10 2 2" xfId="10783" xr:uid="{00000000-0005-0000-0000-000085630000}"/>
    <cellStyle name="Bemærk! 2 2 10 2 2 2" xfId="18671" xr:uid="{00000000-0005-0000-0000-000086630000}"/>
    <cellStyle name="Bemærk! 2 2 10 2 2 2 2" xfId="36831" xr:uid="{00000000-0005-0000-0000-000087630000}"/>
    <cellStyle name="Bemærk! 2 2 10 2 2 3" xfId="29830" xr:uid="{00000000-0005-0000-0000-000088630000}"/>
    <cellStyle name="Bemærk! 2 2 10 3" xfId="8352" xr:uid="{00000000-0005-0000-0000-000089630000}"/>
    <cellStyle name="Bemærk! 2 2 10 3 2" xfId="16269" xr:uid="{00000000-0005-0000-0000-00008A630000}"/>
    <cellStyle name="Bemærk! 2 2 10 3 2 2" xfId="34429" xr:uid="{00000000-0005-0000-0000-00008B630000}"/>
    <cellStyle name="Bemærk! 2 2 10 3 3" xfId="27428" xr:uid="{00000000-0005-0000-0000-00008C630000}"/>
    <cellStyle name="Bemærk! 2 2 11" xfId="6979" xr:uid="{00000000-0005-0000-0000-00008D630000}"/>
    <cellStyle name="Bemærk! 2 2 11 2" xfId="8982" xr:uid="{00000000-0005-0000-0000-00008E630000}"/>
    <cellStyle name="Bemærk! 2 2 11 2 2" xfId="16893" xr:uid="{00000000-0005-0000-0000-00008F630000}"/>
    <cellStyle name="Bemærk! 2 2 11 2 2 2" xfId="35053" xr:uid="{00000000-0005-0000-0000-000090630000}"/>
    <cellStyle name="Bemærk! 2 2 11 2 3" xfId="28052" xr:uid="{00000000-0005-0000-0000-000091630000}"/>
    <cellStyle name="Bemærk! 2 2 12" xfId="6976" xr:uid="{00000000-0005-0000-0000-000092630000}"/>
    <cellStyle name="Bemærk! 2 2 13" xfId="22076" xr:uid="{00000000-0005-0000-0000-000093630000}"/>
    <cellStyle name="Bemærk! 2 2 2" xfId="1977" xr:uid="{00000000-0005-0000-0000-000094630000}"/>
    <cellStyle name="Bemærk! 2 2 2 10" xfId="6980" xr:uid="{00000000-0005-0000-0000-000095630000}"/>
    <cellStyle name="Bemærk! 2 2 2 11" xfId="22077" xr:uid="{00000000-0005-0000-0000-000096630000}"/>
    <cellStyle name="Bemærk! 2 2 2 2" xfId="1978" xr:uid="{00000000-0005-0000-0000-000097630000}"/>
    <cellStyle name="Bemærk! 2 2 2 2 2" xfId="6982" xr:uid="{00000000-0005-0000-0000-000098630000}"/>
    <cellStyle name="Bemærk! 2 2 2 2 2 2" xfId="6983" xr:uid="{00000000-0005-0000-0000-000099630000}"/>
    <cellStyle name="Bemærk! 2 2 2 2 2 2 2" xfId="9913" xr:uid="{00000000-0005-0000-0000-00009A630000}"/>
    <cellStyle name="Bemærk! 2 2 2 2 2 2 2 2" xfId="17814" xr:uid="{00000000-0005-0000-0000-00009B630000}"/>
    <cellStyle name="Bemærk! 2 2 2 2 2 2 2 2 2" xfId="35974" xr:uid="{00000000-0005-0000-0000-00009C630000}"/>
    <cellStyle name="Bemærk! 2 2 2 2 2 2 2 3" xfId="28973" xr:uid="{00000000-0005-0000-0000-00009D630000}"/>
    <cellStyle name="Bemærk! 2 2 2 2 3" xfId="6984" xr:uid="{00000000-0005-0000-0000-00009E630000}"/>
    <cellStyle name="Bemærk! 2 2 2 2 3 2" xfId="6985" xr:uid="{00000000-0005-0000-0000-00009F630000}"/>
    <cellStyle name="Bemærk! 2 2 2 2 3 2 2" xfId="10843" xr:uid="{00000000-0005-0000-0000-0000A0630000}"/>
    <cellStyle name="Bemærk! 2 2 2 2 3 2 2 2" xfId="18729" xr:uid="{00000000-0005-0000-0000-0000A1630000}"/>
    <cellStyle name="Bemærk! 2 2 2 2 3 2 2 2 2" xfId="36889" xr:uid="{00000000-0005-0000-0000-0000A2630000}"/>
    <cellStyle name="Bemærk! 2 2 2 2 3 2 2 3" xfId="29888" xr:uid="{00000000-0005-0000-0000-0000A3630000}"/>
    <cellStyle name="Bemærk! 2 2 2 2 3 3" xfId="8484" xr:uid="{00000000-0005-0000-0000-0000A4630000}"/>
    <cellStyle name="Bemærk! 2 2 2 2 3 3 2" xfId="16401" xr:uid="{00000000-0005-0000-0000-0000A5630000}"/>
    <cellStyle name="Bemærk! 2 2 2 2 3 3 2 2" xfId="34561" xr:uid="{00000000-0005-0000-0000-0000A6630000}"/>
    <cellStyle name="Bemærk! 2 2 2 2 3 3 3" xfId="27560" xr:uid="{00000000-0005-0000-0000-0000A7630000}"/>
    <cellStyle name="Bemærk! 2 2 2 2 4" xfId="6986" xr:uid="{00000000-0005-0000-0000-0000A8630000}"/>
    <cellStyle name="Bemærk! 2 2 2 2 4 2" xfId="9143" xr:uid="{00000000-0005-0000-0000-0000A9630000}"/>
    <cellStyle name="Bemærk! 2 2 2 2 4 2 2" xfId="17054" xr:uid="{00000000-0005-0000-0000-0000AA630000}"/>
    <cellStyle name="Bemærk! 2 2 2 2 4 2 2 2" xfId="35214" xr:uid="{00000000-0005-0000-0000-0000AB630000}"/>
    <cellStyle name="Bemærk! 2 2 2 2 4 2 3" xfId="28213" xr:uid="{00000000-0005-0000-0000-0000AC630000}"/>
    <cellStyle name="Bemærk! 2 2 2 2 5" xfId="6981" xr:uid="{00000000-0005-0000-0000-0000AD630000}"/>
    <cellStyle name="Bemærk! 2 2 2 2 6" xfId="22078" xr:uid="{00000000-0005-0000-0000-0000AE630000}"/>
    <cellStyle name="Bemærk! 2 2 2 3" xfId="6987" xr:uid="{00000000-0005-0000-0000-0000AF630000}"/>
    <cellStyle name="Bemærk! 2 2 2 3 2" xfId="6988" xr:uid="{00000000-0005-0000-0000-0000B0630000}"/>
    <cellStyle name="Bemærk! 2 2 2 3 2 2" xfId="6989" xr:uid="{00000000-0005-0000-0000-0000B1630000}"/>
    <cellStyle name="Bemærk! 2 2 2 3 2 2 2" xfId="10064" xr:uid="{00000000-0005-0000-0000-0000B2630000}"/>
    <cellStyle name="Bemærk! 2 2 2 3 2 2 2 2" xfId="17965" xr:uid="{00000000-0005-0000-0000-0000B3630000}"/>
    <cellStyle name="Bemærk! 2 2 2 3 2 2 2 2 2" xfId="36125" xr:uid="{00000000-0005-0000-0000-0000B4630000}"/>
    <cellStyle name="Bemærk! 2 2 2 3 2 2 2 3" xfId="29124" xr:uid="{00000000-0005-0000-0000-0000B5630000}"/>
    <cellStyle name="Bemærk! 2 2 2 3 3" xfId="6990" xr:uid="{00000000-0005-0000-0000-0000B6630000}"/>
    <cellStyle name="Bemærk! 2 2 2 3 3 2" xfId="6991" xr:uid="{00000000-0005-0000-0000-0000B7630000}"/>
    <cellStyle name="Bemærk! 2 2 2 3 3 2 2" xfId="10628" xr:uid="{00000000-0005-0000-0000-0000B8630000}"/>
    <cellStyle name="Bemærk! 2 2 2 3 3 2 2 2" xfId="18521" xr:uid="{00000000-0005-0000-0000-0000B9630000}"/>
    <cellStyle name="Bemærk! 2 2 2 3 3 2 2 2 2" xfId="36681" xr:uid="{00000000-0005-0000-0000-0000BA630000}"/>
    <cellStyle name="Bemærk! 2 2 2 3 3 2 2 3" xfId="29680" xr:uid="{00000000-0005-0000-0000-0000BB630000}"/>
    <cellStyle name="Bemærk! 2 2 2 3 3 3" xfId="8613" xr:uid="{00000000-0005-0000-0000-0000BC630000}"/>
    <cellStyle name="Bemærk! 2 2 2 3 3 3 2" xfId="16527" xr:uid="{00000000-0005-0000-0000-0000BD630000}"/>
    <cellStyle name="Bemærk! 2 2 2 3 3 3 2 2" xfId="34687" xr:uid="{00000000-0005-0000-0000-0000BE630000}"/>
    <cellStyle name="Bemærk! 2 2 2 3 3 3 3" xfId="27686" xr:uid="{00000000-0005-0000-0000-0000BF630000}"/>
    <cellStyle name="Bemærk! 2 2 2 3 4" xfId="6992" xr:uid="{00000000-0005-0000-0000-0000C0630000}"/>
    <cellStyle name="Bemærk! 2 2 2 3 4 2" xfId="9295" xr:uid="{00000000-0005-0000-0000-0000C1630000}"/>
    <cellStyle name="Bemærk! 2 2 2 3 4 2 2" xfId="17206" xr:uid="{00000000-0005-0000-0000-0000C2630000}"/>
    <cellStyle name="Bemærk! 2 2 2 3 4 2 2 2" xfId="35366" xr:uid="{00000000-0005-0000-0000-0000C3630000}"/>
    <cellStyle name="Bemærk! 2 2 2 3 4 2 3" xfId="28365" xr:uid="{00000000-0005-0000-0000-0000C4630000}"/>
    <cellStyle name="Bemærk! 2 2 2 4" xfId="6993" xr:uid="{00000000-0005-0000-0000-0000C5630000}"/>
    <cellStyle name="Bemærk! 2 2 2 4 2" xfId="6994" xr:uid="{00000000-0005-0000-0000-0000C6630000}"/>
    <cellStyle name="Bemærk! 2 2 2 4 2 2" xfId="6995" xr:uid="{00000000-0005-0000-0000-0000C7630000}"/>
    <cellStyle name="Bemærk! 2 2 2 4 2 2 2" xfId="10151" xr:uid="{00000000-0005-0000-0000-0000C8630000}"/>
    <cellStyle name="Bemærk! 2 2 2 4 2 2 2 2" xfId="18052" xr:uid="{00000000-0005-0000-0000-0000C9630000}"/>
    <cellStyle name="Bemærk! 2 2 2 4 2 2 2 2 2" xfId="36212" xr:uid="{00000000-0005-0000-0000-0000CA630000}"/>
    <cellStyle name="Bemærk! 2 2 2 4 2 2 2 3" xfId="29211" xr:uid="{00000000-0005-0000-0000-0000CB630000}"/>
    <cellStyle name="Bemærk! 2 2 2 4 3" xfId="6996" xr:uid="{00000000-0005-0000-0000-0000CC630000}"/>
    <cellStyle name="Bemærk! 2 2 2 4 3 2" xfId="6997" xr:uid="{00000000-0005-0000-0000-0000CD630000}"/>
    <cellStyle name="Bemærk! 2 2 2 4 3 2 2" xfId="10493" xr:uid="{00000000-0005-0000-0000-0000CE630000}"/>
    <cellStyle name="Bemærk! 2 2 2 4 3 2 2 2" xfId="18389" xr:uid="{00000000-0005-0000-0000-0000CF630000}"/>
    <cellStyle name="Bemærk! 2 2 2 4 3 2 2 2 2" xfId="36549" xr:uid="{00000000-0005-0000-0000-0000D0630000}"/>
    <cellStyle name="Bemærk! 2 2 2 4 3 2 2 3" xfId="29548" xr:uid="{00000000-0005-0000-0000-0000D1630000}"/>
    <cellStyle name="Bemærk! 2 2 2 4 3 3" xfId="8686" xr:uid="{00000000-0005-0000-0000-0000D2630000}"/>
    <cellStyle name="Bemærk! 2 2 2 4 3 3 2" xfId="16600" xr:uid="{00000000-0005-0000-0000-0000D3630000}"/>
    <cellStyle name="Bemærk! 2 2 2 4 3 3 2 2" xfId="34760" xr:uid="{00000000-0005-0000-0000-0000D4630000}"/>
    <cellStyle name="Bemærk! 2 2 2 4 3 3 3" xfId="27759" xr:uid="{00000000-0005-0000-0000-0000D5630000}"/>
    <cellStyle name="Bemærk! 2 2 2 4 4" xfId="6998" xr:uid="{00000000-0005-0000-0000-0000D6630000}"/>
    <cellStyle name="Bemærk! 2 2 2 4 4 2" xfId="9427" xr:uid="{00000000-0005-0000-0000-0000D7630000}"/>
    <cellStyle name="Bemærk! 2 2 2 4 4 2 2" xfId="17337" xr:uid="{00000000-0005-0000-0000-0000D8630000}"/>
    <cellStyle name="Bemærk! 2 2 2 4 4 2 2 2" xfId="35497" xr:uid="{00000000-0005-0000-0000-0000D9630000}"/>
    <cellStyle name="Bemærk! 2 2 2 4 4 2 3" xfId="28496" xr:uid="{00000000-0005-0000-0000-0000DA630000}"/>
    <cellStyle name="Bemærk! 2 2 2 5" xfId="6999" xr:uid="{00000000-0005-0000-0000-0000DB630000}"/>
    <cellStyle name="Bemærk! 2 2 2 5 2" xfId="7000" xr:uid="{00000000-0005-0000-0000-0000DC630000}"/>
    <cellStyle name="Bemærk! 2 2 2 5 2 2" xfId="7001" xr:uid="{00000000-0005-0000-0000-0000DD630000}"/>
    <cellStyle name="Bemærk! 2 2 2 5 2 2 2" xfId="10268" xr:uid="{00000000-0005-0000-0000-0000DE630000}"/>
    <cellStyle name="Bemærk! 2 2 2 5 2 2 2 2" xfId="18169" xr:uid="{00000000-0005-0000-0000-0000DF630000}"/>
    <cellStyle name="Bemærk! 2 2 2 5 2 2 2 2 2" xfId="36329" xr:uid="{00000000-0005-0000-0000-0000E0630000}"/>
    <cellStyle name="Bemærk! 2 2 2 5 2 2 2 3" xfId="29328" xr:uid="{00000000-0005-0000-0000-0000E1630000}"/>
    <cellStyle name="Bemærk! 2 2 2 5 3" xfId="7002" xr:uid="{00000000-0005-0000-0000-0000E2630000}"/>
    <cellStyle name="Bemærk! 2 2 2 5 3 2" xfId="7003" xr:uid="{00000000-0005-0000-0000-0000E3630000}"/>
    <cellStyle name="Bemærk! 2 2 2 5 3 2 2" xfId="10441" xr:uid="{00000000-0005-0000-0000-0000E4630000}"/>
    <cellStyle name="Bemærk! 2 2 2 5 3 2 2 2" xfId="18338" xr:uid="{00000000-0005-0000-0000-0000E5630000}"/>
    <cellStyle name="Bemærk! 2 2 2 5 3 2 2 2 2" xfId="36498" xr:uid="{00000000-0005-0000-0000-0000E6630000}"/>
    <cellStyle name="Bemærk! 2 2 2 5 3 2 2 3" xfId="29497" xr:uid="{00000000-0005-0000-0000-0000E7630000}"/>
    <cellStyle name="Bemærk! 2 2 2 5 3 3" xfId="8785" xr:uid="{00000000-0005-0000-0000-0000E8630000}"/>
    <cellStyle name="Bemærk! 2 2 2 5 3 3 2" xfId="16699" xr:uid="{00000000-0005-0000-0000-0000E9630000}"/>
    <cellStyle name="Bemærk! 2 2 2 5 3 3 2 2" xfId="34859" xr:uid="{00000000-0005-0000-0000-0000EA630000}"/>
    <cellStyle name="Bemærk! 2 2 2 5 3 3 3" xfId="27858" xr:uid="{00000000-0005-0000-0000-0000EB630000}"/>
    <cellStyle name="Bemærk! 2 2 2 5 4" xfId="7004" xr:uid="{00000000-0005-0000-0000-0000EC630000}"/>
    <cellStyle name="Bemærk! 2 2 2 5 4 2" xfId="9544" xr:uid="{00000000-0005-0000-0000-0000ED630000}"/>
    <cellStyle name="Bemærk! 2 2 2 5 4 2 2" xfId="17454" xr:uid="{00000000-0005-0000-0000-0000EE630000}"/>
    <cellStyle name="Bemærk! 2 2 2 5 4 2 2 2" xfId="35614" xr:uid="{00000000-0005-0000-0000-0000EF630000}"/>
    <cellStyle name="Bemærk! 2 2 2 5 4 2 3" xfId="28613" xr:uid="{00000000-0005-0000-0000-0000F0630000}"/>
    <cellStyle name="Bemærk! 2 2 2 6" xfId="7005" xr:uid="{00000000-0005-0000-0000-0000F1630000}"/>
    <cellStyle name="Bemærk! 2 2 2 6 2" xfId="7006" xr:uid="{00000000-0005-0000-0000-0000F2630000}"/>
    <cellStyle name="Bemærk! 2 2 2 6 2 2" xfId="7007" xr:uid="{00000000-0005-0000-0000-0000F3630000}"/>
    <cellStyle name="Bemærk! 2 2 2 6 2 2 2" xfId="10418" xr:uid="{00000000-0005-0000-0000-0000F4630000}"/>
    <cellStyle name="Bemærk! 2 2 2 6 2 2 2 2" xfId="18319" xr:uid="{00000000-0005-0000-0000-0000F5630000}"/>
    <cellStyle name="Bemærk! 2 2 2 6 2 2 2 2 2" xfId="36479" xr:uid="{00000000-0005-0000-0000-0000F6630000}"/>
    <cellStyle name="Bemærk! 2 2 2 6 2 2 2 3" xfId="29478" xr:uid="{00000000-0005-0000-0000-0000F7630000}"/>
    <cellStyle name="Bemærk! 2 2 2 6 3" xfId="7008" xr:uid="{00000000-0005-0000-0000-0000F8630000}"/>
    <cellStyle name="Bemærk! 2 2 2 6 3 2" xfId="7009" xr:uid="{00000000-0005-0000-0000-0000F9630000}"/>
    <cellStyle name="Bemærk! 2 2 2 6 3 2 2" xfId="11030" xr:uid="{00000000-0005-0000-0000-0000FA630000}"/>
    <cellStyle name="Bemærk! 2 2 2 6 3 2 2 2" xfId="18906" xr:uid="{00000000-0005-0000-0000-0000FB630000}"/>
    <cellStyle name="Bemærk! 2 2 2 6 3 2 2 2 2" xfId="37066" xr:uid="{00000000-0005-0000-0000-0000FC630000}"/>
    <cellStyle name="Bemærk! 2 2 2 6 3 2 2 3" xfId="30065" xr:uid="{00000000-0005-0000-0000-0000FD630000}"/>
    <cellStyle name="Bemærk! 2 2 2 6 3 3" xfId="8911" xr:uid="{00000000-0005-0000-0000-0000FE630000}"/>
    <cellStyle name="Bemærk! 2 2 2 6 3 3 2" xfId="16825" xr:uid="{00000000-0005-0000-0000-0000FF630000}"/>
    <cellStyle name="Bemærk! 2 2 2 6 3 3 2 2" xfId="34985" xr:uid="{00000000-0005-0000-0000-000000640000}"/>
    <cellStyle name="Bemærk! 2 2 2 6 3 3 3" xfId="27984" xr:uid="{00000000-0005-0000-0000-000001640000}"/>
    <cellStyle name="Bemærk! 2 2 2 6 4" xfId="7010" xr:uid="{00000000-0005-0000-0000-000002640000}"/>
    <cellStyle name="Bemærk! 2 2 2 6 4 2" xfId="9695" xr:uid="{00000000-0005-0000-0000-000003640000}"/>
    <cellStyle name="Bemærk! 2 2 2 6 4 2 2" xfId="17605" xr:uid="{00000000-0005-0000-0000-000004640000}"/>
    <cellStyle name="Bemærk! 2 2 2 6 4 2 2 2" xfId="35765" xr:uid="{00000000-0005-0000-0000-000005640000}"/>
    <cellStyle name="Bemærk! 2 2 2 6 4 2 3" xfId="28764" xr:uid="{00000000-0005-0000-0000-000006640000}"/>
    <cellStyle name="Bemærk! 2 2 2 7" xfId="7011" xr:uid="{00000000-0005-0000-0000-000007640000}"/>
    <cellStyle name="Bemærk! 2 2 2 7 2" xfId="7012" xr:uid="{00000000-0005-0000-0000-000008640000}"/>
    <cellStyle name="Bemærk! 2 2 2 7 2 2" xfId="9794" xr:uid="{00000000-0005-0000-0000-000009640000}"/>
    <cellStyle name="Bemærk! 2 2 2 7 2 2 2" xfId="17695" xr:uid="{00000000-0005-0000-0000-00000A640000}"/>
    <cellStyle name="Bemærk! 2 2 2 7 2 2 2 2" xfId="35855" xr:uid="{00000000-0005-0000-0000-00000B640000}"/>
    <cellStyle name="Bemærk! 2 2 2 7 2 2 3" xfId="28854" xr:uid="{00000000-0005-0000-0000-00000C640000}"/>
    <cellStyle name="Bemærk! 2 2 2 8" xfId="7013" xr:uid="{00000000-0005-0000-0000-00000D640000}"/>
    <cellStyle name="Bemærk! 2 2 2 8 2" xfId="7014" xr:uid="{00000000-0005-0000-0000-00000E640000}"/>
    <cellStyle name="Bemærk! 2 2 2 8 2 2" xfId="10643" xr:uid="{00000000-0005-0000-0000-00000F640000}"/>
    <cellStyle name="Bemærk! 2 2 2 8 2 2 2" xfId="18536" xr:uid="{00000000-0005-0000-0000-000010640000}"/>
    <cellStyle name="Bemærk! 2 2 2 8 2 2 2 2" xfId="36696" xr:uid="{00000000-0005-0000-0000-000011640000}"/>
    <cellStyle name="Bemærk! 2 2 2 8 2 2 3" xfId="29695" xr:uid="{00000000-0005-0000-0000-000012640000}"/>
    <cellStyle name="Bemærk! 2 2 2 8 3" xfId="8385" xr:uid="{00000000-0005-0000-0000-000013640000}"/>
    <cellStyle name="Bemærk! 2 2 2 8 3 2" xfId="16302" xr:uid="{00000000-0005-0000-0000-000014640000}"/>
    <cellStyle name="Bemærk! 2 2 2 8 3 2 2" xfId="34462" xr:uid="{00000000-0005-0000-0000-000015640000}"/>
    <cellStyle name="Bemærk! 2 2 2 8 3 3" xfId="27461" xr:uid="{00000000-0005-0000-0000-000016640000}"/>
    <cellStyle name="Bemærk! 2 2 2 9" xfId="7015" xr:uid="{00000000-0005-0000-0000-000017640000}"/>
    <cellStyle name="Bemærk! 2 2 2 9 2" xfId="9022" xr:uid="{00000000-0005-0000-0000-000018640000}"/>
    <cellStyle name="Bemærk! 2 2 2 9 2 2" xfId="16933" xr:uid="{00000000-0005-0000-0000-000019640000}"/>
    <cellStyle name="Bemærk! 2 2 2 9 2 2 2" xfId="35093" xr:uid="{00000000-0005-0000-0000-00001A640000}"/>
    <cellStyle name="Bemærk! 2 2 2 9 2 3" xfId="28092" xr:uid="{00000000-0005-0000-0000-00001B640000}"/>
    <cellStyle name="Bemærk! 2 2 3" xfId="1979" xr:uid="{00000000-0005-0000-0000-00001C640000}"/>
    <cellStyle name="Bemærk! 2 2 3 10" xfId="7016" xr:uid="{00000000-0005-0000-0000-00001D640000}"/>
    <cellStyle name="Bemærk! 2 2 3 11" xfId="22079" xr:uid="{00000000-0005-0000-0000-00001E640000}"/>
    <cellStyle name="Bemærk! 2 2 3 2" xfId="1980" xr:uid="{00000000-0005-0000-0000-00001F640000}"/>
    <cellStyle name="Bemærk! 2 2 3 2 2" xfId="7018" xr:uid="{00000000-0005-0000-0000-000020640000}"/>
    <cellStyle name="Bemærk! 2 2 3 2 2 2" xfId="7019" xr:uid="{00000000-0005-0000-0000-000021640000}"/>
    <cellStyle name="Bemærk! 2 2 3 2 2 2 2" xfId="9952" xr:uid="{00000000-0005-0000-0000-000022640000}"/>
    <cellStyle name="Bemærk! 2 2 3 2 2 2 2 2" xfId="17853" xr:uid="{00000000-0005-0000-0000-000023640000}"/>
    <cellStyle name="Bemærk! 2 2 3 2 2 2 2 2 2" xfId="36013" xr:uid="{00000000-0005-0000-0000-000024640000}"/>
    <cellStyle name="Bemærk! 2 2 3 2 2 2 2 3" xfId="29012" xr:uid="{00000000-0005-0000-0000-000025640000}"/>
    <cellStyle name="Bemærk! 2 2 3 2 3" xfId="7020" xr:uid="{00000000-0005-0000-0000-000026640000}"/>
    <cellStyle name="Bemærk! 2 2 3 2 3 2" xfId="7021" xr:uid="{00000000-0005-0000-0000-000027640000}"/>
    <cellStyle name="Bemærk! 2 2 3 2 3 2 2" xfId="10620" xr:uid="{00000000-0005-0000-0000-000028640000}"/>
    <cellStyle name="Bemærk! 2 2 3 2 3 2 2 2" xfId="18513" xr:uid="{00000000-0005-0000-0000-000029640000}"/>
    <cellStyle name="Bemærk! 2 2 3 2 3 2 2 2 2" xfId="36673" xr:uid="{00000000-0005-0000-0000-00002A640000}"/>
    <cellStyle name="Bemærk! 2 2 3 2 3 2 2 3" xfId="29672" xr:uid="{00000000-0005-0000-0000-00002B640000}"/>
    <cellStyle name="Bemærk! 2 2 3 2 3 3" xfId="8517" xr:uid="{00000000-0005-0000-0000-00002C640000}"/>
    <cellStyle name="Bemærk! 2 2 3 2 3 3 2" xfId="16434" xr:uid="{00000000-0005-0000-0000-00002D640000}"/>
    <cellStyle name="Bemærk! 2 2 3 2 3 3 2 2" xfId="34594" xr:uid="{00000000-0005-0000-0000-00002E640000}"/>
    <cellStyle name="Bemærk! 2 2 3 2 3 3 3" xfId="27593" xr:uid="{00000000-0005-0000-0000-00002F640000}"/>
    <cellStyle name="Bemærk! 2 2 3 2 4" xfId="7022" xr:uid="{00000000-0005-0000-0000-000030640000}"/>
    <cellStyle name="Bemærk! 2 2 3 2 4 2" xfId="9182" xr:uid="{00000000-0005-0000-0000-000031640000}"/>
    <cellStyle name="Bemærk! 2 2 3 2 4 2 2" xfId="17093" xr:uid="{00000000-0005-0000-0000-000032640000}"/>
    <cellStyle name="Bemærk! 2 2 3 2 4 2 2 2" xfId="35253" xr:uid="{00000000-0005-0000-0000-000033640000}"/>
    <cellStyle name="Bemærk! 2 2 3 2 4 2 3" xfId="28252" xr:uid="{00000000-0005-0000-0000-000034640000}"/>
    <cellStyle name="Bemærk! 2 2 3 2 5" xfId="7017" xr:uid="{00000000-0005-0000-0000-000035640000}"/>
    <cellStyle name="Bemærk! 2 2 3 2 6" xfId="22080" xr:uid="{00000000-0005-0000-0000-000036640000}"/>
    <cellStyle name="Bemærk! 2 2 3 3" xfId="7023" xr:uid="{00000000-0005-0000-0000-000037640000}"/>
    <cellStyle name="Bemærk! 2 2 3 3 2" xfId="7024" xr:uid="{00000000-0005-0000-0000-000038640000}"/>
    <cellStyle name="Bemærk! 2 2 3 3 2 2" xfId="7025" xr:uid="{00000000-0005-0000-0000-000039640000}"/>
    <cellStyle name="Bemærk! 2 2 3 3 2 2 2" xfId="10065" xr:uid="{00000000-0005-0000-0000-00003A640000}"/>
    <cellStyle name="Bemærk! 2 2 3 3 2 2 2 2" xfId="17966" xr:uid="{00000000-0005-0000-0000-00003B640000}"/>
    <cellStyle name="Bemærk! 2 2 3 3 2 2 2 2 2" xfId="36126" xr:uid="{00000000-0005-0000-0000-00003C640000}"/>
    <cellStyle name="Bemærk! 2 2 3 3 2 2 2 3" xfId="29125" xr:uid="{00000000-0005-0000-0000-00003D640000}"/>
    <cellStyle name="Bemærk! 2 2 3 3 3" xfId="7026" xr:uid="{00000000-0005-0000-0000-00003E640000}"/>
    <cellStyle name="Bemærk! 2 2 3 3 3 2" xfId="7027" xr:uid="{00000000-0005-0000-0000-00003F640000}"/>
    <cellStyle name="Bemærk! 2 2 3 3 3 2 2" xfId="10842" xr:uid="{00000000-0005-0000-0000-000040640000}"/>
    <cellStyle name="Bemærk! 2 2 3 3 3 2 2 2" xfId="18728" xr:uid="{00000000-0005-0000-0000-000041640000}"/>
    <cellStyle name="Bemærk! 2 2 3 3 3 2 2 2 2" xfId="36888" xr:uid="{00000000-0005-0000-0000-000042640000}"/>
    <cellStyle name="Bemærk! 2 2 3 3 3 2 2 3" xfId="29887" xr:uid="{00000000-0005-0000-0000-000043640000}"/>
    <cellStyle name="Bemærk! 2 2 3 3 3 3" xfId="8614" xr:uid="{00000000-0005-0000-0000-000044640000}"/>
    <cellStyle name="Bemærk! 2 2 3 3 3 3 2" xfId="16528" xr:uid="{00000000-0005-0000-0000-000045640000}"/>
    <cellStyle name="Bemærk! 2 2 3 3 3 3 2 2" xfId="34688" xr:uid="{00000000-0005-0000-0000-000046640000}"/>
    <cellStyle name="Bemærk! 2 2 3 3 3 3 3" xfId="27687" xr:uid="{00000000-0005-0000-0000-000047640000}"/>
    <cellStyle name="Bemærk! 2 2 3 3 4" xfId="7028" xr:uid="{00000000-0005-0000-0000-000048640000}"/>
    <cellStyle name="Bemærk! 2 2 3 3 4 2" xfId="9296" xr:uid="{00000000-0005-0000-0000-000049640000}"/>
    <cellStyle name="Bemærk! 2 2 3 3 4 2 2" xfId="17207" xr:uid="{00000000-0005-0000-0000-00004A640000}"/>
    <cellStyle name="Bemærk! 2 2 3 3 4 2 2 2" xfId="35367" xr:uid="{00000000-0005-0000-0000-00004B640000}"/>
    <cellStyle name="Bemærk! 2 2 3 3 4 2 3" xfId="28366" xr:uid="{00000000-0005-0000-0000-00004C640000}"/>
    <cellStyle name="Bemærk! 2 2 3 4" xfId="7029" xr:uid="{00000000-0005-0000-0000-00004D640000}"/>
    <cellStyle name="Bemærk! 2 2 3 4 2" xfId="7030" xr:uid="{00000000-0005-0000-0000-00004E640000}"/>
    <cellStyle name="Bemærk! 2 2 3 4 2 2" xfId="7031" xr:uid="{00000000-0005-0000-0000-00004F640000}"/>
    <cellStyle name="Bemærk! 2 2 3 4 2 2 2" xfId="10190" xr:uid="{00000000-0005-0000-0000-000050640000}"/>
    <cellStyle name="Bemærk! 2 2 3 4 2 2 2 2" xfId="18091" xr:uid="{00000000-0005-0000-0000-000051640000}"/>
    <cellStyle name="Bemærk! 2 2 3 4 2 2 2 2 2" xfId="36251" xr:uid="{00000000-0005-0000-0000-000052640000}"/>
    <cellStyle name="Bemærk! 2 2 3 4 2 2 2 3" xfId="29250" xr:uid="{00000000-0005-0000-0000-000053640000}"/>
    <cellStyle name="Bemærk! 2 2 3 4 3" xfId="7032" xr:uid="{00000000-0005-0000-0000-000054640000}"/>
    <cellStyle name="Bemærk! 2 2 3 4 3 2" xfId="7033" xr:uid="{00000000-0005-0000-0000-000055640000}"/>
    <cellStyle name="Bemærk! 2 2 3 4 3 2 2" xfId="10669" xr:uid="{00000000-0005-0000-0000-000056640000}"/>
    <cellStyle name="Bemærk! 2 2 3 4 3 2 2 2" xfId="18561" xr:uid="{00000000-0005-0000-0000-000057640000}"/>
    <cellStyle name="Bemærk! 2 2 3 4 3 2 2 2 2" xfId="36721" xr:uid="{00000000-0005-0000-0000-000058640000}"/>
    <cellStyle name="Bemærk! 2 2 3 4 3 2 2 3" xfId="29720" xr:uid="{00000000-0005-0000-0000-000059640000}"/>
    <cellStyle name="Bemærk! 2 2 3 4 3 3" xfId="8719" xr:uid="{00000000-0005-0000-0000-00005A640000}"/>
    <cellStyle name="Bemærk! 2 2 3 4 3 3 2" xfId="16633" xr:uid="{00000000-0005-0000-0000-00005B640000}"/>
    <cellStyle name="Bemærk! 2 2 3 4 3 3 2 2" xfId="34793" xr:uid="{00000000-0005-0000-0000-00005C640000}"/>
    <cellStyle name="Bemærk! 2 2 3 4 3 3 3" xfId="27792" xr:uid="{00000000-0005-0000-0000-00005D640000}"/>
    <cellStyle name="Bemærk! 2 2 3 4 4" xfId="7034" xr:uid="{00000000-0005-0000-0000-00005E640000}"/>
    <cellStyle name="Bemærk! 2 2 3 4 4 2" xfId="9466" xr:uid="{00000000-0005-0000-0000-00005F640000}"/>
    <cellStyle name="Bemærk! 2 2 3 4 4 2 2" xfId="17376" xr:uid="{00000000-0005-0000-0000-000060640000}"/>
    <cellStyle name="Bemærk! 2 2 3 4 4 2 2 2" xfId="35536" xr:uid="{00000000-0005-0000-0000-000061640000}"/>
    <cellStyle name="Bemærk! 2 2 3 4 4 2 3" xfId="28535" xr:uid="{00000000-0005-0000-0000-000062640000}"/>
    <cellStyle name="Bemærk! 2 2 3 5" xfId="7035" xr:uid="{00000000-0005-0000-0000-000063640000}"/>
    <cellStyle name="Bemærk! 2 2 3 5 2" xfId="7036" xr:uid="{00000000-0005-0000-0000-000064640000}"/>
    <cellStyle name="Bemærk! 2 2 3 5 2 2" xfId="7037" xr:uid="{00000000-0005-0000-0000-000065640000}"/>
    <cellStyle name="Bemærk! 2 2 3 5 2 2 2" xfId="10307" xr:uid="{00000000-0005-0000-0000-000066640000}"/>
    <cellStyle name="Bemærk! 2 2 3 5 2 2 2 2" xfId="18208" xr:uid="{00000000-0005-0000-0000-000067640000}"/>
    <cellStyle name="Bemærk! 2 2 3 5 2 2 2 2 2" xfId="36368" xr:uid="{00000000-0005-0000-0000-000068640000}"/>
    <cellStyle name="Bemærk! 2 2 3 5 2 2 2 3" xfId="29367" xr:uid="{00000000-0005-0000-0000-000069640000}"/>
    <cellStyle name="Bemærk! 2 2 3 5 3" xfId="7038" xr:uid="{00000000-0005-0000-0000-00006A640000}"/>
    <cellStyle name="Bemærk! 2 2 3 5 3 2" xfId="7039" xr:uid="{00000000-0005-0000-0000-00006B640000}"/>
    <cellStyle name="Bemærk! 2 2 3 5 3 2 2" xfId="11027" xr:uid="{00000000-0005-0000-0000-00006C640000}"/>
    <cellStyle name="Bemærk! 2 2 3 5 3 2 2 2" xfId="18903" xr:uid="{00000000-0005-0000-0000-00006D640000}"/>
    <cellStyle name="Bemærk! 2 2 3 5 3 2 2 2 2" xfId="37063" xr:uid="{00000000-0005-0000-0000-00006E640000}"/>
    <cellStyle name="Bemærk! 2 2 3 5 3 2 2 3" xfId="30062" xr:uid="{00000000-0005-0000-0000-00006F640000}"/>
    <cellStyle name="Bemærk! 2 2 3 5 3 3" xfId="8818" xr:uid="{00000000-0005-0000-0000-000070640000}"/>
    <cellStyle name="Bemærk! 2 2 3 5 3 3 2" xfId="16732" xr:uid="{00000000-0005-0000-0000-000071640000}"/>
    <cellStyle name="Bemærk! 2 2 3 5 3 3 2 2" xfId="34892" xr:uid="{00000000-0005-0000-0000-000072640000}"/>
    <cellStyle name="Bemærk! 2 2 3 5 3 3 3" xfId="27891" xr:uid="{00000000-0005-0000-0000-000073640000}"/>
    <cellStyle name="Bemærk! 2 2 3 5 4" xfId="7040" xr:uid="{00000000-0005-0000-0000-000074640000}"/>
    <cellStyle name="Bemærk! 2 2 3 5 4 2" xfId="9583" xr:uid="{00000000-0005-0000-0000-000075640000}"/>
    <cellStyle name="Bemærk! 2 2 3 5 4 2 2" xfId="17493" xr:uid="{00000000-0005-0000-0000-000076640000}"/>
    <cellStyle name="Bemærk! 2 2 3 5 4 2 2 2" xfId="35653" xr:uid="{00000000-0005-0000-0000-000077640000}"/>
    <cellStyle name="Bemærk! 2 2 3 5 4 2 3" xfId="28652" xr:uid="{00000000-0005-0000-0000-000078640000}"/>
    <cellStyle name="Bemærk! 2 2 3 6" xfId="7041" xr:uid="{00000000-0005-0000-0000-000079640000}"/>
    <cellStyle name="Bemærk! 2 2 3 6 2" xfId="7042" xr:uid="{00000000-0005-0000-0000-00007A640000}"/>
    <cellStyle name="Bemærk! 2 2 3 6 2 2" xfId="7043" xr:uid="{00000000-0005-0000-0000-00007B640000}"/>
    <cellStyle name="Bemærk! 2 2 3 6 2 2 2" xfId="10419" xr:uid="{00000000-0005-0000-0000-00007C640000}"/>
    <cellStyle name="Bemærk! 2 2 3 6 2 2 2 2" xfId="18320" xr:uid="{00000000-0005-0000-0000-00007D640000}"/>
    <cellStyle name="Bemærk! 2 2 3 6 2 2 2 2 2" xfId="36480" xr:uid="{00000000-0005-0000-0000-00007E640000}"/>
    <cellStyle name="Bemærk! 2 2 3 6 2 2 2 3" xfId="29479" xr:uid="{00000000-0005-0000-0000-00007F640000}"/>
    <cellStyle name="Bemærk! 2 2 3 6 3" xfId="7044" xr:uid="{00000000-0005-0000-0000-000080640000}"/>
    <cellStyle name="Bemærk! 2 2 3 6 3 2" xfId="7045" xr:uid="{00000000-0005-0000-0000-000081640000}"/>
    <cellStyle name="Bemærk! 2 2 3 6 3 2 2" xfId="11031" xr:uid="{00000000-0005-0000-0000-000082640000}"/>
    <cellStyle name="Bemærk! 2 2 3 6 3 2 2 2" xfId="18907" xr:uid="{00000000-0005-0000-0000-000083640000}"/>
    <cellStyle name="Bemærk! 2 2 3 6 3 2 2 2 2" xfId="37067" xr:uid="{00000000-0005-0000-0000-000084640000}"/>
    <cellStyle name="Bemærk! 2 2 3 6 3 2 2 3" xfId="30066" xr:uid="{00000000-0005-0000-0000-000085640000}"/>
    <cellStyle name="Bemærk! 2 2 3 6 3 3" xfId="8912" xr:uid="{00000000-0005-0000-0000-000086640000}"/>
    <cellStyle name="Bemærk! 2 2 3 6 3 3 2" xfId="16826" xr:uid="{00000000-0005-0000-0000-000087640000}"/>
    <cellStyle name="Bemærk! 2 2 3 6 3 3 2 2" xfId="34986" xr:uid="{00000000-0005-0000-0000-000088640000}"/>
    <cellStyle name="Bemærk! 2 2 3 6 3 3 3" xfId="27985" xr:uid="{00000000-0005-0000-0000-000089640000}"/>
    <cellStyle name="Bemærk! 2 2 3 6 4" xfId="7046" xr:uid="{00000000-0005-0000-0000-00008A640000}"/>
    <cellStyle name="Bemærk! 2 2 3 6 4 2" xfId="9696" xr:uid="{00000000-0005-0000-0000-00008B640000}"/>
    <cellStyle name="Bemærk! 2 2 3 6 4 2 2" xfId="17606" xr:uid="{00000000-0005-0000-0000-00008C640000}"/>
    <cellStyle name="Bemærk! 2 2 3 6 4 2 2 2" xfId="35766" xr:uid="{00000000-0005-0000-0000-00008D640000}"/>
    <cellStyle name="Bemærk! 2 2 3 6 4 2 3" xfId="28765" xr:uid="{00000000-0005-0000-0000-00008E640000}"/>
    <cellStyle name="Bemærk! 2 2 3 7" xfId="7047" xr:uid="{00000000-0005-0000-0000-00008F640000}"/>
    <cellStyle name="Bemærk! 2 2 3 7 2" xfId="7048" xr:uid="{00000000-0005-0000-0000-000090640000}"/>
    <cellStyle name="Bemærk! 2 2 3 7 2 2" xfId="9833" xr:uid="{00000000-0005-0000-0000-000091640000}"/>
    <cellStyle name="Bemærk! 2 2 3 7 2 2 2" xfId="17734" xr:uid="{00000000-0005-0000-0000-000092640000}"/>
    <cellStyle name="Bemærk! 2 2 3 7 2 2 2 2" xfId="35894" xr:uid="{00000000-0005-0000-0000-000093640000}"/>
    <cellStyle name="Bemærk! 2 2 3 7 2 2 3" xfId="28893" xr:uid="{00000000-0005-0000-0000-000094640000}"/>
    <cellStyle name="Bemærk! 2 2 3 8" xfId="7049" xr:uid="{00000000-0005-0000-0000-000095640000}"/>
    <cellStyle name="Bemærk! 2 2 3 8 2" xfId="7050" xr:uid="{00000000-0005-0000-0000-000096640000}"/>
    <cellStyle name="Bemærk! 2 2 3 8 2 2" xfId="10690" xr:uid="{00000000-0005-0000-0000-000097640000}"/>
    <cellStyle name="Bemærk! 2 2 3 8 2 2 2" xfId="18581" xr:uid="{00000000-0005-0000-0000-000098640000}"/>
    <cellStyle name="Bemærk! 2 2 3 8 2 2 2 2" xfId="36741" xr:uid="{00000000-0005-0000-0000-000099640000}"/>
    <cellStyle name="Bemærk! 2 2 3 8 2 2 3" xfId="29740" xr:uid="{00000000-0005-0000-0000-00009A640000}"/>
    <cellStyle name="Bemærk! 2 2 3 8 3" xfId="8418" xr:uid="{00000000-0005-0000-0000-00009B640000}"/>
    <cellStyle name="Bemærk! 2 2 3 8 3 2" xfId="16335" xr:uid="{00000000-0005-0000-0000-00009C640000}"/>
    <cellStyle name="Bemærk! 2 2 3 8 3 2 2" xfId="34495" xr:uid="{00000000-0005-0000-0000-00009D640000}"/>
    <cellStyle name="Bemærk! 2 2 3 8 3 3" xfId="27494" xr:uid="{00000000-0005-0000-0000-00009E640000}"/>
    <cellStyle name="Bemærk! 2 2 3 9" xfId="7051" xr:uid="{00000000-0005-0000-0000-00009F640000}"/>
    <cellStyle name="Bemærk! 2 2 3 9 2" xfId="9061" xr:uid="{00000000-0005-0000-0000-0000A0640000}"/>
    <cellStyle name="Bemærk! 2 2 3 9 2 2" xfId="16972" xr:uid="{00000000-0005-0000-0000-0000A1640000}"/>
    <cellStyle name="Bemærk! 2 2 3 9 2 2 2" xfId="35132" xr:uid="{00000000-0005-0000-0000-0000A2640000}"/>
    <cellStyle name="Bemærk! 2 2 3 9 2 3" xfId="28131" xr:uid="{00000000-0005-0000-0000-0000A3640000}"/>
    <cellStyle name="Bemærk! 2 2 4" xfId="1981" xr:uid="{00000000-0005-0000-0000-0000A4640000}"/>
    <cellStyle name="Bemærk! 2 2 4 2" xfId="7053" xr:uid="{00000000-0005-0000-0000-0000A5640000}"/>
    <cellStyle name="Bemærk! 2 2 4 2 2" xfId="7054" xr:uid="{00000000-0005-0000-0000-0000A6640000}"/>
    <cellStyle name="Bemærk! 2 2 4 2 2 2" xfId="9874" xr:uid="{00000000-0005-0000-0000-0000A7640000}"/>
    <cellStyle name="Bemærk! 2 2 4 2 2 2 2" xfId="17775" xr:uid="{00000000-0005-0000-0000-0000A8640000}"/>
    <cellStyle name="Bemærk! 2 2 4 2 2 2 2 2" xfId="35935" xr:uid="{00000000-0005-0000-0000-0000A9640000}"/>
    <cellStyle name="Bemærk! 2 2 4 2 2 2 3" xfId="28934" xr:uid="{00000000-0005-0000-0000-0000AA640000}"/>
    <cellStyle name="Bemærk! 2 2 4 3" xfId="7055" xr:uid="{00000000-0005-0000-0000-0000AB640000}"/>
    <cellStyle name="Bemærk! 2 2 4 3 2" xfId="7056" xr:uid="{00000000-0005-0000-0000-0000AC640000}"/>
    <cellStyle name="Bemærk! 2 2 4 3 2 2" xfId="10977" xr:uid="{00000000-0005-0000-0000-0000AD640000}"/>
    <cellStyle name="Bemærk! 2 2 4 3 2 2 2" xfId="18856" xr:uid="{00000000-0005-0000-0000-0000AE640000}"/>
    <cellStyle name="Bemærk! 2 2 4 3 2 2 2 2" xfId="37016" xr:uid="{00000000-0005-0000-0000-0000AF640000}"/>
    <cellStyle name="Bemærk! 2 2 4 3 2 2 3" xfId="30015" xr:uid="{00000000-0005-0000-0000-0000B0640000}"/>
    <cellStyle name="Bemærk! 2 2 4 3 3" xfId="8451" xr:uid="{00000000-0005-0000-0000-0000B1640000}"/>
    <cellStyle name="Bemærk! 2 2 4 3 3 2" xfId="16368" xr:uid="{00000000-0005-0000-0000-0000B2640000}"/>
    <cellStyle name="Bemærk! 2 2 4 3 3 2 2" xfId="34528" xr:uid="{00000000-0005-0000-0000-0000B3640000}"/>
    <cellStyle name="Bemærk! 2 2 4 3 3 3" xfId="27527" xr:uid="{00000000-0005-0000-0000-0000B4640000}"/>
    <cellStyle name="Bemærk! 2 2 4 4" xfId="7057" xr:uid="{00000000-0005-0000-0000-0000B5640000}"/>
    <cellStyle name="Bemærk! 2 2 4 4 2" xfId="9104" xr:uid="{00000000-0005-0000-0000-0000B6640000}"/>
    <cellStyle name="Bemærk! 2 2 4 4 2 2" xfId="17015" xr:uid="{00000000-0005-0000-0000-0000B7640000}"/>
    <cellStyle name="Bemærk! 2 2 4 4 2 2 2" xfId="35175" xr:uid="{00000000-0005-0000-0000-0000B8640000}"/>
    <cellStyle name="Bemærk! 2 2 4 4 2 3" xfId="28174" xr:uid="{00000000-0005-0000-0000-0000B9640000}"/>
    <cellStyle name="Bemærk! 2 2 4 5" xfId="7052" xr:uid="{00000000-0005-0000-0000-0000BA640000}"/>
    <cellStyle name="Bemærk! 2 2 4 6" xfId="22081" xr:uid="{00000000-0005-0000-0000-0000BB640000}"/>
    <cellStyle name="Bemærk! 2 2 5" xfId="7058" xr:uid="{00000000-0005-0000-0000-0000BC640000}"/>
    <cellStyle name="Bemærk! 2 2 5 2" xfId="7059" xr:uid="{00000000-0005-0000-0000-0000BD640000}"/>
    <cellStyle name="Bemærk! 2 2 5 2 2" xfId="7060" xr:uid="{00000000-0005-0000-0000-0000BE640000}"/>
    <cellStyle name="Bemærk! 2 2 5 2 2 2" xfId="10063" xr:uid="{00000000-0005-0000-0000-0000BF640000}"/>
    <cellStyle name="Bemærk! 2 2 5 2 2 2 2" xfId="17964" xr:uid="{00000000-0005-0000-0000-0000C0640000}"/>
    <cellStyle name="Bemærk! 2 2 5 2 2 2 2 2" xfId="36124" xr:uid="{00000000-0005-0000-0000-0000C1640000}"/>
    <cellStyle name="Bemærk! 2 2 5 2 2 2 3" xfId="29123" xr:uid="{00000000-0005-0000-0000-0000C2640000}"/>
    <cellStyle name="Bemærk! 2 2 5 3" xfId="7061" xr:uid="{00000000-0005-0000-0000-0000C3640000}"/>
    <cellStyle name="Bemærk! 2 2 5 3 2" xfId="7062" xr:uid="{00000000-0005-0000-0000-0000C4640000}"/>
    <cellStyle name="Bemærk! 2 2 5 3 2 2" xfId="10904" xr:uid="{00000000-0005-0000-0000-0000C5640000}"/>
    <cellStyle name="Bemærk! 2 2 5 3 2 2 2" xfId="18786" xr:uid="{00000000-0005-0000-0000-0000C6640000}"/>
    <cellStyle name="Bemærk! 2 2 5 3 2 2 2 2" xfId="36946" xr:uid="{00000000-0005-0000-0000-0000C7640000}"/>
    <cellStyle name="Bemærk! 2 2 5 3 2 2 3" xfId="29945" xr:uid="{00000000-0005-0000-0000-0000C8640000}"/>
    <cellStyle name="Bemærk! 2 2 5 3 3" xfId="8612" xr:uid="{00000000-0005-0000-0000-0000C9640000}"/>
    <cellStyle name="Bemærk! 2 2 5 3 3 2" xfId="16526" xr:uid="{00000000-0005-0000-0000-0000CA640000}"/>
    <cellStyle name="Bemærk! 2 2 5 3 3 2 2" xfId="34686" xr:uid="{00000000-0005-0000-0000-0000CB640000}"/>
    <cellStyle name="Bemærk! 2 2 5 3 3 3" xfId="27685" xr:uid="{00000000-0005-0000-0000-0000CC640000}"/>
    <cellStyle name="Bemærk! 2 2 5 4" xfId="7063" xr:uid="{00000000-0005-0000-0000-0000CD640000}"/>
    <cellStyle name="Bemærk! 2 2 5 4 2" xfId="9294" xr:uid="{00000000-0005-0000-0000-0000CE640000}"/>
    <cellStyle name="Bemærk! 2 2 5 4 2 2" xfId="17205" xr:uid="{00000000-0005-0000-0000-0000CF640000}"/>
    <cellStyle name="Bemærk! 2 2 5 4 2 2 2" xfId="35365" xr:uid="{00000000-0005-0000-0000-0000D0640000}"/>
    <cellStyle name="Bemærk! 2 2 5 4 2 3" xfId="28364" xr:uid="{00000000-0005-0000-0000-0000D1640000}"/>
    <cellStyle name="Bemærk! 2 2 6" xfId="7064" xr:uid="{00000000-0005-0000-0000-0000D2640000}"/>
    <cellStyle name="Bemærk! 2 2 6 2" xfId="7065" xr:uid="{00000000-0005-0000-0000-0000D3640000}"/>
    <cellStyle name="Bemærk! 2 2 6 2 2" xfId="7066" xr:uid="{00000000-0005-0000-0000-0000D4640000}"/>
    <cellStyle name="Bemærk! 2 2 6 2 2 2" xfId="10112" xr:uid="{00000000-0005-0000-0000-0000D5640000}"/>
    <cellStyle name="Bemærk! 2 2 6 2 2 2 2" xfId="18013" xr:uid="{00000000-0005-0000-0000-0000D6640000}"/>
    <cellStyle name="Bemærk! 2 2 6 2 2 2 2 2" xfId="36173" xr:uid="{00000000-0005-0000-0000-0000D7640000}"/>
    <cellStyle name="Bemærk! 2 2 6 2 2 2 3" xfId="29172" xr:uid="{00000000-0005-0000-0000-0000D8640000}"/>
    <cellStyle name="Bemærk! 2 2 6 3" xfId="7067" xr:uid="{00000000-0005-0000-0000-0000D9640000}"/>
    <cellStyle name="Bemærk! 2 2 6 3 2" xfId="7068" xr:uid="{00000000-0005-0000-0000-0000DA640000}"/>
    <cellStyle name="Bemærk! 2 2 6 3 2 2" xfId="9304" xr:uid="{00000000-0005-0000-0000-0000DB640000}"/>
    <cellStyle name="Bemærk! 2 2 6 3 2 2 2" xfId="17215" xr:uid="{00000000-0005-0000-0000-0000DC640000}"/>
    <cellStyle name="Bemærk! 2 2 6 3 2 2 2 2" xfId="35375" xr:uid="{00000000-0005-0000-0000-0000DD640000}"/>
    <cellStyle name="Bemærk! 2 2 6 3 2 2 3" xfId="28374" xr:uid="{00000000-0005-0000-0000-0000DE640000}"/>
    <cellStyle name="Bemærk! 2 2 6 3 3" xfId="8653" xr:uid="{00000000-0005-0000-0000-0000DF640000}"/>
    <cellStyle name="Bemærk! 2 2 6 3 3 2" xfId="16567" xr:uid="{00000000-0005-0000-0000-0000E0640000}"/>
    <cellStyle name="Bemærk! 2 2 6 3 3 2 2" xfId="34727" xr:uid="{00000000-0005-0000-0000-0000E1640000}"/>
    <cellStyle name="Bemærk! 2 2 6 3 3 3" xfId="27726" xr:uid="{00000000-0005-0000-0000-0000E2640000}"/>
    <cellStyle name="Bemærk! 2 2 6 4" xfId="7069" xr:uid="{00000000-0005-0000-0000-0000E3640000}"/>
    <cellStyle name="Bemærk! 2 2 6 4 2" xfId="9388" xr:uid="{00000000-0005-0000-0000-0000E4640000}"/>
    <cellStyle name="Bemærk! 2 2 6 4 2 2" xfId="17298" xr:uid="{00000000-0005-0000-0000-0000E5640000}"/>
    <cellStyle name="Bemærk! 2 2 6 4 2 2 2" xfId="35458" xr:uid="{00000000-0005-0000-0000-0000E6640000}"/>
    <cellStyle name="Bemærk! 2 2 6 4 2 3" xfId="28457" xr:uid="{00000000-0005-0000-0000-0000E7640000}"/>
    <cellStyle name="Bemærk! 2 2 7" xfId="7070" xr:uid="{00000000-0005-0000-0000-0000E8640000}"/>
    <cellStyle name="Bemærk! 2 2 7 2" xfId="7071" xr:uid="{00000000-0005-0000-0000-0000E9640000}"/>
    <cellStyle name="Bemærk! 2 2 7 2 2" xfId="7072" xr:uid="{00000000-0005-0000-0000-0000EA640000}"/>
    <cellStyle name="Bemærk! 2 2 7 2 2 2" xfId="10229" xr:uid="{00000000-0005-0000-0000-0000EB640000}"/>
    <cellStyle name="Bemærk! 2 2 7 2 2 2 2" xfId="18130" xr:uid="{00000000-0005-0000-0000-0000EC640000}"/>
    <cellStyle name="Bemærk! 2 2 7 2 2 2 2 2" xfId="36290" xr:uid="{00000000-0005-0000-0000-0000ED640000}"/>
    <cellStyle name="Bemærk! 2 2 7 2 2 2 3" xfId="29289" xr:uid="{00000000-0005-0000-0000-0000EE640000}"/>
    <cellStyle name="Bemærk! 2 2 7 3" xfId="7073" xr:uid="{00000000-0005-0000-0000-0000EF640000}"/>
    <cellStyle name="Bemærk! 2 2 7 3 2" xfId="7074" xr:uid="{00000000-0005-0000-0000-0000F0640000}"/>
    <cellStyle name="Bemærk! 2 2 7 3 2 2" xfId="10697" xr:uid="{00000000-0005-0000-0000-0000F1640000}"/>
    <cellStyle name="Bemærk! 2 2 7 3 2 2 2" xfId="18588" xr:uid="{00000000-0005-0000-0000-0000F2640000}"/>
    <cellStyle name="Bemærk! 2 2 7 3 2 2 2 2" xfId="36748" xr:uid="{00000000-0005-0000-0000-0000F3640000}"/>
    <cellStyle name="Bemærk! 2 2 7 3 2 2 3" xfId="29747" xr:uid="{00000000-0005-0000-0000-0000F4640000}"/>
    <cellStyle name="Bemærk! 2 2 7 3 3" xfId="8752" xr:uid="{00000000-0005-0000-0000-0000F5640000}"/>
    <cellStyle name="Bemærk! 2 2 7 3 3 2" xfId="16666" xr:uid="{00000000-0005-0000-0000-0000F6640000}"/>
    <cellStyle name="Bemærk! 2 2 7 3 3 2 2" xfId="34826" xr:uid="{00000000-0005-0000-0000-0000F7640000}"/>
    <cellStyle name="Bemærk! 2 2 7 3 3 3" xfId="27825" xr:uid="{00000000-0005-0000-0000-0000F8640000}"/>
    <cellStyle name="Bemærk! 2 2 7 4" xfId="7075" xr:uid="{00000000-0005-0000-0000-0000F9640000}"/>
    <cellStyle name="Bemærk! 2 2 7 4 2" xfId="9505" xr:uid="{00000000-0005-0000-0000-0000FA640000}"/>
    <cellStyle name="Bemærk! 2 2 7 4 2 2" xfId="17415" xr:uid="{00000000-0005-0000-0000-0000FB640000}"/>
    <cellStyle name="Bemærk! 2 2 7 4 2 2 2" xfId="35575" xr:uid="{00000000-0005-0000-0000-0000FC640000}"/>
    <cellStyle name="Bemærk! 2 2 7 4 2 3" xfId="28574" xr:uid="{00000000-0005-0000-0000-0000FD640000}"/>
    <cellStyle name="Bemærk! 2 2 8" xfId="7076" xr:uid="{00000000-0005-0000-0000-0000FE640000}"/>
    <cellStyle name="Bemærk! 2 2 8 2" xfId="7077" xr:uid="{00000000-0005-0000-0000-0000FF640000}"/>
    <cellStyle name="Bemærk! 2 2 8 2 2" xfId="7078" xr:uid="{00000000-0005-0000-0000-000000650000}"/>
    <cellStyle name="Bemærk! 2 2 8 2 2 2" xfId="10417" xr:uid="{00000000-0005-0000-0000-000001650000}"/>
    <cellStyle name="Bemærk! 2 2 8 2 2 2 2" xfId="18318" xr:uid="{00000000-0005-0000-0000-000002650000}"/>
    <cellStyle name="Bemærk! 2 2 8 2 2 2 2 2" xfId="36478" xr:uid="{00000000-0005-0000-0000-000003650000}"/>
    <cellStyle name="Bemærk! 2 2 8 2 2 2 3" xfId="29477" xr:uid="{00000000-0005-0000-0000-000004650000}"/>
    <cellStyle name="Bemærk! 2 2 8 3" xfId="7079" xr:uid="{00000000-0005-0000-0000-000005650000}"/>
    <cellStyle name="Bemærk! 2 2 8 3 2" xfId="7080" xr:uid="{00000000-0005-0000-0000-000006650000}"/>
    <cellStyle name="Bemærk! 2 2 8 3 2 2" xfId="11029" xr:uid="{00000000-0005-0000-0000-000007650000}"/>
    <cellStyle name="Bemærk! 2 2 8 3 2 2 2" xfId="18905" xr:uid="{00000000-0005-0000-0000-000008650000}"/>
    <cellStyle name="Bemærk! 2 2 8 3 2 2 2 2" xfId="37065" xr:uid="{00000000-0005-0000-0000-000009650000}"/>
    <cellStyle name="Bemærk! 2 2 8 3 2 2 3" xfId="30064" xr:uid="{00000000-0005-0000-0000-00000A650000}"/>
    <cellStyle name="Bemærk! 2 2 8 3 3" xfId="8910" xr:uid="{00000000-0005-0000-0000-00000B650000}"/>
    <cellStyle name="Bemærk! 2 2 8 3 3 2" xfId="16824" xr:uid="{00000000-0005-0000-0000-00000C650000}"/>
    <cellStyle name="Bemærk! 2 2 8 3 3 2 2" xfId="34984" xr:uid="{00000000-0005-0000-0000-00000D650000}"/>
    <cellStyle name="Bemærk! 2 2 8 3 3 3" xfId="27983" xr:uid="{00000000-0005-0000-0000-00000E650000}"/>
    <cellStyle name="Bemærk! 2 2 8 4" xfId="7081" xr:uid="{00000000-0005-0000-0000-00000F650000}"/>
    <cellStyle name="Bemærk! 2 2 8 4 2" xfId="9694" xr:uid="{00000000-0005-0000-0000-000010650000}"/>
    <cellStyle name="Bemærk! 2 2 8 4 2 2" xfId="17604" xr:uid="{00000000-0005-0000-0000-000011650000}"/>
    <cellStyle name="Bemærk! 2 2 8 4 2 2 2" xfId="35764" xr:uid="{00000000-0005-0000-0000-000012650000}"/>
    <cellStyle name="Bemærk! 2 2 8 4 2 3" xfId="28763" xr:uid="{00000000-0005-0000-0000-000013650000}"/>
    <cellStyle name="Bemærk! 2 2 9" xfId="7082" xr:uid="{00000000-0005-0000-0000-000014650000}"/>
    <cellStyle name="Bemærk! 2 2 9 2" xfId="7083" xr:uid="{00000000-0005-0000-0000-000015650000}"/>
    <cellStyle name="Bemærk! 2 2 9 2 2" xfId="9755" xr:uid="{00000000-0005-0000-0000-000016650000}"/>
    <cellStyle name="Bemærk! 2 2 9 2 2 2" xfId="17656" xr:uid="{00000000-0005-0000-0000-000017650000}"/>
    <cellStyle name="Bemærk! 2 2 9 2 2 2 2" xfId="35816" xr:uid="{00000000-0005-0000-0000-000018650000}"/>
    <cellStyle name="Bemærk! 2 2 9 2 2 3" xfId="28815" xr:uid="{00000000-0005-0000-0000-000019650000}"/>
    <cellStyle name="Bemærk! 2 3" xfId="1982" xr:uid="{00000000-0005-0000-0000-00001A650000}"/>
    <cellStyle name="Bemærk! 2 3 10" xfId="7084" xr:uid="{00000000-0005-0000-0000-00001B650000}"/>
    <cellStyle name="Bemærk! 2 3 11" xfId="22082" xr:uid="{00000000-0005-0000-0000-00001C650000}"/>
    <cellStyle name="Bemærk! 2 3 2" xfId="1983" xr:uid="{00000000-0005-0000-0000-00001D650000}"/>
    <cellStyle name="Bemærk! 2 3 2 2" xfId="7086" xr:uid="{00000000-0005-0000-0000-00001E650000}"/>
    <cellStyle name="Bemærk! 2 3 2 2 2" xfId="7087" xr:uid="{00000000-0005-0000-0000-00001F650000}"/>
    <cellStyle name="Bemærk! 2 3 2 2 2 2" xfId="9887" xr:uid="{00000000-0005-0000-0000-000020650000}"/>
    <cellStyle name="Bemærk! 2 3 2 2 2 2 2" xfId="17788" xr:uid="{00000000-0005-0000-0000-000021650000}"/>
    <cellStyle name="Bemærk! 2 3 2 2 2 2 2 2" xfId="35948" xr:uid="{00000000-0005-0000-0000-000022650000}"/>
    <cellStyle name="Bemærk! 2 3 2 2 2 2 3" xfId="28947" xr:uid="{00000000-0005-0000-0000-000023650000}"/>
    <cellStyle name="Bemærk! 2 3 2 3" xfId="7088" xr:uid="{00000000-0005-0000-0000-000024650000}"/>
    <cellStyle name="Bemærk! 2 3 2 3 2" xfId="7089" xr:uid="{00000000-0005-0000-0000-000025650000}"/>
    <cellStyle name="Bemærk! 2 3 2 3 2 2" xfId="10781" xr:uid="{00000000-0005-0000-0000-000026650000}"/>
    <cellStyle name="Bemærk! 2 3 2 3 2 2 2" xfId="18669" xr:uid="{00000000-0005-0000-0000-000027650000}"/>
    <cellStyle name="Bemærk! 2 3 2 3 2 2 2 2" xfId="36829" xr:uid="{00000000-0005-0000-0000-000028650000}"/>
    <cellStyle name="Bemærk! 2 3 2 3 2 2 3" xfId="29828" xr:uid="{00000000-0005-0000-0000-000029650000}"/>
    <cellStyle name="Bemærk! 2 3 2 3 3" xfId="8462" xr:uid="{00000000-0005-0000-0000-00002A650000}"/>
    <cellStyle name="Bemærk! 2 3 2 3 3 2" xfId="16379" xr:uid="{00000000-0005-0000-0000-00002B650000}"/>
    <cellStyle name="Bemærk! 2 3 2 3 3 2 2" xfId="34539" xr:uid="{00000000-0005-0000-0000-00002C650000}"/>
    <cellStyle name="Bemærk! 2 3 2 3 3 3" xfId="27538" xr:uid="{00000000-0005-0000-0000-00002D650000}"/>
    <cellStyle name="Bemærk! 2 3 2 4" xfId="7090" xr:uid="{00000000-0005-0000-0000-00002E650000}"/>
    <cellStyle name="Bemærk! 2 3 2 4 2" xfId="9117" xr:uid="{00000000-0005-0000-0000-00002F650000}"/>
    <cellStyle name="Bemærk! 2 3 2 4 2 2" xfId="17028" xr:uid="{00000000-0005-0000-0000-000030650000}"/>
    <cellStyle name="Bemærk! 2 3 2 4 2 2 2" xfId="35188" xr:uid="{00000000-0005-0000-0000-000031650000}"/>
    <cellStyle name="Bemærk! 2 3 2 4 2 3" xfId="28187" xr:uid="{00000000-0005-0000-0000-000032650000}"/>
    <cellStyle name="Bemærk! 2 3 2 5" xfId="7085" xr:uid="{00000000-0005-0000-0000-000033650000}"/>
    <cellStyle name="Bemærk! 2 3 2 6" xfId="22083" xr:uid="{00000000-0005-0000-0000-000034650000}"/>
    <cellStyle name="Bemærk! 2 3 3" xfId="7091" xr:uid="{00000000-0005-0000-0000-000035650000}"/>
    <cellStyle name="Bemærk! 2 3 3 2" xfId="7092" xr:uid="{00000000-0005-0000-0000-000036650000}"/>
    <cellStyle name="Bemærk! 2 3 3 2 2" xfId="7093" xr:uid="{00000000-0005-0000-0000-000037650000}"/>
    <cellStyle name="Bemærk! 2 3 3 2 2 2" xfId="10066" xr:uid="{00000000-0005-0000-0000-000038650000}"/>
    <cellStyle name="Bemærk! 2 3 3 2 2 2 2" xfId="17967" xr:uid="{00000000-0005-0000-0000-000039650000}"/>
    <cellStyle name="Bemærk! 2 3 3 2 2 2 2 2" xfId="36127" xr:uid="{00000000-0005-0000-0000-00003A650000}"/>
    <cellStyle name="Bemærk! 2 3 3 2 2 2 3" xfId="29126" xr:uid="{00000000-0005-0000-0000-00003B650000}"/>
    <cellStyle name="Bemærk! 2 3 3 3" xfId="7094" xr:uid="{00000000-0005-0000-0000-00003C650000}"/>
    <cellStyle name="Bemærk! 2 3 3 3 2" xfId="7095" xr:uid="{00000000-0005-0000-0000-00003D650000}"/>
    <cellStyle name="Bemærk! 2 3 3 3 2 2" xfId="10494" xr:uid="{00000000-0005-0000-0000-00003E650000}"/>
    <cellStyle name="Bemærk! 2 3 3 3 2 2 2" xfId="18390" xr:uid="{00000000-0005-0000-0000-00003F650000}"/>
    <cellStyle name="Bemærk! 2 3 3 3 2 2 2 2" xfId="36550" xr:uid="{00000000-0005-0000-0000-000040650000}"/>
    <cellStyle name="Bemærk! 2 3 3 3 2 2 3" xfId="29549" xr:uid="{00000000-0005-0000-0000-000041650000}"/>
    <cellStyle name="Bemærk! 2 3 3 3 3" xfId="8615" xr:uid="{00000000-0005-0000-0000-000042650000}"/>
    <cellStyle name="Bemærk! 2 3 3 3 3 2" xfId="16529" xr:uid="{00000000-0005-0000-0000-000043650000}"/>
    <cellStyle name="Bemærk! 2 3 3 3 3 2 2" xfId="34689" xr:uid="{00000000-0005-0000-0000-000044650000}"/>
    <cellStyle name="Bemærk! 2 3 3 3 3 3" xfId="27688" xr:uid="{00000000-0005-0000-0000-000045650000}"/>
    <cellStyle name="Bemærk! 2 3 3 4" xfId="7096" xr:uid="{00000000-0005-0000-0000-000046650000}"/>
    <cellStyle name="Bemærk! 2 3 3 4 2" xfId="9297" xr:uid="{00000000-0005-0000-0000-000047650000}"/>
    <cellStyle name="Bemærk! 2 3 3 4 2 2" xfId="17208" xr:uid="{00000000-0005-0000-0000-000048650000}"/>
    <cellStyle name="Bemærk! 2 3 3 4 2 2 2" xfId="35368" xr:uid="{00000000-0005-0000-0000-000049650000}"/>
    <cellStyle name="Bemærk! 2 3 3 4 2 3" xfId="28367" xr:uid="{00000000-0005-0000-0000-00004A650000}"/>
    <cellStyle name="Bemærk! 2 3 4" xfId="7097" xr:uid="{00000000-0005-0000-0000-00004B650000}"/>
    <cellStyle name="Bemærk! 2 3 4 2" xfId="7098" xr:uid="{00000000-0005-0000-0000-00004C650000}"/>
    <cellStyle name="Bemærk! 2 3 4 2 2" xfId="7099" xr:uid="{00000000-0005-0000-0000-00004D650000}"/>
    <cellStyle name="Bemærk! 2 3 4 2 2 2" xfId="10125" xr:uid="{00000000-0005-0000-0000-00004E650000}"/>
    <cellStyle name="Bemærk! 2 3 4 2 2 2 2" xfId="18026" xr:uid="{00000000-0005-0000-0000-00004F650000}"/>
    <cellStyle name="Bemærk! 2 3 4 2 2 2 2 2" xfId="36186" xr:uid="{00000000-0005-0000-0000-000050650000}"/>
    <cellStyle name="Bemærk! 2 3 4 2 2 2 3" xfId="29185" xr:uid="{00000000-0005-0000-0000-000051650000}"/>
    <cellStyle name="Bemærk! 2 3 4 3" xfId="7100" xr:uid="{00000000-0005-0000-0000-000052650000}"/>
    <cellStyle name="Bemærk! 2 3 4 3 2" xfId="7101" xr:uid="{00000000-0005-0000-0000-000053650000}"/>
    <cellStyle name="Bemærk! 2 3 4 3 2 2" xfId="10809" xr:uid="{00000000-0005-0000-0000-000054650000}"/>
    <cellStyle name="Bemærk! 2 3 4 3 2 2 2" xfId="18696" xr:uid="{00000000-0005-0000-0000-000055650000}"/>
    <cellStyle name="Bemærk! 2 3 4 3 2 2 2 2" xfId="36856" xr:uid="{00000000-0005-0000-0000-000056650000}"/>
    <cellStyle name="Bemærk! 2 3 4 3 2 2 3" xfId="29855" xr:uid="{00000000-0005-0000-0000-000057650000}"/>
    <cellStyle name="Bemærk! 2 3 4 3 3" xfId="8664" xr:uid="{00000000-0005-0000-0000-000058650000}"/>
    <cellStyle name="Bemærk! 2 3 4 3 3 2" xfId="16578" xr:uid="{00000000-0005-0000-0000-000059650000}"/>
    <cellStyle name="Bemærk! 2 3 4 3 3 2 2" xfId="34738" xr:uid="{00000000-0005-0000-0000-00005A650000}"/>
    <cellStyle name="Bemærk! 2 3 4 3 3 3" xfId="27737" xr:uid="{00000000-0005-0000-0000-00005B650000}"/>
    <cellStyle name="Bemærk! 2 3 4 4" xfId="7102" xr:uid="{00000000-0005-0000-0000-00005C650000}"/>
    <cellStyle name="Bemærk! 2 3 4 4 2" xfId="9401" xr:uid="{00000000-0005-0000-0000-00005D650000}"/>
    <cellStyle name="Bemærk! 2 3 4 4 2 2" xfId="17311" xr:uid="{00000000-0005-0000-0000-00005E650000}"/>
    <cellStyle name="Bemærk! 2 3 4 4 2 2 2" xfId="35471" xr:uid="{00000000-0005-0000-0000-00005F650000}"/>
    <cellStyle name="Bemærk! 2 3 4 4 2 3" xfId="28470" xr:uid="{00000000-0005-0000-0000-000060650000}"/>
    <cellStyle name="Bemærk! 2 3 5" xfId="7103" xr:uid="{00000000-0005-0000-0000-000061650000}"/>
    <cellStyle name="Bemærk! 2 3 5 2" xfId="7104" xr:uid="{00000000-0005-0000-0000-000062650000}"/>
    <cellStyle name="Bemærk! 2 3 5 2 2" xfId="7105" xr:uid="{00000000-0005-0000-0000-000063650000}"/>
    <cellStyle name="Bemærk! 2 3 5 2 2 2" xfId="10242" xr:uid="{00000000-0005-0000-0000-000064650000}"/>
    <cellStyle name="Bemærk! 2 3 5 2 2 2 2" xfId="18143" xr:uid="{00000000-0005-0000-0000-000065650000}"/>
    <cellStyle name="Bemærk! 2 3 5 2 2 2 2 2" xfId="36303" xr:uid="{00000000-0005-0000-0000-000066650000}"/>
    <cellStyle name="Bemærk! 2 3 5 2 2 2 3" xfId="29302" xr:uid="{00000000-0005-0000-0000-000067650000}"/>
    <cellStyle name="Bemærk! 2 3 5 3" xfId="7106" xr:uid="{00000000-0005-0000-0000-000068650000}"/>
    <cellStyle name="Bemærk! 2 3 5 3 2" xfId="7107" xr:uid="{00000000-0005-0000-0000-000069650000}"/>
    <cellStyle name="Bemærk! 2 3 5 3 2 2" xfId="10768" xr:uid="{00000000-0005-0000-0000-00006A650000}"/>
    <cellStyle name="Bemærk! 2 3 5 3 2 2 2" xfId="18656" xr:uid="{00000000-0005-0000-0000-00006B650000}"/>
    <cellStyle name="Bemærk! 2 3 5 3 2 2 2 2" xfId="36816" xr:uid="{00000000-0005-0000-0000-00006C650000}"/>
    <cellStyle name="Bemærk! 2 3 5 3 2 2 3" xfId="29815" xr:uid="{00000000-0005-0000-0000-00006D650000}"/>
    <cellStyle name="Bemærk! 2 3 5 3 3" xfId="8763" xr:uid="{00000000-0005-0000-0000-00006E650000}"/>
    <cellStyle name="Bemærk! 2 3 5 3 3 2" xfId="16677" xr:uid="{00000000-0005-0000-0000-00006F650000}"/>
    <cellStyle name="Bemærk! 2 3 5 3 3 2 2" xfId="34837" xr:uid="{00000000-0005-0000-0000-000070650000}"/>
    <cellStyle name="Bemærk! 2 3 5 3 3 3" xfId="27836" xr:uid="{00000000-0005-0000-0000-000071650000}"/>
    <cellStyle name="Bemærk! 2 3 5 4" xfId="7108" xr:uid="{00000000-0005-0000-0000-000072650000}"/>
    <cellStyle name="Bemærk! 2 3 5 4 2" xfId="9518" xr:uid="{00000000-0005-0000-0000-000073650000}"/>
    <cellStyle name="Bemærk! 2 3 5 4 2 2" xfId="17428" xr:uid="{00000000-0005-0000-0000-000074650000}"/>
    <cellStyle name="Bemærk! 2 3 5 4 2 2 2" xfId="35588" xr:uid="{00000000-0005-0000-0000-000075650000}"/>
    <cellStyle name="Bemærk! 2 3 5 4 2 3" xfId="28587" xr:uid="{00000000-0005-0000-0000-000076650000}"/>
    <cellStyle name="Bemærk! 2 3 6" xfId="7109" xr:uid="{00000000-0005-0000-0000-000077650000}"/>
    <cellStyle name="Bemærk! 2 3 6 2" xfId="7110" xr:uid="{00000000-0005-0000-0000-000078650000}"/>
    <cellStyle name="Bemærk! 2 3 6 2 2" xfId="7111" xr:uid="{00000000-0005-0000-0000-000079650000}"/>
    <cellStyle name="Bemærk! 2 3 6 2 2 2" xfId="10420" xr:uid="{00000000-0005-0000-0000-00007A650000}"/>
    <cellStyle name="Bemærk! 2 3 6 2 2 2 2" xfId="18321" xr:uid="{00000000-0005-0000-0000-00007B650000}"/>
    <cellStyle name="Bemærk! 2 3 6 2 2 2 2 2" xfId="36481" xr:uid="{00000000-0005-0000-0000-00007C650000}"/>
    <cellStyle name="Bemærk! 2 3 6 2 2 2 3" xfId="29480" xr:uid="{00000000-0005-0000-0000-00007D650000}"/>
    <cellStyle name="Bemærk! 2 3 6 3" xfId="7112" xr:uid="{00000000-0005-0000-0000-00007E650000}"/>
    <cellStyle name="Bemærk! 2 3 6 3 2" xfId="7113" xr:uid="{00000000-0005-0000-0000-00007F650000}"/>
    <cellStyle name="Bemærk! 2 3 6 3 2 2" xfId="11032" xr:uid="{00000000-0005-0000-0000-000080650000}"/>
    <cellStyle name="Bemærk! 2 3 6 3 2 2 2" xfId="18908" xr:uid="{00000000-0005-0000-0000-000081650000}"/>
    <cellStyle name="Bemærk! 2 3 6 3 2 2 2 2" xfId="37068" xr:uid="{00000000-0005-0000-0000-000082650000}"/>
    <cellStyle name="Bemærk! 2 3 6 3 2 2 3" xfId="30067" xr:uid="{00000000-0005-0000-0000-000083650000}"/>
    <cellStyle name="Bemærk! 2 3 6 3 3" xfId="8913" xr:uid="{00000000-0005-0000-0000-000084650000}"/>
    <cellStyle name="Bemærk! 2 3 6 3 3 2" xfId="16827" xr:uid="{00000000-0005-0000-0000-000085650000}"/>
    <cellStyle name="Bemærk! 2 3 6 3 3 2 2" xfId="34987" xr:uid="{00000000-0005-0000-0000-000086650000}"/>
    <cellStyle name="Bemærk! 2 3 6 3 3 3" xfId="27986" xr:uid="{00000000-0005-0000-0000-000087650000}"/>
    <cellStyle name="Bemærk! 2 3 6 4" xfId="7114" xr:uid="{00000000-0005-0000-0000-000088650000}"/>
    <cellStyle name="Bemærk! 2 3 6 4 2" xfId="9697" xr:uid="{00000000-0005-0000-0000-000089650000}"/>
    <cellStyle name="Bemærk! 2 3 6 4 2 2" xfId="17607" xr:uid="{00000000-0005-0000-0000-00008A650000}"/>
    <cellStyle name="Bemærk! 2 3 6 4 2 2 2" xfId="35767" xr:uid="{00000000-0005-0000-0000-00008B650000}"/>
    <cellStyle name="Bemærk! 2 3 6 4 2 3" xfId="28766" xr:uid="{00000000-0005-0000-0000-00008C650000}"/>
    <cellStyle name="Bemærk! 2 3 7" xfId="7115" xr:uid="{00000000-0005-0000-0000-00008D650000}"/>
    <cellStyle name="Bemærk! 2 3 7 2" xfId="7116" xr:uid="{00000000-0005-0000-0000-00008E650000}"/>
    <cellStyle name="Bemærk! 2 3 7 2 2" xfId="9768" xr:uid="{00000000-0005-0000-0000-00008F650000}"/>
    <cellStyle name="Bemærk! 2 3 7 2 2 2" xfId="17669" xr:uid="{00000000-0005-0000-0000-000090650000}"/>
    <cellStyle name="Bemærk! 2 3 7 2 2 2 2" xfId="35829" xr:uid="{00000000-0005-0000-0000-000091650000}"/>
    <cellStyle name="Bemærk! 2 3 7 2 2 3" xfId="28828" xr:uid="{00000000-0005-0000-0000-000092650000}"/>
    <cellStyle name="Bemærk! 2 3 8" xfId="7117" xr:uid="{00000000-0005-0000-0000-000093650000}"/>
    <cellStyle name="Bemærk! 2 3 8 2" xfId="7118" xr:uid="{00000000-0005-0000-0000-000094650000}"/>
    <cellStyle name="Bemærk! 2 3 8 2 2" xfId="8933" xr:uid="{00000000-0005-0000-0000-000095650000}"/>
    <cellStyle name="Bemærk! 2 3 8 2 2 2" xfId="16846" xr:uid="{00000000-0005-0000-0000-000096650000}"/>
    <cellStyle name="Bemærk! 2 3 8 2 2 2 2" xfId="35006" xr:uid="{00000000-0005-0000-0000-000097650000}"/>
    <cellStyle name="Bemærk! 2 3 8 2 2 3" xfId="28005" xr:uid="{00000000-0005-0000-0000-000098650000}"/>
    <cellStyle name="Bemærk! 2 3 8 3" xfId="8363" xr:uid="{00000000-0005-0000-0000-000099650000}"/>
    <cellStyle name="Bemærk! 2 3 8 3 2" xfId="16280" xr:uid="{00000000-0005-0000-0000-00009A650000}"/>
    <cellStyle name="Bemærk! 2 3 8 3 2 2" xfId="34440" xr:uid="{00000000-0005-0000-0000-00009B650000}"/>
    <cellStyle name="Bemærk! 2 3 8 3 3" xfId="27439" xr:uid="{00000000-0005-0000-0000-00009C650000}"/>
    <cellStyle name="Bemærk! 2 3 9" xfId="7119" xr:uid="{00000000-0005-0000-0000-00009D650000}"/>
    <cellStyle name="Bemærk! 2 3 9 2" xfId="8996" xr:uid="{00000000-0005-0000-0000-00009E650000}"/>
    <cellStyle name="Bemærk! 2 3 9 2 2" xfId="16907" xr:uid="{00000000-0005-0000-0000-00009F650000}"/>
    <cellStyle name="Bemærk! 2 3 9 2 2 2" xfId="35067" xr:uid="{00000000-0005-0000-0000-0000A0650000}"/>
    <cellStyle name="Bemærk! 2 3 9 2 3" xfId="28066" xr:uid="{00000000-0005-0000-0000-0000A1650000}"/>
    <cellStyle name="Bemærk! 2 4" xfId="1984" xr:uid="{00000000-0005-0000-0000-0000A2650000}"/>
    <cellStyle name="Bemærk! 2 4 10" xfId="7120" xr:uid="{00000000-0005-0000-0000-0000A3650000}"/>
    <cellStyle name="Bemærk! 2 4 11" xfId="22084" xr:uid="{00000000-0005-0000-0000-0000A4650000}"/>
    <cellStyle name="Bemærk! 2 4 2" xfId="1985" xr:uid="{00000000-0005-0000-0000-0000A5650000}"/>
    <cellStyle name="Bemærk! 2 4 2 2" xfId="7122" xr:uid="{00000000-0005-0000-0000-0000A6650000}"/>
    <cellStyle name="Bemærk! 2 4 2 2 2" xfId="7123" xr:uid="{00000000-0005-0000-0000-0000A7650000}"/>
    <cellStyle name="Bemærk! 2 4 2 2 2 2" xfId="9926" xr:uid="{00000000-0005-0000-0000-0000A8650000}"/>
    <cellStyle name="Bemærk! 2 4 2 2 2 2 2" xfId="17827" xr:uid="{00000000-0005-0000-0000-0000A9650000}"/>
    <cellStyle name="Bemærk! 2 4 2 2 2 2 2 2" xfId="35987" xr:uid="{00000000-0005-0000-0000-0000AA650000}"/>
    <cellStyle name="Bemærk! 2 4 2 2 2 2 3" xfId="28986" xr:uid="{00000000-0005-0000-0000-0000AB650000}"/>
    <cellStyle name="Bemærk! 2 4 2 3" xfId="7124" xr:uid="{00000000-0005-0000-0000-0000AC650000}"/>
    <cellStyle name="Bemærk! 2 4 2 3 2" xfId="7125" xr:uid="{00000000-0005-0000-0000-0000AD650000}"/>
    <cellStyle name="Bemærk! 2 4 2 3 2 2" xfId="10495" xr:uid="{00000000-0005-0000-0000-0000AE650000}"/>
    <cellStyle name="Bemærk! 2 4 2 3 2 2 2" xfId="18391" xr:uid="{00000000-0005-0000-0000-0000AF650000}"/>
    <cellStyle name="Bemærk! 2 4 2 3 2 2 2 2" xfId="36551" xr:uid="{00000000-0005-0000-0000-0000B0650000}"/>
    <cellStyle name="Bemærk! 2 4 2 3 2 2 3" xfId="29550" xr:uid="{00000000-0005-0000-0000-0000B1650000}"/>
    <cellStyle name="Bemærk! 2 4 2 3 3" xfId="8495" xr:uid="{00000000-0005-0000-0000-0000B2650000}"/>
    <cellStyle name="Bemærk! 2 4 2 3 3 2" xfId="16412" xr:uid="{00000000-0005-0000-0000-0000B3650000}"/>
    <cellStyle name="Bemærk! 2 4 2 3 3 2 2" xfId="34572" xr:uid="{00000000-0005-0000-0000-0000B4650000}"/>
    <cellStyle name="Bemærk! 2 4 2 3 3 3" xfId="27571" xr:uid="{00000000-0005-0000-0000-0000B5650000}"/>
    <cellStyle name="Bemærk! 2 4 2 4" xfId="7126" xr:uid="{00000000-0005-0000-0000-0000B6650000}"/>
    <cellStyle name="Bemærk! 2 4 2 4 2" xfId="9156" xr:uid="{00000000-0005-0000-0000-0000B7650000}"/>
    <cellStyle name="Bemærk! 2 4 2 4 2 2" xfId="17067" xr:uid="{00000000-0005-0000-0000-0000B8650000}"/>
    <cellStyle name="Bemærk! 2 4 2 4 2 2 2" xfId="35227" xr:uid="{00000000-0005-0000-0000-0000B9650000}"/>
    <cellStyle name="Bemærk! 2 4 2 4 2 3" xfId="28226" xr:uid="{00000000-0005-0000-0000-0000BA650000}"/>
    <cellStyle name="Bemærk! 2 4 2 5" xfId="7121" xr:uid="{00000000-0005-0000-0000-0000BB650000}"/>
    <cellStyle name="Bemærk! 2 4 2 6" xfId="22085" xr:uid="{00000000-0005-0000-0000-0000BC650000}"/>
    <cellStyle name="Bemærk! 2 4 3" xfId="7127" xr:uid="{00000000-0005-0000-0000-0000BD650000}"/>
    <cellStyle name="Bemærk! 2 4 3 2" xfId="7128" xr:uid="{00000000-0005-0000-0000-0000BE650000}"/>
    <cellStyle name="Bemærk! 2 4 3 2 2" xfId="7129" xr:uid="{00000000-0005-0000-0000-0000BF650000}"/>
    <cellStyle name="Bemærk! 2 4 3 2 2 2" xfId="10067" xr:uid="{00000000-0005-0000-0000-0000C0650000}"/>
    <cellStyle name="Bemærk! 2 4 3 2 2 2 2" xfId="17968" xr:uid="{00000000-0005-0000-0000-0000C1650000}"/>
    <cellStyle name="Bemærk! 2 4 3 2 2 2 2 2" xfId="36128" xr:uid="{00000000-0005-0000-0000-0000C2650000}"/>
    <cellStyle name="Bemærk! 2 4 3 2 2 2 3" xfId="29127" xr:uid="{00000000-0005-0000-0000-0000C3650000}"/>
    <cellStyle name="Bemærk! 2 4 3 3" xfId="7130" xr:uid="{00000000-0005-0000-0000-0000C4650000}"/>
    <cellStyle name="Bemærk! 2 4 3 3 2" xfId="7131" xr:uid="{00000000-0005-0000-0000-0000C5650000}"/>
    <cellStyle name="Bemærk! 2 4 3 3 2 2" xfId="10813" xr:uid="{00000000-0005-0000-0000-0000C6650000}"/>
    <cellStyle name="Bemærk! 2 4 3 3 2 2 2" xfId="18700" xr:uid="{00000000-0005-0000-0000-0000C7650000}"/>
    <cellStyle name="Bemærk! 2 4 3 3 2 2 2 2" xfId="36860" xr:uid="{00000000-0005-0000-0000-0000C8650000}"/>
    <cellStyle name="Bemærk! 2 4 3 3 2 2 3" xfId="29859" xr:uid="{00000000-0005-0000-0000-0000C9650000}"/>
    <cellStyle name="Bemærk! 2 4 3 3 3" xfId="8616" xr:uid="{00000000-0005-0000-0000-0000CA650000}"/>
    <cellStyle name="Bemærk! 2 4 3 3 3 2" xfId="16530" xr:uid="{00000000-0005-0000-0000-0000CB650000}"/>
    <cellStyle name="Bemærk! 2 4 3 3 3 2 2" xfId="34690" xr:uid="{00000000-0005-0000-0000-0000CC650000}"/>
    <cellStyle name="Bemærk! 2 4 3 3 3 3" xfId="27689" xr:uid="{00000000-0005-0000-0000-0000CD650000}"/>
    <cellStyle name="Bemærk! 2 4 3 4" xfId="7132" xr:uid="{00000000-0005-0000-0000-0000CE650000}"/>
    <cellStyle name="Bemærk! 2 4 3 4 2" xfId="9298" xr:uid="{00000000-0005-0000-0000-0000CF650000}"/>
    <cellStyle name="Bemærk! 2 4 3 4 2 2" xfId="17209" xr:uid="{00000000-0005-0000-0000-0000D0650000}"/>
    <cellStyle name="Bemærk! 2 4 3 4 2 2 2" xfId="35369" xr:uid="{00000000-0005-0000-0000-0000D1650000}"/>
    <cellStyle name="Bemærk! 2 4 3 4 2 3" xfId="28368" xr:uid="{00000000-0005-0000-0000-0000D2650000}"/>
    <cellStyle name="Bemærk! 2 4 4" xfId="7133" xr:uid="{00000000-0005-0000-0000-0000D3650000}"/>
    <cellStyle name="Bemærk! 2 4 4 2" xfId="7134" xr:uid="{00000000-0005-0000-0000-0000D4650000}"/>
    <cellStyle name="Bemærk! 2 4 4 2 2" xfId="7135" xr:uid="{00000000-0005-0000-0000-0000D5650000}"/>
    <cellStyle name="Bemærk! 2 4 4 2 2 2" xfId="10164" xr:uid="{00000000-0005-0000-0000-0000D6650000}"/>
    <cellStyle name="Bemærk! 2 4 4 2 2 2 2" xfId="18065" xr:uid="{00000000-0005-0000-0000-0000D7650000}"/>
    <cellStyle name="Bemærk! 2 4 4 2 2 2 2 2" xfId="36225" xr:uid="{00000000-0005-0000-0000-0000D8650000}"/>
    <cellStyle name="Bemærk! 2 4 4 2 2 2 3" xfId="29224" xr:uid="{00000000-0005-0000-0000-0000D9650000}"/>
    <cellStyle name="Bemærk! 2 4 4 3" xfId="7136" xr:uid="{00000000-0005-0000-0000-0000DA650000}"/>
    <cellStyle name="Bemærk! 2 4 4 3 2" xfId="7137" xr:uid="{00000000-0005-0000-0000-0000DB650000}"/>
    <cellStyle name="Bemærk! 2 4 4 3 2 2" xfId="10890" xr:uid="{00000000-0005-0000-0000-0000DC650000}"/>
    <cellStyle name="Bemærk! 2 4 4 3 2 2 2" xfId="18773" xr:uid="{00000000-0005-0000-0000-0000DD650000}"/>
    <cellStyle name="Bemærk! 2 4 4 3 2 2 2 2" xfId="36933" xr:uid="{00000000-0005-0000-0000-0000DE650000}"/>
    <cellStyle name="Bemærk! 2 4 4 3 2 2 3" xfId="29932" xr:uid="{00000000-0005-0000-0000-0000DF650000}"/>
    <cellStyle name="Bemærk! 2 4 4 3 3" xfId="8697" xr:uid="{00000000-0005-0000-0000-0000E0650000}"/>
    <cellStyle name="Bemærk! 2 4 4 3 3 2" xfId="16611" xr:uid="{00000000-0005-0000-0000-0000E1650000}"/>
    <cellStyle name="Bemærk! 2 4 4 3 3 2 2" xfId="34771" xr:uid="{00000000-0005-0000-0000-0000E2650000}"/>
    <cellStyle name="Bemærk! 2 4 4 3 3 3" xfId="27770" xr:uid="{00000000-0005-0000-0000-0000E3650000}"/>
    <cellStyle name="Bemærk! 2 4 4 4" xfId="7138" xr:uid="{00000000-0005-0000-0000-0000E4650000}"/>
    <cellStyle name="Bemærk! 2 4 4 4 2" xfId="9440" xr:uid="{00000000-0005-0000-0000-0000E5650000}"/>
    <cellStyle name="Bemærk! 2 4 4 4 2 2" xfId="17350" xr:uid="{00000000-0005-0000-0000-0000E6650000}"/>
    <cellStyle name="Bemærk! 2 4 4 4 2 2 2" xfId="35510" xr:uid="{00000000-0005-0000-0000-0000E7650000}"/>
    <cellStyle name="Bemærk! 2 4 4 4 2 3" xfId="28509" xr:uid="{00000000-0005-0000-0000-0000E8650000}"/>
    <cellStyle name="Bemærk! 2 4 5" xfId="7139" xr:uid="{00000000-0005-0000-0000-0000E9650000}"/>
    <cellStyle name="Bemærk! 2 4 5 2" xfId="7140" xr:uid="{00000000-0005-0000-0000-0000EA650000}"/>
    <cellStyle name="Bemærk! 2 4 5 2 2" xfId="7141" xr:uid="{00000000-0005-0000-0000-0000EB650000}"/>
    <cellStyle name="Bemærk! 2 4 5 2 2 2" xfId="10281" xr:uid="{00000000-0005-0000-0000-0000EC650000}"/>
    <cellStyle name="Bemærk! 2 4 5 2 2 2 2" xfId="18182" xr:uid="{00000000-0005-0000-0000-0000ED650000}"/>
    <cellStyle name="Bemærk! 2 4 5 2 2 2 2 2" xfId="36342" xr:uid="{00000000-0005-0000-0000-0000EE650000}"/>
    <cellStyle name="Bemærk! 2 4 5 2 2 2 3" xfId="29341" xr:uid="{00000000-0005-0000-0000-0000EF650000}"/>
    <cellStyle name="Bemærk! 2 4 5 3" xfId="7142" xr:uid="{00000000-0005-0000-0000-0000F0650000}"/>
    <cellStyle name="Bemærk! 2 4 5 3 2" xfId="7143" xr:uid="{00000000-0005-0000-0000-0000F1650000}"/>
    <cellStyle name="Bemærk! 2 4 5 3 2 2" xfId="10474" xr:uid="{00000000-0005-0000-0000-0000F2650000}"/>
    <cellStyle name="Bemærk! 2 4 5 3 2 2 2" xfId="18371" xr:uid="{00000000-0005-0000-0000-0000F3650000}"/>
    <cellStyle name="Bemærk! 2 4 5 3 2 2 2 2" xfId="36531" xr:uid="{00000000-0005-0000-0000-0000F4650000}"/>
    <cellStyle name="Bemærk! 2 4 5 3 2 2 3" xfId="29530" xr:uid="{00000000-0005-0000-0000-0000F5650000}"/>
    <cellStyle name="Bemærk! 2 4 5 3 3" xfId="8796" xr:uid="{00000000-0005-0000-0000-0000F6650000}"/>
    <cellStyle name="Bemærk! 2 4 5 3 3 2" xfId="16710" xr:uid="{00000000-0005-0000-0000-0000F7650000}"/>
    <cellStyle name="Bemærk! 2 4 5 3 3 2 2" xfId="34870" xr:uid="{00000000-0005-0000-0000-0000F8650000}"/>
    <cellStyle name="Bemærk! 2 4 5 3 3 3" xfId="27869" xr:uid="{00000000-0005-0000-0000-0000F9650000}"/>
    <cellStyle name="Bemærk! 2 4 5 4" xfId="7144" xr:uid="{00000000-0005-0000-0000-0000FA650000}"/>
    <cellStyle name="Bemærk! 2 4 5 4 2" xfId="9557" xr:uid="{00000000-0005-0000-0000-0000FB650000}"/>
    <cellStyle name="Bemærk! 2 4 5 4 2 2" xfId="17467" xr:uid="{00000000-0005-0000-0000-0000FC650000}"/>
    <cellStyle name="Bemærk! 2 4 5 4 2 2 2" xfId="35627" xr:uid="{00000000-0005-0000-0000-0000FD650000}"/>
    <cellStyle name="Bemærk! 2 4 5 4 2 3" xfId="28626" xr:uid="{00000000-0005-0000-0000-0000FE650000}"/>
    <cellStyle name="Bemærk! 2 4 6" xfId="7145" xr:uid="{00000000-0005-0000-0000-0000FF650000}"/>
    <cellStyle name="Bemærk! 2 4 6 2" xfId="7146" xr:uid="{00000000-0005-0000-0000-000000660000}"/>
    <cellStyle name="Bemærk! 2 4 6 2 2" xfId="7147" xr:uid="{00000000-0005-0000-0000-000001660000}"/>
    <cellStyle name="Bemærk! 2 4 6 2 2 2" xfId="10421" xr:uid="{00000000-0005-0000-0000-000002660000}"/>
    <cellStyle name="Bemærk! 2 4 6 2 2 2 2" xfId="18322" xr:uid="{00000000-0005-0000-0000-000003660000}"/>
    <cellStyle name="Bemærk! 2 4 6 2 2 2 2 2" xfId="36482" xr:uid="{00000000-0005-0000-0000-000004660000}"/>
    <cellStyle name="Bemærk! 2 4 6 2 2 2 3" xfId="29481" xr:uid="{00000000-0005-0000-0000-000005660000}"/>
    <cellStyle name="Bemærk! 2 4 6 3" xfId="7148" xr:uid="{00000000-0005-0000-0000-000006660000}"/>
    <cellStyle name="Bemærk! 2 4 6 3 2" xfId="7149" xr:uid="{00000000-0005-0000-0000-000007660000}"/>
    <cellStyle name="Bemærk! 2 4 6 3 2 2" xfId="11033" xr:uid="{00000000-0005-0000-0000-000008660000}"/>
    <cellStyle name="Bemærk! 2 4 6 3 2 2 2" xfId="18909" xr:uid="{00000000-0005-0000-0000-000009660000}"/>
    <cellStyle name="Bemærk! 2 4 6 3 2 2 2 2" xfId="37069" xr:uid="{00000000-0005-0000-0000-00000A660000}"/>
    <cellStyle name="Bemærk! 2 4 6 3 2 2 3" xfId="30068" xr:uid="{00000000-0005-0000-0000-00000B660000}"/>
    <cellStyle name="Bemærk! 2 4 6 3 3" xfId="8914" xr:uid="{00000000-0005-0000-0000-00000C660000}"/>
    <cellStyle name="Bemærk! 2 4 6 3 3 2" xfId="16828" xr:uid="{00000000-0005-0000-0000-00000D660000}"/>
    <cellStyle name="Bemærk! 2 4 6 3 3 2 2" xfId="34988" xr:uid="{00000000-0005-0000-0000-00000E660000}"/>
    <cellStyle name="Bemærk! 2 4 6 3 3 3" xfId="27987" xr:uid="{00000000-0005-0000-0000-00000F660000}"/>
    <cellStyle name="Bemærk! 2 4 6 4" xfId="7150" xr:uid="{00000000-0005-0000-0000-000010660000}"/>
    <cellStyle name="Bemærk! 2 4 6 4 2" xfId="9698" xr:uid="{00000000-0005-0000-0000-000011660000}"/>
    <cellStyle name="Bemærk! 2 4 6 4 2 2" xfId="17608" xr:uid="{00000000-0005-0000-0000-000012660000}"/>
    <cellStyle name="Bemærk! 2 4 6 4 2 2 2" xfId="35768" xr:uid="{00000000-0005-0000-0000-000013660000}"/>
    <cellStyle name="Bemærk! 2 4 6 4 2 3" xfId="28767" xr:uid="{00000000-0005-0000-0000-000014660000}"/>
    <cellStyle name="Bemærk! 2 4 7" xfId="7151" xr:uid="{00000000-0005-0000-0000-000015660000}"/>
    <cellStyle name="Bemærk! 2 4 7 2" xfId="7152" xr:uid="{00000000-0005-0000-0000-000016660000}"/>
    <cellStyle name="Bemærk! 2 4 7 2 2" xfId="9807" xr:uid="{00000000-0005-0000-0000-000017660000}"/>
    <cellStyle name="Bemærk! 2 4 7 2 2 2" xfId="17708" xr:uid="{00000000-0005-0000-0000-000018660000}"/>
    <cellStyle name="Bemærk! 2 4 7 2 2 2 2" xfId="35868" xr:uid="{00000000-0005-0000-0000-000019660000}"/>
    <cellStyle name="Bemærk! 2 4 7 2 2 3" xfId="28867" xr:uid="{00000000-0005-0000-0000-00001A660000}"/>
    <cellStyle name="Bemærk! 2 4 8" xfId="7153" xr:uid="{00000000-0005-0000-0000-00001B660000}"/>
    <cellStyle name="Bemærk! 2 4 8 2" xfId="7154" xr:uid="{00000000-0005-0000-0000-00001C660000}"/>
    <cellStyle name="Bemærk! 2 4 8 2 2" xfId="10906" xr:uid="{00000000-0005-0000-0000-00001D660000}"/>
    <cellStyle name="Bemærk! 2 4 8 2 2 2" xfId="18788" xr:uid="{00000000-0005-0000-0000-00001E660000}"/>
    <cellStyle name="Bemærk! 2 4 8 2 2 2 2" xfId="36948" xr:uid="{00000000-0005-0000-0000-00001F660000}"/>
    <cellStyle name="Bemærk! 2 4 8 2 2 3" xfId="29947" xr:uid="{00000000-0005-0000-0000-000020660000}"/>
    <cellStyle name="Bemærk! 2 4 8 3" xfId="8396" xr:uid="{00000000-0005-0000-0000-000021660000}"/>
    <cellStyle name="Bemærk! 2 4 8 3 2" xfId="16313" xr:uid="{00000000-0005-0000-0000-000022660000}"/>
    <cellStyle name="Bemærk! 2 4 8 3 2 2" xfId="34473" xr:uid="{00000000-0005-0000-0000-000023660000}"/>
    <cellStyle name="Bemærk! 2 4 8 3 3" xfId="27472" xr:uid="{00000000-0005-0000-0000-000024660000}"/>
    <cellStyle name="Bemærk! 2 4 9" xfId="7155" xr:uid="{00000000-0005-0000-0000-000025660000}"/>
    <cellStyle name="Bemærk! 2 4 9 2" xfId="9035" xr:uid="{00000000-0005-0000-0000-000026660000}"/>
    <cellStyle name="Bemærk! 2 4 9 2 2" xfId="16946" xr:uid="{00000000-0005-0000-0000-000027660000}"/>
    <cellStyle name="Bemærk! 2 4 9 2 2 2" xfId="35106" xr:uid="{00000000-0005-0000-0000-000028660000}"/>
    <cellStyle name="Bemærk! 2 4 9 2 3" xfId="28105" xr:uid="{00000000-0005-0000-0000-000029660000}"/>
    <cellStyle name="Bemærk! 2 5" xfId="1986" xr:uid="{00000000-0005-0000-0000-00002A660000}"/>
    <cellStyle name="Bemærk! 2 5 2" xfId="1987" xr:uid="{00000000-0005-0000-0000-00002B660000}"/>
    <cellStyle name="Bemærk! 2 5 2 2" xfId="7158" xr:uid="{00000000-0005-0000-0000-00002C660000}"/>
    <cellStyle name="Bemærk! 2 5 2 2 2" xfId="9848" xr:uid="{00000000-0005-0000-0000-00002D660000}"/>
    <cellStyle name="Bemærk! 2 5 2 2 2 2" xfId="17749" xr:uid="{00000000-0005-0000-0000-00002E660000}"/>
    <cellStyle name="Bemærk! 2 5 2 2 2 2 2" xfId="35909" xr:uid="{00000000-0005-0000-0000-00002F660000}"/>
    <cellStyle name="Bemærk! 2 5 2 2 2 3" xfId="28908" xr:uid="{00000000-0005-0000-0000-000030660000}"/>
    <cellStyle name="Bemærk! 2 5 2 3" xfId="7157" xr:uid="{00000000-0005-0000-0000-000031660000}"/>
    <cellStyle name="Bemærk! 2 5 2 4" xfId="22087" xr:uid="{00000000-0005-0000-0000-000032660000}"/>
    <cellStyle name="Bemærk! 2 5 3" xfId="7159" xr:uid="{00000000-0005-0000-0000-000033660000}"/>
    <cellStyle name="Bemærk! 2 5 3 2" xfId="7160" xr:uid="{00000000-0005-0000-0000-000034660000}"/>
    <cellStyle name="Bemærk! 2 5 3 2 2" xfId="10952" xr:uid="{00000000-0005-0000-0000-000035660000}"/>
    <cellStyle name="Bemærk! 2 5 3 2 2 2" xfId="18832" xr:uid="{00000000-0005-0000-0000-000036660000}"/>
    <cellStyle name="Bemærk! 2 5 3 2 2 2 2" xfId="36992" xr:uid="{00000000-0005-0000-0000-000037660000}"/>
    <cellStyle name="Bemærk! 2 5 3 2 2 3" xfId="29991" xr:uid="{00000000-0005-0000-0000-000038660000}"/>
    <cellStyle name="Bemærk! 2 5 3 3" xfId="8429" xr:uid="{00000000-0005-0000-0000-000039660000}"/>
    <cellStyle name="Bemærk! 2 5 3 3 2" xfId="16346" xr:uid="{00000000-0005-0000-0000-00003A660000}"/>
    <cellStyle name="Bemærk! 2 5 3 3 2 2" xfId="34506" xr:uid="{00000000-0005-0000-0000-00003B660000}"/>
    <cellStyle name="Bemærk! 2 5 3 3 3" xfId="27505" xr:uid="{00000000-0005-0000-0000-00003C660000}"/>
    <cellStyle name="Bemærk! 2 5 4" xfId="7161" xr:uid="{00000000-0005-0000-0000-00003D660000}"/>
    <cellStyle name="Bemærk! 2 5 4 2" xfId="9078" xr:uid="{00000000-0005-0000-0000-00003E660000}"/>
    <cellStyle name="Bemærk! 2 5 4 2 2" xfId="16989" xr:uid="{00000000-0005-0000-0000-00003F660000}"/>
    <cellStyle name="Bemærk! 2 5 4 2 2 2" xfId="35149" xr:uid="{00000000-0005-0000-0000-000040660000}"/>
    <cellStyle name="Bemærk! 2 5 4 2 3" xfId="28148" xr:uid="{00000000-0005-0000-0000-000041660000}"/>
    <cellStyle name="Bemærk! 2 5 5" xfId="7156" xr:uid="{00000000-0005-0000-0000-000042660000}"/>
    <cellStyle name="Bemærk! 2 5 6" xfId="22086" xr:uid="{00000000-0005-0000-0000-000043660000}"/>
    <cellStyle name="Bemærk! 2 6" xfId="1988" xr:uid="{00000000-0005-0000-0000-000044660000}"/>
    <cellStyle name="Bemærk! 2 6 2" xfId="7163" xr:uid="{00000000-0005-0000-0000-000045660000}"/>
    <cellStyle name="Bemærk! 2 6 2 2" xfId="7164" xr:uid="{00000000-0005-0000-0000-000046660000}"/>
    <cellStyle name="Bemærk! 2 6 2 2 2" xfId="10062" xr:uid="{00000000-0005-0000-0000-000047660000}"/>
    <cellStyle name="Bemærk! 2 6 2 2 2 2" xfId="17963" xr:uid="{00000000-0005-0000-0000-000048660000}"/>
    <cellStyle name="Bemærk! 2 6 2 2 2 2 2" xfId="36123" xr:uid="{00000000-0005-0000-0000-000049660000}"/>
    <cellStyle name="Bemærk! 2 6 2 2 2 3" xfId="29122" xr:uid="{00000000-0005-0000-0000-00004A660000}"/>
    <cellStyle name="Bemærk! 2 6 3" xfId="7165" xr:uid="{00000000-0005-0000-0000-00004B660000}"/>
    <cellStyle name="Bemærk! 2 6 3 2" xfId="7166" xr:uid="{00000000-0005-0000-0000-00004C660000}"/>
    <cellStyle name="Bemærk! 2 6 3 2 2" xfId="10670" xr:uid="{00000000-0005-0000-0000-00004D660000}"/>
    <cellStyle name="Bemærk! 2 6 3 2 2 2" xfId="18562" xr:uid="{00000000-0005-0000-0000-00004E660000}"/>
    <cellStyle name="Bemærk! 2 6 3 2 2 2 2" xfId="36722" xr:uid="{00000000-0005-0000-0000-00004F660000}"/>
    <cellStyle name="Bemærk! 2 6 3 2 2 3" xfId="29721" xr:uid="{00000000-0005-0000-0000-000050660000}"/>
    <cellStyle name="Bemærk! 2 6 3 3" xfId="8611" xr:uid="{00000000-0005-0000-0000-000051660000}"/>
    <cellStyle name="Bemærk! 2 6 3 3 2" xfId="16525" xr:uid="{00000000-0005-0000-0000-000052660000}"/>
    <cellStyle name="Bemærk! 2 6 3 3 2 2" xfId="34685" xr:uid="{00000000-0005-0000-0000-000053660000}"/>
    <cellStyle name="Bemærk! 2 6 3 3 3" xfId="27684" xr:uid="{00000000-0005-0000-0000-000054660000}"/>
    <cellStyle name="Bemærk! 2 6 4" xfId="7167" xr:uid="{00000000-0005-0000-0000-000055660000}"/>
    <cellStyle name="Bemærk! 2 6 4 2" xfId="9293" xr:uid="{00000000-0005-0000-0000-000056660000}"/>
    <cellStyle name="Bemærk! 2 6 4 2 2" xfId="17204" xr:uid="{00000000-0005-0000-0000-000057660000}"/>
    <cellStyle name="Bemærk! 2 6 4 2 2 2" xfId="35364" xr:uid="{00000000-0005-0000-0000-000058660000}"/>
    <cellStyle name="Bemærk! 2 6 4 2 3" xfId="28363" xr:uid="{00000000-0005-0000-0000-000059660000}"/>
    <cellStyle name="Bemærk! 2 6 5" xfId="7162" xr:uid="{00000000-0005-0000-0000-00005A660000}"/>
    <cellStyle name="Bemærk! 2 7" xfId="1989" xr:uid="{00000000-0005-0000-0000-00005B660000}"/>
    <cellStyle name="Bemærk! 2 7 2" xfId="1990" xr:uid="{00000000-0005-0000-0000-00005C660000}"/>
    <cellStyle name="Bemærk! 2 7 2 2" xfId="7170" xr:uid="{00000000-0005-0000-0000-00005D660000}"/>
    <cellStyle name="Bemærk! 2 7 2 2 2" xfId="10086" xr:uid="{00000000-0005-0000-0000-00005E660000}"/>
    <cellStyle name="Bemærk! 2 7 2 2 2 2" xfId="17987" xr:uid="{00000000-0005-0000-0000-00005F660000}"/>
    <cellStyle name="Bemærk! 2 7 2 2 2 2 2" xfId="36147" xr:uid="{00000000-0005-0000-0000-000060660000}"/>
    <cellStyle name="Bemærk! 2 7 2 2 2 3" xfId="29146" xr:uid="{00000000-0005-0000-0000-000061660000}"/>
    <cellStyle name="Bemærk! 2 7 2 3" xfId="7169" xr:uid="{00000000-0005-0000-0000-000062660000}"/>
    <cellStyle name="Bemærk! 2 7 2 4" xfId="22089" xr:uid="{00000000-0005-0000-0000-000063660000}"/>
    <cellStyle name="Bemærk! 2 7 3" xfId="7171" xr:uid="{00000000-0005-0000-0000-000064660000}"/>
    <cellStyle name="Bemærk! 2 7 3 2" xfId="7172" xr:uid="{00000000-0005-0000-0000-000065660000}"/>
    <cellStyle name="Bemærk! 2 7 3 2 2" xfId="10975" xr:uid="{00000000-0005-0000-0000-000066660000}"/>
    <cellStyle name="Bemærk! 2 7 3 2 2 2" xfId="18854" xr:uid="{00000000-0005-0000-0000-000067660000}"/>
    <cellStyle name="Bemærk! 2 7 3 2 2 2 2" xfId="37014" xr:uid="{00000000-0005-0000-0000-000068660000}"/>
    <cellStyle name="Bemærk! 2 7 3 2 2 3" xfId="30013" xr:uid="{00000000-0005-0000-0000-000069660000}"/>
    <cellStyle name="Bemærk! 2 7 3 3" xfId="8631" xr:uid="{00000000-0005-0000-0000-00006A660000}"/>
    <cellStyle name="Bemærk! 2 7 3 3 2" xfId="16545" xr:uid="{00000000-0005-0000-0000-00006B660000}"/>
    <cellStyle name="Bemærk! 2 7 3 3 2 2" xfId="34705" xr:uid="{00000000-0005-0000-0000-00006C660000}"/>
    <cellStyle name="Bemærk! 2 7 3 3 3" xfId="27704" xr:uid="{00000000-0005-0000-0000-00006D660000}"/>
    <cellStyle name="Bemærk! 2 7 4" xfId="7173" xr:uid="{00000000-0005-0000-0000-00006E660000}"/>
    <cellStyle name="Bemærk! 2 7 4 2" xfId="9362" xr:uid="{00000000-0005-0000-0000-00006F660000}"/>
    <cellStyle name="Bemærk! 2 7 4 2 2" xfId="17272" xr:uid="{00000000-0005-0000-0000-000070660000}"/>
    <cellStyle name="Bemærk! 2 7 4 2 2 2" xfId="35432" xr:uid="{00000000-0005-0000-0000-000071660000}"/>
    <cellStyle name="Bemærk! 2 7 4 2 3" xfId="28431" xr:uid="{00000000-0005-0000-0000-000072660000}"/>
    <cellStyle name="Bemærk! 2 7 5" xfId="7168" xr:uid="{00000000-0005-0000-0000-000073660000}"/>
    <cellStyle name="Bemærk! 2 7 6" xfId="22088" xr:uid="{00000000-0005-0000-0000-000074660000}"/>
    <cellStyle name="Bemærk! 2 8" xfId="1991" xr:uid="{00000000-0005-0000-0000-000075660000}"/>
    <cellStyle name="Bemærk! 2 8 2" xfId="7175" xr:uid="{00000000-0005-0000-0000-000076660000}"/>
    <cellStyle name="Bemærk! 2 8 2 2" xfId="7176" xr:uid="{00000000-0005-0000-0000-000077660000}"/>
    <cellStyle name="Bemærk! 2 8 2 2 2" xfId="10203" xr:uid="{00000000-0005-0000-0000-000078660000}"/>
    <cellStyle name="Bemærk! 2 8 2 2 2 2" xfId="18104" xr:uid="{00000000-0005-0000-0000-000079660000}"/>
    <cellStyle name="Bemærk! 2 8 2 2 2 2 2" xfId="36264" xr:uid="{00000000-0005-0000-0000-00007A660000}"/>
    <cellStyle name="Bemærk! 2 8 2 2 2 3" xfId="29263" xr:uid="{00000000-0005-0000-0000-00007B660000}"/>
    <cellStyle name="Bemærk! 2 8 3" xfId="7177" xr:uid="{00000000-0005-0000-0000-00007C660000}"/>
    <cellStyle name="Bemærk! 2 8 3 2" xfId="7178" xr:uid="{00000000-0005-0000-0000-00007D660000}"/>
    <cellStyle name="Bemærk! 2 8 3 2 2" xfId="10937" xr:uid="{00000000-0005-0000-0000-00007E660000}"/>
    <cellStyle name="Bemærk! 2 8 3 2 2 2" xfId="18817" xr:uid="{00000000-0005-0000-0000-00007F660000}"/>
    <cellStyle name="Bemærk! 2 8 3 2 2 2 2" xfId="36977" xr:uid="{00000000-0005-0000-0000-000080660000}"/>
    <cellStyle name="Bemærk! 2 8 3 2 2 3" xfId="29976" xr:uid="{00000000-0005-0000-0000-000081660000}"/>
    <cellStyle name="Bemærk! 2 8 3 3" xfId="8730" xr:uid="{00000000-0005-0000-0000-000082660000}"/>
    <cellStyle name="Bemærk! 2 8 3 3 2" xfId="16644" xr:uid="{00000000-0005-0000-0000-000083660000}"/>
    <cellStyle name="Bemærk! 2 8 3 3 2 2" xfId="34804" xr:uid="{00000000-0005-0000-0000-000084660000}"/>
    <cellStyle name="Bemærk! 2 8 3 3 3" xfId="27803" xr:uid="{00000000-0005-0000-0000-000085660000}"/>
    <cellStyle name="Bemærk! 2 8 4" xfId="7179" xr:uid="{00000000-0005-0000-0000-000086660000}"/>
    <cellStyle name="Bemærk! 2 8 4 2" xfId="9479" xr:uid="{00000000-0005-0000-0000-000087660000}"/>
    <cellStyle name="Bemærk! 2 8 4 2 2" xfId="17389" xr:uid="{00000000-0005-0000-0000-000088660000}"/>
    <cellStyle name="Bemærk! 2 8 4 2 2 2" xfId="35549" xr:uid="{00000000-0005-0000-0000-000089660000}"/>
    <cellStyle name="Bemærk! 2 8 4 2 3" xfId="28548" xr:uid="{00000000-0005-0000-0000-00008A660000}"/>
    <cellStyle name="Bemærk! 2 8 5" xfId="7174" xr:uid="{00000000-0005-0000-0000-00008B660000}"/>
    <cellStyle name="Bemærk! 2 8 6" xfId="22090" xr:uid="{00000000-0005-0000-0000-00008C660000}"/>
    <cellStyle name="Bemærk! 2 9" xfId="7180" xr:uid="{00000000-0005-0000-0000-00008D660000}"/>
    <cellStyle name="Bemærk! 2 9 2" xfId="7181" xr:uid="{00000000-0005-0000-0000-00008E660000}"/>
    <cellStyle name="Bemærk! 2 9 2 2" xfId="7182" xr:uid="{00000000-0005-0000-0000-00008F660000}"/>
    <cellStyle name="Bemærk! 2 9 2 2 2" xfId="10416" xr:uid="{00000000-0005-0000-0000-000090660000}"/>
    <cellStyle name="Bemærk! 2 9 2 2 2 2" xfId="18317" xr:uid="{00000000-0005-0000-0000-000091660000}"/>
    <cellStyle name="Bemærk! 2 9 2 2 2 2 2" xfId="36477" xr:uid="{00000000-0005-0000-0000-000092660000}"/>
    <cellStyle name="Bemærk! 2 9 2 2 2 3" xfId="29476" xr:uid="{00000000-0005-0000-0000-000093660000}"/>
    <cellStyle name="Bemærk! 2 9 3" xfId="7183" xr:uid="{00000000-0005-0000-0000-000094660000}"/>
    <cellStyle name="Bemærk! 2 9 3 2" xfId="7184" xr:uid="{00000000-0005-0000-0000-000095660000}"/>
    <cellStyle name="Bemærk! 2 9 3 2 2" xfId="11028" xr:uid="{00000000-0005-0000-0000-000096660000}"/>
    <cellStyle name="Bemærk! 2 9 3 2 2 2" xfId="18904" xr:uid="{00000000-0005-0000-0000-000097660000}"/>
    <cellStyle name="Bemærk! 2 9 3 2 2 2 2" xfId="37064" xr:uid="{00000000-0005-0000-0000-000098660000}"/>
    <cellStyle name="Bemærk! 2 9 3 2 2 3" xfId="30063" xr:uid="{00000000-0005-0000-0000-000099660000}"/>
    <cellStyle name="Bemærk! 2 9 3 3" xfId="8909" xr:uid="{00000000-0005-0000-0000-00009A660000}"/>
    <cellStyle name="Bemærk! 2 9 3 3 2" xfId="16823" xr:uid="{00000000-0005-0000-0000-00009B660000}"/>
    <cellStyle name="Bemærk! 2 9 3 3 2 2" xfId="34983" xr:uid="{00000000-0005-0000-0000-00009C660000}"/>
    <cellStyle name="Bemærk! 2 9 3 3 3" xfId="27982" xr:uid="{00000000-0005-0000-0000-00009D660000}"/>
    <cellStyle name="Bemærk! 2 9 4" xfId="7185" xr:uid="{00000000-0005-0000-0000-00009E660000}"/>
    <cellStyle name="Bemærk! 2 9 4 2" xfId="9693" xr:uid="{00000000-0005-0000-0000-00009F660000}"/>
    <cellStyle name="Bemærk! 2 9 4 2 2" xfId="17603" xr:uid="{00000000-0005-0000-0000-0000A0660000}"/>
    <cellStyle name="Bemærk! 2 9 4 2 2 2" xfId="35763" xr:uid="{00000000-0005-0000-0000-0000A1660000}"/>
    <cellStyle name="Bemærk! 2 9 4 2 3" xfId="28762" xr:uid="{00000000-0005-0000-0000-0000A2660000}"/>
    <cellStyle name="Bemærk! 3" xfId="1992" xr:uid="{00000000-0005-0000-0000-0000A3660000}"/>
    <cellStyle name="Bemærk! 3 10" xfId="7187" xr:uid="{00000000-0005-0000-0000-0000A4660000}"/>
    <cellStyle name="Bemærk! 3 10 2" xfId="7188" xr:uid="{00000000-0005-0000-0000-0000A5660000}"/>
    <cellStyle name="Bemærk! 3 10 2 2" xfId="10699" xr:uid="{00000000-0005-0000-0000-0000A6660000}"/>
    <cellStyle name="Bemærk! 3 10 2 2 2" xfId="18590" xr:uid="{00000000-0005-0000-0000-0000A7660000}"/>
    <cellStyle name="Bemærk! 3 10 2 2 2 2" xfId="36750" xr:uid="{00000000-0005-0000-0000-0000A8660000}"/>
    <cellStyle name="Bemærk! 3 10 2 2 3" xfId="29749" xr:uid="{00000000-0005-0000-0000-0000A9660000}"/>
    <cellStyle name="Bemærk! 3 10 3" xfId="8331" xr:uid="{00000000-0005-0000-0000-0000AA660000}"/>
    <cellStyle name="Bemærk! 3 10 3 2" xfId="16248" xr:uid="{00000000-0005-0000-0000-0000AB660000}"/>
    <cellStyle name="Bemærk! 3 10 3 2 2" xfId="34408" xr:uid="{00000000-0005-0000-0000-0000AC660000}"/>
    <cellStyle name="Bemærk! 3 10 3 3" xfId="27407" xr:uid="{00000000-0005-0000-0000-0000AD660000}"/>
    <cellStyle name="Bemærk! 3 11" xfId="7189" xr:uid="{00000000-0005-0000-0000-0000AE660000}"/>
    <cellStyle name="Bemærk! 3 11 2" xfId="8955" xr:uid="{00000000-0005-0000-0000-0000AF660000}"/>
    <cellStyle name="Bemærk! 3 11 2 2" xfId="16867" xr:uid="{00000000-0005-0000-0000-0000B0660000}"/>
    <cellStyle name="Bemærk! 3 11 2 2 2" xfId="35027" xr:uid="{00000000-0005-0000-0000-0000B1660000}"/>
    <cellStyle name="Bemærk! 3 11 2 3" xfId="28026" xr:uid="{00000000-0005-0000-0000-0000B2660000}"/>
    <cellStyle name="Bemærk! 3 12" xfId="7186" xr:uid="{00000000-0005-0000-0000-0000B3660000}"/>
    <cellStyle name="Bemærk! 3 2" xfId="7190" xr:uid="{00000000-0005-0000-0000-0000B4660000}"/>
    <cellStyle name="Bemærk! 3 2 2" xfId="7191" xr:uid="{00000000-0005-0000-0000-0000B5660000}"/>
    <cellStyle name="Bemærk! 3 2 2 2" xfId="7192" xr:uid="{00000000-0005-0000-0000-0000B6660000}"/>
    <cellStyle name="Bemærk! 3 2 2 2 2" xfId="7193" xr:uid="{00000000-0005-0000-0000-0000B7660000}"/>
    <cellStyle name="Bemærk! 3 2 2 2 2 2" xfId="9888" xr:uid="{00000000-0005-0000-0000-0000B8660000}"/>
    <cellStyle name="Bemærk! 3 2 2 2 2 2 2" xfId="17789" xr:uid="{00000000-0005-0000-0000-0000B9660000}"/>
    <cellStyle name="Bemærk! 3 2 2 2 2 2 2 2" xfId="35949" xr:uid="{00000000-0005-0000-0000-0000BA660000}"/>
    <cellStyle name="Bemærk! 3 2 2 2 2 2 3" xfId="28948" xr:uid="{00000000-0005-0000-0000-0000BB660000}"/>
    <cellStyle name="Bemærk! 3 2 2 3" xfId="7194" xr:uid="{00000000-0005-0000-0000-0000BC660000}"/>
    <cellStyle name="Bemærk! 3 2 2 3 2" xfId="7195" xr:uid="{00000000-0005-0000-0000-0000BD660000}"/>
    <cellStyle name="Bemærk! 3 2 2 3 2 2" xfId="10976" xr:uid="{00000000-0005-0000-0000-0000BE660000}"/>
    <cellStyle name="Bemærk! 3 2 2 3 2 2 2" xfId="18855" xr:uid="{00000000-0005-0000-0000-0000BF660000}"/>
    <cellStyle name="Bemærk! 3 2 2 3 2 2 2 2" xfId="37015" xr:uid="{00000000-0005-0000-0000-0000C0660000}"/>
    <cellStyle name="Bemærk! 3 2 2 3 2 2 3" xfId="30014" xr:uid="{00000000-0005-0000-0000-0000C1660000}"/>
    <cellStyle name="Bemærk! 3 2 2 3 3" xfId="8463" xr:uid="{00000000-0005-0000-0000-0000C2660000}"/>
    <cellStyle name="Bemærk! 3 2 2 3 3 2" xfId="16380" xr:uid="{00000000-0005-0000-0000-0000C3660000}"/>
    <cellStyle name="Bemærk! 3 2 2 3 3 2 2" xfId="34540" xr:uid="{00000000-0005-0000-0000-0000C4660000}"/>
    <cellStyle name="Bemærk! 3 2 2 3 3 3" xfId="27539" xr:uid="{00000000-0005-0000-0000-0000C5660000}"/>
    <cellStyle name="Bemærk! 3 2 2 4" xfId="7196" xr:uid="{00000000-0005-0000-0000-0000C6660000}"/>
    <cellStyle name="Bemærk! 3 2 2 4 2" xfId="9118" xr:uid="{00000000-0005-0000-0000-0000C7660000}"/>
    <cellStyle name="Bemærk! 3 2 2 4 2 2" xfId="17029" xr:uid="{00000000-0005-0000-0000-0000C8660000}"/>
    <cellStyle name="Bemærk! 3 2 2 4 2 2 2" xfId="35189" xr:uid="{00000000-0005-0000-0000-0000C9660000}"/>
    <cellStyle name="Bemærk! 3 2 2 4 2 3" xfId="28188" xr:uid="{00000000-0005-0000-0000-0000CA660000}"/>
    <cellStyle name="Bemærk! 3 2 3" xfId="7197" xr:uid="{00000000-0005-0000-0000-0000CB660000}"/>
    <cellStyle name="Bemærk! 3 2 3 2" xfId="7198" xr:uid="{00000000-0005-0000-0000-0000CC660000}"/>
    <cellStyle name="Bemærk! 3 2 3 2 2" xfId="7199" xr:uid="{00000000-0005-0000-0000-0000CD660000}"/>
    <cellStyle name="Bemærk! 3 2 3 2 2 2" xfId="10069" xr:uid="{00000000-0005-0000-0000-0000CE660000}"/>
    <cellStyle name="Bemærk! 3 2 3 2 2 2 2" xfId="17970" xr:uid="{00000000-0005-0000-0000-0000CF660000}"/>
    <cellStyle name="Bemærk! 3 2 3 2 2 2 2 2" xfId="36130" xr:uid="{00000000-0005-0000-0000-0000D0660000}"/>
    <cellStyle name="Bemærk! 3 2 3 2 2 2 3" xfId="29129" xr:uid="{00000000-0005-0000-0000-0000D1660000}"/>
    <cellStyle name="Bemærk! 3 2 3 3" xfId="7200" xr:uid="{00000000-0005-0000-0000-0000D2660000}"/>
    <cellStyle name="Bemærk! 3 2 3 3 2" xfId="7201" xr:uid="{00000000-0005-0000-0000-0000D3660000}"/>
    <cellStyle name="Bemærk! 3 2 3 3 2 2" xfId="8928" xr:uid="{00000000-0005-0000-0000-0000D4660000}"/>
    <cellStyle name="Bemærk! 3 2 3 3 2 2 2" xfId="16841" xr:uid="{00000000-0005-0000-0000-0000D5660000}"/>
    <cellStyle name="Bemærk! 3 2 3 3 2 2 2 2" xfId="35001" xr:uid="{00000000-0005-0000-0000-0000D6660000}"/>
    <cellStyle name="Bemærk! 3 2 3 3 2 2 3" xfId="28000" xr:uid="{00000000-0005-0000-0000-0000D7660000}"/>
    <cellStyle name="Bemærk! 3 2 3 3 3" xfId="8618" xr:uid="{00000000-0005-0000-0000-0000D8660000}"/>
    <cellStyle name="Bemærk! 3 2 3 3 3 2" xfId="16532" xr:uid="{00000000-0005-0000-0000-0000D9660000}"/>
    <cellStyle name="Bemærk! 3 2 3 3 3 2 2" xfId="34692" xr:uid="{00000000-0005-0000-0000-0000DA660000}"/>
    <cellStyle name="Bemærk! 3 2 3 3 3 3" xfId="27691" xr:uid="{00000000-0005-0000-0000-0000DB660000}"/>
    <cellStyle name="Bemærk! 3 2 3 4" xfId="7202" xr:uid="{00000000-0005-0000-0000-0000DC660000}"/>
    <cellStyle name="Bemærk! 3 2 3 4 2" xfId="9300" xr:uid="{00000000-0005-0000-0000-0000DD660000}"/>
    <cellStyle name="Bemærk! 3 2 3 4 2 2" xfId="17211" xr:uid="{00000000-0005-0000-0000-0000DE660000}"/>
    <cellStyle name="Bemærk! 3 2 3 4 2 2 2" xfId="35371" xr:uid="{00000000-0005-0000-0000-0000DF660000}"/>
    <cellStyle name="Bemærk! 3 2 3 4 2 3" xfId="28370" xr:uid="{00000000-0005-0000-0000-0000E0660000}"/>
    <cellStyle name="Bemærk! 3 2 4" xfId="7203" xr:uid="{00000000-0005-0000-0000-0000E1660000}"/>
    <cellStyle name="Bemærk! 3 2 4 2" xfId="7204" xr:uid="{00000000-0005-0000-0000-0000E2660000}"/>
    <cellStyle name="Bemærk! 3 2 4 2 2" xfId="7205" xr:uid="{00000000-0005-0000-0000-0000E3660000}"/>
    <cellStyle name="Bemærk! 3 2 4 2 2 2" xfId="10126" xr:uid="{00000000-0005-0000-0000-0000E4660000}"/>
    <cellStyle name="Bemærk! 3 2 4 2 2 2 2" xfId="18027" xr:uid="{00000000-0005-0000-0000-0000E5660000}"/>
    <cellStyle name="Bemærk! 3 2 4 2 2 2 2 2" xfId="36187" xr:uid="{00000000-0005-0000-0000-0000E6660000}"/>
    <cellStyle name="Bemærk! 3 2 4 2 2 2 3" xfId="29186" xr:uid="{00000000-0005-0000-0000-0000E7660000}"/>
    <cellStyle name="Bemærk! 3 2 4 3" xfId="7206" xr:uid="{00000000-0005-0000-0000-0000E8660000}"/>
    <cellStyle name="Bemærk! 3 2 4 3 2" xfId="7207" xr:uid="{00000000-0005-0000-0000-0000E9660000}"/>
    <cellStyle name="Bemærk! 3 2 4 3 2 2" xfId="10459" xr:uid="{00000000-0005-0000-0000-0000EA660000}"/>
    <cellStyle name="Bemærk! 3 2 4 3 2 2 2" xfId="18356" xr:uid="{00000000-0005-0000-0000-0000EB660000}"/>
    <cellStyle name="Bemærk! 3 2 4 3 2 2 2 2" xfId="36516" xr:uid="{00000000-0005-0000-0000-0000EC660000}"/>
    <cellStyle name="Bemærk! 3 2 4 3 2 2 3" xfId="29515" xr:uid="{00000000-0005-0000-0000-0000ED660000}"/>
    <cellStyle name="Bemærk! 3 2 4 3 3" xfId="8665" xr:uid="{00000000-0005-0000-0000-0000EE660000}"/>
    <cellStyle name="Bemærk! 3 2 4 3 3 2" xfId="16579" xr:uid="{00000000-0005-0000-0000-0000EF660000}"/>
    <cellStyle name="Bemærk! 3 2 4 3 3 2 2" xfId="34739" xr:uid="{00000000-0005-0000-0000-0000F0660000}"/>
    <cellStyle name="Bemærk! 3 2 4 3 3 3" xfId="27738" xr:uid="{00000000-0005-0000-0000-0000F1660000}"/>
    <cellStyle name="Bemærk! 3 2 4 4" xfId="7208" xr:uid="{00000000-0005-0000-0000-0000F2660000}"/>
    <cellStyle name="Bemærk! 3 2 4 4 2" xfId="9402" xr:uid="{00000000-0005-0000-0000-0000F3660000}"/>
    <cellStyle name="Bemærk! 3 2 4 4 2 2" xfId="17312" xr:uid="{00000000-0005-0000-0000-0000F4660000}"/>
    <cellStyle name="Bemærk! 3 2 4 4 2 2 2" xfId="35472" xr:uid="{00000000-0005-0000-0000-0000F5660000}"/>
    <cellStyle name="Bemærk! 3 2 4 4 2 3" xfId="28471" xr:uid="{00000000-0005-0000-0000-0000F6660000}"/>
    <cellStyle name="Bemærk! 3 2 5" xfId="7209" xr:uid="{00000000-0005-0000-0000-0000F7660000}"/>
    <cellStyle name="Bemærk! 3 2 5 2" xfId="7210" xr:uid="{00000000-0005-0000-0000-0000F8660000}"/>
    <cellStyle name="Bemærk! 3 2 5 2 2" xfId="7211" xr:uid="{00000000-0005-0000-0000-0000F9660000}"/>
    <cellStyle name="Bemærk! 3 2 5 2 2 2" xfId="10243" xr:uid="{00000000-0005-0000-0000-0000FA660000}"/>
    <cellStyle name="Bemærk! 3 2 5 2 2 2 2" xfId="18144" xr:uid="{00000000-0005-0000-0000-0000FB660000}"/>
    <cellStyle name="Bemærk! 3 2 5 2 2 2 2 2" xfId="36304" xr:uid="{00000000-0005-0000-0000-0000FC660000}"/>
    <cellStyle name="Bemærk! 3 2 5 2 2 2 3" xfId="29303" xr:uid="{00000000-0005-0000-0000-0000FD660000}"/>
    <cellStyle name="Bemærk! 3 2 5 3" xfId="7212" xr:uid="{00000000-0005-0000-0000-0000FE660000}"/>
    <cellStyle name="Bemærk! 3 2 5 3 2" xfId="7213" xr:uid="{00000000-0005-0000-0000-0000FF660000}"/>
    <cellStyle name="Bemærk! 3 2 5 3 2 2" xfId="10973" xr:uid="{00000000-0005-0000-0000-000000670000}"/>
    <cellStyle name="Bemærk! 3 2 5 3 2 2 2" xfId="18852" xr:uid="{00000000-0005-0000-0000-000001670000}"/>
    <cellStyle name="Bemærk! 3 2 5 3 2 2 2 2" xfId="37012" xr:uid="{00000000-0005-0000-0000-000002670000}"/>
    <cellStyle name="Bemærk! 3 2 5 3 2 2 3" xfId="30011" xr:uid="{00000000-0005-0000-0000-000003670000}"/>
    <cellStyle name="Bemærk! 3 2 5 3 3" xfId="8764" xr:uid="{00000000-0005-0000-0000-000004670000}"/>
    <cellStyle name="Bemærk! 3 2 5 3 3 2" xfId="16678" xr:uid="{00000000-0005-0000-0000-000005670000}"/>
    <cellStyle name="Bemærk! 3 2 5 3 3 2 2" xfId="34838" xr:uid="{00000000-0005-0000-0000-000006670000}"/>
    <cellStyle name="Bemærk! 3 2 5 3 3 3" xfId="27837" xr:uid="{00000000-0005-0000-0000-000007670000}"/>
    <cellStyle name="Bemærk! 3 2 5 4" xfId="7214" xr:uid="{00000000-0005-0000-0000-000008670000}"/>
    <cellStyle name="Bemærk! 3 2 5 4 2" xfId="9519" xr:uid="{00000000-0005-0000-0000-000009670000}"/>
    <cellStyle name="Bemærk! 3 2 5 4 2 2" xfId="17429" xr:uid="{00000000-0005-0000-0000-00000A670000}"/>
    <cellStyle name="Bemærk! 3 2 5 4 2 2 2" xfId="35589" xr:uid="{00000000-0005-0000-0000-00000B670000}"/>
    <cellStyle name="Bemærk! 3 2 5 4 2 3" xfId="28588" xr:uid="{00000000-0005-0000-0000-00000C670000}"/>
    <cellStyle name="Bemærk! 3 2 6" xfId="7215" xr:uid="{00000000-0005-0000-0000-00000D670000}"/>
    <cellStyle name="Bemærk! 3 2 6 2" xfId="7216" xr:uid="{00000000-0005-0000-0000-00000E670000}"/>
    <cellStyle name="Bemærk! 3 2 6 2 2" xfId="7217" xr:uid="{00000000-0005-0000-0000-00000F670000}"/>
    <cellStyle name="Bemærk! 3 2 6 2 2 2" xfId="10423" xr:uid="{00000000-0005-0000-0000-000010670000}"/>
    <cellStyle name="Bemærk! 3 2 6 2 2 2 2" xfId="18324" xr:uid="{00000000-0005-0000-0000-000011670000}"/>
    <cellStyle name="Bemærk! 3 2 6 2 2 2 2 2" xfId="36484" xr:uid="{00000000-0005-0000-0000-000012670000}"/>
    <cellStyle name="Bemærk! 3 2 6 2 2 2 3" xfId="29483" xr:uid="{00000000-0005-0000-0000-000013670000}"/>
    <cellStyle name="Bemærk! 3 2 6 3" xfId="7218" xr:uid="{00000000-0005-0000-0000-000014670000}"/>
    <cellStyle name="Bemærk! 3 2 6 3 2" xfId="7219" xr:uid="{00000000-0005-0000-0000-000015670000}"/>
    <cellStyle name="Bemærk! 3 2 6 3 2 2" xfId="11035" xr:uid="{00000000-0005-0000-0000-000016670000}"/>
    <cellStyle name="Bemærk! 3 2 6 3 2 2 2" xfId="18911" xr:uid="{00000000-0005-0000-0000-000017670000}"/>
    <cellStyle name="Bemærk! 3 2 6 3 2 2 2 2" xfId="37071" xr:uid="{00000000-0005-0000-0000-000018670000}"/>
    <cellStyle name="Bemærk! 3 2 6 3 2 2 3" xfId="30070" xr:uid="{00000000-0005-0000-0000-000019670000}"/>
    <cellStyle name="Bemærk! 3 2 6 3 3" xfId="8916" xr:uid="{00000000-0005-0000-0000-00001A670000}"/>
    <cellStyle name="Bemærk! 3 2 6 3 3 2" xfId="16830" xr:uid="{00000000-0005-0000-0000-00001B670000}"/>
    <cellStyle name="Bemærk! 3 2 6 3 3 2 2" xfId="34990" xr:uid="{00000000-0005-0000-0000-00001C670000}"/>
    <cellStyle name="Bemærk! 3 2 6 3 3 3" xfId="27989" xr:uid="{00000000-0005-0000-0000-00001D670000}"/>
    <cellStyle name="Bemærk! 3 2 6 4" xfId="7220" xr:uid="{00000000-0005-0000-0000-00001E670000}"/>
    <cellStyle name="Bemærk! 3 2 6 4 2" xfId="9700" xr:uid="{00000000-0005-0000-0000-00001F670000}"/>
    <cellStyle name="Bemærk! 3 2 6 4 2 2" xfId="17610" xr:uid="{00000000-0005-0000-0000-000020670000}"/>
    <cellStyle name="Bemærk! 3 2 6 4 2 2 2" xfId="35770" xr:uid="{00000000-0005-0000-0000-000021670000}"/>
    <cellStyle name="Bemærk! 3 2 6 4 2 3" xfId="28769" xr:uid="{00000000-0005-0000-0000-000022670000}"/>
    <cellStyle name="Bemærk! 3 2 7" xfId="7221" xr:uid="{00000000-0005-0000-0000-000023670000}"/>
    <cellStyle name="Bemærk! 3 2 7 2" xfId="7222" xr:uid="{00000000-0005-0000-0000-000024670000}"/>
    <cellStyle name="Bemærk! 3 2 7 2 2" xfId="9769" xr:uid="{00000000-0005-0000-0000-000025670000}"/>
    <cellStyle name="Bemærk! 3 2 7 2 2 2" xfId="17670" xr:uid="{00000000-0005-0000-0000-000026670000}"/>
    <cellStyle name="Bemærk! 3 2 7 2 2 2 2" xfId="35830" xr:uid="{00000000-0005-0000-0000-000027670000}"/>
    <cellStyle name="Bemærk! 3 2 7 2 2 3" xfId="28829" xr:uid="{00000000-0005-0000-0000-000028670000}"/>
    <cellStyle name="Bemærk! 3 2 8" xfId="7223" xr:uid="{00000000-0005-0000-0000-000029670000}"/>
    <cellStyle name="Bemærk! 3 2 8 2" xfId="7224" xr:uid="{00000000-0005-0000-0000-00002A670000}"/>
    <cellStyle name="Bemærk! 3 2 8 2 2" xfId="9306" xr:uid="{00000000-0005-0000-0000-00002B670000}"/>
    <cellStyle name="Bemærk! 3 2 8 2 2 2" xfId="17217" xr:uid="{00000000-0005-0000-0000-00002C670000}"/>
    <cellStyle name="Bemærk! 3 2 8 2 2 2 2" xfId="35377" xr:uid="{00000000-0005-0000-0000-00002D670000}"/>
    <cellStyle name="Bemærk! 3 2 8 2 2 3" xfId="28376" xr:uid="{00000000-0005-0000-0000-00002E670000}"/>
    <cellStyle name="Bemærk! 3 2 8 3" xfId="8364" xr:uid="{00000000-0005-0000-0000-00002F670000}"/>
    <cellStyle name="Bemærk! 3 2 8 3 2" xfId="16281" xr:uid="{00000000-0005-0000-0000-000030670000}"/>
    <cellStyle name="Bemærk! 3 2 8 3 2 2" xfId="34441" xr:uid="{00000000-0005-0000-0000-000031670000}"/>
    <cellStyle name="Bemærk! 3 2 8 3 3" xfId="27440" xr:uid="{00000000-0005-0000-0000-000032670000}"/>
    <cellStyle name="Bemærk! 3 2 9" xfId="7225" xr:uid="{00000000-0005-0000-0000-000033670000}"/>
    <cellStyle name="Bemærk! 3 2 9 2" xfId="8997" xr:uid="{00000000-0005-0000-0000-000034670000}"/>
    <cellStyle name="Bemærk! 3 2 9 2 2" xfId="16908" xr:uid="{00000000-0005-0000-0000-000035670000}"/>
    <cellStyle name="Bemærk! 3 2 9 2 2 2" xfId="35068" xr:uid="{00000000-0005-0000-0000-000036670000}"/>
    <cellStyle name="Bemærk! 3 2 9 2 3" xfId="28067" xr:uid="{00000000-0005-0000-0000-000037670000}"/>
    <cellStyle name="Bemærk! 3 3" xfId="7226" xr:uid="{00000000-0005-0000-0000-000038670000}"/>
    <cellStyle name="Bemærk! 3 3 2" xfId="7227" xr:uid="{00000000-0005-0000-0000-000039670000}"/>
    <cellStyle name="Bemærk! 3 3 2 2" xfId="7228" xr:uid="{00000000-0005-0000-0000-00003A670000}"/>
    <cellStyle name="Bemærk! 3 3 2 2 2" xfId="7229" xr:uid="{00000000-0005-0000-0000-00003B670000}"/>
    <cellStyle name="Bemærk! 3 3 2 2 2 2" xfId="9927" xr:uid="{00000000-0005-0000-0000-00003C670000}"/>
    <cellStyle name="Bemærk! 3 3 2 2 2 2 2" xfId="17828" xr:uid="{00000000-0005-0000-0000-00003D670000}"/>
    <cellStyle name="Bemærk! 3 3 2 2 2 2 2 2" xfId="35988" xr:uid="{00000000-0005-0000-0000-00003E670000}"/>
    <cellStyle name="Bemærk! 3 3 2 2 2 2 3" xfId="28987" xr:uid="{00000000-0005-0000-0000-00003F670000}"/>
    <cellStyle name="Bemærk! 3 3 2 3" xfId="7230" xr:uid="{00000000-0005-0000-0000-000040670000}"/>
    <cellStyle name="Bemærk! 3 3 2 3 2" xfId="7231" xr:uid="{00000000-0005-0000-0000-000041670000}"/>
    <cellStyle name="Bemærk! 3 3 2 3 2 2" xfId="10827" xr:uid="{00000000-0005-0000-0000-000042670000}"/>
    <cellStyle name="Bemærk! 3 3 2 3 2 2 2" xfId="18713" xr:uid="{00000000-0005-0000-0000-000043670000}"/>
    <cellStyle name="Bemærk! 3 3 2 3 2 2 2 2" xfId="36873" xr:uid="{00000000-0005-0000-0000-000044670000}"/>
    <cellStyle name="Bemærk! 3 3 2 3 2 2 3" xfId="29872" xr:uid="{00000000-0005-0000-0000-000045670000}"/>
    <cellStyle name="Bemærk! 3 3 2 3 3" xfId="8496" xr:uid="{00000000-0005-0000-0000-000046670000}"/>
    <cellStyle name="Bemærk! 3 3 2 3 3 2" xfId="16413" xr:uid="{00000000-0005-0000-0000-000047670000}"/>
    <cellStyle name="Bemærk! 3 3 2 3 3 2 2" xfId="34573" xr:uid="{00000000-0005-0000-0000-000048670000}"/>
    <cellStyle name="Bemærk! 3 3 2 3 3 3" xfId="27572" xr:uid="{00000000-0005-0000-0000-000049670000}"/>
    <cellStyle name="Bemærk! 3 3 2 4" xfId="7232" xr:uid="{00000000-0005-0000-0000-00004A670000}"/>
    <cellStyle name="Bemærk! 3 3 2 4 2" xfId="9157" xr:uid="{00000000-0005-0000-0000-00004B670000}"/>
    <cellStyle name="Bemærk! 3 3 2 4 2 2" xfId="17068" xr:uid="{00000000-0005-0000-0000-00004C670000}"/>
    <cellStyle name="Bemærk! 3 3 2 4 2 2 2" xfId="35228" xr:uid="{00000000-0005-0000-0000-00004D670000}"/>
    <cellStyle name="Bemærk! 3 3 2 4 2 3" xfId="28227" xr:uid="{00000000-0005-0000-0000-00004E670000}"/>
    <cellStyle name="Bemærk! 3 3 3" xfId="7233" xr:uid="{00000000-0005-0000-0000-00004F670000}"/>
    <cellStyle name="Bemærk! 3 3 3 2" xfId="7234" xr:uid="{00000000-0005-0000-0000-000050670000}"/>
    <cellStyle name="Bemærk! 3 3 3 2 2" xfId="7235" xr:uid="{00000000-0005-0000-0000-000051670000}"/>
    <cellStyle name="Bemærk! 3 3 3 2 2 2" xfId="10070" xr:uid="{00000000-0005-0000-0000-000052670000}"/>
    <cellStyle name="Bemærk! 3 3 3 2 2 2 2" xfId="17971" xr:uid="{00000000-0005-0000-0000-000053670000}"/>
    <cellStyle name="Bemærk! 3 3 3 2 2 2 2 2" xfId="36131" xr:uid="{00000000-0005-0000-0000-000054670000}"/>
    <cellStyle name="Bemærk! 3 3 3 2 2 2 3" xfId="29130" xr:uid="{00000000-0005-0000-0000-000055670000}"/>
    <cellStyle name="Bemærk! 3 3 3 3" xfId="7236" xr:uid="{00000000-0005-0000-0000-000056670000}"/>
    <cellStyle name="Bemærk! 3 3 3 3 2" xfId="7237" xr:uid="{00000000-0005-0000-0000-000057670000}"/>
    <cellStyle name="Bemærk! 3 3 3 3 2 2" xfId="10763" xr:uid="{00000000-0005-0000-0000-000058670000}"/>
    <cellStyle name="Bemærk! 3 3 3 3 2 2 2" xfId="18651" xr:uid="{00000000-0005-0000-0000-000059670000}"/>
    <cellStyle name="Bemærk! 3 3 3 3 2 2 2 2" xfId="36811" xr:uid="{00000000-0005-0000-0000-00005A670000}"/>
    <cellStyle name="Bemærk! 3 3 3 3 2 2 3" xfId="29810" xr:uid="{00000000-0005-0000-0000-00005B670000}"/>
    <cellStyle name="Bemærk! 3 3 3 3 3" xfId="8619" xr:uid="{00000000-0005-0000-0000-00005C670000}"/>
    <cellStyle name="Bemærk! 3 3 3 3 3 2" xfId="16533" xr:uid="{00000000-0005-0000-0000-00005D670000}"/>
    <cellStyle name="Bemærk! 3 3 3 3 3 2 2" xfId="34693" xr:uid="{00000000-0005-0000-0000-00005E670000}"/>
    <cellStyle name="Bemærk! 3 3 3 3 3 3" xfId="27692" xr:uid="{00000000-0005-0000-0000-00005F670000}"/>
    <cellStyle name="Bemærk! 3 3 3 4" xfId="7238" xr:uid="{00000000-0005-0000-0000-000060670000}"/>
    <cellStyle name="Bemærk! 3 3 3 4 2" xfId="9301" xr:uid="{00000000-0005-0000-0000-000061670000}"/>
    <cellStyle name="Bemærk! 3 3 3 4 2 2" xfId="17212" xr:uid="{00000000-0005-0000-0000-000062670000}"/>
    <cellStyle name="Bemærk! 3 3 3 4 2 2 2" xfId="35372" xr:uid="{00000000-0005-0000-0000-000063670000}"/>
    <cellStyle name="Bemærk! 3 3 3 4 2 3" xfId="28371" xr:uid="{00000000-0005-0000-0000-000064670000}"/>
    <cellStyle name="Bemærk! 3 3 4" xfId="7239" xr:uid="{00000000-0005-0000-0000-000065670000}"/>
    <cellStyle name="Bemærk! 3 3 4 2" xfId="7240" xr:uid="{00000000-0005-0000-0000-000066670000}"/>
    <cellStyle name="Bemærk! 3 3 4 2 2" xfId="7241" xr:uid="{00000000-0005-0000-0000-000067670000}"/>
    <cellStyle name="Bemærk! 3 3 4 2 2 2" xfId="10165" xr:uid="{00000000-0005-0000-0000-000068670000}"/>
    <cellStyle name="Bemærk! 3 3 4 2 2 2 2" xfId="18066" xr:uid="{00000000-0005-0000-0000-000069670000}"/>
    <cellStyle name="Bemærk! 3 3 4 2 2 2 2 2" xfId="36226" xr:uid="{00000000-0005-0000-0000-00006A670000}"/>
    <cellStyle name="Bemærk! 3 3 4 2 2 2 3" xfId="29225" xr:uid="{00000000-0005-0000-0000-00006B670000}"/>
    <cellStyle name="Bemærk! 3 3 4 3" xfId="7242" xr:uid="{00000000-0005-0000-0000-00006C670000}"/>
    <cellStyle name="Bemærk! 3 3 4 3 2" xfId="7243" xr:uid="{00000000-0005-0000-0000-00006D670000}"/>
    <cellStyle name="Bemærk! 3 3 4 3 2 2" xfId="10612" xr:uid="{00000000-0005-0000-0000-00006E670000}"/>
    <cellStyle name="Bemærk! 3 3 4 3 2 2 2" xfId="18506" xr:uid="{00000000-0005-0000-0000-00006F670000}"/>
    <cellStyle name="Bemærk! 3 3 4 3 2 2 2 2" xfId="36666" xr:uid="{00000000-0005-0000-0000-000070670000}"/>
    <cellStyle name="Bemærk! 3 3 4 3 2 2 3" xfId="29665" xr:uid="{00000000-0005-0000-0000-000071670000}"/>
    <cellStyle name="Bemærk! 3 3 4 3 3" xfId="8698" xr:uid="{00000000-0005-0000-0000-000072670000}"/>
    <cellStyle name="Bemærk! 3 3 4 3 3 2" xfId="16612" xr:uid="{00000000-0005-0000-0000-000073670000}"/>
    <cellStyle name="Bemærk! 3 3 4 3 3 2 2" xfId="34772" xr:uid="{00000000-0005-0000-0000-000074670000}"/>
    <cellStyle name="Bemærk! 3 3 4 3 3 3" xfId="27771" xr:uid="{00000000-0005-0000-0000-000075670000}"/>
    <cellStyle name="Bemærk! 3 3 4 4" xfId="7244" xr:uid="{00000000-0005-0000-0000-000076670000}"/>
    <cellStyle name="Bemærk! 3 3 4 4 2" xfId="9441" xr:uid="{00000000-0005-0000-0000-000077670000}"/>
    <cellStyle name="Bemærk! 3 3 4 4 2 2" xfId="17351" xr:uid="{00000000-0005-0000-0000-000078670000}"/>
    <cellStyle name="Bemærk! 3 3 4 4 2 2 2" xfId="35511" xr:uid="{00000000-0005-0000-0000-000079670000}"/>
    <cellStyle name="Bemærk! 3 3 4 4 2 3" xfId="28510" xr:uid="{00000000-0005-0000-0000-00007A670000}"/>
    <cellStyle name="Bemærk! 3 3 5" xfId="7245" xr:uid="{00000000-0005-0000-0000-00007B670000}"/>
    <cellStyle name="Bemærk! 3 3 5 2" xfId="7246" xr:uid="{00000000-0005-0000-0000-00007C670000}"/>
    <cellStyle name="Bemærk! 3 3 5 2 2" xfId="7247" xr:uid="{00000000-0005-0000-0000-00007D670000}"/>
    <cellStyle name="Bemærk! 3 3 5 2 2 2" xfId="10282" xr:uid="{00000000-0005-0000-0000-00007E670000}"/>
    <cellStyle name="Bemærk! 3 3 5 2 2 2 2" xfId="18183" xr:uid="{00000000-0005-0000-0000-00007F670000}"/>
    <cellStyle name="Bemærk! 3 3 5 2 2 2 2 2" xfId="36343" xr:uid="{00000000-0005-0000-0000-000080670000}"/>
    <cellStyle name="Bemærk! 3 3 5 2 2 2 3" xfId="29342" xr:uid="{00000000-0005-0000-0000-000081670000}"/>
    <cellStyle name="Bemærk! 3 3 5 3" xfId="7248" xr:uid="{00000000-0005-0000-0000-000082670000}"/>
    <cellStyle name="Bemærk! 3 3 5 3 2" xfId="7249" xr:uid="{00000000-0005-0000-0000-000083670000}"/>
    <cellStyle name="Bemærk! 3 3 5 3 2 2" xfId="9302" xr:uid="{00000000-0005-0000-0000-000084670000}"/>
    <cellStyle name="Bemærk! 3 3 5 3 2 2 2" xfId="17213" xr:uid="{00000000-0005-0000-0000-000085670000}"/>
    <cellStyle name="Bemærk! 3 3 5 3 2 2 2 2" xfId="35373" xr:uid="{00000000-0005-0000-0000-000086670000}"/>
    <cellStyle name="Bemærk! 3 3 5 3 2 2 3" xfId="28372" xr:uid="{00000000-0005-0000-0000-000087670000}"/>
    <cellStyle name="Bemærk! 3 3 5 3 3" xfId="8797" xr:uid="{00000000-0005-0000-0000-000088670000}"/>
    <cellStyle name="Bemærk! 3 3 5 3 3 2" xfId="16711" xr:uid="{00000000-0005-0000-0000-000089670000}"/>
    <cellStyle name="Bemærk! 3 3 5 3 3 2 2" xfId="34871" xr:uid="{00000000-0005-0000-0000-00008A670000}"/>
    <cellStyle name="Bemærk! 3 3 5 3 3 3" xfId="27870" xr:uid="{00000000-0005-0000-0000-00008B670000}"/>
    <cellStyle name="Bemærk! 3 3 5 4" xfId="7250" xr:uid="{00000000-0005-0000-0000-00008C670000}"/>
    <cellStyle name="Bemærk! 3 3 5 4 2" xfId="9558" xr:uid="{00000000-0005-0000-0000-00008D670000}"/>
    <cellStyle name="Bemærk! 3 3 5 4 2 2" xfId="17468" xr:uid="{00000000-0005-0000-0000-00008E670000}"/>
    <cellStyle name="Bemærk! 3 3 5 4 2 2 2" xfId="35628" xr:uid="{00000000-0005-0000-0000-00008F670000}"/>
    <cellStyle name="Bemærk! 3 3 5 4 2 3" xfId="28627" xr:uid="{00000000-0005-0000-0000-000090670000}"/>
    <cellStyle name="Bemærk! 3 3 6" xfId="7251" xr:uid="{00000000-0005-0000-0000-000091670000}"/>
    <cellStyle name="Bemærk! 3 3 6 2" xfId="7252" xr:uid="{00000000-0005-0000-0000-000092670000}"/>
    <cellStyle name="Bemærk! 3 3 6 2 2" xfId="7253" xr:uid="{00000000-0005-0000-0000-000093670000}"/>
    <cellStyle name="Bemærk! 3 3 6 2 2 2" xfId="10424" xr:uid="{00000000-0005-0000-0000-000094670000}"/>
    <cellStyle name="Bemærk! 3 3 6 2 2 2 2" xfId="18325" xr:uid="{00000000-0005-0000-0000-000095670000}"/>
    <cellStyle name="Bemærk! 3 3 6 2 2 2 2 2" xfId="36485" xr:uid="{00000000-0005-0000-0000-000096670000}"/>
    <cellStyle name="Bemærk! 3 3 6 2 2 2 3" xfId="29484" xr:uid="{00000000-0005-0000-0000-000097670000}"/>
    <cellStyle name="Bemærk! 3 3 6 3" xfId="7254" xr:uid="{00000000-0005-0000-0000-000098670000}"/>
    <cellStyle name="Bemærk! 3 3 6 3 2" xfId="7255" xr:uid="{00000000-0005-0000-0000-000099670000}"/>
    <cellStyle name="Bemærk! 3 3 6 3 2 2" xfId="11036" xr:uid="{00000000-0005-0000-0000-00009A670000}"/>
    <cellStyle name="Bemærk! 3 3 6 3 2 2 2" xfId="18912" xr:uid="{00000000-0005-0000-0000-00009B670000}"/>
    <cellStyle name="Bemærk! 3 3 6 3 2 2 2 2" xfId="37072" xr:uid="{00000000-0005-0000-0000-00009C670000}"/>
    <cellStyle name="Bemærk! 3 3 6 3 2 2 3" xfId="30071" xr:uid="{00000000-0005-0000-0000-00009D670000}"/>
    <cellStyle name="Bemærk! 3 3 6 3 3" xfId="8917" xr:uid="{00000000-0005-0000-0000-00009E670000}"/>
    <cellStyle name="Bemærk! 3 3 6 3 3 2" xfId="16831" xr:uid="{00000000-0005-0000-0000-00009F670000}"/>
    <cellStyle name="Bemærk! 3 3 6 3 3 2 2" xfId="34991" xr:uid="{00000000-0005-0000-0000-0000A0670000}"/>
    <cellStyle name="Bemærk! 3 3 6 3 3 3" xfId="27990" xr:uid="{00000000-0005-0000-0000-0000A1670000}"/>
    <cellStyle name="Bemærk! 3 3 6 4" xfId="7256" xr:uid="{00000000-0005-0000-0000-0000A2670000}"/>
    <cellStyle name="Bemærk! 3 3 6 4 2" xfId="9701" xr:uid="{00000000-0005-0000-0000-0000A3670000}"/>
    <cellStyle name="Bemærk! 3 3 6 4 2 2" xfId="17611" xr:uid="{00000000-0005-0000-0000-0000A4670000}"/>
    <cellStyle name="Bemærk! 3 3 6 4 2 2 2" xfId="35771" xr:uid="{00000000-0005-0000-0000-0000A5670000}"/>
    <cellStyle name="Bemærk! 3 3 6 4 2 3" xfId="28770" xr:uid="{00000000-0005-0000-0000-0000A6670000}"/>
    <cellStyle name="Bemærk! 3 3 7" xfId="7257" xr:uid="{00000000-0005-0000-0000-0000A7670000}"/>
    <cellStyle name="Bemærk! 3 3 7 2" xfId="7258" xr:uid="{00000000-0005-0000-0000-0000A8670000}"/>
    <cellStyle name="Bemærk! 3 3 7 2 2" xfId="9808" xr:uid="{00000000-0005-0000-0000-0000A9670000}"/>
    <cellStyle name="Bemærk! 3 3 7 2 2 2" xfId="17709" xr:uid="{00000000-0005-0000-0000-0000AA670000}"/>
    <cellStyle name="Bemærk! 3 3 7 2 2 2 2" xfId="35869" xr:uid="{00000000-0005-0000-0000-0000AB670000}"/>
    <cellStyle name="Bemærk! 3 3 7 2 2 3" xfId="28868" xr:uid="{00000000-0005-0000-0000-0000AC670000}"/>
    <cellStyle name="Bemærk! 3 3 8" xfId="7259" xr:uid="{00000000-0005-0000-0000-0000AD670000}"/>
    <cellStyle name="Bemærk! 3 3 8 2" xfId="7260" xr:uid="{00000000-0005-0000-0000-0000AE670000}"/>
    <cellStyle name="Bemærk! 3 3 8 2 2" xfId="10630" xr:uid="{00000000-0005-0000-0000-0000AF670000}"/>
    <cellStyle name="Bemærk! 3 3 8 2 2 2" xfId="18523" xr:uid="{00000000-0005-0000-0000-0000B0670000}"/>
    <cellStyle name="Bemærk! 3 3 8 2 2 2 2" xfId="36683" xr:uid="{00000000-0005-0000-0000-0000B1670000}"/>
    <cellStyle name="Bemærk! 3 3 8 2 2 3" xfId="29682" xr:uid="{00000000-0005-0000-0000-0000B2670000}"/>
    <cellStyle name="Bemærk! 3 3 8 3" xfId="8397" xr:uid="{00000000-0005-0000-0000-0000B3670000}"/>
    <cellStyle name="Bemærk! 3 3 8 3 2" xfId="16314" xr:uid="{00000000-0005-0000-0000-0000B4670000}"/>
    <cellStyle name="Bemærk! 3 3 8 3 2 2" xfId="34474" xr:uid="{00000000-0005-0000-0000-0000B5670000}"/>
    <cellStyle name="Bemærk! 3 3 8 3 3" xfId="27473" xr:uid="{00000000-0005-0000-0000-0000B6670000}"/>
    <cellStyle name="Bemærk! 3 3 9" xfId="7261" xr:uid="{00000000-0005-0000-0000-0000B7670000}"/>
    <cellStyle name="Bemærk! 3 3 9 2" xfId="9036" xr:uid="{00000000-0005-0000-0000-0000B8670000}"/>
    <cellStyle name="Bemærk! 3 3 9 2 2" xfId="16947" xr:uid="{00000000-0005-0000-0000-0000B9670000}"/>
    <cellStyle name="Bemærk! 3 3 9 2 2 2" xfId="35107" xr:uid="{00000000-0005-0000-0000-0000BA670000}"/>
    <cellStyle name="Bemærk! 3 3 9 2 3" xfId="28106" xr:uid="{00000000-0005-0000-0000-0000BB670000}"/>
    <cellStyle name="Bemærk! 3 4" xfId="7262" xr:uid="{00000000-0005-0000-0000-0000BC670000}"/>
    <cellStyle name="Bemærk! 3 4 2" xfId="7263" xr:uid="{00000000-0005-0000-0000-0000BD670000}"/>
    <cellStyle name="Bemærk! 3 4 2 2" xfId="7264" xr:uid="{00000000-0005-0000-0000-0000BE670000}"/>
    <cellStyle name="Bemærk! 3 4 2 2 2" xfId="9849" xr:uid="{00000000-0005-0000-0000-0000BF670000}"/>
    <cellStyle name="Bemærk! 3 4 2 2 2 2" xfId="17750" xr:uid="{00000000-0005-0000-0000-0000C0670000}"/>
    <cellStyle name="Bemærk! 3 4 2 2 2 2 2" xfId="35910" xr:uid="{00000000-0005-0000-0000-0000C1670000}"/>
    <cellStyle name="Bemærk! 3 4 2 2 2 3" xfId="28909" xr:uid="{00000000-0005-0000-0000-0000C2670000}"/>
    <cellStyle name="Bemærk! 3 4 3" xfId="7265" xr:uid="{00000000-0005-0000-0000-0000C3670000}"/>
    <cellStyle name="Bemærk! 3 4 3 2" xfId="7266" xr:uid="{00000000-0005-0000-0000-0000C4670000}"/>
    <cellStyle name="Bemærk! 3 4 3 2 2" xfId="10677" xr:uid="{00000000-0005-0000-0000-0000C5670000}"/>
    <cellStyle name="Bemærk! 3 4 3 2 2 2" xfId="18569" xr:uid="{00000000-0005-0000-0000-0000C6670000}"/>
    <cellStyle name="Bemærk! 3 4 3 2 2 2 2" xfId="36729" xr:uid="{00000000-0005-0000-0000-0000C7670000}"/>
    <cellStyle name="Bemærk! 3 4 3 2 2 3" xfId="29728" xr:uid="{00000000-0005-0000-0000-0000C8670000}"/>
    <cellStyle name="Bemærk! 3 4 3 3" xfId="8430" xr:uid="{00000000-0005-0000-0000-0000C9670000}"/>
    <cellStyle name="Bemærk! 3 4 3 3 2" xfId="16347" xr:uid="{00000000-0005-0000-0000-0000CA670000}"/>
    <cellStyle name="Bemærk! 3 4 3 3 2 2" xfId="34507" xr:uid="{00000000-0005-0000-0000-0000CB670000}"/>
    <cellStyle name="Bemærk! 3 4 3 3 3" xfId="27506" xr:uid="{00000000-0005-0000-0000-0000CC670000}"/>
    <cellStyle name="Bemærk! 3 4 4" xfId="7267" xr:uid="{00000000-0005-0000-0000-0000CD670000}"/>
    <cellStyle name="Bemærk! 3 4 4 2" xfId="9079" xr:uid="{00000000-0005-0000-0000-0000CE670000}"/>
    <cellStyle name="Bemærk! 3 4 4 2 2" xfId="16990" xr:uid="{00000000-0005-0000-0000-0000CF670000}"/>
    <cellStyle name="Bemærk! 3 4 4 2 2 2" xfId="35150" xr:uid="{00000000-0005-0000-0000-0000D0670000}"/>
    <cellStyle name="Bemærk! 3 4 4 2 3" xfId="28149" xr:uid="{00000000-0005-0000-0000-0000D1670000}"/>
    <cellStyle name="Bemærk! 3 5" xfId="7268" xr:uid="{00000000-0005-0000-0000-0000D2670000}"/>
    <cellStyle name="Bemærk! 3 5 2" xfId="7269" xr:uid="{00000000-0005-0000-0000-0000D3670000}"/>
    <cellStyle name="Bemærk! 3 5 2 2" xfId="7270" xr:uid="{00000000-0005-0000-0000-0000D4670000}"/>
    <cellStyle name="Bemærk! 3 5 2 2 2" xfId="10068" xr:uid="{00000000-0005-0000-0000-0000D5670000}"/>
    <cellStyle name="Bemærk! 3 5 2 2 2 2" xfId="17969" xr:uid="{00000000-0005-0000-0000-0000D6670000}"/>
    <cellStyle name="Bemærk! 3 5 2 2 2 2 2" xfId="36129" xr:uid="{00000000-0005-0000-0000-0000D7670000}"/>
    <cellStyle name="Bemærk! 3 5 2 2 2 3" xfId="29128" xr:uid="{00000000-0005-0000-0000-0000D8670000}"/>
    <cellStyle name="Bemærk! 3 5 3" xfId="7271" xr:uid="{00000000-0005-0000-0000-0000D9670000}"/>
    <cellStyle name="Bemærk! 3 5 3 2" xfId="7272" xr:uid="{00000000-0005-0000-0000-0000DA670000}"/>
    <cellStyle name="Bemærk! 3 5 3 2 2" xfId="10463" xr:uid="{00000000-0005-0000-0000-0000DB670000}"/>
    <cellStyle name="Bemærk! 3 5 3 2 2 2" xfId="18360" xr:uid="{00000000-0005-0000-0000-0000DC670000}"/>
    <cellStyle name="Bemærk! 3 5 3 2 2 2 2" xfId="36520" xr:uid="{00000000-0005-0000-0000-0000DD670000}"/>
    <cellStyle name="Bemærk! 3 5 3 2 2 3" xfId="29519" xr:uid="{00000000-0005-0000-0000-0000DE670000}"/>
    <cellStyle name="Bemærk! 3 5 3 3" xfId="8617" xr:uid="{00000000-0005-0000-0000-0000DF670000}"/>
    <cellStyle name="Bemærk! 3 5 3 3 2" xfId="16531" xr:uid="{00000000-0005-0000-0000-0000E0670000}"/>
    <cellStyle name="Bemærk! 3 5 3 3 2 2" xfId="34691" xr:uid="{00000000-0005-0000-0000-0000E1670000}"/>
    <cellStyle name="Bemærk! 3 5 3 3 3" xfId="27690" xr:uid="{00000000-0005-0000-0000-0000E2670000}"/>
    <cellStyle name="Bemærk! 3 5 4" xfId="7273" xr:uid="{00000000-0005-0000-0000-0000E3670000}"/>
    <cellStyle name="Bemærk! 3 5 4 2" xfId="9299" xr:uid="{00000000-0005-0000-0000-0000E4670000}"/>
    <cellStyle name="Bemærk! 3 5 4 2 2" xfId="17210" xr:uid="{00000000-0005-0000-0000-0000E5670000}"/>
    <cellStyle name="Bemærk! 3 5 4 2 2 2" xfId="35370" xr:uid="{00000000-0005-0000-0000-0000E6670000}"/>
    <cellStyle name="Bemærk! 3 5 4 2 3" xfId="28369" xr:uid="{00000000-0005-0000-0000-0000E7670000}"/>
    <cellStyle name="Bemærk! 3 6" xfId="7274" xr:uid="{00000000-0005-0000-0000-0000E8670000}"/>
    <cellStyle name="Bemærk! 3 6 2" xfId="7275" xr:uid="{00000000-0005-0000-0000-0000E9670000}"/>
    <cellStyle name="Bemærk! 3 6 2 2" xfId="7276" xr:uid="{00000000-0005-0000-0000-0000EA670000}"/>
    <cellStyle name="Bemærk! 3 6 2 2 2" xfId="10087" xr:uid="{00000000-0005-0000-0000-0000EB670000}"/>
    <cellStyle name="Bemærk! 3 6 2 2 2 2" xfId="17988" xr:uid="{00000000-0005-0000-0000-0000EC670000}"/>
    <cellStyle name="Bemærk! 3 6 2 2 2 2 2" xfId="36148" xr:uid="{00000000-0005-0000-0000-0000ED670000}"/>
    <cellStyle name="Bemærk! 3 6 2 2 2 3" xfId="29147" xr:uid="{00000000-0005-0000-0000-0000EE670000}"/>
    <cellStyle name="Bemærk! 3 6 3" xfId="7277" xr:uid="{00000000-0005-0000-0000-0000EF670000}"/>
    <cellStyle name="Bemærk! 3 6 3 2" xfId="7278" xr:uid="{00000000-0005-0000-0000-0000F0670000}"/>
    <cellStyle name="Bemærk! 3 6 3 2 2" xfId="10698" xr:uid="{00000000-0005-0000-0000-0000F1670000}"/>
    <cellStyle name="Bemærk! 3 6 3 2 2 2" xfId="18589" xr:uid="{00000000-0005-0000-0000-0000F2670000}"/>
    <cellStyle name="Bemærk! 3 6 3 2 2 2 2" xfId="36749" xr:uid="{00000000-0005-0000-0000-0000F3670000}"/>
    <cellStyle name="Bemærk! 3 6 3 2 2 3" xfId="29748" xr:uid="{00000000-0005-0000-0000-0000F4670000}"/>
    <cellStyle name="Bemærk! 3 6 3 3" xfId="8632" xr:uid="{00000000-0005-0000-0000-0000F5670000}"/>
    <cellStyle name="Bemærk! 3 6 3 3 2" xfId="16546" xr:uid="{00000000-0005-0000-0000-0000F6670000}"/>
    <cellStyle name="Bemærk! 3 6 3 3 2 2" xfId="34706" xr:uid="{00000000-0005-0000-0000-0000F7670000}"/>
    <cellStyle name="Bemærk! 3 6 3 3 3" xfId="27705" xr:uid="{00000000-0005-0000-0000-0000F8670000}"/>
    <cellStyle name="Bemærk! 3 6 4" xfId="7279" xr:uid="{00000000-0005-0000-0000-0000F9670000}"/>
    <cellStyle name="Bemærk! 3 6 4 2" xfId="9363" xr:uid="{00000000-0005-0000-0000-0000FA670000}"/>
    <cellStyle name="Bemærk! 3 6 4 2 2" xfId="17273" xr:uid="{00000000-0005-0000-0000-0000FB670000}"/>
    <cellStyle name="Bemærk! 3 6 4 2 2 2" xfId="35433" xr:uid="{00000000-0005-0000-0000-0000FC670000}"/>
    <cellStyle name="Bemærk! 3 6 4 2 3" xfId="28432" xr:uid="{00000000-0005-0000-0000-0000FD670000}"/>
    <cellStyle name="Bemærk! 3 7" xfId="7280" xr:uid="{00000000-0005-0000-0000-0000FE670000}"/>
    <cellStyle name="Bemærk! 3 7 2" xfId="7281" xr:uid="{00000000-0005-0000-0000-0000FF670000}"/>
    <cellStyle name="Bemærk! 3 7 2 2" xfId="7282" xr:uid="{00000000-0005-0000-0000-000000680000}"/>
    <cellStyle name="Bemærk! 3 7 2 2 2" xfId="10204" xr:uid="{00000000-0005-0000-0000-000001680000}"/>
    <cellStyle name="Bemærk! 3 7 2 2 2 2" xfId="18105" xr:uid="{00000000-0005-0000-0000-000002680000}"/>
    <cellStyle name="Bemærk! 3 7 2 2 2 2 2" xfId="36265" xr:uid="{00000000-0005-0000-0000-000003680000}"/>
    <cellStyle name="Bemærk! 3 7 2 2 2 3" xfId="29264" xr:uid="{00000000-0005-0000-0000-000004680000}"/>
    <cellStyle name="Bemærk! 3 7 3" xfId="7283" xr:uid="{00000000-0005-0000-0000-000005680000}"/>
    <cellStyle name="Bemærk! 3 7 3 2" xfId="7284" xr:uid="{00000000-0005-0000-0000-000006680000}"/>
    <cellStyle name="Bemærk! 3 7 3 2 2" xfId="10662" xr:uid="{00000000-0005-0000-0000-000007680000}"/>
    <cellStyle name="Bemærk! 3 7 3 2 2 2" xfId="18554" xr:uid="{00000000-0005-0000-0000-000008680000}"/>
    <cellStyle name="Bemærk! 3 7 3 2 2 2 2" xfId="36714" xr:uid="{00000000-0005-0000-0000-000009680000}"/>
    <cellStyle name="Bemærk! 3 7 3 2 2 3" xfId="29713" xr:uid="{00000000-0005-0000-0000-00000A680000}"/>
    <cellStyle name="Bemærk! 3 7 3 3" xfId="8731" xr:uid="{00000000-0005-0000-0000-00000B680000}"/>
    <cellStyle name="Bemærk! 3 7 3 3 2" xfId="16645" xr:uid="{00000000-0005-0000-0000-00000C680000}"/>
    <cellStyle name="Bemærk! 3 7 3 3 2 2" xfId="34805" xr:uid="{00000000-0005-0000-0000-00000D680000}"/>
    <cellStyle name="Bemærk! 3 7 3 3 3" xfId="27804" xr:uid="{00000000-0005-0000-0000-00000E680000}"/>
    <cellStyle name="Bemærk! 3 7 4" xfId="7285" xr:uid="{00000000-0005-0000-0000-00000F680000}"/>
    <cellStyle name="Bemærk! 3 7 4 2" xfId="9480" xr:uid="{00000000-0005-0000-0000-000010680000}"/>
    <cellStyle name="Bemærk! 3 7 4 2 2" xfId="17390" xr:uid="{00000000-0005-0000-0000-000011680000}"/>
    <cellStyle name="Bemærk! 3 7 4 2 2 2" xfId="35550" xr:uid="{00000000-0005-0000-0000-000012680000}"/>
    <cellStyle name="Bemærk! 3 7 4 2 3" xfId="28549" xr:uid="{00000000-0005-0000-0000-000013680000}"/>
    <cellStyle name="Bemærk! 3 8" xfId="7286" xr:uid="{00000000-0005-0000-0000-000014680000}"/>
    <cellStyle name="Bemærk! 3 8 2" xfId="7287" xr:uid="{00000000-0005-0000-0000-000015680000}"/>
    <cellStyle name="Bemærk! 3 8 2 2" xfId="7288" xr:uid="{00000000-0005-0000-0000-000016680000}"/>
    <cellStyle name="Bemærk! 3 8 2 2 2" xfId="10422" xr:uid="{00000000-0005-0000-0000-000017680000}"/>
    <cellStyle name="Bemærk! 3 8 2 2 2 2" xfId="18323" xr:uid="{00000000-0005-0000-0000-000018680000}"/>
    <cellStyle name="Bemærk! 3 8 2 2 2 2 2" xfId="36483" xr:uid="{00000000-0005-0000-0000-000019680000}"/>
    <cellStyle name="Bemærk! 3 8 2 2 2 3" xfId="29482" xr:uid="{00000000-0005-0000-0000-00001A680000}"/>
    <cellStyle name="Bemærk! 3 8 3" xfId="7289" xr:uid="{00000000-0005-0000-0000-00001B680000}"/>
    <cellStyle name="Bemærk! 3 8 3 2" xfId="7290" xr:uid="{00000000-0005-0000-0000-00001C680000}"/>
    <cellStyle name="Bemærk! 3 8 3 2 2" xfId="11034" xr:uid="{00000000-0005-0000-0000-00001D680000}"/>
    <cellStyle name="Bemærk! 3 8 3 2 2 2" xfId="18910" xr:uid="{00000000-0005-0000-0000-00001E680000}"/>
    <cellStyle name="Bemærk! 3 8 3 2 2 2 2" xfId="37070" xr:uid="{00000000-0005-0000-0000-00001F680000}"/>
    <cellStyle name="Bemærk! 3 8 3 2 2 3" xfId="30069" xr:uid="{00000000-0005-0000-0000-000020680000}"/>
    <cellStyle name="Bemærk! 3 8 3 3" xfId="8915" xr:uid="{00000000-0005-0000-0000-000021680000}"/>
    <cellStyle name="Bemærk! 3 8 3 3 2" xfId="16829" xr:uid="{00000000-0005-0000-0000-000022680000}"/>
    <cellStyle name="Bemærk! 3 8 3 3 2 2" xfId="34989" xr:uid="{00000000-0005-0000-0000-000023680000}"/>
    <cellStyle name="Bemærk! 3 8 3 3 3" xfId="27988" xr:uid="{00000000-0005-0000-0000-000024680000}"/>
    <cellStyle name="Bemærk! 3 8 4" xfId="7291" xr:uid="{00000000-0005-0000-0000-000025680000}"/>
    <cellStyle name="Bemærk! 3 8 4 2" xfId="9699" xr:uid="{00000000-0005-0000-0000-000026680000}"/>
    <cellStyle name="Bemærk! 3 8 4 2 2" xfId="17609" xr:uid="{00000000-0005-0000-0000-000027680000}"/>
    <cellStyle name="Bemærk! 3 8 4 2 2 2" xfId="35769" xr:uid="{00000000-0005-0000-0000-000028680000}"/>
    <cellStyle name="Bemærk! 3 8 4 2 3" xfId="28768" xr:uid="{00000000-0005-0000-0000-000029680000}"/>
    <cellStyle name="Bemærk! 3 9" xfId="7292" xr:uid="{00000000-0005-0000-0000-00002A680000}"/>
    <cellStyle name="Bemærk! 3 9 2" xfId="7293" xr:uid="{00000000-0005-0000-0000-00002B680000}"/>
    <cellStyle name="Bemærk! 3 9 2 2" xfId="9730" xr:uid="{00000000-0005-0000-0000-00002C680000}"/>
    <cellStyle name="Bemærk! 3 9 2 2 2" xfId="17631" xr:uid="{00000000-0005-0000-0000-00002D680000}"/>
    <cellStyle name="Bemærk! 3 9 2 2 2 2" xfId="35791" xr:uid="{00000000-0005-0000-0000-00002E680000}"/>
    <cellStyle name="Bemærk! 3 9 2 2 3" xfId="28790" xr:uid="{00000000-0005-0000-0000-00002F680000}"/>
    <cellStyle name="Bemærk! 4" xfId="1993" xr:uid="{00000000-0005-0000-0000-000030680000}"/>
    <cellStyle name="Bemærk! 4 2" xfId="1994" xr:uid="{00000000-0005-0000-0000-000031680000}"/>
    <cellStyle name="Bemærk! 4 2 2" xfId="1995" xr:uid="{00000000-0005-0000-0000-000032680000}"/>
    <cellStyle name="Bemærk! 4 2 2 2" xfId="22092" xr:uid="{00000000-0005-0000-0000-000033680000}"/>
    <cellStyle name="Bemærk! 4 2 3" xfId="22091" xr:uid="{00000000-0005-0000-0000-000034680000}"/>
    <cellStyle name="Bemærk! 5" xfId="1996" xr:uid="{00000000-0005-0000-0000-000035680000}"/>
    <cellStyle name="Bemærk! 6" xfId="1997" xr:uid="{00000000-0005-0000-0000-000036680000}"/>
    <cellStyle name="Bemærk! 6 2" xfId="1998" xr:uid="{00000000-0005-0000-0000-000037680000}"/>
    <cellStyle name="Bemærk! 6 2 2" xfId="22094" xr:uid="{00000000-0005-0000-0000-000038680000}"/>
    <cellStyle name="Bemærk! 6 3" xfId="22093" xr:uid="{00000000-0005-0000-0000-000039680000}"/>
    <cellStyle name="Beregning 2" xfId="7295" xr:uid="{00000000-0005-0000-0000-00003A680000}"/>
    <cellStyle name="Beregning 3" xfId="7296" xr:uid="{00000000-0005-0000-0000-00003B680000}"/>
    <cellStyle name="Beregning 4" xfId="7297" xr:uid="{00000000-0005-0000-0000-00003C680000}"/>
    <cellStyle name="Beregning 5" xfId="7298" xr:uid="{00000000-0005-0000-0000-00003D680000}"/>
    <cellStyle name="Beregning 5 2" xfId="10893" xr:uid="{00000000-0005-0000-0000-00003E680000}"/>
    <cellStyle name="Beregning 6" xfId="7608" xr:uid="{00000000-0005-0000-0000-00003F680000}"/>
    <cellStyle name="Beregning 7" xfId="7294" xr:uid="{00000000-0005-0000-0000-000040680000}"/>
    <cellStyle name="Bold GHG Numbers (0.00)" xfId="26" xr:uid="{00000000-0005-0000-0000-000041680000}"/>
    <cellStyle name="Bruger data" xfId="27" xr:uid="{00000000-0005-0000-0000-000042680000}"/>
    <cellStyle name="C01_Main head" xfId="1999" xr:uid="{00000000-0005-0000-0000-000043680000}"/>
    <cellStyle name="C02_Column heads" xfId="2000" xr:uid="{00000000-0005-0000-0000-000044680000}"/>
    <cellStyle name="C03_Sub head bold" xfId="2001" xr:uid="{00000000-0005-0000-0000-000045680000}"/>
    <cellStyle name="C03a_Sub head" xfId="2002" xr:uid="{00000000-0005-0000-0000-000046680000}"/>
    <cellStyle name="C04_Total text white bold" xfId="2003" xr:uid="{00000000-0005-0000-0000-000047680000}"/>
    <cellStyle name="C04a_Total text black with rule" xfId="2004" xr:uid="{00000000-0005-0000-0000-000048680000}"/>
    <cellStyle name="C05_Main text" xfId="2005" xr:uid="{00000000-0005-0000-0000-000049680000}"/>
    <cellStyle name="C06_Figs" xfId="2006" xr:uid="{00000000-0005-0000-0000-00004A680000}"/>
    <cellStyle name="C07_Figs 1 dec percent" xfId="2007" xr:uid="{00000000-0005-0000-0000-00004B680000}"/>
    <cellStyle name="C08_Figs 1 decimal" xfId="2008" xr:uid="{00000000-0005-0000-0000-00004C680000}"/>
    <cellStyle name="C09_Notes" xfId="2009" xr:uid="{00000000-0005-0000-0000-00004D680000}"/>
    <cellStyle name="Calcolo" xfId="28" xr:uid="{00000000-0005-0000-0000-00004E680000}"/>
    <cellStyle name="Calcolo 2" xfId="11956" xr:uid="{00000000-0005-0000-0000-00004F680000}"/>
    <cellStyle name="Calculation" xfId="3111" builtinId="22" customBuiltin="1"/>
    <cellStyle name="Calculation 2" xfId="2010" xr:uid="{00000000-0005-0000-0000-000051680000}"/>
    <cellStyle name="Calculation 2 2" xfId="2011" xr:uid="{00000000-0005-0000-0000-000052680000}"/>
    <cellStyle name="Calculation 2 2 2" xfId="22096" xr:uid="{00000000-0005-0000-0000-000053680000}"/>
    <cellStyle name="Calculation 2 3" xfId="20170" xr:uid="{00000000-0005-0000-0000-000054680000}"/>
    <cellStyle name="Calculation 2 4" xfId="22095" xr:uid="{00000000-0005-0000-0000-000055680000}"/>
    <cellStyle name="Calculations" xfId="29" xr:uid="{00000000-0005-0000-0000-000056680000}"/>
    <cellStyle name="Cella collegata" xfId="30" xr:uid="{00000000-0005-0000-0000-000057680000}"/>
    <cellStyle name="Cella da controllare" xfId="31" xr:uid="{00000000-0005-0000-0000-000058680000}"/>
    <cellStyle name="Check Cell" xfId="3113" builtinId="23" customBuiltin="1"/>
    <cellStyle name="Check Cell 2" xfId="2012" xr:uid="{00000000-0005-0000-0000-00005A680000}"/>
    <cellStyle name="Colore 1" xfId="32" xr:uid="{00000000-0005-0000-0000-00005B680000}"/>
    <cellStyle name="Colore 2" xfId="33" xr:uid="{00000000-0005-0000-0000-00005C680000}"/>
    <cellStyle name="Colore 3" xfId="34" xr:uid="{00000000-0005-0000-0000-00005D680000}"/>
    <cellStyle name="Colore 4" xfId="35" xr:uid="{00000000-0005-0000-0000-00005E680000}"/>
    <cellStyle name="Colore 5" xfId="36" xr:uid="{00000000-0005-0000-0000-00005F680000}"/>
    <cellStyle name="Colore 6" xfId="37" xr:uid="{00000000-0005-0000-0000-000060680000}"/>
    <cellStyle name="Comma" xfId="40423" builtinId="3"/>
    <cellStyle name="Comma 10" xfId="2013" xr:uid="{00000000-0005-0000-0000-000062680000}"/>
    <cellStyle name="Comma 11" xfId="3141" xr:uid="{00000000-0005-0000-0000-000063680000}"/>
    <cellStyle name="Comma 11 2" xfId="23141" xr:uid="{00000000-0005-0000-0000-000064680000}"/>
    <cellStyle name="Comma 12" xfId="39045" xr:uid="{00000000-0005-0000-0000-000065680000}"/>
    <cellStyle name="Comma 2" xfId="38" xr:uid="{00000000-0005-0000-0000-000066680000}"/>
    <cellStyle name="Comma 2 10" xfId="21245" xr:uid="{00000000-0005-0000-0000-000067680000}"/>
    <cellStyle name="Comma 2 11" xfId="39046" xr:uid="{00000000-0005-0000-0000-000068680000}"/>
    <cellStyle name="Comma 2 2" xfId="39" xr:uid="{00000000-0005-0000-0000-000069680000}"/>
    <cellStyle name="Comma 2 2 2" xfId="11193" xr:uid="{00000000-0005-0000-0000-00006A680000}"/>
    <cellStyle name="Comma 2 2 2 2" xfId="20237" xr:uid="{00000000-0005-0000-0000-00006B680000}"/>
    <cellStyle name="Comma 2 2 2 2 2" xfId="21200" xr:uid="{00000000-0005-0000-0000-00006C680000}"/>
    <cellStyle name="Comma 2 2 2 3" xfId="21174" xr:uid="{00000000-0005-0000-0000-00006D680000}"/>
    <cellStyle name="Comma 2 2 2 4" xfId="18972" xr:uid="{00000000-0005-0000-0000-00006E680000}"/>
    <cellStyle name="Comma 2 2 3" xfId="11959" xr:uid="{00000000-0005-0000-0000-00006F680000}"/>
    <cellStyle name="Comma 2 2 3 2" xfId="21173" xr:uid="{00000000-0005-0000-0000-000070680000}"/>
    <cellStyle name="Comma 2 2 3 3" xfId="30148" xr:uid="{00000000-0005-0000-0000-000071680000}"/>
    <cellStyle name="Comma 2 2 4" xfId="3143" xr:uid="{00000000-0005-0000-0000-000072680000}"/>
    <cellStyle name="Comma 2 2 4 2" xfId="23143" xr:uid="{00000000-0005-0000-0000-000073680000}"/>
    <cellStyle name="Comma 2 2 5" xfId="21246" xr:uid="{00000000-0005-0000-0000-000074680000}"/>
    <cellStyle name="Comma 2 2 6" xfId="39047" xr:uid="{00000000-0005-0000-0000-000075680000}"/>
    <cellStyle name="Comma 2 3" xfId="40" xr:uid="{00000000-0005-0000-0000-000076680000}"/>
    <cellStyle name="Comma 2 3 2" xfId="41" xr:uid="{00000000-0005-0000-0000-000077680000}"/>
    <cellStyle name="Comma 2 3 2 2" xfId="11195" xr:uid="{00000000-0005-0000-0000-000078680000}"/>
    <cellStyle name="Comma 2 3 2 3" xfId="11961" xr:uid="{00000000-0005-0000-0000-000079680000}"/>
    <cellStyle name="Comma 2 3 2 3 2" xfId="30150" xr:uid="{00000000-0005-0000-0000-00007A680000}"/>
    <cellStyle name="Comma 2 3 2 4" xfId="3145" xr:uid="{00000000-0005-0000-0000-00007B680000}"/>
    <cellStyle name="Comma 2 3 2 4 2" xfId="23145" xr:uid="{00000000-0005-0000-0000-00007C680000}"/>
    <cellStyle name="Comma 2 3 2 5" xfId="21248" xr:uid="{00000000-0005-0000-0000-00007D680000}"/>
    <cellStyle name="Comma 2 3 2 6" xfId="39049" xr:uid="{00000000-0005-0000-0000-00007E680000}"/>
    <cellStyle name="Comma 2 3 3" xfId="11194" xr:uid="{00000000-0005-0000-0000-00007F680000}"/>
    <cellStyle name="Comma 2 3 3 2" xfId="20239" xr:uid="{00000000-0005-0000-0000-000080680000}"/>
    <cellStyle name="Comma 2 3 3 2 2" xfId="21202" xr:uid="{00000000-0005-0000-0000-000081680000}"/>
    <cellStyle name="Comma 2 3 3 3" xfId="21176" xr:uid="{00000000-0005-0000-0000-000082680000}"/>
    <cellStyle name="Comma 2 3 3 4" xfId="18974" xr:uid="{00000000-0005-0000-0000-000083680000}"/>
    <cellStyle name="Comma 2 3 4" xfId="11960" xr:uid="{00000000-0005-0000-0000-000084680000}"/>
    <cellStyle name="Comma 2 3 4 2" xfId="21201" xr:uid="{00000000-0005-0000-0000-000085680000}"/>
    <cellStyle name="Comma 2 3 4 3" xfId="20238" xr:uid="{00000000-0005-0000-0000-000086680000}"/>
    <cellStyle name="Comma 2 3 4 4" xfId="30149" xr:uid="{00000000-0005-0000-0000-000087680000}"/>
    <cellStyle name="Comma 2 3 5" xfId="21175" xr:uid="{00000000-0005-0000-0000-000088680000}"/>
    <cellStyle name="Comma 2 3 6" xfId="18973" xr:uid="{00000000-0005-0000-0000-000089680000}"/>
    <cellStyle name="Comma 2 3 7" xfId="3144" xr:uid="{00000000-0005-0000-0000-00008A680000}"/>
    <cellStyle name="Comma 2 3 7 2" xfId="23144" xr:uid="{00000000-0005-0000-0000-00008B680000}"/>
    <cellStyle name="Comma 2 3 8" xfId="21247" xr:uid="{00000000-0005-0000-0000-00008C680000}"/>
    <cellStyle name="Comma 2 3 9" xfId="39048" xr:uid="{00000000-0005-0000-0000-00008D680000}"/>
    <cellStyle name="Comma 2 4" xfId="42" xr:uid="{00000000-0005-0000-0000-00008E680000}"/>
    <cellStyle name="Comma 2 4 2" xfId="43" xr:uid="{00000000-0005-0000-0000-00008F680000}"/>
    <cellStyle name="Comma 2 4 2 2" xfId="11183" xr:uid="{00000000-0005-0000-0000-000090680000}"/>
    <cellStyle name="Comma 2 4 2 2 2" xfId="18957" xr:uid="{00000000-0005-0000-0000-000091680000}"/>
    <cellStyle name="Comma 2 4 2 2 2 2" xfId="37116" xr:uid="{00000000-0005-0000-0000-000092680000}"/>
    <cellStyle name="Comma 2 4 2 2 3" xfId="30115" xr:uid="{00000000-0005-0000-0000-000093680000}"/>
    <cellStyle name="Comma 2 4 2 3" xfId="12297" xr:uid="{00000000-0005-0000-0000-000094680000}"/>
    <cellStyle name="Comma 2 4 2 3 2" xfId="30467" xr:uid="{00000000-0005-0000-0000-000095680000}"/>
    <cellStyle name="Comma 2 4 2 4" xfId="21177" xr:uid="{00000000-0005-0000-0000-000096680000}"/>
    <cellStyle name="Comma 2 4 2 5" xfId="3490" xr:uid="{00000000-0005-0000-0000-000097680000}"/>
    <cellStyle name="Comma 2 4 2 5 2" xfId="23465" xr:uid="{00000000-0005-0000-0000-000098680000}"/>
    <cellStyle name="Comma 2 4 2 6" xfId="21250" xr:uid="{00000000-0005-0000-0000-000099680000}"/>
    <cellStyle name="Comma 2 4 2 7" xfId="39381" xr:uid="{00000000-0005-0000-0000-00009A680000}"/>
    <cellStyle name="Comma 2 4 2 8" xfId="39450" xr:uid="{00000000-0005-0000-0000-00009B680000}"/>
    <cellStyle name="Comma 2 4 2 9" xfId="39937" xr:uid="{00000000-0005-0000-0000-00009C680000}"/>
    <cellStyle name="Comma 2 4 3" xfId="11151" xr:uid="{00000000-0005-0000-0000-00009D680000}"/>
    <cellStyle name="Comma 2 4 3 2" xfId="18926" xr:uid="{00000000-0005-0000-0000-00009E680000}"/>
    <cellStyle name="Comma 2 4 3 2 2" xfId="37085" xr:uid="{00000000-0005-0000-0000-00009F680000}"/>
    <cellStyle name="Comma 2 4 3 3" xfId="30084" xr:uid="{00000000-0005-0000-0000-0000A0680000}"/>
    <cellStyle name="Comma 2 4 4" xfId="11196" xr:uid="{00000000-0005-0000-0000-0000A1680000}"/>
    <cellStyle name="Comma 2 4 5" xfId="11962" xr:uid="{00000000-0005-0000-0000-0000A2680000}"/>
    <cellStyle name="Comma 2 4 5 2" xfId="30151" xr:uid="{00000000-0005-0000-0000-0000A3680000}"/>
    <cellStyle name="Comma 2 4 6" xfId="3146" xr:uid="{00000000-0005-0000-0000-0000A4680000}"/>
    <cellStyle name="Comma 2 4 6 2" xfId="23146" xr:uid="{00000000-0005-0000-0000-0000A5680000}"/>
    <cellStyle name="Comma 2 4 7" xfId="21249" xr:uid="{00000000-0005-0000-0000-0000A6680000}"/>
    <cellStyle name="Comma 2 4 8" xfId="39050" xr:uid="{00000000-0005-0000-0000-0000A7680000}"/>
    <cellStyle name="Comma 2 5" xfId="11192" xr:uid="{00000000-0005-0000-0000-0000A8680000}"/>
    <cellStyle name="Comma 2 5 2" xfId="21178" xr:uid="{00000000-0005-0000-0000-0000A9680000}"/>
    <cellStyle name="Comma 2 5 3" xfId="18975" xr:uid="{00000000-0005-0000-0000-0000AA680000}"/>
    <cellStyle name="Comma 2 6" xfId="11958" xr:uid="{00000000-0005-0000-0000-0000AB680000}"/>
    <cellStyle name="Comma 2 6 2" xfId="18977" xr:uid="{00000000-0005-0000-0000-0000AC680000}"/>
    <cellStyle name="Comma 2 6 2 2" xfId="37129" xr:uid="{00000000-0005-0000-0000-0000AD680000}"/>
    <cellStyle name="Comma 2 6 2 3" xfId="38084" xr:uid="{00000000-0005-0000-0000-0000AE680000}"/>
    <cellStyle name="Comma 2 6 3" xfId="18976" xr:uid="{00000000-0005-0000-0000-0000AF680000}"/>
    <cellStyle name="Comma 2 6 3 2" xfId="37128" xr:uid="{00000000-0005-0000-0000-0000B0680000}"/>
    <cellStyle name="Comma 2 6 4" xfId="30147" xr:uid="{00000000-0005-0000-0000-0000B1680000}"/>
    <cellStyle name="Comma 2 6 5" xfId="38083" xr:uid="{00000000-0005-0000-0000-0000B2680000}"/>
    <cellStyle name="Comma 2 7" xfId="21221" xr:uid="{00000000-0005-0000-0000-0000B3680000}"/>
    <cellStyle name="Comma 2 7 2" xfId="38072" xr:uid="{00000000-0005-0000-0000-0000B4680000}"/>
    <cellStyle name="Comma 2 7 3" xfId="39027" xr:uid="{00000000-0005-0000-0000-0000B5680000}"/>
    <cellStyle name="Comma 2 8" xfId="21172" xr:uid="{00000000-0005-0000-0000-0000B6680000}"/>
    <cellStyle name="Comma 2 9" xfId="3142" xr:uid="{00000000-0005-0000-0000-0000B7680000}"/>
    <cellStyle name="Comma 2 9 2" xfId="23142" xr:uid="{00000000-0005-0000-0000-0000B8680000}"/>
    <cellStyle name="Comma 3" xfId="44" xr:uid="{00000000-0005-0000-0000-0000B9680000}"/>
    <cellStyle name="Comma 3 2" xfId="2014" xr:uid="{00000000-0005-0000-0000-0000BA680000}"/>
    <cellStyle name="Comma 3 2 2" xfId="18979" xr:uid="{00000000-0005-0000-0000-0000BB680000}"/>
    <cellStyle name="Comma 3 2 2 2" xfId="21181" xr:uid="{00000000-0005-0000-0000-0000BC680000}"/>
    <cellStyle name="Comma 3 2 3" xfId="21180" xr:uid="{00000000-0005-0000-0000-0000BD680000}"/>
    <cellStyle name="Comma 3 2 4" xfId="18978" xr:uid="{00000000-0005-0000-0000-0000BE680000}"/>
    <cellStyle name="Comma 3 2 5" xfId="3463" xr:uid="{00000000-0005-0000-0000-0000BF680000}"/>
    <cellStyle name="Comma 3 3" xfId="3491" xr:uid="{00000000-0005-0000-0000-0000C0680000}"/>
    <cellStyle name="Comma 3 3 2" xfId="12298" xr:uid="{00000000-0005-0000-0000-0000C1680000}"/>
    <cellStyle name="Comma 3 3 2 2" xfId="21204" xr:uid="{00000000-0005-0000-0000-0000C2680000}"/>
    <cellStyle name="Comma 3 3 2 2 2" xfId="38060" xr:uid="{00000000-0005-0000-0000-0000C3680000}"/>
    <cellStyle name="Comma 3 3 2 2 3" xfId="39015" xr:uid="{00000000-0005-0000-0000-0000C4680000}"/>
    <cellStyle name="Comma 3 3 2 3" xfId="20241" xr:uid="{00000000-0005-0000-0000-0000C5680000}"/>
    <cellStyle name="Comma 3 3 2 3 2" xfId="37741" xr:uid="{00000000-0005-0000-0000-0000C6680000}"/>
    <cellStyle name="Comma 3 3 2 4" xfId="30468" xr:uid="{00000000-0005-0000-0000-0000C7680000}"/>
    <cellStyle name="Comma 3 3 2 5" xfId="38696" xr:uid="{00000000-0005-0000-0000-0000C8680000}"/>
    <cellStyle name="Comma 3 3 3" xfId="21182" xr:uid="{00000000-0005-0000-0000-0000C9680000}"/>
    <cellStyle name="Comma 3 3 3 2" xfId="38050" xr:uid="{00000000-0005-0000-0000-0000CA680000}"/>
    <cellStyle name="Comma 3 3 3 3" xfId="39005" xr:uid="{00000000-0005-0000-0000-0000CB680000}"/>
    <cellStyle name="Comma 3 3 4" xfId="18980" xr:uid="{00000000-0005-0000-0000-0000CC680000}"/>
    <cellStyle name="Comma 3 3 4 2" xfId="37130" xr:uid="{00000000-0005-0000-0000-0000CD680000}"/>
    <cellStyle name="Comma 3 3 5" xfId="23466" xr:uid="{00000000-0005-0000-0000-0000CE680000}"/>
    <cellStyle name="Comma 3 3 6" xfId="38085" xr:uid="{00000000-0005-0000-0000-0000CF680000}"/>
    <cellStyle name="Comma 3 3 7" xfId="39382" xr:uid="{00000000-0005-0000-0000-0000D0680000}"/>
    <cellStyle name="Comma 3 4" xfId="11963" xr:uid="{00000000-0005-0000-0000-0000D1680000}"/>
    <cellStyle name="Comma 3 4 2" xfId="21203" xr:uid="{00000000-0005-0000-0000-0000D2680000}"/>
    <cellStyle name="Comma 3 4 3" xfId="20240" xr:uid="{00000000-0005-0000-0000-0000D3680000}"/>
    <cellStyle name="Comma 3 4 4" xfId="30152" xr:uid="{00000000-0005-0000-0000-0000D4680000}"/>
    <cellStyle name="Comma 3 5" xfId="21223" xr:uid="{00000000-0005-0000-0000-0000D5680000}"/>
    <cellStyle name="Comma 3 5 2" xfId="38074" xr:uid="{00000000-0005-0000-0000-0000D6680000}"/>
    <cellStyle name="Comma 3 5 3" xfId="39029" xr:uid="{00000000-0005-0000-0000-0000D7680000}"/>
    <cellStyle name="Comma 3 6" xfId="21179" xr:uid="{00000000-0005-0000-0000-0000D8680000}"/>
    <cellStyle name="Comma 3 7" xfId="3147" xr:uid="{00000000-0005-0000-0000-0000D9680000}"/>
    <cellStyle name="Comma 3 7 2" xfId="23147" xr:uid="{00000000-0005-0000-0000-0000DA680000}"/>
    <cellStyle name="Comma 3 8" xfId="21251" xr:uid="{00000000-0005-0000-0000-0000DB680000}"/>
    <cellStyle name="Comma 3 9" xfId="39051" xr:uid="{00000000-0005-0000-0000-0000DC680000}"/>
    <cellStyle name="Comma 4" xfId="45" xr:uid="{00000000-0005-0000-0000-0000DD680000}"/>
    <cellStyle name="Comma 4 2" xfId="46" xr:uid="{00000000-0005-0000-0000-0000DE680000}"/>
    <cellStyle name="Comma 4 2 2" xfId="18983" xr:uid="{00000000-0005-0000-0000-0000DF680000}"/>
    <cellStyle name="Comma 4 2 2 2" xfId="21185" xr:uid="{00000000-0005-0000-0000-0000E0680000}"/>
    <cellStyle name="Comma 4 2 3" xfId="21184" xr:uid="{00000000-0005-0000-0000-0000E1680000}"/>
    <cellStyle name="Comma 4 2 4" xfId="18982" xr:uid="{00000000-0005-0000-0000-0000E2680000}"/>
    <cellStyle name="Comma 4 3" xfId="11197" xr:uid="{00000000-0005-0000-0000-0000E3680000}"/>
    <cellStyle name="Comma 4 3 2" xfId="20243" xr:uid="{00000000-0005-0000-0000-0000E4680000}"/>
    <cellStyle name="Comma 4 3 2 2" xfId="21206" xr:uid="{00000000-0005-0000-0000-0000E5680000}"/>
    <cellStyle name="Comma 4 3 2 2 2" xfId="38061" xr:uid="{00000000-0005-0000-0000-0000E6680000}"/>
    <cellStyle name="Comma 4 3 2 2 3" xfId="39016" xr:uid="{00000000-0005-0000-0000-0000E7680000}"/>
    <cellStyle name="Comma 4 3 2 3" xfId="37742" xr:uid="{00000000-0005-0000-0000-0000E8680000}"/>
    <cellStyle name="Comma 4 3 2 4" xfId="38697" xr:uid="{00000000-0005-0000-0000-0000E9680000}"/>
    <cellStyle name="Comma 4 3 3" xfId="21186" xr:uid="{00000000-0005-0000-0000-0000EA680000}"/>
    <cellStyle name="Comma 4 3 3 2" xfId="38051" xr:uid="{00000000-0005-0000-0000-0000EB680000}"/>
    <cellStyle name="Comma 4 3 3 3" xfId="39006" xr:uid="{00000000-0005-0000-0000-0000EC680000}"/>
    <cellStyle name="Comma 4 3 4" xfId="18984" xr:uid="{00000000-0005-0000-0000-0000ED680000}"/>
    <cellStyle name="Comma 4 3 4 2" xfId="37131" xr:uid="{00000000-0005-0000-0000-0000EE680000}"/>
    <cellStyle name="Comma 4 3 5" xfId="38086" xr:uid="{00000000-0005-0000-0000-0000EF680000}"/>
    <cellStyle name="Comma 4 4" xfId="11964" xr:uid="{00000000-0005-0000-0000-0000F0680000}"/>
    <cellStyle name="Comma 4 4 2" xfId="20244" xr:uid="{00000000-0005-0000-0000-0000F1680000}"/>
    <cellStyle name="Comma 4 4 2 2" xfId="21207" xr:uid="{00000000-0005-0000-0000-0000F2680000}"/>
    <cellStyle name="Comma 4 4 3" xfId="21187" xr:uid="{00000000-0005-0000-0000-0000F3680000}"/>
    <cellStyle name="Comma 4 4 4" xfId="18985" xr:uid="{00000000-0005-0000-0000-0000F4680000}"/>
    <cellStyle name="Comma 4 5" xfId="20242" xr:uid="{00000000-0005-0000-0000-0000F5680000}"/>
    <cellStyle name="Comma 4 5 2" xfId="21205" xr:uid="{00000000-0005-0000-0000-0000F6680000}"/>
    <cellStyle name="Comma 4 6" xfId="21183" xr:uid="{00000000-0005-0000-0000-0000F7680000}"/>
    <cellStyle name="Comma 4 7" xfId="18981" xr:uid="{00000000-0005-0000-0000-0000F8680000}"/>
    <cellStyle name="Comma 4 8" xfId="21252" xr:uid="{00000000-0005-0000-0000-0000F9680000}"/>
    <cellStyle name="Comma 5" xfId="47" xr:uid="{00000000-0005-0000-0000-0000FA680000}"/>
    <cellStyle name="Comma 5 2" xfId="2015" xr:uid="{00000000-0005-0000-0000-0000FB680000}"/>
    <cellStyle name="Comma 5 2 2" xfId="21208" xr:uid="{00000000-0005-0000-0000-0000FC680000}"/>
    <cellStyle name="Comma 5 2 3" xfId="20245" xr:uid="{00000000-0005-0000-0000-0000FD680000}"/>
    <cellStyle name="Comma 5 2 4" xfId="18919" xr:uid="{00000000-0005-0000-0000-0000FE680000}"/>
    <cellStyle name="Comma 5 2 4 2" xfId="37079" xr:uid="{00000000-0005-0000-0000-0000FF680000}"/>
    <cellStyle name="Comma 5 2 5" xfId="22097" xr:uid="{00000000-0005-0000-0000-000000690000}"/>
    <cellStyle name="Comma 5 3" xfId="21188" xr:uid="{00000000-0005-0000-0000-000001690000}"/>
    <cellStyle name="Comma 5 4" xfId="18986" xr:uid="{00000000-0005-0000-0000-000002690000}"/>
    <cellStyle name="Comma 5 5" xfId="11070" xr:uid="{00000000-0005-0000-0000-000003690000}"/>
    <cellStyle name="Comma 5 5 2" xfId="30078" xr:uid="{00000000-0005-0000-0000-000004690000}"/>
    <cellStyle name="Comma 5 6" xfId="21253" xr:uid="{00000000-0005-0000-0000-000005690000}"/>
    <cellStyle name="Comma 6" xfId="48" xr:uid="{00000000-0005-0000-0000-000006690000}"/>
    <cellStyle name="Comma 6 2" xfId="2016" xr:uid="{00000000-0005-0000-0000-000007690000}"/>
    <cellStyle name="Comma 6 2 2" xfId="21209" xr:uid="{00000000-0005-0000-0000-000008690000}"/>
    <cellStyle name="Comma 6 2 3" xfId="20246" xr:uid="{00000000-0005-0000-0000-000009690000}"/>
    <cellStyle name="Comma 6 3" xfId="21189" xr:uid="{00000000-0005-0000-0000-00000A690000}"/>
    <cellStyle name="Comma 6 4" xfId="11198" xr:uid="{00000000-0005-0000-0000-00000B690000}"/>
    <cellStyle name="Comma 6 5" xfId="21254" xr:uid="{00000000-0005-0000-0000-00000C690000}"/>
    <cellStyle name="Comma 7" xfId="2017" xr:uid="{00000000-0005-0000-0000-00000D690000}"/>
    <cellStyle name="Comma 7 2" xfId="21171" xr:uid="{00000000-0005-0000-0000-00000E690000}"/>
    <cellStyle name="Comma 7 2 2" xfId="21218" xr:uid="{00000000-0005-0000-0000-00000F690000}"/>
    <cellStyle name="Comma 7 2 2 2" xfId="38069" xr:uid="{00000000-0005-0000-0000-000010690000}"/>
    <cellStyle name="Comma 7 2 2 3" xfId="39024" xr:uid="{00000000-0005-0000-0000-000011690000}"/>
    <cellStyle name="Comma 7 2 3" xfId="38049" xr:uid="{00000000-0005-0000-0000-000012690000}"/>
    <cellStyle name="Comma 7 2 4" xfId="39004" xr:uid="{00000000-0005-0000-0000-000013690000}"/>
    <cellStyle name="Comma 7 3" xfId="21199" xr:uid="{00000000-0005-0000-0000-000014690000}"/>
    <cellStyle name="Comma 7 3 2" xfId="38059" xr:uid="{00000000-0005-0000-0000-000015690000}"/>
    <cellStyle name="Comma 7 3 3" xfId="39014" xr:uid="{00000000-0005-0000-0000-000016690000}"/>
    <cellStyle name="Comma 7 4" xfId="20168" xr:uid="{00000000-0005-0000-0000-000017690000}"/>
    <cellStyle name="Comma 7 4 2" xfId="37680" xr:uid="{00000000-0005-0000-0000-000018690000}"/>
    <cellStyle name="Comma 7 5" xfId="11957" xr:uid="{00000000-0005-0000-0000-000019690000}"/>
    <cellStyle name="Comma 7 5 2" xfId="30146" xr:uid="{00000000-0005-0000-0000-00001A690000}"/>
    <cellStyle name="Comma 7 6" xfId="38635" xr:uid="{00000000-0005-0000-0000-00001B690000}"/>
    <cellStyle name="Comma 8" xfId="2018" xr:uid="{00000000-0005-0000-0000-00001C690000}"/>
    <cellStyle name="Comma 9" xfId="2019" xr:uid="{00000000-0005-0000-0000-00001D690000}"/>
    <cellStyle name="Comma 9 2" xfId="2020" xr:uid="{00000000-0005-0000-0000-00001E690000}"/>
    <cellStyle name="Comma 9 2 2" xfId="2021" xr:uid="{00000000-0005-0000-0000-00001F690000}"/>
    <cellStyle name="Comma 9 2 2 2" xfId="2022" xr:uid="{00000000-0005-0000-0000-000020690000}"/>
    <cellStyle name="Comma 9 2 2 2 2" xfId="22101" xr:uid="{00000000-0005-0000-0000-000021690000}"/>
    <cellStyle name="Comma 9 2 2 3" xfId="22100" xr:uid="{00000000-0005-0000-0000-000022690000}"/>
    <cellStyle name="Comma 9 2 3" xfId="2023" xr:uid="{00000000-0005-0000-0000-000023690000}"/>
    <cellStyle name="Comma 9 2 3 2" xfId="2024" xr:uid="{00000000-0005-0000-0000-000024690000}"/>
    <cellStyle name="Comma 9 2 3 2 2" xfId="22103" xr:uid="{00000000-0005-0000-0000-000025690000}"/>
    <cellStyle name="Comma 9 2 3 3" xfId="22102" xr:uid="{00000000-0005-0000-0000-000026690000}"/>
    <cellStyle name="Comma 9 2 4" xfId="2025" xr:uid="{00000000-0005-0000-0000-000027690000}"/>
    <cellStyle name="Comma 9 2 4 2" xfId="22104" xr:uid="{00000000-0005-0000-0000-000028690000}"/>
    <cellStyle name="Comma 9 2 5" xfId="22099" xr:uid="{00000000-0005-0000-0000-000029690000}"/>
    <cellStyle name="Comma 9 3" xfId="2026" xr:uid="{00000000-0005-0000-0000-00002A690000}"/>
    <cellStyle name="Comma 9 3 2" xfId="2027" xr:uid="{00000000-0005-0000-0000-00002B690000}"/>
    <cellStyle name="Comma 9 3 2 2" xfId="22106" xr:uid="{00000000-0005-0000-0000-00002C690000}"/>
    <cellStyle name="Comma 9 3 3" xfId="22105" xr:uid="{00000000-0005-0000-0000-00002D690000}"/>
    <cellStyle name="Comma 9 4" xfId="2028" xr:uid="{00000000-0005-0000-0000-00002E690000}"/>
    <cellStyle name="Comma 9 4 2" xfId="2029" xr:uid="{00000000-0005-0000-0000-00002F690000}"/>
    <cellStyle name="Comma 9 4 2 2" xfId="22108" xr:uid="{00000000-0005-0000-0000-000030690000}"/>
    <cellStyle name="Comma 9 4 3" xfId="22107" xr:uid="{00000000-0005-0000-0000-000031690000}"/>
    <cellStyle name="Comma 9 5" xfId="2030" xr:uid="{00000000-0005-0000-0000-000032690000}"/>
    <cellStyle name="Comma 9 5 2" xfId="2031" xr:uid="{00000000-0005-0000-0000-000033690000}"/>
    <cellStyle name="Comma 9 5 2 2" xfId="22110" xr:uid="{00000000-0005-0000-0000-000034690000}"/>
    <cellStyle name="Comma 9 5 3" xfId="22109" xr:uid="{00000000-0005-0000-0000-000035690000}"/>
    <cellStyle name="Comma 9 6" xfId="2032" xr:uid="{00000000-0005-0000-0000-000036690000}"/>
    <cellStyle name="Comma 9 6 2" xfId="22111" xr:uid="{00000000-0005-0000-0000-000037690000}"/>
    <cellStyle name="Comma 9 7" xfId="22098" xr:uid="{00000000-0005-0000-0000-000038690000}"/>
    <cellStyle name="Comma0" xfId="7299" xr:uid="{00000000-0005-0000-0000-000039690000}"/>
    <cellStyle name="Comma0 - Type3" xfId="49" xr:uid="{00000000-0005-0000-0000-00003A690000}"/>
    <cellStyle name="Comma0 - Typografi1" xfId="7300" xr:uid="{00000000-0005-0000-0000-00003B690000}"/>
    <cellStyle name="Comma0 - Typografi1 2" xfId="7301" xr:uid="{00000000-0005-0000-0000-00003C690000}"/>
    <cellStyle name="Comma0 - Typografi1 2 2" xfId="7302" xr:uid="{00000000-0005-0000-0000-00003D690000}"/>
    <cellStyle name="Comma0 - Typografi1 2 2 2" xfId="11077" xr:uid="{00000000-0005-0000-0000-00003E690000}"/>
    <cellStyle name="Comma0 - Typografi1 2 3" xfId="11076" xr:uid="{00000000-0005-0000-0000-00003F690000}"/>
    <cellStyle name="Comma0 - Typografi1 3" xfId="7303" xr:uid="{00000000-0005-0000-0000-000040690000}"/>
    <cellStyle name="Comma0 - Typografi1 3 2" xfId="11078" xr:uid="{00000000-0005-0000-0000-000041690000}"/>
    <cellStyle name="Comma0 - Typografi1 4" xfId="7304" xr:uid="{00000000-0005-0000-0000-000042690000}"/>
    <cellStyle name="Comma0 - Typografi1 4 2" xfId="11079" xr:uid="{00000000-0005-0000-0000-000043690000}"/>
    <cellStyle name="Comma0 - Typografi1 5" xfId="11075" xr:uid="{00000000-0005-0000-0000-000044690000}"/>
    <cellStyle name="Comma0 10" xfId="11051" xr:uid="{00000000-0005-0000-0000-000045690000}"/>
    <cellStyle name="Comma0 11" xfId="11059" xr:uid="{00000000-0005-0000-0000-000046690000}"/>
    <cellStyle name="Comma0 12" xfId="11043" xr:uid="{00000000-0005-0000-0000-000047690000}"/>
    <cellStyle name="Comma0 13" xfId="8312" xr:uid="{00000000-0005-0000-0000-000048690000}"/>
    <cellStyle name="Comma0 14" xfId="11052" xr:uid="{00000000-0005-0000-0000-000049690000}"/>
    <cellStyle name="Comma0 15" xfId="11042" xr:uid="{00000000-0005-0000-0000-00004A690000}"/>
    <cellStyle name="Comma0 16" xfId="11048" xr:uid="{00000000-0005-0000-0000-00004B690000}"/>
    <cellStyle name="Comma0 2" xfId="9707" xr:uid="{00000000-0005-0000-0000-00004C690000}"/>
    <cellStyle name="Comma0 3" xfId="11053" xr:uid="{00000000-0005-0000-0000-00004D690000}"/>
    <cellStyle name="Comma0 4" xfId="11058" xr:uid="{00000000-0005-0000-0000-00004E690000}"/>
    <cellStyle name="Comma0 5" xfId="11055" xr:uid="{00000000-0005-0000-0000-00004F690000}"/>
    <cellStyle name="Comma0 6" xfId="11039" xr:uid="{00000000-0005-0000-0000-000050690000}"/>
    <cellStyle name="Comma0 7" xfId="11049" xr:uid="{00000000-0005-0000-0000-000051690000}"/>
    <cellStyle name="Comma0 8" xfId="11047" xr:uid="{00000000-0005-0000-0000-000052690000}"/>
    <cellStyle name="Comma0 9" xfId="11063" xr:uid="{00000000-0005-0000-0000-000053690000}"/>
    <cellStyle name="Comma1 - Typografi1" xfId="7305" xr:uid="{00000000-0005-0000-0000-000054690000}"/>
    <cellStyle name="Currency0" xfId="7306" xr:uid="{00000000-0005-0000-0000-000055690000}"/>
    <cellStyle name="Currency0 2" xfId="9708" xr:uid="{00000000-0005-0000-0000-000056690000}"/>
    <cellStyle name="CustomizationCells" xfId="50" xr:uid="{00000000-0005-0000-0000-000057690000}"/>
    <cellStyle name="CustomizationCells 2" xfId="11965" xr:uid="{00000000-0005-0000-0000-000058690000}"/>
    <cellStyle name="CustomizationCells 3" xfId="20131" xr:uid="{00000000-0005-0000-0000-000059690000}"/>
    <cellStyle name="Date" xfId="7307" xr:uid="{00000000-0005-0000-0000-00005A690000}"/>
    <cellStyle name="Date - Typografi3" xfId="7308" xr:uid="{00000000-0005-0000-0000-00005B690000}"/>
    <cellStyle name="Date 10" xfId="11061" xr:uid="{00000000-0005-0000-0000-00005C690000}"/>
    <cellStyle name="Date 11" xfId="11046" xr:uid="{00000000-0005-0000-0000-00005D690000}"/>
    <cellStyle name="Date 12" xfId="11044" xr:uid="{00000000-0005-0000-0000-00005E690000}"/>
    <cellStyle name="Date 13" xfId="11041" xr:uid="{00000000-0005-0000-0000-00005F690000}"/>
    <cellStyle name="Date 14" xfId="11060" xr:uid="{00000000-0005-0000-0000-000060690000}"/>
    <cellStyle name="Date 15" xfId="11050" xr:uid="{00000000-0005-0000-0000-000061690000}"/>
    <cellStyle name="Date 16" xfId="11057" xr:uid="{00000000-0005-0000-0000-000062690000}"/>
    <cellStyle name="Date 2" xfId="9709" xr:uid="{00000000-0005-0000-0000-000063690000}"/>
    <cellStyle name="Date 3" xfId="11054" xr:uid="{00000000-0005-0000-0000-000064690000}"/>
    <cellStyle name="Date 4" xfId="11038" xr:uid="{00000000-0005-0000-0000-000065690000}"/>
    <cellStyle name="Date 5" xfId="11056" xr:uid="{00000000-0005-0000-0000-000066690000}"/>
    <cellStyle name="Date 6" xfId="11040" xr:uid="{00000000-0005-0000-0000-000067690000}"/>
    <cellStyle name="Date 7" xfId="11064" xr:uid="{00000000-0005-0000-0000-000068690000}"/>
    <cellStyle name="Date 8" xfId="11045" xr:uid="{00000000-0005-0000-0000-000069690000}"/>
    <cellStyle name="Date 9" xfId="11062" xr:uid="{00000000-0005-0000-0000-00006A690000}"/>
    <cellStyle name="Euro" xfId="51" xr:uid="{00000000-0005-0000-0000-00006B690000}"/>
    <cellStyle name="Euro 10" xfId="52" xr:uid="{00000000-0005-0000-0000-00006C690000}"/>
    <cellStyle name="Euro 10 2" xfId="53" xr:uid="{00000000-0005-0000-0000-00006D690000}"/>
    <cellStyle name="Euro 10 2 2" xfId="3492" xr:uid="{00000000-0005-0000-0000-00006E690000}"/>
    <cellStyle name="Euro 10 3" xfId="54" xr:uid="{00000000-0005-0000-0000-00006F690000}"/>
    <cellStyle name="Euro 10 3 2" xfId="55" xr:uid="{00000000-0005-0000-0000-000070690000}"/>
    <cellStyle name="Euro 10 3 3" xfId="18988" xr:uid="{00000000-0005-0000-0000-000071690000}"/>
    <cellStyle name="Euro 10 3 3 2" xfId="20248" xr:uid="{00000000-0005-0000-0000-000072690000}"/>
    <cellStyle name="Euro 10 3 4" xfId="20247" xr:uid="{00000000-0005-0000-0000-000073690000}"/>
    <cellStyle name="Euro 10 3 5" xfId="18987" xr:uid="{00000000-0005-0000-0000-000074690000}"/>
    <cellStyle name="Euro 10 4" xfId="56" xr:uid="{00000000-0005-0000-0000-000075690000}"/>
    <cellStyle name="Euro 10 4 2" xfId="18990" xr:uid="{00000000-0005-0000-0000-000076690000}"/>
    <cellStyle name="Euro 10 4 2 2" xfId="20250" xr:uid="{00000000-0005-0000-0000-000077690000}"/>
    <cellStyle name="Euro 10 4 3" xfId="20249" xr:uid="{00000000-0005-0000-0000-000078690000}"/>
    <cellStyle name="Euro 10 4 4" xfId="18989" xr:uid="{00000000-0005-0000-0000-000079690000}"/>
    <cellStyle name="Euro 10 4 5" xfId="11199" xr:uid="{00000000-0005-0000-0000-00007A690000}"/>
    <cellStyle name="Euro 10 5" xfId="57" xr:uid="{00000000-0005-0000-0000-00007B690000}"/>
    <cellStyle name="Euro 10 5 2" xfId="11200" xr:uid="{00000000-0005-0000-0000-00007C690000}"/>
    <cellStyle name="Euro 10 6" xfId="58" xr:uid="{00000000-0005-0000-0000-00007D690000}"/>
    <cellStyle name="Euro 10 6 2" xfId="21255" xr:uid="{00000000-0005-0000-0000-00007E690000}"/>
    <cellStyle name="Euro 11" xfId="59" xr:uid="{00000000-0005-0000-0000-00007F690000}"/>
    <cellStyle name="Euro 11 2" xfId="60" xr:uid="{00000000-0005-0000-0000-000080690000}"/>
    <cellStyle name="Euro 11 2 2" xfId="3493" xr:uid="{00000000-0005-0000-0000-000081690000}"/>
    <cellStyle name="Euro 11 3" xfId="61" xr:uid="{00000000-0005-0000-0000-000082690000}"/>
    <cellStyle name="Euro 11 3 2" xfId="62" xr:uid="{00000000-0005-0000-0000-000083690000}"/>
    <cellStyle name="Euro 11 3 3" xfId="18992" xr:uid="{00000000-0005-0000-0000-000084690000}"/>
    <cellStyle name="Euro 11 3 3 2" xfId="20252" xr:uid="{00000000-0005-0000-0000-000085690000}"/>
    <cellStyle name="Euro 11 3 4" xfId="20251" xr:uid="{00000000-0005-0000-0000-000086690000}"/>
    <cellStyle name="Euro 11 3 5" xfId="18991" xr:uid="{00000000-0005-0000-0000-000087690000}"/>
    <cellStyle name="Euro 11 4" xfId="63" xr:uid="{00000000-0005-0000-0000-000088690000}"/>
    <cellStyle name="Euro 11 4 2" xfId="18994" xr:uid="{00000000-0005-0000-0000-000089690000}"/>
    <cellStyle name="Euro 11 4 2 2" xfId="20254" xr:uid="{00000000-0005-0000-0000-00008A690000}"/>
    <cellStyle name="Euro 11 4 3" xfId="20253" xr:uid="{00000000-0005-0000-0000-00008B690000}"/>
    <cellStyle name="Euro 11 4 4" xfId="18993" xr:uid="{00000000-0005-0000-0000-00008C690000}"/>
    <cellStyle name="Euro 11 4 5" xfId="11201" xr:uid="{00000000-0005-0000-0000-00008D690000}"/>
    <cellStyle name="Euro 11 5" xfId="64" xr:uid="{00000000-0005-0000-0000-00008E690000}"/>
    <cellStyle name="Euro 11 5 2" xfId="11202" xr:uid="{00000000-0005-0000-0000-00008F690000}"/>
    <cellStyle name="Euro 11 6" xfId="65" xr:uid="{00000000-0005-0000-0000-000090690000}"/>
    <cellStyle name="Euro 11 6 2" xfId="21256" xr:uid="{00000000-0005-0000-0000-000091690000}"/>
    <cellStyle name="Euro 12" xfId="66" xr:uid="{00000000-0005-0000-0000-000092690000}"/>
    <cellStyle name="Euro 12 2" xfId="67" xr:uid="{00000000-0005-0000-0000-000093690000}"/>
    <cellStyle name="Euro 12 2 2" xfId="3494" xr:uid="{00000000-0005-0000-0000-000094690000}"/>
    <cellStyle name="Euro 12 3" xfId="68" xr:uid="{00000000-0005-0000-0000-000095690000}"/>
    <cellStyle name="Euro 12 3 2" xfId="69" xr:uid="{00000000-0005-0000-0000-000096690000}"/>
    <cellStyle name="Euro 12 3 3" xfId="18996" xr:uid="{00000000-0005-0000-0000-000097690000}"/>
    <cellStyle name="Euro 12 3 3 2" xfId="20256" xr:uid="{00000000-0005-0000-0000-000098690000}"/>
    <cellStyle name="Euro 12 3 4" xfId="20255" xr:uid="{00000000-0005-0000-0000-000099690000}"/>
    <cellStyle name="Euro 12 3 5" xfId="18995" xr:uid="{00000000-0005-0000-0000-00009A690000}"/>
    <cellStyle name="Euro 12 4" xfId="70" xr:uid="{00000000-0005-0000-0000-00009B690000}"/>
    <cellStyle name="Euro 12 4 2" xfId="18998" xr:uid="{00000000-0005-0000-0000-00009C690000}"/>
    <cellStyle name="Euro 12 4 2 2" xfId="20258" xr:uid="{00000000-0005-0000-0000-00009D690000}"/>
    <cellStyle name="Euro 12 4 3" xfId="20257" xr:uid="{00000000-0005-0000-0000-00009E690000}"/>
    <cellStyle name="Euro 12 4 4" xfId="18997" xr:uid="{00000000-0005-0000-0000-00009F690000}"/>
    <cellStyle name="Euro 12 4 5" xfId="11203" xr:uid="{00000000-0005-0000-0000-0000A0690000}"/>
    <cellStyle name="Euro 12 5" xfId="71" xr:uid="{00000000-0005-0000-0000-0000A1690000}"/>
    <cellStyle name="Euro 12 5 2" xfId="11204" xr:uid="{00000000-0005-0000-0000-0000A2690000}"/>
    <cellStyle name="Euro 12 6" xfId="72" xr:uid="{00000000-0005-0000-0000-0000A3690000}"/>
    <cellStyle name="Euro 12 6 2" xfId="21257" xr:uid="{00000000-0005-0000-0000-0000A4690000}"/>
    <cellStyle name="Euro 13" xfId="73" xr:uid="{00000000-0005-0000-0000-0000A5690000}"/>
    <cellStyle name="Euro 13 2" xfId="74" xr:uid="{00000000-0005-0000-0000-0000A6690000}"/>
    <cellStyle name="Euro 13 2 2" xfId="3495" xr:uid="{00000000-0005-0000-0000-0000A7690000}"/>
    <cellStyle name="Euro 13 3" xfId="75" xr:uid="{00000000-0005-0000-0000-0000A8690000}"/>
    <cellStyle name="Euro 13 3 2" xfId="76" xr:uid="{00000000-0005-0000-0000-0000A9690000}"/>
    <cellStyle name="Euro 13 3 3" xfId="19000" xr:uid="{00000000-0005-0000-0000-0000AA690000}"/>
    <cellStyle name="Euro 13 3 3 2" xfId="20260" xr:uid="{00000000-0005-0000-0000-0000AB690000}"/>
    <cellStyle name="Euro 13 3 4" xfId="20259" xr:uid="{00000000-0005-0000-0000-0000AC690000}"/>
    <cellStyle name="Euro 13 3 5" xfId="18999" xr:uid="{00000000-0005-0000-0000-0000AD690000}"/>
    <cellStyle name="Euro 13 4" xfId="77" xr:uid="{00000000-0005-0000-0000-0000AE690000}"/>
    <cellStyle name="Euro 13 4 2" xfId="19002" xr:uid="{00000000-0005-0000-0000-0000AF690000}"/>
    <cellStyle name="Euro 13 4 2 2" xfId="20262" xr:uid="{00000000-0005-0000-0000-0000B0690000}"/>
    <cellStyle name="Euro 13 4 3" xfId="20261" xr:uid="{00000000-0005-0000-0000-0000B1690000}"/>
    <cellStyle name="Euro 13 4 4" xfId="19001" xr:uid="{00000000-0005-0000-0000-0000B2690000}"/>
    <cellStyle name="Euro 13 4 5" xfId="11205" xr:uid="{00000000-0005-0000-0000-0000B3690000}"/>
    <cellStyle name="Euro 13 5" xfId="78" xr:uid="{00000000-0005-0000-0000-0000B4690000}"/>
    <cellStyle name="Euro 13 5 2" xfId="11206" xr:uid="{00000000-0005-0000-0000-0000B5690000}"/>
    <cellStyle name="Euro 13 6" xfId="79" xr:uid="{00000000-0005-0000-0000-0000B6690000}"/>
    <cellStyle name="Euro 13 6 2" xfId="21258" xr:uid="{00000000-0005-0000-0000-0000B7690000}"/>
    <cellStyle name="Euro 14" xfId="80" xr:uid="{00000000-0005-0000-0000-0000B8690000}"/>
    <cellStyle name="Euro 14 2" xfId="81" xr:uid="{00000000-0005-0000-0000-0000B9690000}"/>
    <cellStyle name="Euro 14 2 2" xfId="3496" xr:uid="{00000000-0005-0000-0000-0000BA690000}"/>
    <cellStyle name="Euro 14 3" xfId="82" xr:uid="{00000000-0005-0000-0000-0000BB690000}"/>
    <cellStyle name="Euro 14 3 2" xfId="83" xr:uid="{00000000-0005-0000-0000-0000BC690000}"/>
    <cellStyle name="Euro 14 3 3" xfId="19005" xr:uid="{00000000-0005-0000-0000-0000BD690000}"/>
    <cellStyle name="Euro 14 3 3 2" xfId="20264" xr:uid="{00000000-0005-0000-0000-0000BE690000}"/>
    <cellStyle name="Euro 14 3 4" xfId="20263" xr:uid="{00000000-0005-0000-0000-0000BF690000}"/>
    <cellStyle name="Euro 14 3 5" xfId="19004" xr:uid="{00000000-0005-0000-0000-0000C0690000}"/>
    <cellStyle name="Euro 14 4" xfId="84" xr:uid="{00000000-0005-0000-0000-0000C1690000}"/>
    <cellStyle name="Euro 14 4 2" xfId="19007" xr:uid="{00000000-0005-0000-0000-0000C2690000}"/>
    <cellStyle name="Euro 14 4 2 2" xfId="20266" xr:uid="{00000000-0005-0000-0000-0000C3690000}"/>
    <cellStyle name="Euro 14 4 3" xfId="20265" xr:uid="{00000000-0005-0000-0000-0000C4690000}"/>
    <cellStyle name="Euro 14 4 4" xfId="19006" xr:uid="{00000000-0005-0000-0000-0000C5690000}"/>
    <cellStyle name="Euro 14 4 5" xfId="11207" xr:uid="{00000000-0005-0000-0000-0000C6690000}"/>
    <cellStyle name="Euro 14 5" xfId="85" xr:uid="{00000000-0005-0000-0000-0000C7690000}"/>
    <cellStyle name="Euro 14 5 2" xfId="11208" xr:uid="{00000000-0005-0000-0000-0000C8690000}"/>
    <cellStyle name="Euro 14 6" xfId="86" xr:uid="{00000000-0005-0000-0000-0000C9690000}"/>
    <cellStyle name="Euro 14 6 2" xfId="21259" xr:uid="{00000000-0005-0000-0000-0000CA690000}"/>
    <cellStyle name="Euro 15" xfId="87" xr:uid="{00000000-0005-0000-0000-0000CB690000}"/>
    <cellStyle name="Euro 15 2" xfId="88" xr:uid="{00000000-0005-0000-0000-0000CC690000}"/>
    <cellStyle name="Euro 15 2 2" xfId="3497" xr:uid="{00000000-0005-0000-0000-0000CD690000}"/>
    <cellStyle name="Euro 15 3" xfId="89" xr:uid="{00000000-0005-0000-0000-0000CE690000}"/>
    <cellStyle name="Euro 15 3 2" xfId="90" xr:uid="{00000000-0005-0000-0000-0000CF690000}"/>
    <cellStyle name="Euro 15 3 3" xfId="19009" xr:uid="{00000000-0005-0000-0000-0000D0690000}"/>
    <cellStyle name="Euro 15 3 3 2" xfId="20268" xr:uid="{00000000-0005-0000-0000-0000D1690000}"/>
    <cellStyle name="Euro 15 3 4" xfId="20267" xr:uid="{00000000-0005-0000-0000-0000D2690000}"/>
    <cellStyle name="Euro 15 3 5" xfId="19008" xr:uid="{00000000-0005-0000-0000-0000D3690000}"/>
    <cellStyle name="Euro 15 4" xfId="91" xr:uid="{00000000-0005-0000-0000-0000D4690000}"/>
    <cellStyle name="Euro 15 4 2" xfId="19011" xr:uid="{00000000-0005-0000-0000-0000D5690000}"/>
    <cellStyle name="Euro 15 4 2 2" xfId="20270" xr:uid="{00000000-0005-0000-0000-0000D6690000}"/>
    <cellStyle name="Euro 15 4 3" xfId="20269" xr:uid="{00000000-0005-0000-0000-0000D7690000}"/>
    <cellStyle name="Euro 15 4 4" xfId="19010" xr:uid="{00000000-0005-0000-0000-0000D8690000}"/>
    <cellStyle name="Euro 15 4 5" xfId="11209" xr:uid="{00000000-0005-0000-0000-0000D9690000}"/>
    <cellStyle name="Euro 15 5" xfId="92" xr:uid="{00000000-0005-0000-0000-0000DA690000}"/>
    <cellStyle name="Euro 15 5 2" xfId="11210" xr:uid="{00000000-0005-0000-0000-0000DB690000}"/>
    <cellStyle name="Euro 15 6" xfId="93" xr:uid="{00000000-0005-0000-0000-0000DC690000}"/>
    <cellStyle name="Euro 15 6 2" xfId="21260" xr:uid="{00000000-0005-0000-0000-0000DD690000}"/>
    <cellStyle name="Euro 16" xfId="94" xr:uid="{00000000-0005-0000-0000-0000DE690000}"/>
    <cellStyle name="Euro 16 2" xfId="95" xr:uid="{00000000-0005-0000-0000-0000DF690000}"/>
    <cellStyle name="Euro 16 2 2" xfId="3498" xr:uid="{00000000-0005-0000-0000-0000E0690000}"/>
    <cellStyle name="Euro 16 3" xfId="96" xr:uid="{00000000-0005-0000-0000-0000E1690000}"/>
    <cellStyle name="Euro 16 3 2" xfId="97" xr:uid="{00000000-0005-0000-0000-0000E2690000}"/>
    <cellStyle name="Euro 16 3 3" xfId="19013" xr:uid="{00000000-0005-0000-0000-0000E3690000}"/>
    <cellStyle name="Euro 16 3 3 2" xfId="20272" xr:uid="{00000000-0005-0000-0000-0000E4690000}"/>
    <cellStyle name="Euro 16 3 4" xfId="20271" xr:uid="{00000000-0005-0000-0000-0000E5690000}"/>
    <cellStyle name="Euro 16 3 5" xfId="19012" xr:uid="{00000000-0005-0000-0000-0000E6690000}"/>
    <cellStyle name="Euro 16 4" xfId="98" xr:uid="{00000000-0005-0000-0000-0000E7690000}"/>
    <cellStyle name="Euro 16 4 2" xfId="19015" xr:uid="{00000000-0005-0000-0000-0000E8690000}"/>
    <cellStyle name="Euro 16 4 2 2" xfId="20274" xr:uid="{00000000-0005-0000-0000-0000E9690000}"/>
    <cellStyle name="Euro 16 4 3" xfId="20273" xr:uid="{00000000-0005-0000-0000-0000EA690000}"/>
    <cellStyle name="Euro 16 4 4" xfId="19014" xr:uid="{00000000-0005-0000-0000-0000EB690000}"/>
    <cellStyle name="Euro 16 4 5" xfId="11211" xr:uid="{00000000-0005-0000-0000-0000EC690000}"/>
    <cellStyle name="Euro 16 5" xfId="99" xr:uid="{00000000-0005-0000-0000-0000ED690000}"/>
    <cellStyle name="Euro 16 5 2" xfId="11212" xr:uid="{00000000-0005-0000-0000-0000EE690000}"/>
    <cellStyle name="Euro 16 6" xfId="100" xr:uid="{00000000-0005-0000-0000-0000EF690000}"/>
    <cellStyle name="Euro 16 6 2" xfId="21261" xr:uid="{00000000-0005-0000-0000-0000F0690000}"/>
    <cellStyle name="Euro 17" xfId="101" xr:uid="{00000000-0005-0000-0000-0000F1690000}"/>
    <cellStyle name="Euro 17 2" xfId="102" xr:uid="{00000000-0005-0000-0000-0000F2690000}"/>
    <cellStyle name="Euro 17 2 2" xfId="3499" xr:uid="{00000000-0005-0000-0000-0000F3690000}"/>
    <cellStyle name="Euro 17 3" xfId="103" xr:uid="{00000000-0005-0000-0000-0000F4690000}"/>
    <cellStyle name="Euro 17 3 2" xfId="104" xr:uid="{00000000-0005-0000-0000-0000F5690000}"/>
    <cellStyle name="Euro 17 3 3" xfId="19017" xr:uid="{00000000-0005-0000-0000-0000F6690000}"/>
    <cellStyle name="Euro 17 3 3 2" xfId="20276" xr:uid="{00000000-0005-0000-0000-0000F7690000}"/>
    <cellStyle name="Euro 17 3 4" xfId="20275" xr:uid="{00000000-0005-0000-0000-0000F8690000}"/>
    <cellStyle name="Euro 17 3 5" xfId="19016" xr:uid="{00000000-0005-0000-0000-0000F9690000}"/>
    <cellStyle name="Euro 17 4" xfId="105" xr:uid="{00000000-0005-0000-0000-0000FA690000}"/>
    <cellStyle name="Euro 17 4 2" xfId="19019" xr:uid="{00000000-0005-0000-0000-0000FB690000}"/>
    <cellStyle name="Euro 17 4 2 2" xfId="20278" xr:uid="{00000000-0005-0000-0000-0000FC690000}"/>
    <cellStyle name="Euro 17 4 3" xfId="20277" xr:uid="{00000000-0005-0000-0000-0000FD690000}"/>
    <cellStyle name="Euro 17 4 4" xfId="19018" xr:uid="{00000000-0005-0000-0000-0000FE690000}"/>
    <cellStyle name="Euro 17 4 5" xfId="11213" xr:uid="{00000000-0005-0000-0000-0000FF690000}"/>
    <cellStyle name="Euro 17 5" xfId="106" xr:uid="{00000000-0005-0000-0000-0000006A0000}"/>
    <cellStyle name="Euro 17 5 2" xfId="11214" xr:uid="{00000000-0005-0000-0000-0000016A0000}"/>
    <cellStyle name="Euro 17 6" xfId="107" xr:uid="{00000000-0005-0000-0000-0000026A0000}"/>
    <cellStyle name="Euro 17 6 2" xfId="21262" xr:uid="{00000000-0005-0000-0000-0000036A0000}"/>
    <cellStyle name="Euro 18" xfId="108" xr:uid="{00000000-0005-0000-0000-0000046A0000}"/>
    <cellStyle name="Euro 18 2" xfId="109" xr:uid="{00000000-0005-0000-0000-0000056A0000}"/>
    <cellStyle name="Euro 18 2 2" xfId="3500" xr:uid="{00000000-0005-0000-0000-0000066A0000}"/>
    <cellStyle name="Euro 18 3" xfId="110" xr:uid="{00000000-0005-0000-0000-0000076A0000}"/>
    <cellStyle name="Euro 18 3 2" xfId="111" xr:uid="{00000000-0005-0000-0000-0000086A0000}"/>
    <cellStyle name="Euro 18 3 3" xfId="19021" xr:uid="{00000000-0005-0000-0000-0000096A0000}"/>
    <cellStyle name="Euro 18 3 3 2" xfId="20280" xr:uid="{00000000-0005-0000-0000-00000A6A0000}"/>
    <cellStyle name="Euro 18 3 4" xfId="20279" xr:uid="{00000000-0005-0000-0000-00000B6A0000}"/>
    <cellStyle name="Euro 18 3 5" xfId="19020" xr:uid="{00000000-0005-0000-0000-00000C6A0000}"/>
    <cellStyle name="Euro 18 4" xfId="112" xr:uid="{00000000-0005-0000-0000-00000D6A0000}"/>
    <cellStyle name="Euro 18 4 2" xfId="19023" xr:uid="{00000000-0005-0000-0000-00000E6A0000}"/>
    <cellStyle name="Euro 18 4 2 2" xfId="20282" xr:uid="{00000000-0005-0000-0000-00000F6A0000}"/>
    <cellStyle name="Euro 18 4 3" xfId="20281" xr:uid="{00000000-0005-0000-0000-0000106A0000}"/>
    <cellStyle name="Euro 18 4 4" xfId="19022" xr:uid="{00000000-0005-0000-0000-0000116A0000}"/>
    <cellStyle name="Euro 18 4 5" xfId="11215" xr:uid="{00000000-0005-0000-0000-0000126A0000}"/>
    <cellStyle name="Euro 18 5" xfId="113" xr:uid="{00000000-0005-0000-0000-0000136A0000}"/>
    <cellStyle name="Euro 18 5 2" xfId="11216" xr:uid="{00000000-0005-0000-0000-0000146A0000}"/>
    <cellStyle name="Euro 18 6" xfId="114" xr:uid="{00000000-0005-0000-0000-0000156A0000}"/>
    <cellStyle name="Euro 18 6 2" xfId="21263" xr:uid="{00000000-0005-0000-0000-0000166A0000}"/>
    <cellStyle name="Euro 19" xfId="115" xr:uid="{00000000-0005-0000-0000-0000176A0000}"/>
    <cellStyle name="Euro 19 2" xfId="116" xr:uid="{00000000-0005-0000-0000-0000186A0000}"/>
    <cellStyle name="Euro 19 2 2" xfId="3501" xr:uid="{00000000-0005-0000-0000-0000196A0000}"/>
    <cellStyle name="Euro 19 3" xfId="117" xr:uid="{00000000-0005-0000-0000-00001A6A0000}"/>
    <cellStyle name="Euro 19 3 2" xfId="118" xr:uid="{00000000-0005-0000-0000-00001B6A0000}"/>
    <cellStyle name="Euro 19 3 3" xfId="19025" xr:uid="{00000000-0005-0000-0000-00001C6A0000}"/>
    <cellStyle name="Euro 19 3 3 2" xfId="20284" xr:uid="{00000000-0005-0000-0000-00001D6A0000}"/>
    <cellStyle name="Euro 19 3 4" xfId="20283" xr:uid="{00000000-0005-0000-0000-00001E6A0000}"/>
    <cellStyle name="Euro 19 3 5" xfId="19024" xr:uid="{00000000-0005-0000-0000-00001F6A0000}"/>
    <cellStyle name="Euro 19 4" xfId="119" xr:uid="{00000000-0005-0000-0000-0000206A0000}"/>
    <cellStyle name="Euro 19 4 2" xfId="19027" xr:uid="{00000000-0005-0000-0000-0000216A0000}"/>
    <cellStyle name="Euro 19 4 2 2" xfId="20286" xr:uid="{00000000-0005-0000-0000-0000226A0000}"/>
    <cellStyle name="Euro 19 4 3" xfId="20285" xr:uid="{00000000-0005-0000-0000-0000236A0000}"/>
    <cellStyle name="Euro 19 4 4" xfId="19026" xr:uid="{00000000-0005-0000-0000-0000246A0000}"/>
    <cellStyle name="Euro 19 4 5" xfId="11217" xr:uid="{00000000-0005-0000-0000-0000256A0000}"/>
    <cellStyle name="Euro 19 5" xfId="120" xr:uid="{00000000-0005-0000-0000-0000266A0000}"/>
    <cellStyle name="Euro 19 5 2" xfId="11218" xr:uid="{00000000-0005-0000-0000-0000276A0000}"/>
    <cellStyle name="Euro 19 6" xfId="121" xr:uid="{00000000-0005-0000-0000-0000286A0000}"/>
    <cellStyle name="Euro 19 6 2" xfId="21264" xr:uid="{00000000-0005-0000-0000-0000296A0000}"/>
    <cellStyle name="Euro 2" xfId="122" xr:uid="{00000000-0005-0000-0000-00002A6A0000}"/>
    <cellStyle name="Euro 2 2" xfId="123" xr:uid="{00000000-0005-0000-0000-00002B6A0000}"/>
    <cellStyle name="Euro 2 2 2" xfId="3502" xr:uid="{00000000-0005-0000-0000-00002C6A0000}"/>
    <cellStyle name="Euro 2 3" xfId="124" xr:uid="{00000000-0005-0000-0000-00002D6A0000}"/>
    <cellStyle name="Euro 2 3 2" xfId="125" xr:uid="{00000000-0005-0000-0000-00002E6A0000}"/>
    <cellStyle name="Euro 2 3 3" xfId="19029" xr:uid="{00000000-0005-0000-0000-00002F6A0000}"/>
    <cellStyle name="Euro 2 3 3 2" xfId="20288" xr:uid="{00000000-0005-0000-0000-0000306A0000}"/>
    <cellStyle name="Euro 2 3 4" xfId="20287" xr:uid="{00000000-0005-0000-0000-0000316A0000}"/>
    <cellStyle name="Euro 2 3 5" xfId="19028" xr:uid="{00000000-0005-0000-0000-0000326A0000}"/>
    <cellStyle name="Euro 2 4" xfId="126" xr:uid="{00000000-0005-0000-0000-0000336A0000}"/>
    <cellStyle name="Euro 2 4 2" xfId="11219" xr:uid="{00000000-0005-0000-0000-0000346A0000}"/>
    <cellStyle name="Euro 2 4 2 2" xfId="20290" xr:uid="{00000000-0005-0000-0000-0000356A0000}"/>
    <cellStyle name="Euro 2 4 2 3" xfId="19031" xr:uid="{00000000-0005-0000-0000-0000366A0000}"/>
    <cellStyle name="Euro 2 4 3" xfId="18921" xr:uid="{00000000-0005-0000-0000-0000376A0000}"/>
    <cellStyle name="Euro 2 4 3 2" xfId="20289" xr:uid="{00000000-0005-0000-0000-0000386A0000}"/>
    <cellStyle name="Euro 2 4 4" xfId="19030" xr:uid="{00000000-0005-0000-0000-0000396A0000}"/>
    <cellStyle name="Euro 2 4 5" xfId="11080" xr:uid="{00000000-0005-0000-0000-00003A6A0000}"/>
    <cellStyle name="Euro 2 5" xfId="127" xr:uid="{00000000-0005-0000-0000-00003B6A0000}"/>
    <cellStyle name="Euro 2 5 2" xfId="11220" xr:uid="{00000000-0005-0000-0000-00003C6A0000}"/>
    <cellStyle name="Euro 2 6" xfId="128" xr:uid="{00000000-0005-0000-0000-00003D6A0000}"/>
    <cellStyle name="Euro 2 6 2" xfId="21265" xr:uid="{00000000-0005-0000-0000-00003E6A0000}"/>
    <cellStyle name="Euro 20" xfId="129" xr:uid="{00000000-0005-0000-0000-00003F6A0000}"/>
    <cellStyle name="Euro 20 2" xfId="130" xr:uid="{00000000-0005-0000-0000-0000406A0000}"/>
    <cellStyle name="Euro 20 2 2" xfId="3503" xr:uid="{00000000-0005-0000-0000-0000416A0000}"/>
    <cellStyle name="Euro 20 3" xfId="131" xr:uid="{00000000-0005-0000-0000-0000426A0000}"/>
    <cellStyle name="Euro 20 3 2" xfId="132" xr:uid="{00000000-0005-0000-0000-0000436A0000}"/>
    <cellStyle name="Euro 20 3 3" xfId="19033" xr:uid="{00000000-0005-0000-0000-0000446A0000}"/>
    <cellStyle name="Euro 20 3 3 2" xfId="20292" xr:uid="{00000000-0005-0000-0000-0000456A0000}"/>
    <cellStyle name="Euro 20 3 4" xfId="20291" xr:uid="{00000000-0005-0000-0000-0000466A0000}"/>
    <cellStyle name="Euro 20 3 5" xfId="19032" xr:uid="{00000000-0005-0000-0000-0000476A0000}"/>
    <cellStyle name="Euro 20 4" xfId="133" xr:uid="{00000000-0005-0000-0000-0000486A0000}"/>
    <cellStyle name="Euro 20 4 2" xfId="19035" xr:uid="{00000000-0005-0000-0000-0000496A0000}"/>
    <cellStyle name="Euro 20 4 2 2" xfId="20294" xr:uid="{00000000-0005-0000-0000-00004A6A0000}"/>
    <cellStyle name="Euro 20 4 3" xfId="20293" xr:uid="{00000000-0005-0000-0000-00004B6A0000}"/>
    <cellStyle name="Euro 20 4 4" xfId="19034" xr:uid="{00000000-0005-0000-0000-00004C6A0000}"/>
    <cellStyle name="Euro 20 4 5" xfId="11221" xr:uid="{00000000-0005-0000-0000-00004D6A0000}"/>
    <cellStyle name="Euro 20 5" xfId="134" xr:uid="{00000000-0005-0000-0000-00004E6A0000}"/>
    <cellStyle name="Euro 20 5 2" xfId="11222" xr:uid="{00000000-0005-0000-0000-00004F6A0000}"/>
    <cellStyle name="Euro 20 6" xfId="135" xr:uid="{00000000-0005-0000-0000-0000506A0000}"/>
    <cellStyle name="Euro 20 6 2" xfId="21266" xr:uid="{00000000-0005-0000-0000-0000516A0000}"/>
    <cellStyle name="Euro 21" xfId="136" xr:uid="{00000000-0005-0000-0000-0000526A0000}"/>
    <cellStyle name="Euro 21 2" xfId="137" xr:uid="{00000000-0005-0000-0000-0000536A0000}"/>
    <cellStyle name="Euro 21 2 2" xfId="3504" xr:uid="{00000000-0005-0000-0000-0000546A0000}"/>
    <cellStyle name="Euro 21 3" xfId="138" xr:uid="{00000000-0005-0000-0000-0000556A0000}"/>
    <cellStyle name="Euro 21 3 2" xfId="139" xr:uid="{00000000-0005-0000-0000-0000566A0000}"/>
    <cellStyle name="Euro 21 3 3" xfId="19037" xr:uid="{00000000-0005-0000-0000-0000576A0000}"/>
    <cellStyle name="Euro 21 3 3 2" xfId="20296" xr:uid="{00000000-0005-0000-0000-0000586A0000}"/>
    <cellStyle name="Euro 21 3 4" xfId="20295" xr:uid="{00000000-0005-0000-0000-0000596A0000}"/>
    <cellStyle name="Euro 21 3 5" xfId="19036" xr:uid="{00000000-0005-0000-0000-00005A6A0000}"/>
    <cellStyle name="Euro 21 4" xfId="140" xr:uid="{00000000-0005-0000-0000-00005B6A0000}"/>
    <cellStyle name="Euro 21 4 2" xfId="19039" xr:uid="{00000000-0005-0000-0000-00005C6A0000}"/>
    <cellStyle name="Euro 21 4 2 2" xfId="20298" xr:uid="{00000000-0005-0000-0000-00005D6A0000}"/>
    <cellStyle name="Euro 21 4 3" xfId="20297" xr:uid="{00000000-0005-0000-0000-00005E6A0000}"/>
    <cellStyle name="Euro 21 4 4" xfId="19038" xr:uid="{00000000-0005-0000-0000-00005F6A0000}"/>
    <cellStyle name="Euro 21 4 5" xfId="11223" xr:uid="{00000000-0005-0000-0000-0000606A0000}"/>
    <cellStyle name="Euro 21 5" xfId="141" xr:uid="{00000000-0005-0000-0000-0000616A0000}"/>
    <cellStyle name="Euro 21 5 2" xfId="11224" xr:uid="{00000000-0005-0000-0000-0000626A0000}"/>
    <cellStyle name="Euro 21 6" xfId="142" xr:uid="{00000000-0005-0000-0000-0000636A0000}"/>
    <cellStyle name="Euro 21 6 2" xfId="21267" xr:uid="{00000000-0005-0000-0000-0000646A0000}"/>
    <cellStyle name="Euro 22" xfId="143" xr:uid="{00000000-0005-0000-0000-0000656A0000}"/>
    <cellStyle name="Euro 22 2" xfId="144" xr:uid="{00000000-0005-0000-0000-0000666A0000}"/>
    <cellStyle name="Euro 22 2 2" xfId="3505" xr:uid="{00000000-0005-0000-0000-0000676A0000}"/>
    <cellStyle name="Euro 22 3" xfId="145" xr:uid="{00000000-0005-0000-0000-0000686A0000}"/>
    <cellStyle name="Euro 22 3 2" xfId="146" xr:uid="{00000000-0005-0000-0000-0000696A0000}"/>
    <cellStyle name="Euro 22 3 3" xfId="19041" xr:uid="{00000000-0005-0000-0000-00006A6A0000}"/>
    <cellStyle name="Euro 22 3 3 2" xfId="20300" xr:uid="{00000000-0005-0000-0000-00006B6A0000}"/>
    <cellStyle name="Euro 22 3 4" xfId="20299" xr:uid="{00000000-0005-0000-0000-00006C6A0000}"/>
    <cellStyle name="Euro 22 3 5" xfId="19040" xr:uid="{00000000-0005-0000-0000-00006D6A0000}"/>
    <cellStyle name="Euro 22 4" xfId="147" xr:uid="{00000000-0005-0000-0000-00006E6A0000}"/>
    <cellStyle name="Euro 22 4 2" xfId="19043" xr:uid="{00000000-0005-0000-0000-00006F6A0000}"/>
    <cellStyle name="Euro 22 4 2 2" xfId="20302" xr:uid="{00000000-0005-0000-0000-0000706A0000}"/>
    <cellStyle name="Euro 22 4 3" xfId="20301" xr:uid="{00000000-0005-0000-0000-0000716A0000}"/>
    <cellStyle name="Euro 22 4 4" xfId="19042" xr:uid="{00000000-0005-0000-0000-0000726A0000}"/>
    <cellStyle name="Euro 22 4 5" xfId="11225" xr:uid="{00000000-0005-0000-0000-0000736A0000}"/>
    <cellStyle name="Euro 22 5" xfId="148" xr:uid="{00000000-0005-0000-0000-0000746A0000}"/>
    <cellStyle name="Euro 22 5 2" xfId="11226" xr:uid="{00000000-0005-0000-0000-0000756A0000}"/>
    <cellStyle name="Euro 22 6" xfId="149" xr:uid="{00000000-0005-0000-0000-0000766A0000}"/>
    <cellStyle name="Euro 22 6 2" xfId="21268" xr:uid="{00000000-0005-0000-0000-0000776A0000}"/>
    <cellStyle name="Euro 23" xfId="150" xr:uid="{00000000-0005-0000-0000-0000786A0000}"/>
    <cellStyle name="Euro 23 2" xfId="151" xr:uid="{00000000-0005-0000-0000-0000796A0000}"/>
    <cellStyle name="Euro 23 2 2" xfId="3506" xr:uid="{00000000-0005-0000-0000-00007A6A0000}"/>
    <cellStyle name="Euro 23 3" xfId="152" xr:uid="{00000000-0005-0000-0000-00007B6A0000}"/>
    <cellStyle name="Euro 23 3 2" xfId="153" xr:uid="{00000000-0005-0000-0000-00007C6A0000}"/>
    <cellStyle name="Euro 23 3 3" xfId="19045" xr:uid="{00000000-0005-0000-0000-00007D6A0000}"/>
    <cellStyle name="Euro 23 3 3 2" xfId="20304" xr:uid="{00000000-0005-0000-0000-00007E6A0000}"/>
    <cellStyle name="Euro 23 3 4" xfId="20303" xr:uid="{00000000-0005-0000-0000-00007F6A0000}"/>
    <cellStyle name="Euro 23 3 5" xfId="19044" xr:uid="{00000000-0005-0000-0000-0000806A0000}"/>
    <cellStyle name="Euro 23 4" xfId="154" xr:uid="{00000000-0005-0000-0000-0000816A0000}"/>
    <cellStyle name="Euro 23 4 2" xfId="19047" xr:uid="{00000000-0005-0000-0000-0000826A0000}"/>
    <cellStyle name="Euro 23 4 2 2" xfId="20306" xr:uid="{00000000-0005-0000-0000-0000836A0000}"/>
    <cellStyle name="Euro 23 4 3" xfId="20305" xr:uid="{00000000-0005-0000-0000-0000846A0000}"/>
    <cellStyle name="Euro 23 4 4" xfId="19046" xr:uid="{00000000-0005-0000-0000-0000856A0000}"/>
    <cellStyle name="Euro 23 4 5" xfId="11227" xr:uid="{00000000-0005-0000-0000-0000866A0000}"/>
    <cellStyle name="Euro 23 5" xfId="155" xr:uid="{00000000-0005-0000-0000-0000876A0000}"/>
    <cellStyle name="Euro 23 5 2" xfId="11228" xr:uid="{00000000-0005-0000-0000-0000886A0000}"/>
    <cellStyle name="Euro 23 6" xfId="156" xr:uid="{00000000-0005-0000-0000-0000896A0000}"/>
    <cellStyle name="Euro 23 6 2" xfId="21269" xr:uid="{00000000-0005-0000-0000-00008A6A0000}"/>
    <cellStyle name="Euro 24" xfId="157" xr:uid="{00000000-0005-0000-0000-00008B6A0000}"/>
    <cellStyle name="Euro 24 2" xfId="158" xr:uid="{00000000-0005-0000-0000-00008C6A0000}"/>
    <cellStyle name="Euro 24 2 2" xfId="3507" xr:uid="{00000000-0005-0000-0000-00008D6A0000}"/>
    <cellStyle name="Euro 24 3" xfId="159" xr:uid="{00000000-0005-0000-0000-00008E6A0000}"/>
    <cellStyle name="Euro 24 3 2" xfId="160" xr:uid="{00000000-0005-0000-0000-00008F6A0000}"/>
    <cellStyle name="Euro 24 3 3" xfId="19049" xr:uid="{00000000-0005-0000-0000-0000906A0000}"/>
    <cellStyle name="Euro 24 3 3 2" xfId="20308" xr:uid="{00000000-0005-0000-0000-0000916A0000}"/>
    <cellStyle name="Euro 24 3 4" xfId="20307" xr:uid="{00000000-0005-0000-0000-0000926A0000}"/>
    <cellStyle name="Euro 24 3 5" xfId="19048" xr:uid="{00000000-0005-0000-0000-0000936A0000}"/>
    <cellStyle name="Euro 24 4" xfId="161" xr:uid="{00000000-0005-0000-0000-0000946A0000}"/>
    <cellStyle name="Euro 24 4 2" xfId="19051" xr:uid="{00000000-0005-0000-0000-0000956A0000}"/>
    <cellStyle name="Euro 24 4 2 2" xfId="20310" xr:uid="{00000000-0005-0000-0000-0000966A0000}"/>
    <cellStyle name="Euro 24 4 3" xfId="20309" xr:uid="{00000000-0005-0000-0000-0000976A0000}"/>
    <cellStyle name="Euro 24 4 4" xfId="19050" xr:uid="{00000000-0005-0000-0000-0000986A0000}"/>
    <cellStyle name="Euro 24 4 5" xfId="11229" xr:uid="{00000000-0005-0000-0000-0000996A0000}"/>
    <cellStyle name="Euro 24 5" xfId="162" xr:uid="{00000000-0005-0000-0000-00009A6A0000}"/>
    <cellStyle name="Euro 24 5 2" xfId="11230" xr:uid="{00000000-0005-0000-0000-00009B6A0000}"/>
    <cellStyle name="Euro 24 6" xfId="163" xr:uid="{00000000-0005-0000-0000-00009C6A0000}"/>
    <cellStyle name="Euro 24 6 2" xfId="21270" xr:uid="{00000000-0005-0000-0000-00009D6A0000}"/>
    <cellStyle name="Euro 25" xfId="164" xr:uid="{00000000-0005-0000-0000-00009E6A0000}"/>
    <cellStyle name="Euro 25 2" xfId="165" xr:uid="{00000000-0005-0000-0000-00009F6A0000}"/>
    <cellStyle name="Euro 25 2 2" xfId="3508" xr:uid="{00000000-0005-0000-0000-0000A06A0000}"/>
    <cellStyle name="Euro 25 3" xfId="166" xr:uid="{00000000-0005-0000-0000-0000A16A0000}"/>
    <cellStyle name="Euro 25 3 2" xfId="167" xr:uid="{00000000-0005-0000-0000-0000A26A0000}"/>
    <cellStyle name="Euro 25 3 3" xfId="19053" xr:uid="{00000000-0005-0000-0000-0000A36A0000}"/>
    <cellStyle name="Euro 25 3 3 2" xfId="20312" xr:uid="{00000000-0005-0000-0000-0000A46A0000}"/>
    <cellStyle name="Euro 25 3 4" xfId="20311" xr:uid="{00000000-0005-0000-0000-0000A56A0000}"/>
    <cellStyle name="Euro 25 3 5" xfId="19052" xr:uid="{00000000-0005-0000-0000-0000A66A0000}"/>
    <cellStyle name="Euro 25 4" xfId="168" xr:uid="{00000000-0005-0000-0000-0000A76A0000}"/>
    <cellStyle name="Euro 25 4 2" xfId="19055" xr:uid="{00000000-0005-0000-0000-0000A86A0000}"/>
    <cellStyle name="Euro 25 4 2 2" xfId="20314" xr:uid="{00000000-0005-0000-0000-0000A96A0000}"/>
    <cellStyle name="Euro 25 4 3" xfId="20313" xr:uid="{00000000-0005-0000-0000-0000AA6A0000}"/>
    <cellStyle name="Euro 25 4 4" xfId="19054" xr:uid="{00000000-0005-0000-0000-0000AB6A0000}"/>
    <cellStyle name="Euro 25 4 5" xfId="11231" xr:uid="{00000000-0005-0000-0000-0000AC6A0000}"/>
    <cellStyle name="Euro 25 5" xfId="169" xr:uid="{00000000-0005-0000-0000-0000AD6A0000}"/>
    <cellStyle name="Euro 25 5 2" xfId="11232" xr:uid="{00000000-0005-0000-0000-0000AE6A0000}"/>
    <cellStyle name="Euro 25 6" xfId="170" xr:uid="{00000000-0005-0000-0000-0000AF6A0000}"/>
    <cellStyle name="Euro 25 6 2" xfId="21271" xr:uid="{00000000-0005-0000-0000-0000B06A0000}"/>
    <cellStyle name="Euro 26" xfId="171" xr:uid="{00000000-0005-0000-0000-0000B16A0000}"/>
    <cellStyle name="Euro 26 2" xfId="172" xr:uid="{00000000-0005-0000-0000-0000B26A0000}"/>
    <cellStyle name="Euro 26 2 2" xfId="3509" xr:uid="{00000000-0005-0000-0000-0000B36A0000}"/>
    <cellStyle name="Euro 26 3" xfId="173" xr:uid="{00000000-0005-0000-0000-0000B46A0000}"/>
    <cellStyle name="Euro 26 3 2" xfId="174" xr:uid="{00000000-0005-0000-0000-0000B56A0000}"/>
    <cellStyle name="Euro 26 3 3" xfId="19057" xr:uid="{00000000-0005-0000-0000-0000B66A0000}"/>
    <cellStyle name="Euro 26 3 3 2" xfId="20316" xr:uid="{00000000-0005-0000-0000-0000B76A0000}"/>
    <cellStyle name="Euro 26 3 4" xfId="20315" xr:uid="{00000000-0005-0000-0000-0000B86A0000}"/>
    <cellStyle name="Euro 26 3 5" xfId="19056" xr:uid="{00000000-0005-0000-0000-0000B96A0000}"/>
    <cellStyle name="Euro 26 4" xfId="175" xr:uid="{00000000-0005-0000-0000-0000BA6A0000}"/>
    <cellStyle name="Euro 26 4 2" xfId="19059" xr:uid="{00000000-0005-0000-0000-0000BB6A0000}"/>
    <cellStyle name="Euro 26 4 2 2" xfId="20318" xr:uid="{00000000-0005-0000-0000-0000BC6A0000}"/>
    <cellStyle name="Euro 26 4 3" xfId="20317" xr:uid="{00000000-0005-0000-0000-0000BD6A0000}"/>
    <cellStyle name="Euro 26 4 4" xfId="19058" xr:uid="{00000000-0005-0000-0000-0000BE6A0000}"/>
    <cellStyle name="Euro 26 4 5" xfId="11233" xr:uid="{00000000-0005-0000-0000-0000BF6A0000}"/>
    <cellStyle name="Euro 26 5" xfId="176" xr:uid="{00000000-0005-0000-0000-0000C06A0000}"/>
    <cellStyle name="Euro 26 5 2" xfId="11234" xr:uid="{00000000-0005-0000-0000-0000C16A0000}"/>
    <cellStyle name="Euro 26 6" xfId="177" xr:uid="{00000000-0005-0000-0000-0000C26A0000}"/>
    <cellStyle name="Euro 26 6 2" xfId="21272" xr:uid="{00000000-0005-0000-0000-0000C36A0000}"/>
    <cellStyle name="Euro 27" xfId="178" xr:uid="{00000000-0005-0000-0000-0000C46A0000}"/>
    <cellStyle name="Euro 27 2" xfId="179" xr:uid="{00000000-0005-0000-0000-0000C56A0000}"/>
    <cellStyle name="Euro 27 2 2" xfId="3510" xr:uid="{00000000-0005-0000-0000-0000C66A0000}"/>
    <cellStyle name="Euro 27 3" xfId="180" xr:uid="{00000000-0005-0000-0000-0000C76A0000}"/>
    <cellStyle name="Euro 27 3 2" xfId="181" xr:uid="{00000000-0005-0000-0000-0000C86A0000}"/>
    <cellStyle name="Euro 27 3 3" xfId="19061" xr:uid="{00000000-0005-0000-0000-0000C96A0000}"/>
    <cellStyle name="Euro 27 3 3 2" xfId="20320" xr:uid="{00000000-0005-0000-0000-0000CA6A0000}"/>
    <cellStyle name="Euro 27 3 4" xfId="20319" xr:uid="{00000000-0005-0000-0000-0000CB6A0000}"/>
    <cellStyle name="Euro 27 3 5" xfId="19060" xr:uid="{00000000-0005-0000-0000-0000CC6A0000}"/>
    <cellStyle name="Euro 27 4" xfId="182" xr:uid="{00000000-0005-0000-0000-0000CD6A0000}"/>
    <cellStyle name="Euro 27 4 2" xfId="19063" xr:uid="{00000000-0005-0000-0000-0000CE6A0000}"/>
    <cellStyle name="Euro 27 4 2 2" xfId="20322" xr:uid="{00000000-0005-0000-0000-0000CF6A0000}"/>
    <cellStyle name="Euro 27 4 3" xfId="20321" xr:uid="{00000000-0005-0000-0000-0000D06A0000}"/>
    <cellStyle name="Euro 27 4 4" xfId="19062" xr:uid="{00000000-0005-0000-0000-0000D16A0000}"/>
    <cellStyle name="Euro 27 4 5" xfId="11235" xr:uid="{00000000-0005-0000-0000-0000D26A0000}"/>
    <cellStyle name="Euro 27 5" xfId="183" xr:uid="{00000000-0005-0000-0000-0000D36A0000}"/>
    <cellStyle name="Euro 27 5 2" xfId="11236" xr:uid="{00000000-0005-0000-0000-0000D46A0000}"/>
    <cellStyle name="Euro 27 6" xfId="184" xr:uid="{00000000-0005-0000-0000-0000D56A0000}"/>
    <cellStyle name="Euro 27 6 2" xfId="21273" xr:uid="{00000000-0005-0000-0000-0000D66A0000}"/>
    <cellStyle name="Euro 28" xfId="185" xr:uid="{00000000-0005-0000-0000-0000D76A0000}"/>
    <cellStyle name="Euro 28 2" xfId="186" xr:uid="{00000000-0005-0000-0000-0000D86A0000}"/>
    <cellStyle name="Euro 28 2 2" xfId="3511" xr:uid="{00000000-0005-0000-0000-0000D96A0000}"/>
    <cellStyle name="Euro 28 3" xfId="187" xr:uid="{00000000-0005-0000-0000-0000DA6A0000}"/>
    <cellStyle name="Euro 28 3 2" xfId="188" xr:uid="{00000000-0005-0000-0000-0000DB6A0000}"/>
    <cellStyle name="Euro 28 3 3" xfId="19065" xr:uid="{00000000-0005-0000-0000-0000DC6A0000}"/>
    <cellStyle name="Euro 28 3 3 2" xfId="20324" xr:uid="{00000000-0005-0000-0000-0000DD6A0000}"/>
    <cellStyle name="Euro 28 3 4" xfId="20323" xr:uid="{00000000-0005-0000-0000-0000DE6A0000}"/>
    <cellStyle name="Euro 28 3 5" xfId="19064" xr:uid="{00000000-0005-0000-0000-0000DF6A0000}"/>
    <cellStyle name="Euro 28 4" xfId="189" xr:uid="{00000000-0005-0000-0000-0000E06A0000}"/>
    <cellStyle name="Euro 28 4 2" xfId="19067" xr:uid="{00000000-0005-0000-0000-0000E16A0000}"/>
    <cellStyle name="Euro 28 4 2 2" xfId="20326" xr:uid="{00000000-0005-0000-0000-0000E26A0000}"/>
    <cellStyle name="Euro 28 4 3" xfId="20325" xr:uid="{00000000-0005-0000-0000-0000E36A0000}"/>
    <cellStyle name="Euro 28 4 4" xfId="19066" xr:uid="{00000000-0005-0000-0000-0000E46A0000}"/>
    <cellStyle name="Euro 28 4 5" xfId="11237" xr:uid="{00000000-0005-0000-0000-0000E56A0000}"/>
    <cellStyle name="Euro 28 5" xfId="190" xr:uid="{00000000-0005-0000-0000-0000E66A0000}"/>
    <cellStyle name="Euro 28 5 2" xfId="11238" xr:uid="{00000000-0005-0000-0000-0000E76A0000}"/>
    <cellStyle name="Euro 28 6" xfId="191" xr:uid="{00000000-0005-0000-0000-0000E86A0000}"/>
    <cellStyle name="Euro 28 6 2" xfId="21274" xr:uid="{00000000-0005-0000-0000-0000E96A0000}"/>
    <cellStyle name="Euro 29" xfId="192" xr:uid="{00000000-0005-0000-0000-0000EA6A0000}"/>
    <cellStyle name="Euro 29 2" xfId="193" xr:uid="{00000000-0005-0000-0000-0000EB6A0000}"/>
    <cellStyle name="Euro 29 2 2" xfId="3512" xr:uid="{00000000-0005-0000-0000-0000EC6A0000}"/>
    <cellStyle name="Euro 29 3" xfId="194" xr:uid="{00000000-0005-0000-0000-0000ED6A0000}"/>
    <cellStyle name="Euro 29 3 2" xfId="195" xr:uid="{00000000-0005-0000-0000-0000EE6A0000}"/>
    <cellStyle name="Euro 29 3 3" xfId="19069" xr:uid="{00000000-0005-0000-0000-0000EF6A0000}"/>
    <cellStyle name="Euro 29 3 3 2" xfId="20328" xr:uid="{00000000-0005-0000-0000-0000F06A0000}"/>
    <cellStyle name="Euro 29 3 4" xfId="20327" xr:uid="{00000000-0005-0000-0000-0000F16A0000}"/>
    <cellStyle name="Euro 29 3 5" xfId="19068" xr:uid="{00000000-0005-0000-0000-0000F26A0000}"/>
    <cellStyle name="Euro 29 4" xfId="196" xr:uid="{00000000-0005-0000-0000-0000F36A0000}"/>
    <cellStyle name="Euro 29 4 2" xfId="19071" xr:uid="{00000000-0005-0000-0000-0000F46A0000}"/>
    <cellStyle name="Euro 29 4 2 2" xfId="20330" xr:uid="{00000000-0005-0000-0000-0000F56A0000}"/>
    <cellStyle name="Euro 29 4 3" xfId="20329" xr:uid="{00000000-0005-0000-0000-0000F66A0000}"/>
    <cellStyle name="Euro 29 4 4" xfId="19070" xr:uid="{00000000-0005-0000-0000-0000F76A0000}"/>
    <cellStyle name="Euro 29 4 5" xfId="11239" xr:uid="{00000000-0005-0000-0000-0000F86A0000}"/>
    <cellStyle name="Euro 29 5" xfId="197" xr:uid="{00000000-0005-0000-0000-0000F96A0000}"/>
    <cellStyle name="Euro 29 5 2" xfId="11240" xr:uid="{00000000-0005-0000-0000-0000FA6A0000}"/>
    <cellStyle name="Euro 29 6" xfId="198" xr:uid="{00000000-0005-0000-0000-0000FB6A0000}"/>
    <cellStyle name="Euro 29 6 2" xfId="21275" xr:uid="{00000000-0005-0000-0000-0000FC6A0000}"/>
    <cellStyle name="Euro 3" xfId="199" xr:uid="{00000000-0005-0000-0000-0000FD6A0000}"/>
    <cellStyle name="Euro 3 2" xfId="200" xr:uid="{00000000-0005-0000-0000-0000FE6A0000}"/>
    <cellStyle name="Euro 3 2 2" xfId="3513" xr:uid="{00000000-0005-0000-0000-0000FF6A0000}"/>
    <cellStyle name="Euro 3 3" xfId="201" xr:uid="{00000000-0005-0000-0000-0000006B0000}"/>
    <cellStyle name="Euro 3 3 2" xfId="202" xr:uid="{00000000-0005-0000-0000-0000016B0000}"/>
    <cellStyle name="Euro 3 3 3" xfId="19073" xr:uid="{00000000-0005-0000-0000-0000026B0000}"/>
    <cellStyle name="Euro 3 3 3 2" xfId="20332" xr:uid="{00000000-0005-0000-0000-0000036B0000}"/>
    <cellStyle name="Euro 3 3 4" xfId="20331" xr:uid="{00000000-0005-0000-0000-0000046B0000}"/>
    <cellStyle name="Euro 3 3 5" xfId="19072" xr:uid="{00000000-0005-0000-0000-0000056B0000}"/>
    <cellStyle name="Euro 3 4" xfId="203" xr:uid="{00000000-0005-0000-0000-0000066B0000}"/>
    <cellStyle name="Euro 3 4 2" xfId="19075" xr:uid="{00000000-0005-0000-0000-0000076B0000}"/>
    <cellStyle name="Euro 3 4 2 2" xfId="20334" xr:uid="{00000000-0005-0000-0000-0000086B0000}"/>
    <cellStyle name="Euro 3 4 3" xfId="20333" xr:uid="{00000000-0005-0000-0000-0000096B0000}"/>
    <cellStyle name="Euro 3 4 4" xfId="19074" xr:uid="{00000000-0005-0000-0000-00000A6B0000}"/>
    <cellStyle name="Euro 3 4 5" xfId="11241" xr:uid="{00000000-0005-0000-0000-00000B6B0000}"/>
    <cellStyle name="Euro 3 5" xfId="204" xr:uid="{00000000-0005-0000-0000-00000C6B0000}"/>
    <cellStyle name="Euro 3 5 2" xfId="11242" xr:uid="{00000000-0005-0000-0000-00000D6B0000}"/>
    <cellStyle name="Euro 3 6" xfId="205" xr:uid="{00000000-0005-0000-0000-00000E6B0000}"/>
    <cellStyle name="Euro 3 6 2" xfId="21276" xr:uid="{00000000-0005-0000-0000-00000F6B0000}"/>
    <cellStyle name="Euro 30" xfId="206" xr:uid="{00000000-0005-0000-0000-0000106B0000}"/>
    <cellStyle name="Euro 30 2" xfId="207" xr:uid="{00000000-0005-0000-0000-0000116B0000}"/>
    <cellStyle name="Euro 30 2 2" xfId="3514" xr:uid="{00000000-0005-0000-0000-0000126B0000}"/>
    <cellStyle name="Euro 30 3" xfId="208" xr:uid="{00000000-0005-0000-0000-0000136B0000}"/>
    <cellStyle name="Euro 30 3 2" xfId="209" xr:uid="{00000000-0005-0000-0000-0000146B0000}"/>
    <cellStyle name="Euro 30 3 3" xfId="19077" xr:uid="{00000000-0005-0000-0000-0000156B0000}"/>
    <cellStyle name="Euro 30 3 3 2" xfId="20336" xr:uid="{00000000-0005-0000-0000-0000166B0000}"/>
    <cellStyle name="Euro 30 3 4" xfId="20335" xr:uid="{00000000-0005-0000-0000-0000176B0000}"/>
    <cellStyle name="Euro 30 3 5" xfId="19076" xr:uid="{00000000-0005-0000-0000-0000186B0000}"/>
    <cellStyle name="Euro 30 4" xfId="210" xr:uid="{00000000-0005-0000-0000-0000196B0000}"/>
    <cellStyle name="Euro 30 4 2" xfId="19079" xr:uid="{00000000-0005-0000-0000-00001A6B0000}"/>
    <cellStyle name="Euro 30 4 2 2" xfId="20338" xr:uid="{00000000-0005-0000-0000-00001B6B0000}"/>
    <cellStyle name="Euro 30 4 3" xfId="20337" xr:uid="{00000000-0005-0000-0000-00001C6B0000}"/>
    <cellStyle name="Euro 30 4 4" xfId="19078" xr:uid="{00000000-0005-0000-0000-00001D6B0000}"/>
    <cellStyle name="Euro 30 4 5" xfId="11243" xr:uid="{00000000-0005-0000-0000-00001E6B0000}"/>
    <cellStyle name="Euro 30 5" xfId="211" xr:uid="{00000000-0005-0000-0000-00001F6B0000}"/>
    <cellStyle name="Euro 30 5 2" xfId="11244" xr:uid="{00000000-0005-0000-0000-0000206B0000}"/>
    <cellStyle name="Euro 30 6" xfId="212" xr:uid="{00000000-0005-0000-0000-0000216B0000}"/>
    <cellStyle name="Euro 30 6 2" xfId="21277" xr:uid="{00000000-0005-0000-0000-0000226B0000}"/>
    <cellStyle name="Euro 31" xfId="213" xr:uid="{00000000-0005-0000-0000-0000236B0000}"/>
    <cellStyle name="Euro 31 2" xfId="214" xr:uid="{00000000-0005-0000-0000-0000246B0000}"/>
    <cellStyle name="Euro 31 2 2" xfId="3515" xr:uid="{00000000-0005-0000-0000-0000256B0000}"/>
    <cellStyle name="Euro 31 3" xfId="215" xr:uid="{00000000-0005-0000-0000-0000266B0000}"/>
    <cellStyle name="Euro 31 3 2" xfId="216" xr:uid="{00000000-0005-0000-0000-0000276B0000}"/>
    <cellStyle name="Euro 31 3 3" xfId="19081" xr:uid="{00000000-0005-0000-0000-0000286B0000}"/>
    <cellStyle name="Euro 31 3 3 2" xfId="20340" xr:uid="{00000000-0005-0000-0000-0000296B0000}"/>
    <cellStyle name="Euro 31 3 4" xfId="20339" xr:uid="{00000000-0005-0000-0000-00002A6B0000}"/>
    <cellStyle name="Euro 31 3 5" xfId="19080" xr:uid="{00000000-0005-0000-0000-00002B6B0000}"/>
    <cellStyle name="Euro 31 4" xfId="217" xr:uid="{00000000-0005-0000-0000-00002C6B0000}"/>
    <cellStyle name="Euro 31 4 2" xfId="19083" xr:uid="{00000000-0005-0000-0000-00002D6B0000}"/>
    <cellStyle name="Euro 31 4 2 2" xfId="20342" xr:uid="{00000000-0005-0000-0000-00002E6B0000}"/>
    <cellStyle name="Euro 31 4 3" xfId="20341" xr:uid="{00000000-0005-0000-0000-00002F6B0000}"/>
    <cellStyle name="Euro 31 4 4" xfId="19082" xr:uid="{00000000-0005-0000-0000-0000306B0000}"/>
    <cellStyle name="Euro 31 4 5" xfId="11245" xr:uid="{00000000-0005-0000-0000-0000316B0000}"/>
    <cellStyle name="Euro 31 5" xfId="218" xr:uid="{00000000-0005-0000-0000-0000326B0000}"/>
    <cellStyle name="Euro 31 5 2" xfId="11246" xr:uid="{00000000-0005-0000-0000-0000336B0000}"/>
    <cellStyle name="Euro 31 6" xfId="219" xr:uid="{00000000-0005-0000-0000-0000346B0000}"/>
    <cellStyle name="Euro 31 6 2" xfId="21278" xr:uid="{00000000-0005-0000-0000-0000356B0000}"/>
    <cellStyle name="Euro 32" xfId="220" xr:uid="{00000000-0005-0000-0000-0000366B0000}"/>
    <cellStyle name="Euro 32 2" xfId="221" xr:uid="{00000000-0005-0000-0000-0000376B0000}"/>
    <cellStyle name="Euro 32 2 2" xfId="3516" xr:uid="{00000000-0005-0000-0000-0000386B0000}"/>
    <cellStyle name="Euro 32 3" xfId="222" xr:uid="{00000000-0005-0000-0000-0000396B0000}"/>
    <cellStyle name="Euro 32 3 2" xfId="223" xr:uid="{00000000-0005-0000-0000-00003A6B0000}"/>
    <cellStyle name="Euro 32 3 3" xfId="19085" xr:uid="{00000000-0005-0000-0000-00003B6B0000}"/>
    <cellStyle name="Euro 32 3 3 2" xfId="20344" xr:uid="{00000000-0005-0000-0000-00003C6B0000}"/>
    <cellStyle name="Euro 32 3 4" xfId="20343" xr:uid="{00000000-0005-0000-0000-00003D6B0000}"/>
    <cellStyle name="Euro 32 3 5" xfId="19084" xr:uid="{00000000-0005-0000-0000-00003E6B0000}"/>
    <cellStyle name="Euro 32 4" xfId="224" xr:uid="{00000000-0005-0000-0000-00003F6B0000}"/>
    <cellStyle name="Euro 32 4 2" xfId="19087" xr:uid="{00000000-0005-0000-0000-0000406B0000}"/>
    <cellStyle name="Euro 32 4 2 2" xfId="20346" xr:uid="{00000000-0005-0000-0000-0000416B0000}"/>
    <cellStyle name="Euro 32 4 3" xfId="20345" xr:uid="{00000000-0005-0000-0000-0000426B0000}"/>
    <cellStyle name="Euro 32 4 4" xfId="19086" xr:uid="{00000000-0005-0000-0000-0000436B0000}"/>
    <cellStyle name="Euro 32 4 5" xfId="11247" xr:uid="{00000000-0005-0000-0000-0000446B0000}"/>
    <cellStyle name="Euro 32 5" xfId="225" xr:uid="{00000000-0005-0000-0000-0000456B0000}"/>
    <cellStyle name="Euro 32 5 2" xfId="11248" xr:uid="{00000000-0005-0000-0000-0000466B0000}"/>
    <cellStyle name="Euro 32 6" xfId="226" xr:uid="{00000000-0005-0000-0000-0000476B0000}"/>
    <cellStyle name="Euro 32 6 2" xfId="21279" xr:uid="{00000000-0005-0000-0000-0000486B0000}"/>
    <cellStyle name="Euro 33" xfId="227" xr:uid="{00000000-0005-0000-0000-0000496B0000}"/>
    <cellStyle name="Euro 33 2" xfId="228" xr:uid="{00000000-0005-0000-0000-00004A6B0000}"/>
    <cellStyle name="Euro 33 2 2" xfId="3517" xr:uid="{00000000-0005-0000-0000-00004B6B0000}"/>
    <cellStyle name="Euro 33 3" xfId="229" xr:uid="{00000000-0005-0000-0000-00004C6B0000}"/>
    <cellStyle name="Euro 33 3 2" xfId="230" xr:uid="{00000000-0005-0000-0000-00004D6B0000}"/>
    <cellStyle name="Euro 33 3 3" xfId="19089" xr:uid="{00000000-0005-0000-0000-00004E6B0000}"/>
    <cellStyle name="Euro 33 3 3 2" xfId="20348" xr:uid="{00000000-0005-0000-0000-00004F6B0000}"/>
    <cellStyle name="Euro 33 3 4" xfId="20347" xr:uid="{00000000-0005-0000-0000-0000506B0000}"/>
    <cellStyle name="Euro 33 3 5" xfId="19088" xr:uid="{00000000-0005-0000-0000-0000516B0000}"/>
    <cellStyle name="Euro 33 4" xfId="231" xr:uid="{00000000-0005-0000-0000-0000526B0000}"/>
    <cellStyle name="Euro 33 4 2" xfId="19091" xr:uid="{00000000-0005-0000-0000-0000536B0000}"/>
    <cellStyle name="Euro 33 4 2 2" xfId="20350" xr:uid="{00000000-0005-0000-0000-0000546B0000}"/>
    <cellStyle name="Euro 33 4 3" xfId="20349" xr:uid="{00000000-0005-0000-0000-0000556B0000}"/>
    <cellStyle name="Euro 33 4 4" xfId="19090" xr:uid="{00000000-0005-0000-0000-0000566B0000}"/>
    <cellStyle name="Euro 33 4 5" xfId="11249" xr:uid="{00000000-0005-0000-0000-0000576B0000}"/>
    <cellStyle name="Euro 33 5" xfId="232" xr:uid="{00000000-0005-0000-0000-0000586B0000}"/>
    <cellStyle name="Euro 33 5 2" xfId="11250" xr:uid="{00000000-0005-0000-0000-0000596B0000}"/>
    <cellStyle name="Euro 33 6" xfId="233" xr:uid="{00000000-0005-0000-0000-00005A6B0000}"/>
    <cellStyle name="Euro 33 6 2" xfId="21280" xr:uid="{00000000-0005-0000-0000-00005B6B0000}"/>
    <cellStyle name="Euro 34" xfId="234" xr:uid="{00000000-0005-0000-0000-00005C6B0000}"/>
    <cellStyle name="Euro 34 2" xfId="235" xr:uid="{00000000-0005-0000-0000-00005D6B0000}"/>
    <cellStyle name="Euro 34 2 2" xfId="3518" xr:uid="{00000000-0005-0000-0000-00005E6B0000}"/>
    <cellStyle name="Euro 34 3" xfId="236" xr:uid="{00000000-0005-0000-0000-00005F6B0000}"/>
    <cellStyle name="Euro 34 3 2" xfId="237" xr:uid="{00000000-0005-0000-0000-0000606B0000}"/>
    <cellStyle name="Euro 34 3 3" xfId="19093" xr:uid="{00000000-0005-0000-0000-0000616B0000}"/>
    <cellStyle name="Euro 34 3 3 2" xfId="20352" xr:uid="{00000000-0005-0000-0000-0000626B0000}"/>
    <cellStyle name="Euro 34 3 4" xfId="20351" xr:uid="{00000000-0005-0000-0000-0000636B0000}"/>
    <cellStyle name="Euro 34 3 5" xfId="19092" xr:uid="{00000000-0005-0000-0000-0000646B0000}"/>
    <cellStyle name="Euro 34 4" xfId="238" xr:uid="{00000000-0005-0000-0000-0000656B0000}"/>
    <cellStyle name="Euro 34 4 2" xfId="19095" xr:uid="{00000000-0005-0000-0000-0000666B0000}"/>
    <cellStyle name="Euro 34 4 2 2" xfId="20354" xr:uid="{00000000-0005-0000-0000-0000676B0000}"/>
    <cellStyle name="Euro 34 4 3" xfId="20353" xr:uid="{00000000-0005-0000-0000-0000686B0000}"/>
    <cellStyle name="Euro 34 4 4" xfId="19094" xr:uid="{00000000-0005-0000-0000-0000696B0000}"/>
    <cellStyle name="Euro 34 4 5" xfId="11251" xr:uid="{00000000-0005-0000-0000-00006A6B0000}"/>
    <cellStyle name="Euro 34 5" xfId="239" xr:uid="{00000000-0005-0000-0000-00006B6B0000}"/>
    <cellStyle name="Euro 34 5 2" xfId="11252" xr:uid="{00000000-0005-0000-0000-00006C6B0000}"/>
    <cellStyle name="Euro 34 6" xfId="240" xr:uid="{00000000-0005-0000-0000-00006D6B0000}"/>
    <cellStyle name="Euro 34 6 2" xfId="21281" xr:uid="{00000000-0005-0000-0000-00006E6B0000}"/>
    <cellStyle name="Euro 35" xfId="241" xr:uid="{00000000-0005-0000-0000-00006F6B0000}"/>
    <cellStyle name="Euro 35 2" xfId="242" xr:uid="{00000000-0005-0000-0000-0000706B0000}"/>
    <cellStyle name="Euro 35 2 2" xfId="3519" xr:uid="{00000000-0005-0000-0000-0000716B0000}"/>
    <cellStyle name="Euro 35 3" xfId="243" xr:uid="{00000000-0005-0000-0000-0000726B0000}"/>
    <cellStyle name="Euro 35 3 2" xfId="244" xr:uid="{00000000-0005-0000-0000-0000736B0000}"/>
    <cellStyle name="Euro 35 3 3" xfId="19097" xr:uid="{00000000-0005-0000-0000-0000746B0000}"/>
    <cellStyle name="Euro 35 3 3 2" xfId="20356" xr:uid="{00000000-0005-0000-0000-0000756B0000}"/>
    <cellStyle name="Euro 35 3 4" xfId="20355" xr:uid="{00000000-0005-0000-0000-0000766B0000}"/>
    <cellStyle name="Euro 35 3 5" xfId="19096" xr:uid="{00000000-0005-0000-0000-0000776B0000}"/>
    <cellStyle name="Euro 35 4" xfId="245" xr:uid="{00000000-0005-0000-0000-0000786B0000}"/>
    <cellStyle name="Euro 35 4 2" xfId="19099" xr:uid="{00000000-0005-0000-0000-0000796B0000}"/>
    <cellStyle name="Euro 35 4 2 2" xfId="20358" xr:uid="{00000000-0005-0000-0000-00007A6B0000}"/>
    <cellStyle name="Euro 35 4 3" xfId="20357" xr:uid="{00000000-0005-0000-0000-00007B6B0000}"/>
    <cellStyle name="Euro 35 4 4" xfId="19098" xr:uid="{00000000-0005-0000-0000-00007C6B0000}"/>
    <cellStyle name="Euro 35 4 5" xfId="11253" xr:uid="{00000000-0005-0000-0000-00007D6B0000}"/>
    <cellStyle name="Euro 35 5" xfId="246" xr:uid="{00000000-0005-0000-0000-00007E6B0000}"/>
    <cellStyle name="Euro 35 5 2" xfId="11254" xr:uid="{00000000-0005-0000-0000-00007F6B0000}"/>
    <cellStyle name="Euro 35 6" xfId="247" xr:uid="{00000000-0005-0000-0000-0000806B0000}"/>
    <cellStyle name="Euro 35 6 2" xfId="21282" xr:uid="{00000000-0005-0000-0000-0000816B0000}"/>
    <cellStyle name="Euro 36" xfId="248" xr:uid="{00000000-0005-0000-0000-0000826B0000}"/>
    <cellStyle name="Euro 36 2" xfId="249" xr:uid="{00000000-0005-0000-0000-0000836B0000}"/>
    <cellStyle name="Euro 36 2 2" xfId="3520" xr:uid="{00000000-0005-0000-0000-0000846B0000}"/>
    <cellStyle name="Euro 36 3" xfId="250" xr:uid="{00000000-0005-0000-0000-0000856B0000}"/>
    <cellStyle name="Euro 36 3 2" xfId="251" xr:uid="{00000000-0005-0000-0000-0000866B0000}"/>
    <cellStyle name="Euro 36 3 3" xfId="19101" xr:uid="{00000000-0005-0000-0000-0000876B0000}"/>
    <cellStyle name="Euro 36 3 3 2" xfId="20360" xr:uid="{00000000-0005-0000-0000-0000886B0000}"/>
    <cellStyle name="Euro 36 3 4" xfId="20359" xr:uid="{00000000-0005-0000-0000-0000896B0000}"/>
    <cellStyle name="Euro 36 3 5" xfId="19100" xr:uid="{00000000-0005-0000-0000-00008A6B0000}"/>
    <cellStyle name="Euro 36 4" xfId="252" xr:uid="{00000000-0005-0000-0000-00008B6B0000}"/>
    <cellStyle name="Euro 36 4 2" xfId="19103" xr:uid="{00000000-0005-0000-0000-00008C6B0000}"/>
    <cellStyle name="Euro 36 4 2 2" xfId="20362" xr:uid="{00000000-0005-0000-0000-00008D6B0000}"/>
    <cellStyle name="Euro 36 4 3" xfId="20361" xr:uid="{00000000-0005-0000-0000-00008E6B0000}"/>
    <cellStyle name="Euro 36 4 4" xfId="19102" xr:uid="{00000000-0005-0000-0000-00008F6B0000}"/>
    <cellStyle name="Euro 36 4 5" xfId="11255" xr:uid="{00000000-0005-0000-0000-0000906B0000}"/>
    <cellStyle name="Euro 36 5" xfId="253" xr:uid="{00000000-0005-0000-0000-0000916B0000}"/>
    <cellStyle name="Euro 36 5 2" xfId="11256" xr:uid="{00000000-0005-0000-0000-0000926B0000}"/>
    <cellStyle name="Euro 36 6" xfId="254" xr:uid="{00000000-0005-0000-0000-0000936B0000}"/>
    <cellStyle name="Euro 36 6 2" xfId="21283" xr:uid="{00000000-0005-0000-0000-0000946B0000}"/>
    <cellStyle name="Euro 37" xfId="255" xr:uid="{00000000-0005-0000-0000-0000956B0000}"/>
    <cellStyle name="Euro 37 2" xfId="256" xr:uid="{00000000-0005-0000-0000-0000966B0000}"/>
    <cellStyle name="Euro 37 2 2" xfId="3521" xr:uid="{00000000-0005-0000-0000-0000976B0000}"/>
    <cellStyle name="Euro 37 3" xfId="257" xr:uid="{00000000-0005-0000-0000-0000986B0000}"/>
    <cellStyle name="Euro 37 3 2" xfId="258" xr:uid="{00000000-0005-0000-0000-0000996B0000}"/>
    <cellStyle name="Euro 37 3 3" xfId="19105" xr:uid="{00000000-0005-0000-0000-00009A6B0000}"/>
    <cellStyle name="Euro 37 3 3 2" xfId="20364" xr:uid="{00000000-0005-0000-0000-00009B6B0000}"/>
    <cellStyle name="Euro 37 3 4" xfId="20363" xr:uid="{00000000-0005-0000-0000-00009C6B0000}"/>
    <cellStyle name="Euro 37 3 5" xfId="19104" xr:uid="{00000000-0005-0000-0000-00009D6B0000}"/>
    <cellStyle name="Euro 37 4" xfId="259" xr:uid="{00000000-0005-0000-0000-00009E6B0000}"/>
    <cellStyle name="Euro 37 4 2" xfId="19107" xr:uid="{00000000-0005-0000-0000-00009F6B0000}"/>
    <cellStyle name="Euro 37 4 2 2" xfId="20366" xr:uid="{00000000-0005-0000-0000-0000A06B0000}"/>
    <cellStyle name="Euro 37 4 3" xfId="20365" xr:uid="{00000000-0005-0000-0000-0000A16B0000}"/>
    <cellStyle name="Euro 37 4 4" xfId="19106" xr:uid="{00000000-0005-0000-0000-0000A26B0000}"/>
    <cellStyle name="Euro 37 4 5" xfId="11257" xr:uid="{00000000-0005-0000-0000-0000A36B0000}"/>
    <cellStyle name="Euro 37 5" xfId="260" xr:uid="{00000000-0005-0000-0000-0000A46B0000}"/>
    <cellStyle name="Euro 37 5 2" xfId="11258" xr:uid="{00000000-0005-0000-0000-0000A56B0000}"/>
    <cellStyle name="Euro 37 6" xfId="261" xr:uid="{00000000-0005-0000-0000-0000A66B0000}"/>
    <cellStyle name="Euro 37 6 2" xfId="21284" xr:uid="{00000000-0005-0000-0000-0000A76B0000}"/>
    <cellStyle name="Euro 38" xfId="262" xr:uid="{00000000-0005-0000-0000-0000A86B0000}"/>
    <cellStyle name="Euro 38 2" xfId="263" xr:uid="{00000000-0005-0000-0000-0000A96B0000}"/>
    <cellStyle name="Euro 38 2 2" xfId="3522" xr:uid="{00000000-0005-0000-0000-0000AA6B0000}"/>
    <cellStyle name="Euro 38 3" xfId="264" xr:uid="{00000000-0005-0000-0000-0000AB6B0000}"/>
    <cellStyle name="Euro 38 3 2" xfId="265" xr:uid="{00000000-0005-0000-0000-0000AC6B0000}"/>
    <cellStyle name="Euro 38 3 3" xfId="19109" xr:uid="{00000000-0005-0000-0000-0000AD6B0000}"/>
    <cellStyle name="Euro 38 3 3 2" xfId="20368" xr:uid="{00000000-0005-0000-0000-0000AE6B0000}"/>
    <cellStyle name="Euro 38 3 4" xfId="20367" xr:uid="{00000000-0005-0000-0000-0000AF6B0000}"/>
    <cellStyle name="Euro 38 3 5" xfId="19108" xr:uid="{00000000-0005-0000-0000-0000B06B0000}"/>
    <cellStyle name="Euro 38 4" xfId="266" xr:uid="{00000000-0005-0000-0000-0000B16B0000}"/>
    <cellStyle name="Euro 38 4 2" xfId="19111" xr:uid="{00000000-0005-0000-0000-0000B26B0000}"/>
    <cellStyle name="Euro 38 4 2 2" xfId="20370" xr:uid="{00000000-0005-0000-0000-0000B36B0000}"/>
    <cellStyle name="Euro 38 4 3" xfId="20369" xr:uid="{00000000-0005-0000-0000-0000B46B0000}"/>
    <cellStyle name="Euro 38 4 4" xfId="19110" xr:uid="{00000000-0005-0000-0000-0000B56B0000}"/>
    <cellStyle name="Euro 38 4 5" xfId="11259" xr:uid="{00000000-0005-0000-0000-0000B66B0000}"/>
    <cellStyle name="Euro 38 5" xfId="267" xr:uid="{00000000-0005-0000-0000-0000B76B0000}"/>
    <cellStyle name="Euro 38 5 2" xfId="11260" xr:uid="{00000000-0005-0000-0000-0000B86B0000}"/>
    <cellStyle name="Euro 38 6" xfId="268" xr:uid="{00000000-0005-0000-0000-0000B96B0000}"/>
    <cellStyle name="Euro 38 6 2" xfId="21285" xr:uid="{00000000-0005-0000-0000-0000BA6B0000}"/>
    <cellStyle name="Euro 39" xfId="269" xr:uid="{00000000-0005-0000-0000-0000BB6B0000}"/>
    <cellStyle name="Euro 39 2" xfId="270" xr:uid="{00000000-0005-0000-0000-0000BC6B0000}"/>
    <cellStyle name="Euro 39 2 2" xfId="3523" xr:uid="{00000000-0005-0000-0000-0000BD6B0000}"/>
    <cellStyle name="Euro 39 3" xfId="271" xr:uid="{00000000-0005-0000-0000-0000BE6B0000}"/>
    <cellStyle name="Euro 39 3 2" xfId="272" xr:uid="{00000000-0005-0000-0000-0000BF6B0000}"/>
    <cellStyle name="Euro 39 3 3" xfId="19113" xr:uid="{00000000-0005-0000-0000-0000C06B0000}"/>
    <cellStyle name="Euro 39 3 3 2" xfId="20372" xr:uid="{00000000-0005-0000-0000-0000C16B0000}"/>
    <cellStyle name="Euro 39 3 4" xfId="20371" xr:uid="{00000000-0005-0000-0000-0000C26B0000}"/>
    <cellStyle name="Euro 39 3 5" xfId="19112" xr:uid="{00000000-0005-0000-0000-0000C36B0000}"/>
    <cellStyle name="Euro 39 4" xfId="273" xr:uid="{00000000-0005-0000-0000-0000C46B0000}"/>
    <cellStyle name="Euro 39 4 2" xfId="19115" xr:uid="{00000000-0005-0000-0000-0000C56B0000}"/>
    <cellStyle name="Euro 39 4 2 2" xfId="20374" xr:uid="{00000000-0005-0000-0000-0000C66B0000}"/>
    <cellStyle name="Euro 39 4 3" xfId="20373" xr:uid="{00000000-0005-0000-0000-0000C76B0000}"/>
    <cellStyle name="Euro 39 4 4" xfId="19114" xr:uid="{00000000-0005-0000-0000-0000C86B0000}"/>
    <cellStyle name="Euro 39 4 5" xfId="11261" xr:uid="{00000000-0005-0000-0000-0000C96B0000}"/>
    <cellStyle name="Euro 39 5" xfId="274" xr:uid="{00000000-0005-0000-0000-0000CA6B0000}"/>
    <cellStyle name="Euro 39 5 2" xfId="11262" xr:uid="{00000000-0005-0000-0000-0000CB6B0000}"/>
    <cellStyle name="Euro 39 6" xfId="275" xr:uid="{00000000-0005-0000-0000-0000CC6B0000}"/>
    <cellStyle name="Euro 39 6 2" xfId="21286" xr:uid="{00000000-0005-0000-0000-0000CD6B0000}"/>
    <cellStyle name="Euro 4" xfId="276" xr:uid="{00000000-0005-0000-0000-0000CE6B0000}"/>
    <cellStyle name="Euro 4 2" xfId="277" xr:uid="{00000000-0005-0000-0000-0000CF6B0000}"/>
    <cellStyle name="Euro 4 2 2" xfId="3524" xr:uid="{00000000-0005-0000-0000-0000D06B0000}"/>
    <cellStyle name="Euro 4 3" xfId="278" xr:uid="{00000000-0005-0000-0000-0000D16B0000}"/>
    <cellStyle name="Euro 4 3 2" xfId="279" xr:uid="{00000000-0005-0000-0000-0000D26B0000}"/>
    <cellStyle name="Euro 4 3 3" xfId="19117" xr:uid="{00000000-0005-0000-0000-0000D36B0000}"/>
    <cellStyle name="Euro 4 3 3 2" xfId="20376" xr:uid="{00000000-0005-0000-0000-0000D46B0000}"/>
    <cellStyle name="Euro 4 3 4" xfId="20375" xr:uid="{00000000-0005-0000-0000-0000D56B0000}"/>
    <cellStyle name="Euro 4 3 5" xfId="19116" xr:uid="{00000000-0005-0000-0000-0000D66B0000}"/>
    <cellStyle name="Euro 4 4" xfId="280" xr:uid="{00000000-0005-0000-0000-0000D76B0000}"/>
    <cellStyle name="Euro 4 4 2" xfId="19119" xr:uid="{00000000-0005-0000-0000-0000D86B0000}"/>
    <cellStyle name="Euro 4 4 2 2" xfId="20378" xr:uid="{00000000-0005-0000-0000-0000D96B0000}"/>
    <cellStyle name="Euro 4 4 3" xfId="20377" xr:uid="{00000000-0005-0000-0000-0000DA6B0000}"/>
    <cellStyle name="Euro 4 4 4" xfId="19118" xr:uid="{00000000-0005-0000-0000-0000DB6B0000}"/>
    <cellStyle name="Euro 4 4 5" xfId="11263" xr:uid="{00000000-0005-0000-0000-0000DC6B0000}"/>
    <cellStyle name="Euro 4 5" xfId="281" xr:uid="{00000000-0005-0000-0000-0000DD6B0000}"/>
    <cellStyle name="Euro 4 5 2" xfId="11264" xr:uid="{00000000-0005-0000-0000-0000DE6B0000}"/>
    <cellStyle name="Euro 4 6" xfId="282" xr:uid="{00000000-0005-0000-0000-0000DF6B0000}"/>
    <cellStyle name="Euro 4 6 2" xfId="21287" xr:uid="{00000000-0005-0000-0000-0000E06B0000}"/>
    <cellStyle name="Euro 40" xfId="283" xr:uid="{00000000-0005-0000-0000-0000E16B0000}"/>
    <cellStyle name="Euro 40 2" xfId="284" xr:uid="{00000000-0005-0000-0000-0000E26B0000}"/>
    <cellStyle name="Euro 40 2 2" xfId="3525" xr:uid="{00000000-0005-0000-0000-0000E36B0000}"/>
    <cellStyle name="Euro 40 3" xfId="285" xr:uid="{00000000-0005-0000-0000-0000E46B0000}"/>
    <cellStyle name="Euro 40 3 2" xfId="286" xr:uid="{00000000-0005-0000-0000-0000E56B0000}"/>
    <cellStyle name="Euro 40 3 3" xfId="19121" xr:uid="{00000000-0005-0000-0000-0000E66B0000}"/>
    <cellStyle name="Euro 40 3 3 2" xfId="20380" xr:uid="{00000000-0005-0000-0000-0000E76B0000}"/>
    <cellStyle name="Euro 40 3 4" xfId="20379" xr:uid="{00000000-0005-0000-0000-0000E86B0000}"/>
    <cellStyle name="Euro 40 3 5" xfId="19120" xr:uid="{00000000-0005-0000-0000-0000E96B0000}"/>
    <cellStyle name="Euro 40 4" xfId="287" xr:uid="{00000000-0005-0000-0000-0000EA6B0000}"/>
    <cellStyle name="Euro 40 4 2" xfId="19123" xr:uid="{00000000-0005-0000-0000-0000EB6B0000}"/>
    <cellStyle name="Euro 40 4 2 2" xfId="20382" xr:uid="{00000000-0005-0000-0000-0000EC6B0000}"/>
    <cellStyle name="Euro 40 4 3" xfId="20381" xr:uid="{00000000-0005-0000-0000-0000ED6B0000}"/>
    <cellStyle name="Euro 40 4 4" xfId="19122" xr:uid="{00000000-0005-0000-0000-0000EE6B0000}"/>
    <cellStyle name="Euro 40 4 5" xfId="11265" xr:uid="{00000000-0005-0000-0000-0000EF6B0000}"/>
    <cellStyle name="Euro 40 5" xfId="288" xr:uid="{00000000-0005-0000-0000-0000F06B0000}"/>
    <cellStyle name="Euro 40 5 2" xfId="11266" xr:uid="{00000000-0005-0000-0000-0000F16B0000}"/>
    <cellStyle name="Euro 40 6" xfId="289" xr:uid="{00000000-0005-0000-0000-0000F26B0000}"/>
    <cellStyle name="Euro 40 6 2" xfId="21288" xr:uid="{00000000-0005-0000-0000-0000F36B0000}"/>
    <cellStyle name="Euro 41" xfId="290" xr:uid="{00000000-0005-0000-0000-0000F46B0000}"/>
    <cellStyle name="Euro 41 2" xfId="291" xr:uid="{00000000-0005-0000-0000-0000F56B0000}"/>
    <cellStyle name="Euro 41 2 2" xfId="3526" xr:uid="{00000000-0005-0000-0000-0000F66B0000}"/>
    <cellStyle name="Euro 41 3" xfId="292" xr:uid="{00000000-0005-0000-0000-0000F76B0000}"/>
    <cellStyle name="Euro 41 3 2" xfId="293" xr:uid="{00000000-0005-0000-0000-0000F86B0000}"/>
    <cellStyle name="Euro 41 3 3" xfId="19125" xr:uid="{00000000-0005-0000-0000-0000F96B0000}"/>
    <cellStyle name="Euro 41 3 3 2" xfId="20384" xr:uid="{00000000-0005-0000-0000-0000FA6B0000}"/>
    <cellStyle name="Euro 41 3 4" xfId="20383" xr:uid="{00000000-0005-0000-0000-0000FB6B0000}"/>
    <cellStyle name="Euro 41 3 5" xfId="19124" xr:uid="{00000000-0005-0000-0000-0000FC6B0000}"/>
    <cellStyle name="Euro 41 4" xfId="294" xr:uid="{00000000-0005-0000-0000-0000FD6B0000}"/>
    <cellStyle name="Euro 41 4 2" xfId="19127" xr:uid="{00000000-0005-0000-0000-0000FE6B0000}"/>
    <cellStyle name="Euro 41 4 2 2" xfId="20386" xr:uid="{00000000-0005-0000-0000-0000FF6B0000}"/>
    <cellStyle name="Euro 41 4 3" xfId="20385" xr:uid="{00000000-0005-0000-0000-0000006C0000}"/>
    <cellStyle name="Euro 41 4 4" xfId="19126" xr:uid="{00000000-0005-0000-0000-0000016C0000}"/>
    <cellStyle name="Euro 41 4 5" xfId="11267" xr:uid="{00000000-0005-0000-0000-0000026C0000}"/>
    <cellStyle name="Euro 41 5" xfId="295" xr:uid="{00000000-0005-0000-0000-0000036C0000}"/>
    <cellStyle name="Euro 41 5 2" xfId="11268" xr:uid="{00000000-0005-0000-0000-0000046C0000}"/>
    <cellStyle name="Euro 41 6" xfId="296" xr:uid="{00000000-0005-0000-0000-0000056C0000}"/>
    <cellStyle name="Euro 41 6 2" xfId="21289" xr:uid="{00000000-0005-0000-0000-0000066C0000}"/>
    <cellStyle name="Euro 42" xfId="297" xr:uid="{00000000-0005-0000-0000-0000076C0000}"/>
    <cellStyle name="Euro 42 2" xfId="298" xr:uid="{00000000-0005-0000-0000-0000086C0000}"/>
    <cellStyle name="Euro 42 2 2" xfId="3527" xr:uid="{00000000-0005-0000-0000-0000096C0000}"/>
    <cellStyle name="Euro 42 3" xfId="299" xr:uid="{00000000-0005-0000-0000-00000A6C0000}"/>
    <cellStyle name="Euro 42 3 2" xfId="300" xr:uid="{00000000-0005-0000-0000-00000B6C0000}"/>
    <cellStyle name="Euro 42 3 3" xfId="19129" xr:uid="{00000000-0005-0000-0000-00000C6C0000}"/>
    <cellStyle name="Euro 42 3 3 2" xfId="20388" xr:uid="{00000000-0005-0000-0000-00000D6C0000}"/>
    <cellStyle name="Euro 42 3 4" xfId="20387" xr:uid="{00000000-0005-0000-0000-00000E6C0000}"/>
    <cellStyle name="Euro 42 3 5" xfId="19128" xr:uid="{00000000-0005-0000-0000-00000F6C0000}"/>
    <cellStyle name="Euro 42 4" xfId="301" xr:uid="{00000000-0005-0000-0000-0000106C0000}"/>
    <cellStyle name="Euro 42 4 2" xfId="19131" xr:uid="{00000000-0005-0000-0000-0000116C0000}"/>
    <cellStyle name="Euro 42 4 2 2" xfId="20390" xr:uid="{00000000-0005-0000-0000-0000126C0000}"/>
    <cellStyle name="Euro 42 4 3" xfId="20389" xr:uid="{00000000-0005-0000-0000-0000136C0000}"/>
    <cellStyle name="Euro 42 4 4" xfId="19130" xr:uid="{00000000-0005-0000-0000-0000146C0000}"/>
    <cellStyle name="Euro 42 4 5" xfId="11269" xr:uid="{00000000-0005-0000-0000-0000156C0000}"/>
    <cellStyle name="Euro 42 5" xfId="302" xr:uid="{00000000-0005-0000-0000-0000166C0000}"/>
    <cellStyle name="Euro 42 5 2" xfId="11270" xr:uid="{00000000-0005-0000-0000-0000176C0000}"/>
    <cellStyle name="Euro 42 6" xfId="303" xr:uid="{00000000-0005-0000-0000-0000186C0000}"/>
    <cellStyle name="Euro 42 6 2" xfId="21290" xr:uid="{00000000-0005-0000-0000-0000196C0000}"/>
    <cellStyle name="Euro 43" xfId="304" xr:uid="{00000000-0005-0000-0000-00001A6C0000}"/>
    <cellStyle name="Euro 43 2" xfId="305" xr:uid="{00000000-0005-0000-0000-00001B6C0000}"/>
    <cellStyle name="Euro 43 2 2" xfId="3528" xr:uid="{00000000-0005-0000-0000-00001C6C0000}"/>
    <cellStyle name="Euro 43 3" xfId="306" xr:uid="{00000000-0005-0000-0000-00001D6C0000}"/>
    <cellStyle name="Euro 43 3 2" xfId="307" xr:uid="{00000000-0005-0000-0000-00001E6C0000}"/>
    <cellStyle name="Euro 43 3 3" xfId="19133" xr:uid="{00000000-0005-0000-0000-00001F6C0000}"/>
    <cellStyle name="Euro 43 3 3 2" xfId="20392" xr:uid="{00000000-0005-0000-0000-0000206C0000}"/>
    <cellStyle name="Euro 43 3 4" xfId="20391" xr:uid="{00000000-0005-0000-0000-0000216C0000}"/>
    <cellStyle name="Euro 43 3 5" xfId="19132" xr:uid="{00000000-0005-0000-0000-0000226C0000}"/>
    <cellStyle name="Euro 43 4" xfId="308" xr:uid="{00000000-0005-0000-0000-0000236C0000}"/>
    <cellStyle name="Euro 43 4 2" xfId="19135" xr:uid="{00000000-0005-0000-0000-0000246C0000}"/>
    <cellStyle name="Euro 43 4 2 2" xfId="20394" xr:uid="{00000000-0005-0000-0000-0000256C0000}"/>
    <cellStyle name="Euro 43 4 3" xfId="20393" xr:uid="{00000000-0005-0000-0000-0000266C0000}"/>
    <cellStyle name="Euro 43 4 4" xfId="19134" xr:uid="{00000000-0005-0000-0000-0000276C0000}"/>
    <cellStyle name="Euro 43 4 5" xfId="11271" xr:uid="{00000000-0005-0000-0000-0000286C0000}"/>
    <cellStyle name="Euro 43 5" xfId="309" xr:uid="{00000000-0005-0000-0000-0000296C0000}"/>
    <cellStyle name="Euro 43 5 2" xfId="11272" xr:uid="{00000000-0005-0000-0000-00002A6C0000}"/>
    <cellStyle name="Euro 43 6" xfId="310" xr:uid="{00000000-0005-0000-0000-00002B6C0000}"/>
    <cellStyle name="Euro 43 6 2" xfId="21291" xr:uid="{00000000-0005-0000-0000-00002C6C0000}"/>
    <cellStyle name="Euro 44" xfId="311" xr:uid="{00000000-0005-0000-0000-00002D6C0000}"/>
    <cellStyle name="Euro 44 2" xfId="312" xr:uid="{00000000-0005-0000-0000-00002E6C0000}"/>
    <cellStyle name="Euro 44 2 2" xfId="3529" xr:uid="{00000000-0005-0000-0000-00002F6C0000}"/>
    <cellStyle name="Euro 44 3" xfId="313" xr:uid="{00000000-0005-0000-0000-0000306C0000}"/>
    <cellStyle name="Euro 44 3 2" xfId="314" xr:uid="{00000000-0005-0000-0000-0000316C0000}"/>
    <cellStyle name="Euro 44 3 3" xfId="19137" xr:uid="{00000000-0005-0000-0000-0000326C0000}"/>
    <cellStyle name="Euro 44 3 3 2" xfId="20396" xr:uid="{00000000-0005-0000-0000-0000336C0000}"/>
    <cellStyle name="Euro 44 3 4" xfId="20395" xr:uid="{00000000-0005-0000-0000-0000346C0000}"/>
    <cellStyle name="Euro 44 3 5" xfId="19136" xr:uid="{00000000-0005-0000-0000-0000356C0000}"/>
    <cellStyle name="Euro 44 4" xfId="315" xr:uid="{00000000-0005-0000-0000-0000366C0000}"/>
    <cellStyle name="Euro 44 4 2" xfId="19139" xr:uid="{00000000-0005-0000-0000-0000376C0000}"/>
    <cellStyle name="Euro 44 4 2 2" xfId="20398" xr:uid="{00000000-0005-0000-0000-0000386C0000}"/>
    <cellStyle name="Euro 44 4 3" xfId="20397" xr:uid="{00000000-0005-0000-0000-0000396C0000}"/>
    <cellStyle name="Euro 44 4 4" xfId="19138" xr:uid="{00000000-0005-0000-0000-00003A6C0000}"/>
    <cellStyle name="Euro 44 4 5" xfId="11273" xr:uid="{00000000-0005-0000-0000-00003B6C0000}"/>
    <cellStyle name="Euro 44 5" xfId="316" xr:uid="{00000000-0005-0000-0000-00003C6C0000}"/>
    <cellStyle name="Euro 44 5 2" xfId="11274" xr:uid="{00000000-0005-0000-0000-00003D6C0000}"/>
    <cellStyle name="Euro 44 6" xfId="317" xr:uid="{00000000-0005-0000-0000-00003E6C0000}"/>
    <cellStyle name="Euro 44 6 2" xfId="21292" xr:uid="{00000000-0005-0000-0000-00003F6C0000}"/>
    <cellStyle name="Euro 45" xfId="318" xr:uid="{00000000-0005-0000-0000-0000406C0000}"/>
    <cellStyle name="Euro 45 2" xfId="3530" xr:uid="{00000000-0005-0000-0000-0000416C0000}"/>
    <cellStyle name="Euro 45 2 2" xfId="20400" xr:uid="{00000000-0005-0000-0000-0000426C0000}"/>
    <cellStyle name="Euro 45 2 3" xfId="19140" xr:uid="{00000000-0005-0000-0000-0000436C0000}"/>
    <cellStyle name="Euro 45 3" xfId="20399" xr:uid="{00000000-0005-0000-0000-0000446C0000}"/>
    <cellStyle name="Euro 46" xfId="319" xr:uid="{00000000-0005-0000-0000-0000456C0000}"/>
    <cellStyle name="Euro 46 2" xfId="3531" xr:uid="{00000000-0005-0000-0000-0000466C0000}"/>
    <cellStyle name="Euro 47" xfId="320" xr:uid="{00000000-0005-0000-0000-0000476C0000}"/>
    <cellStyle name="Euro 47 2" xfId="321" xr:uid="{00000000-0005-0000-0000-0000486C0000}"/>
    <cellStyle name="Euro 47 3" xfId="19142" xr:uid="{00000000-0005-0000-0000-0000496C0000}"/>
    <cellStyle name="Euro 47 3 2" xfId="20402" xr:uid="{00000000-0005-0000-0000-00004A6C0000}"/>
    <cellStyle name="Euro 47 4" xfId="20401" xr:uid="{00000000-0005-0000-0000-00004B6C0000}"/>
    <cellStyle name="Euro 47 5" xfId="19141" xr:uid="{00000000-0005-0000-0000-00004C6C0000}"/>
    <cellStyle name="Euro 48" xfId="322" xr:uid="{00000000-0005-0000-0000-00004D6C0000}"/>
    <cellStyle name="Euro 48 2" xfId="3532" xr:uid="{00000000-0005-0000-0000-00004E6C0000}"/>
    <cellStyle name="Euro 49" xfId="323" xr:uid="{00000000-0005-0000-0000-00004F6C0000}"/>
    <cellStyle name="Euro 49 2" xfId="11275" xr:uid="{00000000-0005-0000-0000-0000506C0000}"/>
    <cellStyle name="Euro 49 2 2" xfId="20404" xr:uid="{00000000-0005-0000-0000-0000516C0000}"/>
    <cellStyle name="Euro 49 2 3" xfId="19144" xr:uid="{00000000-0005-0000-0000-0000526C0000}"/>
    <cellStyle name="Euro 49 3" xfId="12282" xr:uid="{00000000-0005-0000-0000-0000536C0000}"/>
    <cellStyle name="Euro 49 3 2" xfId="20403" xr:uid="{00000000-0005-0000-0000-0000546C0000}"/>
    <cellStyle name="Euro 49 4" xfId="19143" xr:uid="{00000000-0005-0000-0000-0000556C0000}"/>
    <cellStyle name="Euro 49 5" xfId="3456" xr:uid="{00000000-0005-0000-0000-0000566C0000}"/>
    <cellStyle name="Euro 5" xfId="324" xr:uid="{00000000-0005-0000-0000-0000576C0000}"/>
    <cellStyle name="Euro 5 2" xfId="325" xr:uid="{00000000-0005-0000-0000-0000586C0000}"/>
    <cellStyle name="Euro 5 2 2" xfId="3533" xr:uid="{00000000-0005-0000-0000-0000596C0000}"/>
    <cellStyle name="Euro 5 3" xfId="326" xr:uid="{00000000-0005-0000-0000-00005A6C0000}"/>
    <cellStyle name="Euro 5 3 2" xfId="327" xr:uid="{00000000-0005-0000-0000-00005B6C0000}"/>
    <cellStyle name="Euro 5 3 3" xfId="19146" xr:uid="{00000000-0005-0000-0000-00005C6C0000}"/>
    <cellStyle name="Euro 5 3 3 2" xfId="20406" xr:uid="{00000000-0005-0000-0000-00005D6C0000}"/>
    <cellStyle name="Euro 5 3 4" xfId="20405" xr:uid="{00000000-0005-0000-0000-00005E6C0000}"/>
    <cellStyle name="Euro 5 3 5" xfId="19145" xr:uid="{00000000-0005-0000-0000-00005F6C0000}"/>
    <cellStyle name="Euro 5 4" xfId="328" xr:uid="{00000000-0005-0000-0000-0000606C0000}"/>
    <cellStyle name="Euro 5 4 2" xfId="19148" xr:uid="{00000000-0005-0000-0000-0000616C0000}"/>
    <cellStyle name="Euro 5 4 2 2" xfId="20408" xr:uid="{00000000-0005-0000-0000-0000626C0000}"/>
    <cellStyle name="Euro 5 4 3" xfId="20407" xr:uid="{00000000-0005-0000-0000-0000636C0000}"/>
    <cellStyle name="Euro 5 4 4" xfId="19147" xr:uid="{00000000-0005-0000-0000-0000646C0000}"/>
    <cellStyle name="Euro 5 4 5" xfId="11276" xr:uid="{00000000-0005-0000-0000-0000656C0000}"/>
    <cellStyle name="Euro 5 5" xfId="329" xr:uid="{00000000-0005-0000-0000-0000666C0000}"/>
    <cellStyle name="Euro 5 5 2" xfId="11277" xr:uid="{00000000-0005-0000-0000-0000676C0000}"/>
    <cellStyle name="Euro 5 6" xfId="330" xr:uid="{00000000-0005-0000-0000-0000686C0000}"/>
    <cellStyle name="Euro 5 6 2" xfId="21293" xr:uid="{00000000-0005-0000-0000-0000696C0000}"/>
    <cellStyle name="Euro 50" xfId="331" xr:uid="{00000000-0005-0000-0000-00006A6C0000}"/>
    <cellStyle name="Euro 50 2" xfId="11170" xr:uid="{00000000-0005-0000-0000-00006B6C0000}"/>
    <cellStyle name="Euro 50 3" xfId="11278" xr:uid="{00000000-0005-0000-0000-00006C6C0000}"/>
    <cellStyle name="Euro 50 4" xfId="12283" xr:uid="{00000000-0005-0000-0000-00006D6C0000}"/>
    <cellStyle name="Euro 50 5" xfId="3460" xr:uid="{00000000-0005-0000-0000-00006E6C0000}"/>
    <cellStyle name="Euro 51" xfId="332" xr:uid="{00000000-0005-0000-0000-00006F6C0000}"/>
    <cellStyle name="Euro 51 2" xfId="20409" xr:uid="{00000000-0005-0000-0000-0000706C0000}"/>
    <cellStyle name="Euro 51 3" xfId="19149" xr:uid="{00000000-0005-0000-0000-0000716C0000}"/>
    <cellStyle name="Euro 51 4" xfId="21294" xr:uid="{00000000-0005-0000-0000-0000726C0000}"/>
    <cellStyle name="Euro 6" xfId="333" xr:uid="{00000000-0005-0000-0000-0000736C0000}"/>
    <cellStyle name="Euro 6 2" xfId="334" xr:uid="{00000000-0005-0000-0000-0000746C0000}"/>
    <cellStyle name="Euro 6 2 2" xfId="3534" xr:uid="{00000000-0005-0000-0000-0000756C0000}"/>
    <cellStyle name="Euro 6 3" xfId="335" xr:uid="{00000000-0005-0000-0000-0000766C0000}"/>
    <cellStyle name="Euro 6 3 2" xfId="336" xr:uid="{00000000-0005-0000-0000-0000776C0000}"/>
    <cellStyle name="Euro 6 3 3" xfId="19151" xr:uid="{00000000-0005-0000-0000-0000786C0000}"/>
    <cellStyle name="Euro 6 3 3 2" xfId="20411" xr:uid="{00000000-0005-0000-0000-0000796C0000}"/>
    <cellStyle name="Euro 6 3 4" xfId="20410" xr:uid="{00000000-0005-0000-0000-00007A6C0000}"/>
    <cellStyle name="Euro 6 3 5" xfId="19150" xr:uid="{00000000-0005-0000-0000-00007B6C0000}"/>
    <cellStyle name="Euro 6 4" xfId="337" xr:uid="{00000000-0005-0000-0000-00007C6C0000}"/>
    <cellStyle name="Euro 6 4 2" xfId="19153" xr:uid="{00000000-0005-0000-0000-00007D6C0000}"/>
    <cellStyle name="Euro 6 4 2 2" xfId="20413" xr:uid="{00000000-0005-0000-0000-00007E6C0000}"/>
    <cellStyle name="Euro 6 4 3" xfId="20412" xr:uid="{00000000-0005-0000-0000-00007F6C0000}"/>
    <cellStyle name="Euro 6 4 4" xfId="19152" xr:uid="{00000000-0005-0000-0000-0000806C0000}"/>
    <cellStyle name="Euro 6 4 5" xfId="11279" xr:uid="{00000000-0005-0000-0000-0000816C0000}"/>
    <cellStyle name="Euro 6 5" xfId="338" xr:uid="{00000000-0005-0000-0000-0000826C0000}"/>
    <cellStyle name="Euro 6 5 2" xfId="11280" xr:uid="{00000000-0005-0000-0000-0000836C0000}"/>
    <cellStyle name="Euro 6 6" xfId="339" xr:uid="{00000000-0005-0000-0000-0000846C0000}"/>
    <cellStyle name="Euro 6 6 2" xfId="21295" xr:uid="{00000000-0005-0000-0000-0000856C0000}"/>
    <cellStyle name="Euro 7" xfId="340" xr:uid="{00000000-0005-0000-0000-0000866C0000}"/>
    <cellStyle name="Euro 7 2" xfId="341" xr:uid="{00000000-0005-0000-0000-0000876C0000}"/>
    <cellStyle name="Euro 7 2 2" xfId="3535" xr:uid="{00000000-0005-0000-0000-0000886C0000}"/>
    <cellStyle name="Euro 7 3" xfId="342" xr:uid="{00000000-0005-0000-0000-0000896C0000}"/>
    <cellStyle name="Euro 7 3 2" xfId="343" xr:uid="{00000000-0005-0000-0000-00008A6C0000}"/>
    <cellStyle name="Euro 7 3 3" xfId="19155" xr:uid="{00000000-0005-0000-0000-00008B6C0000}"/>
    <cellStyle name="Euro 7 3 3 2" xfId="20415" xr:uid="{00000000-0005-0000-0000-00008C6C0000}"/>
    <cellStyle name="Euro 7 3 4" xfId="20414" xr:uid="{00000000-0005-0000-0000-00008D6C0000}"/>
    <cellStyle name="Euro 7 3 5" xfId="19154" xr:uid="{00000000-0005-0000-0000-00008E6C0000}"/>
    <cellStyle name="Euro 7 4" xfId="344" xr:uid="{00000000-0005-0000-0000-00008F6C0000}"/>
    <cellStyle name="Euro 7 4 2" xfId="19157" xr:uid="{00000000-0005-0000-0000-0000906C0000}"/>
    <cellStyle name="Euro 7 4 2 2" xfId="20417" xr:uid="{00000000-0005-0000-0000-0000916C0000}"/>
    <cellStyle name="Euro 7 4 3" xfId="20416" xr:uid="{00000000-0005-0000-0000-0000926C0000}"/>
    <cellStyle name="Euro 7 4 4" xfId="19156" xr:uid="{00000000-0005-0000-0000-0000936C0000}"/>
    <cellStyle name="Euro 7 4 5" xfId="11281" xr:uid="{00000000-0005-0000-0000-0000946C0000}"/>
    <cellStyle name="Euro 7 5" xfId="345" xr:uid="{00000000-0005-0000-0000-0000956C0000}"/>
    <cellStyle name="Euro 7 5 2" xfId="11282" xr:uid="{00000000-0005-0000-0000-0000966C0000}"/>
    <cellStyle name="Euro 7 6" xfId="346" xr:uid="{00000000-0005-0000-0000-0000976C0000}"/>
    <cellStyle name="Euro 7 6 2" xfId="21296" xr:uid="{00000000-0005-0000-0000-0000986C0000}"/>
    <cellStyle name="Euro 8" xfId="347" xr:uid="{00000000-0005-0000-0000-0000996C0000}"/>
    <cellStyle name="Euro 8 2" xfId="348" xr:uid="{00000000-0005-0000-0000-00009A6C0000}"/>
    <cellStyle name="Euro 8 2 2" xfId="3536" xr:uid="{00000000-0005-0000-0000-00009B6C0000}"/>
    <cellStyle name="Euro 8 3" xfId="349" xr:uid="{00000000-0005-0000-0000-00009C6C0000}"/>
    <cellStyle name="Euro 8 3 2" xfId="350" xr:uid="{00000000-0005-0000-0000-00009D6C0000}"/>
    <cellStyle name="Euro 8 3 3" xfId="19159" xr:uid="{00000000-0005-0000-0000-00009E6C0000}"/>
    <cellStyle name="Euro 8 3 3 2" xfId="20419" xr:uid="{00000000-0005-0000-0000-00009F6C0000}"/>
    <cellStyle name="Euro 8 3 4" xfId="20418" xr:uid="{00000000-0005-0000-0000-0000A06C0000}"/>
    <cellStyle name="Euro 8 3 5" xfId="19158" xr:uid="{00000000-0005-0000-0000-0000A16C0000}"/>
    <cellStyle name="Euro 8 4" xfId="351" xr:uid="{00000000-0005-0000-0000-0000A26C0000}"/>
    <cellStyle name="Euro 8 4 2" xfId="19161" xr:uid="{00000000-0005-0000-0000-0000A36C0000}"/>
    <cellStyle name="Euro 8 4 2 2" xfId="20421" xr:uid="{00000000-0005-0000-0000-0000A46C0000}"/>
    <cellStyle name="Euro 8 4 3" xfId="20420" xr:uid="{00000000-0005-0000-0000-0000A56C0000}"/>
    <cellStyle name="Euro 8 4 4" xfId="19160" xr:uid="{00000000-0005-0000-0000-0000A66C0000}"/>
    <cellStyle name="Euro 8 4 5" xfId="11283" xr:uid="{00000000-0005-0000-0000-0000A76C0000}"/>
    <cellStyle name="Euro 8 5" xfId="352" xr:uid="{00000000-0005-0000-0000-0000A86C0000}"/>
    <cellStyle name="Euro 8 5 2" xfId="11284" xr:uid="{00000000-0005-0000-0000-0000A96C0000}"/>
    <cellStyle name="Euro 8 6" xfId="353" xr:uid="{00000000-0005-0000-0000-0000AA6C0000}"/>
    <cellStyle name="Euro 8 6 2" xfId="21297" xr:uid="{00000000-0005-0000-0000-0000AB6C0000}"/>
    <cellStyle name="Euro 9" xfId="354" xr:uid="{00000000-0005-0000-0000-0000AC6C0000}"/>
    <cellStyle name="Euro 9 2" xfId="355" xr:uid="{00000000-0005-0000-0000-0000AD6C0000}"/>
    <cellStyle name="Euro 9 2 2" xfId="3537" xr:uid="{00000000-0005-0000-0000-0000AE6C0000}"/>
    <cellStyle name="Euro 9 3" xfId="356" xr:uid="{00000000-0005-0000-0000-0000AF6C0000}"/>
    <cellStyle name="Euro 9 3 2" xfId="357" xr:uid="{00000000-0005-0000-0000-0000B06C0000}"/>
    <cellStyle name="Euro 9 3 3" xfId="19163" xr:uid="{00000000-0005-0000-0000-0000B16C0000}"/>
    <cellStyle name="Euro 9 3 3 2" xfId="20423" xr:uid="{00000000-0005-0000-0000-0000B26C0000}"/>
    <cellStyle name="Euro 9 3 4" xfId="20422" xr:uid="{00000000-0005-0000-0000-0000B36C0000}"/>
    <cellStyle name="Euro 9 3 5" xfId="19162" xr:uid="{00000000-0005-0000-0000-0000B46C0000}"/>
    <cellStyle name="Euro 9 4" xfId="358" xr:uid="{00000000-0005-0000-0000-0000B56C0000}"/>
    <cellStyle name="Euro 9 4 2" xfId="19165" xr:uid="{00000000-0005-0000-0000-0000B66C0000}"/>
    <cellStyle name="Euro 9 4 2 2" xfId="20425" xr:uid="{00000000-0005-0000-0000-0000B76C0000}"/>
    <cellStyle name="Euro 9 4 3" xfId="20424" xr:uid="{00000000-0005-0000-0000-0000B86C0000}"/>
    <cellStyle name="Euro 9 4 4" xfId="19164" xr:uid="{00000000-0005-0000-0000-0000B96C0000}"/>
    <cellStyle name="Euro 9 4 5" xfId="11285" xr:uid="{00000000-0005-0000-0000-0000BA6C0000}"/>
    <cellStyle name="Euro 9 5" xfId="359" xr:uid="{00000000-0005-0000-0000-0000BB6C0000}"/>
    <cellStyle name="Euro 9 5 2" xfId="11286" xr:uid="{00000000-0005-0000-0000-0000BC6C0000}"/>
    <cellStyle name="Euro 9 6" xfId="360" xr:uid="{00000000-0005-0000-0000-0000BD6C0000}"/>
    <cellStyle name="Euro 9 6 2" xfId="21298" xr:uid="{00000000-0005-0000-0000-0000BE6C0000}"/>
    <cellStyle name="Explanatory Text" xfId="3115" builtinId="53" customBuiltin="1"/>
    <cellStyle name="Explanatory Text 2" xfId="2033" xr:uid="{00000000-0005-0000-0000-0000C06C0000}"/>
    <cellStyle name="Fixed" xfId="7309" xr:uid="{00000000-0005-0000-0000-0000C16C0000}"/>
    <cellStyle name="Fixed 2" xfId="9710" xr:uid="{00000000-0005-0000-0000-0000C26C0000}"/>
    <cellStyle name="Fixed2 - Type2" xfId="361" xr:uid="{00000000-0005-0000-0000-0000C36C0000}"/>
    <cellStyle name="Format 1" xfId="3481" xr:uid="{00000000-0005-0000-0000-0000C46C0000}"/>
    <cellStyle name="God 2" xfId="3482" xr:uid="{00000000-0005-0000-0000-0000C56C0000}"/>
    <cellStyle name="God 2 2" xfId="7311" xr:uid="{00000000-0005-0000-0000-0000C66C0000}"/>
    <cellStyle name="God 3" xfId="7312" xr:uid="{00000000-0005-0000-0000-0000C76C0000}"/>
    <cellStyle name="God 4" xfId="7313" xr:uid="{00000000-0005-0000-0000-0000C86C0000}"/>
    <cellStyle name="God 5" xfId="7314" xr:uid="{00000000-0005-0000-0000-0000C96C0000}"/>
    <cellStyle name="God 5 2" xfId="10982" xr:uid="{00000000-0005-0000-0000-0000CA6C0000}"/>
    <cellStyle name="God 6" xfId="7603" xr:uid="{00000000-0005-0000-0000-0000CB6C0000}"/>
    <cellStyle name="God 7" xfId="7310" xr:uid="{00000000-0005-0000-0000-0000CC6C0000}"/>
    <cellStyle name="Good" xfId="3108" builtinId="26" customBuiltin="1"/>
    <cellStyle name="Good 2" xfId="2034" xr:uid="{00000000-0005-0000-0000-0000CE6C0000}"/>
    <cellStyle name="Heading 1" xfId="3104" builtinId="16" customBuiltin="1"/>
    <cellStyle name="Heading 1 2" xfId="362" xr:uid="{00000000-0005-0000-0000-0000D06C0000}"/>
    <cellStyle name="Heading 1 2 2" xfId="10430" xr:uid="{00000000-0005-0000-0000-0000D16C0000}"/>
    <cellStyle name="Heading 1 2 3" xfId="7316" xr:uid="{00000000-0005-0000-0000-0000D26C0000}"/>
    <cellStyle name="Heading 1 3" xfId="9711" xr:uid="{00000000-0005-0000-0000-0000D36C0000}"/>
    <cellStyle name="Heading 1 4" xfId="7315" xr:uid="{00000000-0005-0000-0000-0000D46C0000}"/>
    <cellStyle name="Heading 2" xfId="3105" builtinId="17" customBuiltin="1"/>
    <cellStyle name="Heading 2 2" xfId="2035" xr:uid="{00000000-0005-0000-0000-0000D66C0000}"/>
    <cellStyle name="Heading 2 2 2" xfId="10431" xr:uid="{00000000-0005-0000-0000-0000D76C0000}"/>
    <cellStyle name="Heading 2 2 3" xfId="7318" xr:uid="{00000000-0005-0000-0000-0000D86C0000}"/>
    <cellStyle name="Heading 2 3" xfId="9712" xr:uid="{00000000-0005-0000-0000-0000D96C0000}"/>
    <cellStyle name="Heading 2 4" xfId="7317" xr:uid="{00000000-0005-0000-0000-0000DA6C0000}"/>
    <cellStyle name="Heading 3" xfId="3106" builtinId="18" customBuiltin="1"/>
    <cellStyle name="Heading 3 2" xfId="2036" xr:uid="{00000000-0005-0000-0000-0000DC6C0000}"/>
    <cellStyle name="Heading 4" xfId="3107" builtinId="19" customBuiltin="1"/>
    <cellStyle name="Heading 4 2" xfId="2037" xr:uid="{00000000-0005-0000-0000-0000DE6C0000}"/>
    <cellStyle name="Headline" xfId="363" xr:uid="{00000000-0005-0000-0000-0000DF6C0000}"/>
    <cellStyle name="Hyperlink" xfId="40426" builtinId="8"/>
    <cellStyle name="Hyperlink 2" xfId="364" xr:uid="{00000000-0005-0000-0000-0000E16C0000}"/>
    <cellStyle name="Hyperlink 2 2" xfId="2038" xr:uid="{00000000-0005-0000-0000-0000E26C0000}"/>
    <cellStyle name="Hyperlink 3" xfId="365" xr:uid="{00000000-0005-0000-0000-0000E36C0000}"/>
    <cellStyle name="Hyperlink 4" xfId="39451" xr:uid="{00000000-0005-0000-0000-0000E46C0000}"/>
    <cellStyle name="Input 2" xfId="366" xr:uid="{00000000-0005-0000-0000-0000E56C0000}"/>
    <cellStyle name="Input 2 2" xfId="2039" xr:uid="{00000000-0005-0000-0000-0000E66C0000}"/>
    <cellStyle name="Input 2 2 2" xfId="7320" xr:uid="{00000000-0005-0000-0000-0000E76C0000}"/>
    <cellStyle name="Input 2 2 3" xfId="22112" xr:uid="{00000000-0005-0000-0000-0000E86C0000}"/>
    <cellStyle name="Input 2 3" xfId="11967" xr:uid="{00000000-0005-0000-0000-0000E96C0000}"/>
    <cellStyle name="Input 3" xfId="3461" xr:uid="{00000000-0005-0000-0000-0000EA6C0000}"/>
    <cellStyle name="Input 3 2" xfId="7321" xr:uid="{00000000-0005-0000-0000-0000EB6C0000}"/>
    <cellStyle name="Input 4" xfId="7322" xr:uid="{00000000-0005-0000-0000-0000EC6C0000}"/>
    <cellStyle name="Input 5" xfId="7323" xr:uid="{00000000-0005-0000-0000-0000ED6C0000}"/>
    <cellStyle name="Input 5 2" xfId="10932" xr:uid="{00000000-0005-0000-0000-0000EE6C0000}"/>
    <cellStyle name="Input 6" xfId="7606" xr:uid="{00000000-0005-0000-0000-0000EF6C0000}"/>
    <cellStyle name="Input 7" xfId="7319" xr:uid="{00000000-0005-0000-0000-0000F06C0000}"/>
    <cellStyle name="Input 8" xfId="11966" xr:uid="{00000000-0005-0000-0000-0000F16C0000}"/>
    <cellStyle name="InputCell" xfId="3455" xr:uid="{00000000-0005-0000-0000-0000F26C0000}"/>
    <cellStyle name="InputCells" xfId="367" xr:uid="{00000000-0005-0000-0000-0000F36C0000}"/>
    <cellStyle name="Komma 10" xfId="2040" xr:uid="{00000000-0005-0000-0000-0000F46C0000}"/>
    <cellStyle name="Komma 10 2" xfId="2041" xr:uid="{00000000-0005-0000-0000-0000F56C0000}"/>
    <cellStyle name="Komma 10 2 2" xfId="18920" xr:uid="{00000000-0005-0000-0000-0000F66C0000}"/>
    <cellStyle name="Komma 10 2 2 2" xfId="37080" xr:uid="{00000000-0005-0000-0000-0000F76C0000}"/>
    <cellStyle name="Komma 10 2 3" xfId="22114" xr:uid="{00000000-0005-0000-0000-0000F86C0000}"/>
    <cellStyle name="Komma 10 3" xfId="11072" xr:uid="{00000000-0005-0000-0000-0000F96C0000}"/>
    <cellStyle name="Komma 10 3 2" xfId="30079" xr:uid="{00000000-0005-0000-0000-0000FA6C0000}"/>
    <cellStyle name="Komma 10 4" xfId="22113" xr:uid="{00000000-0005-0000-0000-0000FB6C0000}"/>
    <cellStyle name="Komma 2" xfId="2042" xr:uid="{00000000-0005-0000-0000-0000FC6C0000}"/>
    <cellStyle name="Komma 2 2" xfId="2043" xr:uid="{00000000-0005-0000-0000-0000FD6C0000}"/>
    <cellStyle name="Komma 2 2 2" xfId="11083" xr:uid="{00000000-0005-0000-0000-0000FE6C0000}"/>
    <cellStyle name="Komma 2 2 2 2" xfId="18922" xr:uid="{00000000-0005-0000-0000-0000FF6C0000}"/>
    <cellStyle name="Komma 2 2 2 2 2" xfId="37081" xr:uid="{00000000-0005-0000-0000-0000006D0000}"/>
    <cellStyle name="Komma 2 2 2 3" xfId="21191" xr:uid="{00000000-0005-0000-0000-0000016D0000}"/>
    <cellStyle name="Komma 2 2 2 4" xfId="30080" xr:uid="{00000000-0005-0000-0000-0000026D0000}"/>
    <cellStyle name="Komma 2 2 3" xfId="7326" xr:uid="{00000000-0005-0000-0000-0000036D0000}"/>
    <cellStyle name="Komma 2 2 3 2" xfId="15486" xr:uid="{00000000-0005-0000-0000-0000046D0000}"/>
    <cellStyle name="Komma 2 2 3 2 2" xfId="33652" xr:uid="{00000000-0005-0000-0000-0000056D0000}"/>
    <cellStyle name="Komma 2 2 3 3" xfId="26650" xr:uid="{00000000-0005-0000-0000-0000066D0000}"/>
    <cellStyle name="Komma 2 2 4" xfId="19166" xr:uid="{00000000-0005-0000-0000-0000076D0000}"/>
    <cellStyle name="Komma 2 2 5" xfId="3480" xr:uid="{00000000-0005-0000-0000-0000086D0000}"/>
    <cellStyle name="Komma 2 2 6" xfId="22116" xr:uid="{00000000-0005-0000-0000-0000096D0000}"/>
    <cellStyle name="Komma 2 3" xfId="2044" xr:uid="{00000000-0005-0000-0000-00000A6D0000}"/>
    <cellStyle name="Komma 2 3 2" xfId="11084" xr:uid="{00000000-0005-0000-0000-00000B6D0000}"/>
    <cellStyle name="Komma 2 3 2 2" xfId="18923" xr:uid="{00000000-0005-0000-0000-00000C6D0000}"/>
    <cellStyle name="Komma 2 3 2 2 2" xfId="37082" xr:uid="{00000000-0005-0000-0000-00000D6D0000}"/>
    <cellStyle name="Komma 2 3 2 3" xfId="30081" xr:uid="{00000000-0005-0000-0000-00000E6D0000}"/>
    <cellStyle name="Komma 2 3 3" xfId="15487" xr:uid="{00000000-0005-0000-0000-00000F6D0000}"/>
    <cellStyle name="Komma 2 3 3 2" xfId="33653" xr:uid="{00000000-0005-0000-0000-0000106D0000}"/>
    <cellStyle name="Komma 2 3 4" xfId="21222" xr:uid="{00000000-0005-0000-0000-0000116D0000}"/>
    <cellStyle name="Komma 2 3 4 2" xfId="38073" xr:uid="{00000000-0005-0000-0000-0000126D0000}"/>
    <cellStyle name="Komma 2 3 5" xfId="7327" xr:uid="{00000000-0005-0000-0000-0000136D0000}"/>
    <cellStyle name="Komma 2 3 5 2" xfId="26651" xr:uid="{00000000-0005-0000-0000-0000146D0000}"/>
    <cellStyle name="Komma 2 3 6" xfId="39028" xr:uid="{00000000-0005-0000-0000-0000156D0000}"/>
    <cellStyle name="Komma 2 4" xfId="2045" xr:uid="{00000000-0005-0000-0000-0000166D0000}"/>
    <cellStyle name="Komma 2 4 2" xfId="2046" xr:uid="{00000000-0005-0000-0000-0000176D0000}"/>
    <cellStyle name="Komma 2 4 2 2" xfId="21190" xr:uid="{00000000-0005-0000-0000-0000186D0000}"/>
    <cellStyle name="Komma 2 4 2 3" xfId="22118" xr:uid="{00000000-0005-0000-0000-0000196D0000}"/>
    <cellStyle name="Komma 2 4 3" xfId="7328" xr:uid="{00000000-0005-0000-0000-00001A6D0000}"/>
    <cellStyle name="Komma 2 4 4" xfId="22117" xr:uid="{00000000-0005-0000-0000-00001B6D0000}"/>
    <cellStyle name="Komma 2 5" xfId="7329" xr:uid="{00000000-0005-0000-0000-00001C6D0000}"/>
    <cellStyle name="Komma 2 5 2" xfId="7330" xr:uid="{00000000-0005-0000-0000-00001D6D0000}"/>
    <cellStyle name="Komma 2 5 2 2" xfId="7331" xr:uid="{00000000-0005-0000-0000-00001E6D0000}"/>
    <cellStyle name="Komma 2 5 2 2 2" xfId="10426" xr:uid="{00000000-0005-0000-0000-00001F6D0000}"/>
    <cellStyle name="Komma 2 5 2 2 2 2" xfId="18327" xr:uid="{00000000-0005-0000-0000-0000206D0000}"/>
    <cellStyle name="Komma 2 5 2 2 2 2 2" xfId="36487" xr:uid="{00000000-0005-0000-0000-0000216D0000}"/>
    <cellStyle name="Komma 2 5 2 2 2 3" xfId="29486" xr:uid="{00000000-0005-0000-0000-0000226D0000}"/>
    <cellStyle name="Komma 2 5 3" xfId="7332" xr:uid="{00000000-0005-0000-0000-0000236D0000}"/>
    <cellStyle name="Komma 2 5 3 2" xfId="7333" xr:uid="{00000000-0005-0000-0000-0000246D0000}"/>
    <cellStyle name="Komma 2 5 3 2 2" xfId="11037" xr:uid="{00000000-0005-0000-0000-0000256D0000}"/>
    <cellStyle name="Komma 2 5 3 2 2 2" xfId="18913" xr:uid="{00000000-0005-0000-0000-0000266D0000}"/>
    <cellStyle name="Komma 2 5 3 2 2 2 2" xfId="37073" xr:uid="{00000000-0005-0000-0000-0000276D0000}"/>
    <cellStyle name="Komma 2 5 3 2 2 3" xfId="30072" xr:uid="{00000000-0005-0000-0000-0000286D0000}"/>
    <cellStyle name="Komma 2 5 3 3" xfId="8918" xr:uid="{00000000-0005-0000-0000-0000296D0000}"/>
    <cellStyle name="Komma 2 5 3 3 2" xfId="16832" xr:uid="{00000000-0005-0000-0000-00002A6D0000}"/>
    <cellStyle name="Komma 2 5 3 3 2 2" xfId="34992" xr:uid="{00000000-0005-0000-0000-00002B6D0000}"/>
    <cellStyle name="Komma 2 5 3 3 3" xfId="27991" xr:uid="{00000000-0005-0000-0000-00002C6D0000}"/>
    <cellStyle name="Komma 2 5 4" xfId="7334" xr:uid="{00000000-0005-0000-0000-00002D6D0000}"/>
    <cellStyle name="Komma 2 5 4 2" xfId="9703" xr:uid="{00000000-0005-0000-0000-00002E6D0000}"/>
    <cellStyle name="Komma 2 5 4 2 2" xfId="17613" xr:uid="{00000000-0005-0000-0000-00002F6D0000}"/>
    <cellStyle name="Komma 2 5 4 2 2 2" xfId="35773" xr:uid="{00000000-0005-0000-0000-0000306D0000}"/>
    <cellStyle name="Komma 2 5 4 2 3" xfId="28772" xr:uid="{00000000-0005-0000-0000-0000316D0000}"/>
    <cellStyle name="Komma 2 6" xfId="7335" xr:uid="{00000000-0005-0000-0000-0000326D0000}"/>
    <cellStyle name="Komma 2 7" xfId="11082" xr:uid="{00000000-0005-0000-0000-0000336D0000}"/>
    <cellStyle name="Komma 2 8" xfId="7325" xr:uid="{00000000-0005-0000-0000-0000346D0000}"/>
    <cellStyle name="Komma 2 9" xfId="22115" xr:uid="{00000000-0005-0000-0000-0000356D0000}"/>
    <cellStyle name="Komma 3" xfId="2047" xr:uid="{00000000-0005-0000-0000-0000366D0000}"/>
    <cellStyle name="Komma 3 10" xfId="22119" xr:uid="{00000000-0005-0000-0000-0000376D0000}"/>
    <cellStyle name="Komma 3 11" xfId="38087" xr:uid="{00000000-0005-0000-0000-0000386D0000}"/>
    <cellStyle name="Komma 3 2" xfId="2048" xr:uid="{00000000-0005-0000-0000-0000396D0000}"/>
    <cellStyle name="Komma 3 2 2" xfId="2049" xr:uid="{00000000-0005-0000-0000-00003A6D0000}"/>
    <cellStyle name="Komma 3 2 2 2" xfId="2050" xr:uid="{00000000-0005-0000-0000-00003B6D0000}"/>
    <cellStyle name="Komma 3 2 2 2 2" xfId="2051" xr:uid="{00000000-0005-0000-0000-00003C6D0000}"/>
    <cellStyle name="Komma 3 2 2 2 2 2" xfId="22123" xr:uid="{00000000-0005-0000-0000-00003D6D0000}"/>
    <cellStyle name="Komma 3 2 2 2 3" xfId="22122" xr:uid="{00000000-0005-0000-0000-00003E6D0000}"/>
    <cellStyle name="Komma 3 2 2 3" xfId="2052" xr:uid="{00000000-0005-0000-0000-00003F6D0000}"/>
    <cellStyle name="Komma 3 2 2 3 2" xfId="22124" xr:uid="{00000000-0005-0000-0000-0000406D0000}"/>
    <cellStyle name="Komma 3 2 2 4" xfId="7337" xr:uid="{00000000-0005-0000-0000-0000416D0000}"/>
    <cellStyle name="Komma 3 2 2 5" xfId="22121" xr:uid="{00000000-0005-0000-0000-0000426D0000}"/>
    <cellStyle name="Komma 3 2 3" xfId="2053" xr:uid="{00000000-0005-0000-0000-0000436D0000}"/>
    <cellStyle name="Komma 3 2 3 2" xfId="2054" xr:uid="{00000000-0005-0000-0000-0000446D0000}"/>
    <cellStyle name="Komma 3 2 3 2 2" xfId="2055" xr:uid="{00000000-0005-0000-0000-0000456D0000}"/>
    <cellStyle name="Komma 3 2 3 2 2 2" xfId="22127" xr:uid="{00000000-0005-0000-0000-0000466D0000}"/>
    <cellStyle name="Komma 3 2 3 2 3" xfId="22126" xr:uid="{00000000-0005-0000-0000-0000476D0000}"/>
    <cellStyle name="Komma 3 2 3 3" xfId="2056" xr:uid="{00000000-0005-0000-0000-0000486D0000}"/>
    <cellStyle name="Komma 3 2 3 3 2" xfId="22128" xr:uid="{00000000-0005-0000-0000-0000496D0000}"/>
    <cellStyle name="Komma 3 2 3 4" xfId="19168" xr:uid="{00000000-0005-0000-0000-00004A6D0000}"/>
    <cellStyle name="Komma 3 2 3 4 2" xfId="37133" xr:uid="{00000000-0005-0000-0000-00004B6D0000}"/>
    <cellStyle name="Komma 3 2 3 5" xfId="22125" xr:uid="{00000000-0005-0000-0000-00004C6D0000}"/>
    <cellStyle name="Komma 3 2 4" xfId="2057" xr:uid="{00000000-0005-0000-0000-00004D6D0000}"/>
    <cellStyle name="Komma 3 2 4 2" xfId="2058" xr:uid="{00000000-0005-0000-0000-00004E6D0000}"/>
    <cellStyle name="Komma 3 2 4 2 2" xfId="22130" xr:uid="{00000000-0005-0000-0000-00004F6D0000}"/>
    <cellStyle name="Komma 3 2 4 3" xfId="22129" xr:uid="{00000000-0005-0000-0000-0000506D0000}"/>
    <cellStyle name="Komma 3 2 5" xfId="2059" xr:uid="{00000000-0005-0000-0000-0000516D0000}"/>
    <cellStyle name="Komma 3 2 5 2" xfId="22131" xr:uid="{00000000-0005-0000-0000-0000526D0000}"/>
    <cellStyle name="Komma 3 2 6" xfId="3485" xr:uid="{00000000-0005-0000-0000-0000536D0000}"/>
    <cellStyle name="Komma 3 2 7" xfId="22120" xr:uid="{00000000-0005-0000-0000-0000546D0000}"/>
    <cellStyle name="Komma 3 2 8" xfId="38088" xr:uid="{00000000-0005-0000-0000-0000556D0000}"/>
    <cellStyle name="Komma 3 3" xfId="2060" xr:uid="{00000000-0005-0000-0000-0000566D0000}"/>
    <cellStyle name="Komma 3 3 2" xfId="2061" xr:uid="{00000000-0005-0000-0000-0000576D0000}"/>
    <cellStyle name="Komma 3 3 2 2" xfId="2062" xr:uid="{00000000-0005-0000-0000-0000586D0000}"/>
    <cellStyle name="Komma 3 3 2 2 2" xfId="22134" xr:uid="{00000000-0005-0000-0000-0000596D0000}"/>
    <cellStyle name="Komma 3 3 2 3" xfId="22133" xr:uid="{00000000-0005-0000-0000-00005A6D0000}"/>
    <cellStyle name="Komma 3 3 3" xfId="2063" xr:uid="{00000000-0005-0000-0000-00005B6D0000}"/>
    <cellStyle name="Komma 3 3 3 2" xfId="22135" xr:uid="{00000000-0005-0000-0000-00005C6D0000}"/>
    <cellStyle name="Komma 3 3 4" xfId="7338" xr:uid="{00000000-0005-0000-0000-00005D6D0000}"/>
    <cellStyle name="Komma 3 3 5" xfId="22132" xr:uid="{00000000-0005-0000-0000-00005E6D0000}"/>
    <cellStyle name="Komma 3 4" xfId="2064" xr:uid="{00000000-0005-0000-0000-00005F6D0000}"/>
    <cellStyle name="Komma 3 4 2" xfId="2065" xr:uid="{00000000-0005-0000-0000-0000606D0000}"/>
    <cellStyle name="Komma 3 4 2 2" xfId="2066" xr:uid="{00000000-0005-0000-0000-0000616D0000}"/>
    <cellStyle name="Komma 3 4 2 2 2" xfId="22138" xr:uid="{00000000-0005-0000-0000-0000626D0000}"/>
    <cellStyle name="Komma 3 4 2 3" xfId="18924" xr:uid="{00000000-0005-0000-0000-0000636D0000}"/>
    <cellStyle name="Komma 3 4 2 3 2" xfId="37083" xr:uid="{00000000-0005-0000-0000-0000646D0000}"/>
    <cellStyle name="Komma 3 4 2 4" xfId="22137" xr:uid="{00000000-0005-0000-0000-0000656D0000}"/>
    <cellStyle name="Komma 3 4 3" xfId="2067" xr:uid="{00000000-0005-0000-0000-0000666D0000}"/>
    <cellStyle name="Komma 3 4 3 2" xfId="22139" xr:uid="{00000000-0005-0000-0000-0000676D0000}"/>
    <cellStyle name="Komma 3 4 4" xfId="11085" xr:uid="{00000000-0005-0000-0000-0000686D0000}"/>
    <cellStyle name="Komma 3 4 4 2" xfId="30082" xr:uid="{00000000-0005-0000-0000-0000696D0000}"/>
    <cellStyle name="Komma 3 4 5" xfId="22136" xr:uid="{00000000-0005-0000-0000-00006A6D0000}"/>
    <cellStyle name="Komma 3 5" xfId="2068" xr:uid="{00000000-0005-0000-0000-00006B6D0000}"/>
    <cellStyle name="Komma 3 5 2" xfId="2069" xr:uid="{00000000-0005-0000-0000-00006C6D0000}"/>
    <cellStyle name="Komma 3 5 2 2" xfId="15488" xr:uid="{00000000-0005-0000-0000-00006D6D0000}"/>
    <cellStyle name="Komma 3 5 2 2 2" xfId="33654" xr:uid="{00000000-0005-0000-0000-00006E6D0000}"/>
    <cellStyle name="Komma 3 5 2 3" xfId="22141" xr:uid="{00000000-0005-0000-0000-00006F6D0000}"/>
    <cellStyle name="Komma 3 5 3" xfId="7336" xr:uid="{00000000-0005-0000-0000-0000706D0000}"/>
    <cellStyle name="Komma 3 5 3 2" xfId="26652" xr:uid="{00000000-0005-0000-0000-0000716D0000}"/>
    <cellStyle name="Komma 3 5 4" xfId="22140" xr:uid="{00000000-0005-0000-0000-0000726D0000}"/>
    <cellStyle name="Komma 3 6" xfId="2070" xr:uid="{00000000-0005-0000-0000-0000736D0000}"/>
    <cellStyle name="Komma 3 7" xfId="2071" xr:uid="{00000000-0005-0000-0000-0000746D0000}"/>
    <cellStyle name="Komma 3 7 2" xfId="2072" xr:uid="{00000000-0005-0000-0000-0000756D0000}"/>
    <cellStyle name="Komma 3 7 2 2" xfId="22143" xr:uid="{00000000-0005-0000-0000-0000766D0000}"/>
    <cellStyle name="Komma 3 7 3" xfId="19167" xr:uid="{00000000-0005-0000-0000-0000776D0000}"/>
    <cellStyle name="Komma 3 7 3 2" xfId="37132" xr:uid="{00000000-0005-0000-0000-0000786D0000}"/>
    <cellStyle name="Komma 3 7 4" xfId="22142" xr:uid="{00000000-0005-0000-0000-0000796D0000}"/>
    <cellStyle name="Komma 3 8" xfId="2073" xr:uid="{00000000-0005-0000-0000-00007A6D0000}"/>
    <cellStyle name="Komma 3 9" xfId="2074" xr:uid="{00000000-0005-0000-0000-00007B6D0000}"/>
    <cellStyle name="Komma 3 9 2" xfId="22144" xr:uid="{00000000-0005-0000-0000-00007C6D0000}"/>
    <cellStyle name="Komma 4" xfId="2075" xr:uid="{00000000-0005-0000-0000-00007D6D0000}"/>
    <cellStyle name="Komma 4 10" xfId="38089" xr:uid="{00000000-0005-0000-0000-00007E6D0000}"/>
    <cellStyle name="Komma 4 11" xfId="39379" xr:uid="{00000000-0005-0000-0000-00007F6D0000}"/>
    <cellStyle name="Komma 4 2" xfId="2076" xr:uid="{00000000-0005-0000-0000-0000806D0000}"/>
    <cellStyle name="Komma 4 2 2" xfId="2077" xr:uid="{00000000-0005-0000-0000-0000816D0000}"/>
    <cellStyle name="Komma 4 2 2 2" xfId="2078" xr:uid="{00000000-0005-0000-0000-0000826D0000}"/>
    <cellStyle name="Komma 4 2 2 2 2" xfId="21210" xr:uid="{00000000-0005-0000-0000-0000836D0000}"/>
    <cellStyle name="Komma 4 2 2 2 2 2" xfId="38062" xr:uid="{00000000-0005-0000-0000-0000846D0000}"/>
    <cellStyle name="Komma 4 2 2 2 3" xfId="22148" xr:uid="{00000000-0005-0000-0000-0000856D0000}"/>
    <cellStyle name="Komma 4 2 2 3" xfId="11087" xr:uid="{00000000-0005-0000-0000-0000866D0000}"/>
    <cellStyle name="Komma 4 2 2 4" xfId="22147" xr:uid="{00000000-0005-0000-0000-0000876D0000}"/>
    <cellStyle name="Komma 4 2 2 5" xfId="39017" xr:uid="{00000000-0005-0000-0000-0000886D0000}"/>
    <cellStyle name="Komma 4 2 3" xfId="2079" xr:uid="{00000000-0005-0000-0000-0000896D0000}"/>
    <cellStyle name="Komma 4 2 3 2" xfId="2080" xr:uid="{00000000-0005-0000-0000-00008A6D0000}"/>
    <cellStyle name="Komma 4 2 3 2 2" xfId="22150" xr:uid="{00000000-0005-0000-0000-00008B6D0000}"/>
    <cellStyle name="Komma 4 2 3 3" xfId="20426" xr:uid="{00000000-0005-0000-0000-00008C6D0000}"/>
    <cellStyle name="Komma 4 2 3 3 2" xfId="37743" xr:uid="{00000000-0005-0000-0000-00008D6D0000}"/>
    <cellStyle name="Komma 4 2 3 4" xfId="22149" xr:uid="{00000000-0005-0000-0000-00008E6D0000}"/>
    <cellStyle name="Komma 4 2 4" xfId="2081" xr:uid="{00000000-0005-0000-0000-00008F6D0000}"/>
    <cellStyle name="Komma 4 2 4 2" xfId="2082" xr:uid="{00000000-0005-0000-0000-0000906D0000}"/>
    <cellStyle name="Komma 4 2 4 2 2" xfId="22152" xr:uid="{00000000-0005-0000-0000-0000916D0000}"/>
    <cellStyle name="Komma 4 2 4 3" xfId="22151" xr:uid="{00000000-0005-0000-0000-0000926D0000}"/>
    <cellStyle name="Komma 4 2 5" xfId="2083" xr:uid="{00000000-0005-0000-0000-0000936D0000}"/>
    <cellStyle name="Komma 4 2 5 2" xfId="22153" xr:uid="{00000000-0005-0000-0000-0000946D0000}"/>
    <cellStyle name="Komma 4 2 6" xfId="7340" xr:uid="{00000000-0005-0000-0000-0000956D0000}"/>
    <cellStyle name="Komma 4 2 7" xfId="22146" xr:uid="{00000000-0005-0000-0000-0000966D0000}"/>
    <cellStyle name="Komma 4 2 8" xfId="38698" xr:uid="{00000000-0005-0000-0000-0000976D0000}"/>
    <cellStyle name="Komma 4 3" xfId="2084" xr:uid="{00000000-0005-0000-0000-0000986D0000}"/>
    <cellStyle name="Komma 4 3 2" xfId="2085" xr:uid="{00000000-0005-0000-0000-0000996D0000}"/>
    <cellStyle name="Komma 4 3 2 2" xfId="2086" xr:uid="{00000000-0005-0000-0000-00009A6D0000}"/>
    <cellStyle name="Komma 4 3 2 2 2" xfId="22156" xr:uid="{00000000-0005-0000-0000-00009B6D0000}"/>
    <cellStyle name="Komma 4 3 2 3" xfId="21192" xr:uid="{00000000-0005-0000-0000-00009C6D0000}"/>
    <cellStyle name="Komma 4 3 2 3 2" xfId="38052" xr:uid="{00000000-0005-0000-0000-00009D6D0000}"/>
    <cellStyle name="Komma 4 3 2 4" xfId="22155" xr:uid="{00000000-0005-0000-0000-00009E6D0000}"/>
    <cellStyle name="Komma 4 3 3" xfId="2087" xr:uid="{00000000-0005-0000-0000-00009F6D0000}"/>
    <cellStyle name="Komma 4 3 3 2" xfId="2088" xr:uid="{00000000-0005-0000-0000-0000A06D0000}"/>
    <cellStyle name="Komma 4 3 3 2 2" xfId="22158" xr:uid="{00000000-0005-0000-0000-0000A16D0000}"/>
    <cellStyle name="Komma 4 3 3 3" xfId="22157" xr:uid="{00000000-0005-0000-0000-0000A26D0000}"/>
    <cellStyle name="Komma 4 3 4" xfId="2089" xr:uid="{00000000-0005-0000-0000-0000A36D0000}"/>
    <cellStyle name="Komma 4 3 4 2" xfId="22159" xr:uid="{00000000-0005-0000-0000-0000A46D0000}"/>
    <cellStyle name="Komma 4 3 5" xfId="11086" xr:uid="{00000000-0005-0000-0000-0000A56D0000}"/>
    <cellStyle name="Komma 4 3 6" xfId="22154" xr:uid="{00000000-0005-0000-0000-0000A66D0000}"/>
    <cellStyle name="Komma 4 3 7" xfId="39007" xr:uid="{00000000-0005-0000-0000-0000A76D0000}"/>
    <cellStyle name="Komma 4 4" xfId="2090" xr:uid="{00000000-0005-0000-0000-0000A86D0000}"/>
    <cellStyle name="Komma 4 4 2" xfId="2091" xr:uid="{00000000-0005-0000-0000-0000A96D0000}"/>
    <cellStyle name="Komma 4 4 2 2" xfId="22161" xr:uid="{00000000-0005-0000-0000-0000AA6D0000}"/>
    <cellStyle name="Komma 4 4 3" xfId="7339" xr:uid="{00000000-0005-0000-0000-0000AB6D0000}"/>
    <cellStyle name="Komma 4 4 4" xfId="22160" xr:uid="{00000000-0005-0000-0000-0000AC6D0000}"/>
    <cellStyle name="Komma 4 5" xfId="2092" xr:uid="{00000000-0005-0000-0000-0000AD6D0000}"/>
    <cellStyle name="Komma 4 5 2" xfId="2093" xr:uid="{00000000-0005-0000-0000-0000AE6D0000}"/>
    <cellStyle name="Komma 4 5 2 2" xfId="18955" xr:uid="{00000000-0005-0000-0000-0000AF6D0000}"/>
    <cellStyle name="Komma 4 5 2 2 2" xfId="37114" xr:uid="{00000000-0005-0000-0000-0000B06D0000}"/>
    <cellStyle name="Komma 4 5 2 3" xfId="22163" xr:uid="{00000000-0005-0000-0000-0000B16D0000}"/>
    <cellStyle name="Komma 4 5 3" xfId="11181" xr:uid="{00000000-0005-0000-0000-0000B26D0000}"/>
    <cellStyle name="Komma 4 5 3 2" xfId="30113" xr:uid="{00000000-0005-0000-0000-0000B36D0000}"/>
    <cellStyle name="Komma 4 5 4" xfId="22162" xr:uid="{00000000-0005-0000-0000-0000B46D0000}"/>
    <cellStyle name="Komma 4 6" xfId="2094" xr:uid="{00000000-0005-0000-0000-0000B56D0000}"/>
    <cellStyle name="Komma 4 6 2" xfId="2095" xr:uid="{00000000-0005-0000-0000-0000B66D0000}"/>
    <cellStyle name="Komma 4 6 2 2" xfId="22165" xr:uid="{00000000-0005-0000-0000-0000B76D0000}"/>
    <cellStyle name="Komma 4 6 3" xfId="12295" xr:uid="{00000000-0005-0000-0000-0000B86D0000}"/>
    <cellStyle name="Komma 4 6 3 2" xfId="30465" xr:uid="{00000000-0005-0000-0000-0000B96D0000}"/>
    <cellStyle name="Komma 4 6 4" xfId="22164" xr:uid="{00000000-0005-0000-0000-0000BA6D0000}"/>
    <cellStyle name="Komma 4 7" xfId="2096" xr:uid="{00000000-0005-0000-0000-0000BB6D0000}"/>
    <cellStyle name="Komma 4 7 2" xfId="19169" xr:uid="{00000000-0005-0000-0000-0000BC6D0000}"/>
    <cellStyle name="Komma 4 7 2 2" xfId="37134" xr:uid="{00000000-0005-0000-0000-0000BD6D0000}"/>
    <cellStyle name="Komma 4 7 3" xfId="22166" xr:uid="{00000000-0005-0000-0000-0000BE6D0000}"/>
    <cellStyle name="Komma 4 8" xfId="3486" xr:uid="{00000000-0005-0000-0000-0000BF6D0000}"/>
    <cellStyle name="Komma 4 8 2" xfId="23463" xr:uid="{00000000-0005-0000-0000-0000C06D0000}"/>
    <cellStyle name="Komma 4 9" xfId="22145" xr:uid="{00000000-0005-0000-0000-0000C16D0000}"/>
    <cellStyle name="Komma 5" xfId="2097" xr:uid="{00000000-0005-0000-0000-0000C26D0000}"/>
    <cellStyle name="Komma 5 2" xfId="2098" xr:uid="{00000000-0005-0000-0000-0000C36D0000}"/>
    <cellStyle name="Komma 5 2 2" xfId="2099" xr:uid="{00000000-0005-0000-0000-0000C46D0000}"/>
    <cellStyle name="Komma 5 2 2 2" xfId="2100" xr:uid="{00000000-0005-0000-0000-0000C56D0000}"/>
    <cellStyle name="Komma 5 2 2 2 2" xfId="22170" xr:uid="{00000000-0005-0000-0000-0000C66D0000}"/>
    <cellStyle name="Komma 5 2 2 3" xfId="21211" xr:uid="{00000000-0005-0000-0000-0000C76D0000}"/>
    <cellStyle name="Komma 5 2 2 4" xfId="22169" xr:uid="{00000000-0005-0000-0000-0000C86D0000}"/>
    <cellStyle name="Komma 5 2 3" xfId="2101" xr:uid="{00000000-0005-0000-0000-0000C96D0000}"/>
    <cellStyle name="Komma 5 2 3 2" xfId="2102" xr:uid="{00000000-0005-0000-0000-0000CA6D0000}"/>
    <cellStyle name="Komma 5 2 3 2 2" xfId="22172" xr:uid="{00000000-0005-0000-0000-0000CB6D0000}"/>
    <cellStyle name="Komma 5 2 3 3" xfId="22171" xr:uid="{00000000-0005-0000-0000-0000CC6D0000}"/>
    <cellStyle name="Komma 5 2 4" xfId="2103" xr:uid="{00000000-0005-0000-0000-0000CD6D0000}"/>
    <cellStyle name="Komma 5 2 4 2" xfId="22173" xr:uid="{00000000-0005-0000-0000-0000CE6D0000}"/>
    <cellStyle name="Komma 5 2 5" xfId="11088" xr:uid="{00000000-0005-0000-0000-0000CF6D0000}"/>
    <cellStyle name="Komma 5 2 6" xfId="22168" xr:uid="{00000000-0005-0000-0000-0000D06D0000}"/>
    <cellStyle name="Komma 5 3" xfId="2104" xr:uid="{00000000-0005-0000-0000-0000D16D0000}"/>
    <cellStyle name="Komma 5 3 2" xfId="2105" xr:uid="{00000000-0005-0000-0000-0000D26D0000}"/>
    <cellStyle name="Komma 5 3 2 2" xfId="22175" xr:uid="{00000000-0005-0000-0000-0000D36D0000}"/>
    <cellStyle name="Komma 5 3 3" xfId="7341" xr:uid="{00000000-0005-0000-0000-0000D46D0000}"/>
    <cellStyle name="Komma 5 3 4" xfId="22174" xr:uid="{00000000-0005-0000-0000-0000D56D0000}"/>
    <cellStyle name="Komma 5 4" xfId="2106" xr:uid="{00000000-0005-0000-0000-0000D66D0000}"/>
    <cellStyle name="Komma 5 4 2" xfId="2107" xr:uid="{00000000-0005-0000-0000-0000D76D0000}"/>
    <cellStyle name="Komma 5 4 2 2" xfId="22177" xr:uid="{00000000-0005-0000-0000-0000D86D0000}"/>
    <cellStyle name="Komma 5 4 3" xfId="22176" xr:uid="{00000000-0005-0000-0000-0000D96D0000}"/>
    <cellStyle name="Komma 5 5" xfId="2108" xr:uid="{00000000-0005-0000-0000-0000DA6D0000}"/>
    <cellStyle name="Komma 5 5 2" xfId="2109" xr:uid="{00000000-0005-0000-0000-0000DB6D0000}"/>
    <cellStyle name="Komma 5 5 2 2" xfId="22179" xr:uid="{00000000-0005-0000-0000-0000DC6D0000}"/>
    <cellStyle name="Komma 5 5 3" xfId="22178" xr:uid="{00000000-0005-0000-0000-0000DD6D0000}"/>
    <cellStyle name="Komma 5 6" xfId="2110" xr:uid="{00000000-0005-0000-0000-0000DE6D0000}"/>
    <cellStyle name="Komma 5 6 2" xfId="22180" xr:uid="{00000000-0005-0000-0000-0000DF6D0000}"/>
    <cellStyle name="Komma 5 7" xfId="3477" xr:uid="{00000000-0005-0000-0000-0000E06D0000}"/>
    <cellStyle name="Komma 5 8" xfId="22167" xr:uid="{00000000-0005-0000-0000-0000E16D0000}"/>
    <cellStyle name="Komma 6" xfId="2111" xr:uid="{00000000-0005-0000-0000-0000E26D0000}"/>
    <cellStyle name="Komma 6 2" xfId="2112" xr:uid="{00000000-0005-0000-0000-0000E36D0000}"/>
    <cellStyle name="Komma 6 2 2" xfId="2113" xr:uid="{00000000-0005-0000-0000-0000E46D0000}"/>
    <cellStyle name="Komma 6 2 2 2" xfId="2114" xr:uid="{00000000-0005-0000-0000-0000E56D0000}"/>
    <cellStyle name="Komma 6 2 2 2 2" xfId="22184" xr:uid="{00000000-0005-0000-0000-0000E66D0000}"/>
    <cellStyle name="Komma 6 2 2 3" xfId="22183" xr:uid="{00000000-0005-0000-0000-0000E76D0000}"/>
    <cellStyle name="Komma 6 2 3" xfId="2115" xr:uid="{00000000-0005-0000-0000-0000E86D0000}"/>
    <cellStyle name="Komma 6 2 3 2" xfId="2116" xr:uid="{00000000-0005-0000-0000-0000E96D0000}"/>
    <cellStyle name="Komma 6 2 3 2 2" xfId="22186" xr:uid="{00000000-0005-0000-0000-0000EA6D0000}"/>
    <cellStyle name="Komma 6 2 3 3" xfId="22185" xr:uid="{00000000-0005-0000-0000-0000EB6D0000}"/>
    <cellStyle name="Komma 6 2 4" xfId="2117" xr:uid="{00000000-0005-0000-0000-0000EC6D0000}"/>
    <cellStyle name="Komma 6 2 4 2" xfId="22187" xr:uid="{00000000-0005-0000-0000-0000ED6D0000}"/>
    <cellStyle name="Komma 6 2 5" xfId="22182" xr:uid="{00000000-0005-0000-0000-0000EE6D0000}"/>
    <cellStyle name="Komma 6 3" xfId="2118" xr:uid="{00000000-0005-0000-0000-0000EF6D0000}"/>
    <cellStyle name="Komma 6 3 2" xfId="2119" xr:uid="{00000000-0005-0000-0000-0000F06D0000}"/>
    <cellStyle name="Komma 6 3 2 2" xfId="22189" xr:uid="{00000000-0005-0000-0000-0000F16D0000}"/>
    <cellStyle name="Komma 6 3 3" xfId="22188" xr:uid="{00000000-0005-0000-0000-0000F26D0000}"/>
    <cellStyle name="Komma 6 4" xfId="2120" xr:uid="{00000000-0005-0000-0000-0000F36D0000}"/>
    <cellStyle name="Komma 6 4 2" xfId="2121" xr:uid="{00000000-0005-0000-0000-0000F46D0000}"/>
    <cellStyle name="Komma 6 4 2 2" xfId="22191" xr:uid="{00000000-0005-0000-0000-0000F56D0000}"/>
    <cellStyle name="Komma 6 4 3" xfId="22190" xr:uid="{00000000-0005-0000-0000-0000F66D0000}"/>
    <cellStyle name="Komma 6 5" xfId="2122" xr:uid="{00000000-0005-0000-0000-0000F76D0000}"/>
    <cellStyle name="Komma 6 5 2" xfId="2123" xr:uid="{00000000-0005-0000-0000-0000F86D0000}"/>
    <cellStyle name="Komma 6 5 2 2" xfId="22193" xr:uid="{00000000-0005-0000-0000-0000F96D0000}"/>
    <cellStyle name="Komma 6 5 3" xfId="22192" xr:uid="{00000000-0005-0000-0000-0000FA6D0000}"/>
    <cellStyle name="Komma 6 6" xfId="2124" xr:uid="{00000000-0005-0000-0000-0000FB6D0000}"/>
    <cellStyle name="Komma 6 6 2" xfId="22194" xr:uid="{00000000-0005-0000-0000-0000FC6D0000}"/>
    <cellStyle name="Komma 6 7" xfId="7342" xr:uid="{00000000-0005-0000-0000-0000FD6D0000}"/>
    <cellStyle name="Komma 6 8" xfId="22181" xr:uid="{00000000-0005-0000-0000-0000FE6D0000}"/>
    <cellStyle name="Komma 7" xfId="2125" xr:uid="{00000000-0005-0000-0000-0000FF6D0000}"/>
    <cellStyle name="Komma 7 2" xfId="2126" xr:uid="{00000000-0005-0000-0000-0000006E0000}"/>
    <cellStyle name="Komma 7 2 2" xfId="2127" xr:uid="{00000000-0005-0000-0000-0000016E0000}"/>
    <cellStyle name="Komma 7 2 2 2" xfId="2128" xr:uid="{00000000-0005-0000-0000-0000026E0000}"/>
    <cellStyle name="Komma 7 2 2 2 2" xfId="22198" xr:uid="{00000000-0005-0000-0000-0000036E0000}"/>
    <cellStyle name="Komma 7 2 2 3" xfId="22197" xr:uid="{00000000-0005-0000-0000-0000046E0000}"/>
    <cellStyle name="Komma 7 2 3" xfId="2129" xr:uid="{00000000-0005-0000-0000-0000056E0000}"/>
    <cellStyle name="Komma 7 2 3 2" xfId="2130" xr:uid="{00000000-0005-0000-0000-0000066E0000}"/>
    <cellStyle name="Komma 7 2 3 2 2" xfId="22200" xr:uid="{00000000-0005-0000-0000-0000076E0000}"/>
    <cellStyle name="Komma 7 2 3 3" xfId="22199" xr:uid="{00000000-0005-0000-0000-0000086E0000}"/>
    <cellStyle name="Komma 7 2 4" xfId="2131" xr:uid="{00000000-0005-0000-0000-0000096E0000}"/>
    <cellStyle name="Komma 7 2 4 2" xfId="22201" xr:uid="{00000000-0005-0000-0000-00000A6E0000}"/>
    <cellStyle name="Komma 7 2 5" xfId="11089" xr:uid="{00000000-0005-0000-0000-00000B6E0000}"/>
    <cellStyle name="Komma 7 2 6" xfId="22196" xr:uid="{00000000-0005-0000-0000-00000C6E0000}"/>
    <cellStyle name="Komma 7 3" xfId="2132" xr:uid="{00000000-0005-0000-0000-00000D6E0000}"/>
    <cellStyle name="Komma 7 3 2" xfId="2133" xr:uid="{00000000-0005-0000-0000-00000E6E0000}"/>
    <cellStyle name="Komma 7 3 2 2" xfId="22203" xr:uid="{00000000-0005-0000-0000-00000F6E0000}"/>
    <cellStyle name="Komma 7 3 3" xfId="22202" xr:uid="{00000000-0005-0000-0000-0000106E0000}"/>
    <cellStyle name="Komma 7 4" xfId="2134" xr:uid="{00000000-0005-0000-0000-0000116E0000}"/>
    <cellStyle name="Komma 7 4 2" xfId="2135" xr:uid="{00000000-0005-0000-0000-0000126E0000}"/>
    <cellStyle name="Komma 7 4 2 2" xfId="22205" xr:uid="{00000000-0005-0000-0000-0000136E0000}"/>
    <cellStyle name="Komma 7 4 3" xfId="22204" xr:uid="{00000000-0005-0000-0000-0000146E0000}"/>
    <cellStyle name="Komma 7 5" xfId="2136" xr:uid="{00000000-0005-0000-0000-0000156E0000}"/>
    <cellStyle name="Komma 7 5 2" xfId="22206" xr:uid="{00000000-0005-0000-0000-0000166E0000}"/>
    <cellStyle name="Komma 7 6" xfId="7343" xr:uid="{00000000-0005-0000-0000-0000176E0000}"/>
    <cellStyle name="Komma 7 7" xfId="22195" xr:uid="{00000000-0005-0000-0000-0000186E0000}"/>
    <cellStyle name="Komma 8" xfId="2137" xr:uid="{00000000-0005-0000-0000-0000196E0000}"/>
    <cellStyle name="Komma 8 2" xfId="2138" xr:uid="{00000000-0005-0000-0000-00001A6E0000}"/>
    <cellStyle name="Komma 8 2 2" xfId="2139" xr:uid="{00000000-0005-0000-0000-00001B6E0000}"/>
    <cellStyle name="Komma 8 2 2 2" xfId="22209" xr:uid="{00000000-0005-0000-0000-00001C6E0000}"/>
    <cellStyle name="Komma 8 2 3" xfId="11081" xr:uid="{00000000-0005-0000-0000-00001D6E0000}"/>
    <cellStyle name="Komma 8 2 4" xfId="22208" xr:uid="{00000000-0005-0000-0000-00001E6E0000}"/>
    <cellStyle name="Komma 8 3" xfId="2140" xr:uid="{00000000-0005-0000-0000-00001F6E0000}"/>
    <cellStyle name="Komma 8 3 2" xfId="2141" xr:uid="{00000000-0005-0000-0000-0000206E0000}"/>
    <cellStyle name="Komma 8 3 2 2" xfId="22211" xr:uid="{00000000-0005-0000-0000-0000216E0000}"/>
    <cellStyle name="Komma 8 3 3" xfId="22210" xr:uid="{00000000-0005-0000-0000-0000226E0000}"/>
    <cellStyle name="Komma 8 4" xfId="2142" xr:uid="{00000000-0005-0000-0000-0000236E0000}"/>
    <cellStyle name="Komma 8 4 2" xfId="22212" xr:uid="{00000000-0005-0000-0000-0000246E0000}"/>
    <cellStyle name="Komma 8 5" xfId="7324" xr:uid="{00000000-0005-0000-0000-0000256E0000}"/>
    <cellStyle name="Komma 8 6" xfId="22207" xr:uid="{00000000-0005-0000-0000-0000266E0000}"/>
    <cellStyle name="Komma 9" xfId="2143" xr:uid="{00000000-0005-0000-0000-0000276E0000}"/>
    <cellStyle name="Komma 9 2" xfId="2144" xr:uid="{00000000-0005-0000-0000-0000286E0000}"/>
    <cellStyle name="Komma 9 2 2" xfId="18925" xr:uid="{00000000-0005-0000-0000-0000296E0000}"/>
    <cellStyle name="Komma 9 2 2 2" xfId="37084" xr:uid="{00000000-0005-0000-0000-00002A6E0000}"/>
    <cellStyle name="Komma 9 2 3" xfId="11148" xr:uid="{00000000-0005-0000-0000-00002B6E0000}"/>
    <cellStyle name="Komma 9 2 3 2" xfId="30083" xr:uid="{00000000-0005-0000-0000-00002C6E0000}"/>
    <cellStyle name="Komma 9 2 4" xfId="22214" xr:uid="{00000000-0005-0000-0000-00002D6E0000}"/>
    <cellStyle name="Komma 9 3" xfId="12372" xr:uid="{00000000-0005-0000-0000-00002E6E0000}"/>
    <cellStyle name="Komma 9 3 2" xfId="30539" xr:uid="{00000000-0005-0000-0000-00002F6E0000}"/>
    <cellStyle name="Komma 9 4" xfId="3815" xr:uid="{00000000-0005-0000-0000-0000306E0000}"/>
    <cellStyle name="Komma 9 4 2" xfId="23537" xr:uid="{00000000-0005-0000-0000-0000316E0000}"/>
    <cellStyle name="Komma 9 5" xfId="22213" xr:uid="{00000000-0005-0000-0000-0000326E0000}"/>
    <cellStyle name="Link 2" xfId="2145" xr:uid="{00000000-0005-0000-0000-0000336E0000}"/>
    <cellStyle name="Link 2 2" xfId="2146" xr:uid="{00000000-0005-0000-0000-0000346E0000}"/>
    <cellStyle name="Link 2 3" xfId="2147" xr:uid="{00000000-0005-0000-0000-0000356E0000}"/>
    <cellStyle name="Link 2 3 2" xfId="7345" xr:uid="{00000000-0005-0000-0000-0000366E0000}"/>
    <cellStyle name="Link 2 4" xfId="2148" xr:uid="{00000000-0005-0000-0000-0000376E0000}"/>
    <cellStyle name="Link 2 5" xfId="3479" xr:uid="{00000000-0005-0000-0000-0000386E0000}"/>
    <cellStyle name="Link 3" xfId="2149" xr:uid="{00000000-0005-0000-0000-0000396E0000}"/>
    <cellStyle name="Link 3 2" xfId="7346" xr:uid="{00000000-0005-0000-0000-00003A6E0000}"/>
    <cellStyle name="Link 3 3" xfId="19170" xr:uid="{00000000-0005-0000-0000-00003B6E0000}"/>
    <cellStyle name="Link 4" xfId="2150" xr:uid="{00000000-0005-0000-0000-00003C6E0000}"/>
    <cellStyle name="Link 4 2" xfId="7347" xr:uid="{00000000-0005-0000-0000-00003D6E0000}"/>
    <cellStyle name="Link 5" xfId="2151" xr:uid="{00000000-0005-0000-0000-00003E6E0000}"/>
    <cellStyle name="Link 5 2" xfId="7348" xr:uid="{00000000-0005-0000-0000-00003F6E0000}"/>
    <cellStyle name="Link 6" xfId="2152" xr:uid="{00000000-0005-0000-0000-0000406E0000}"/>
    <cellStyle name="Link 6 2" xfId="7344" xr:uid="{00000000-0005-0000-0000-0000416E0000}"/>
    <cellStyle name="Link 7" xfId="3103" xr:uid="{00000000-0005-0000-0000-0000426E0000}"/>
    <cellStyle name="Linked Cell" xfId="3112" builtinId="24" customBuiltin="1"/>
    <cellStyle name="Linked Cell 2" xfId="2153" xr:uid="{00000000-0005-0000-0000-0000446E0000}"/>
    <cellStyle name="Markeringsfarve1 2" xfId="7350" xr:uid="{00000000-0005-0000-0000-0000456E0000}"/>
    <cellStyle name="Markeringsfarve1 3" xfId="7351" xr:uid="{00000000-0005-0000-0000-0000466E0000}"/>
    <cellStyle name="Markeringsfarve1 4" xfId="7352" xr:uid="{00000000-0005-0000-0000-0000476E0000}"/>
    <cellStyle name="Markeringsfarve1 5" xfId="7353" xr:uid="{00000000-0005-0000-0000-0000486E0000}"/>
    <cellStyle name="Markeringsfarve1 5 2" xfId="10496" xr:uid="{00000000-0005-0000-0000-0000496E0000}"/>
    <cellStyle name="Markeringsfarve1 6" xfId="7611" xr:uid="{00000000-0005-0000-0000-00004A6E0000}"/>
    <cellStyle name="Markeringsfarve1 7" xfId="7349" xr:uid="{00000000-0005-0000-0000-00004B6E0000}"/>
    <cellStyle name="Markeringsfarve2 2" xfId="7355" xr:uid="{00000000-0005-0000-0000-00004C6E0000}"/>
    <cellStyle name="Markeringsfarve2 3" xfId="7356" xr:uid="{00000000-0005-0000-0000-00004D6E0000}"/>
    <cellStyle name="Markeringsfarve2 4" xfId="7357" xr:uid="{00000000-0005-0000-0000-00004E6E0000}"/>
    <cellStyle name="Markeringsfarve2 5" xfId="7358" xr:uid="{00000000-0005-0000-0000-00004F6E0000}"/>
    <cellStyle name="Markeringsfarve2 5 2" xfId="10981" xr:uid="{00000000-0005-0000-0000-0000506E0000}"/>
    <cellStyle name="Markeringsfarve2 6" xfId="7615" xr:uid="{00000000-0005-0000-0000-0000516E0000}"/>
    <cellStyle name="Markeringsfarve2 7" xfId="7354" xr:uid="{00000000-0005-0000-0000-0000526E0000}"/>
    <cellStyle name="Markeringsfarve3 2" xfId="7360" xr:uid="{00000000-0005-0000-0000-0000536E0000}"/>
    <cellStyle name="Markeringsfarve3 3" xfId="7361" xr:uid="{00000000-0005-0000-0000-0000546E0000}"/>
    <cellStyle name="Markeringsfarve3 4" xfId="7362" xr:uid="{00000000-0005-0000-0000-0000556E0000}"/>
    <cellStyle name="Markeringsfarve3 5" xfId="7363" xr:uid="{00000000-0005-0000-0000-0000566E0000}"/>
    <cellStyle name="Markeringsfarve3 5 2" xfId="10685" xr:uid="{00000000-0005-0000-0000-0000576E0000}"/>
    <cellStyle name="Markeringsfarve3 6" xfId="7619" xr:uid="{00000000-0005-0000-0000-0000586E0000}"/>
    <cellStyle name="Markeringsfarve3 7" xfId="7359" xr:uid="{00000000-0005-0000-0000-0000596E0000}"/>
    <cellStyle name="Markeringsfarve4 2" xfId="7365" xr:uid="{00000000-0005-0000-0000-00005A6E0000}"/>
    <cellStyle name="Markeringsfarve4 3" xfId="7366" xr:uid="{00000000-0005-0000-0000-00005B6E0000}"/>
    <cellStyle name="Markeringsfarve4 4" xfId="7367" xr:uid="{00000000-0005-0000-0000-00005C6E0000}"/>
    <cellStyle name="Markeringsfarve4 5" xfId="7368" xr:uid="{00000000-0005-0000-0000-00005D6E0000}"/>
    <cellStyle name="Markeringsfarve4 5 2" xfId="10498" xr:uid="{00000000-0005-0000-0000-00005E6E0000}"/>
    <cellStyle name="Markeringsfarve4 6" xfId="7623" xr:uid="{00000000-0005-0000-0000-00005F6E0000}"/>
    <cellStyle name="Markeringsfarve4 7" xfId="7364" xr:uid="{00000000-0005-0000-0000-0000606E0000}"/>
    <cellStyle name="Markeringsfarve6 2" xfId="7370" xr:uid="{00000000-0005-0000-0000-0000616E0000}"/>
    <cellStyle name="Markeringsfarve6 3" xfId="7371" xr:uid="{00000000-0005-0000-0000-0000626E0000}"/>
    <cellStyle name="Markeringsfarve6 4" xfId="7372" xr:uid="{00000000-0005-0000-0000-0000636E0000}"/>
    <cellStyle name="Markeringsfarve6 5" xfId="7373" xr:uid="{00000000-0005-0000-0000-0000646E0000}"/>
    <cellStyle name="Markeringsfarve6 5 2" xfId="10701" xr:uid="{00000000-0005-0000-0000-0000656E0000}"/>
    <cellStyle name="Markeringsfarve6 6" xfId="7630" xr:uid="{00000000-0005-0000-0000-0000666E0000}"/>
    <cellStyle name="Markeringsfarve6 7" xfId="7369" xr:uid="{00000000-0005-0000-0000-0000676E0000}"/>
    <cellStyle name="Migliaia [0] 10" xfId="368" xr:uid="{00000000-0005-0000-0000-0000686E0000}"/>
    <cellStyle name="Migliaia [0] 10 10" xfId="39938" xr:uid="{00000000-0005-0000-0000-0000696E0000}"/>
    <cellStyle name="Migliaia [0] 10 2" xfId="11287" xr:uid="{00000000-0005-0000-0000-00006A6E0000}"/>
    <cellStyle name="Migliaia [0] 10 2 2" xfId="20171" xr:uid="{00000000-0005-0000-0000-00006B6E0000}"/>
    <cellStyle name="Migliaia [0] 10 2 2 2" xfId="37681" xr:uid="{00000000-0005-0000-0000-00006C6E0000}"/>
    <cellStyle name="Migliaia [0] 10 2 3" xfId="38636" xr:uid="{00000000-0005-0000-0000-00006D6E0000}"/>
    <cellStyle name="Migliaia [0] 10 3" xfId="11968" xr:uid="{00000000-0005-0000-0000-00006E6E0000}"/>
    <cellStyle name="Migliaia [0] 10 3 2" xfId="30153" xr:uid="{00000000-0005-0000-0000-00006F6E0000}"/>
    <cellStyle name="Migliaia [0] 10 4" xfId="19171" xr:uid="{00000000-0005-0000-0000-0000706E0000}"/>
    <cellStyle name="Migliaia [0] 10 4 2" xfId="37135" xr:uid="{00000000-0005-0000-0000-0000716E0000}"/>
    <cellStyle name="Migliaia [0] 10 5" xfId="3148" xr:uid="{00000000-0005-0000-0000-0000726E0000}"/>
    <cellStyle name="Migliaia [0] 10 5 2" xfId="23148" xr:uid="{00000000-0005-0000-0000-0000736E0000}"/>
    <cellStyle name="Migliaia [0] 10 6" xfId="21299" xr:uid="{00000000-0005-0000-0000-0000746E0000}"/>
    <cellStyle name="Migliaia [0] 10 7" xfId="38090" xr:uid="{00000000-0005-0000-0000-0000756E0000}"/>
    <cellStyle name="Migliaia [0] 10 8" xfId="39052" xr:uid="{00000000-0005-0000-0000-0000766E0000}"/>
    <cellStyle name="Migliaia [0] 10 9" xfId="39452" xr:uid="{00000000-0005-0000-0000-0000776E0000}"/>
    <cellStyle name="Migliaia [0] 11" xfId="369" xr:uid="{00000000-0005-0000-0000-0000786E0000}"/>
    <cellStyle name="Migliaia [0] 11 10" xfId="39939" xr:uid="{00000000-0005-0000-0000-0000796E0000}"/>
    <cellStyle name="Migliaia [0] 11 2" xfId="11288" xr:uid="{00000000-0005-0000-0000-00007A6E0000}"/>
    <cellStyle name="Migliaia [0] 11 2 2" xfId="20172" xr:uid="{00000000-0005-0000-0000-00007B6E0000}"/>
    <cellStyle name="Migliaia [0] 11 2 2 2" xfId="37682" xr:uid="{00000000-0005-0000-0000-00007C6E0000}"/>
    <cellStyle name="Migliaia [0] 11 2 3" xfId="38637" xr:uid="{00000000-0005-0000-0000-00007D6E0000}"/>
    <cellStyle name="Migliaia [0] 11 3" xfId="11969" xr:uid="{00000000-0005-0000-0000-00007E6E0000}"/>
    <cellStyle name="Migliaia [0] 11 3 2" xfId="30154" xr:uid="{00000000-0005-0000-0000-00007F6E0000}"/>
    <cellStyle name="Migliaia [0] 11 4" xfId="19172" xr:uid="{00000000-0005-0000-0000-0000806E0000}"/>
    <cellStyle name="Migliaia [0] 11 4 2" xfId="37136" xr:uid="{00000000-0005-0000-0000-0000816E0000}"/>
    <cellStyle name="Migliaia [0] 11 5" xfId="3149" xr:uid="{00000000-0005-0000-0000-0000826E0000}"/>
    <cellStyle name="Migliaia [0] 11 5 2" xfId="23149" xr:uid="{00000000-0005-0000-0000-0000836E0000}"/>
    <cellStyle name="Migliaia [0] 11 6" xfId="21300" xr:uid="{00000000-0005-0000-0000-0000846E0000}"/>
    <cellStyle name="Migliaia [0] 11 7" xfId="38091" xr:uid="{00000000-0005-0000-0000-0000856E0000}"/>
    <cellStyle name="Migliaia [0] 11 8" xfId="39053" xr:uid="{00000000-0005-0000-0000-0000866E0000}"/>
    <cellStyle name="Migliaia [0] 11 9" xfId="39453" xr:uid="{00000000-0005-0000-0000-0000876E0000}"/>
    <cellStyle name="Migliaia [0] 12" xfId="370" xr:uid="{00000000-0005-0000-0000-0000886E0000}"/>
    <cellStyle name="Migliaia [0] 12 10" xfId="39940" xr:uid="{00000000-0005-0000-0000-0000896E0000}"/>
    <cellStyle name="Migliaia [0] 12 2" xfId="11289" xr:uid="{00000000-0005-0000-0000-00008A6E0000}"/>
    <cellStyle name="Migliaia [0] 12 2 2" xfId="20173" xr:uid="{00000000-0005-0000-0000-00008B6E0000}"/>
    <cellStyle name="Migliaia [0] 12 2 2 2" xfId="37683" xr:uid="{00000000-0005-0000-0000-00008C6E0000}"/>
    <cellStyle name="Migliaia [0] 12 2 3" xfId="38638" xr:uid="{00000000-0005-0000-0000-00008D6E0000}"/>
    <cellStyle name="Migliaia [0] 12 3" xfId="11970" xr:uid="{00000000-0005-0000-0000-00008E6E0000}"/>
    <cellStyle name="Migliaia [0] 12 3 2" xfId="30155" xr:uid="{00000000-0005-0000-0000-00008F6E0000}"/>
    <cellStyle name="Migliaia [0] 12 4" xfId="19173" xr:uid="{00000000-0005-0000-0000-0000906E0000}"/>
    <cellStyle name="Migliaia [0] 12 4 2" xfId="37137" xr:uid="{00000000-0005-0000-0000-0000916E0000}"/>
    <cellStyle name="Migliaia [0] 12 5" xfId="3150" xr:uid="{00000000-0005-0000-0000-0000926E0000}"/>
    <cellStyle name="Migliaia [0] 12 5 2" xfId="23150" xr:uid="{00000000-0005-0000-0000-0000936E0000}"/>
    <cellStyle name="Migliaia [0] 12 6" xfId="21301" xr:uid="{00000000-0005-0000-0000-0000946E0000}"/>
    <cellStyle name="Migliaia [0] 12 7" xfId="38092" xr:uid="{00000000-0005-0000-0000-0000956E0000}"/>
    <cellStyle name="Migliaia [0] 12 8" xfId="39054" xr:uid="{00000000-0005-0000-0000-0000966E0000}"/>
    <cellStyle name="Migliaia [0] 12 9" xfId="39454" xr:uid="{00000000-0005-0000-0000-0000976E0000}"/>
    <cellStyle name="Migliaia [0] 13" xfId="371" xr:uid="{00000000-0005-0000-0000-0000986E0000}"/>
    <cellStyle name="Migliaia [0] 13 10" xfId="39941" xr:uid="{00000000-0005-0000-0000-0000996E0000}"/>
    <cellStyle name="Migliaia [0] 13 2" xfId="11290" xr:uid="{00000000-0005-0000-0000-00009A6E0000}"/>
    <cellStyle name="Migliaia [0] 13 2 2" xfId="20174" xr:uid="{00000000-0005-0000-0000-00009B6E0000}"/>
    <cellStyle name="Migliaia [0] 13 2 2 2" xfId="37684" xr:uid="{00000000-0005-0000-0000-00009C6E0000}"/>
    <cellStyle name="Migliaia [0] 13 2 3" xfId="38639" xr:uid="{00000000-0005-0000-0000-00009D6E0000}"/>
    <cellStyle name="Migliaia [0] 13 3" xfId="11971" xr:uid="{00000000-0005-0000-0000-00009E6E0000}"/>
    <cellStyle name="Migliaia [0] 13 3 2" xfId="30156" xr:uid="{00000000-0005-0000-0000-00009F6E0000}"/>
    <cellStyle name="Migliaia [0] 13 4" xfId="19174" xr:uid="{00000000-0005-0000-0000-0000A06E0000}"/>
    <cellStyle name="Migliaia [0] 13 4 2" xfId="37138" xr:uid="{00000000-0005-0000-0000-0000A16E0000}"/>
    <cellStyle name="Migliaia [0] 13 5" xfId="3151" xr:uid="{00000000-0005-0000-0000-0000A26E0000}"/>
    <cellStyle name="Migliaia [0] 13 5 2" xfId="23151" xr:uid="{00000000-0005-0000-0000-0000A36E0000}"/>
    <cellStyle name="Migliaia [0] 13 6" xfId="21302" xr:uid="{00000000-0005-0000-0000-0000A46E0000}"/>
    <cellStyle name="Migliaia [0] 13 7" xfId="38093" xr:uid="{00000000-0005-0000-0000-0000A56E0000}"/>
    <cellStyle name="Migliaia [0] 13 8" xfId="39055" xr:uid="{00000000-0005-0000-0000-0000A66E0000}"/>
    <cellStyle name="Migliaia [0] 13 9" xfId="39455" xr:uid="{00000000-0005-0000-0000-0000A76E0000}"/>
    <cellStyle name="Migliaia [0] 14" xfId="372" xr:uid="{00000000-0005-0000-0000-0000A86E0000}"/>
    <cellStyle name="Migliaia [0] 14 10" xfId="39942" xr:uid="{00000000-0005-0000-0000-0000A96E0000}"/>
    <cellStyle name="Migliaia [0] 14 2" xfId="11291" xr:uid="{00000000-0005-0000-0000-0000AA6E0000}"/>
    <cellStyle name="Migliaia [0] 14 2 2" xfId="20175" xr:uid="{00000000-0005-0000-0000-0000AB6E0000}"/>
    <cellStyle name="Migliaia [0] 14 2 2 2" xfId="37685" xr:uid="{00000000-0005-0000-0000-0000AC6E0000}"/>
    <cellStyle name="Migliaia [0] 14 2 3" xfId="38640" xr:uid="{00000000-0005-0000-0000-0000AD6E0000}"/>
    <cellStyle name="Migliaia [0] 14 3" xfId="11972" xr:uid="{00000000-0005-0000-0000-0000AE6E0000}"/>
    <cellStyle name="Migliaia [0] 14 3 2" xfId="30157" xr:uid="{00000000-0005-0000-0000-0000AF6E0000}"/>
    <cellStyle name="Migliaia [0] 14 4" xfId="19175" xr:uid="{00000000-0005-0000-0000-0000B06E0000}"/>
    <cellStyle name="Migliaia [0] 14 4 2" xfId="37139" xr:uid="{00000000-0005-0000-0000-0000B16E0000}"/>
    <cellStyle name="Migliaia [0] 14 5" xfId="3152" xr:uid="{00000000-0005-0000-0000-0000B26E0000}"/>
    <cellStyle name="Migliaia [0] 14 5 2" xfId="23152" xr:uid="{00000000-0005-0000-0000-0000B36E0000}"/>
    <cellStyle name="Migliaia [0] 14 6" xfId="21303" xr:uid="{00000000-0005-0000-0000-0000B46E0000}"/>
    <cellStyle name="Migliaia [0] 14 7" xfId="38094" xr:uid="{00000000-0005-0000-0000-0000B56E0000}"/>
    <cellStyle name="Migliaia [0] 14 8" xfId="39056" xr:uid="{00000000-0005-0000-0000-0000B66E0000}"/>
    <cellStyle name="Migliaia [0] 14 9" xfId="39456" xr:uid="{00000000-0005-0000-0000-0000B76E0000}"/>
    <cellStyle name="Migliaia [0] 15" xfId="373" xr:uid="{00000000-0005-0000-0000-0000B86E0000}"/>
    <cellStyle name="Migliaia [0] 15 10" xfId="39943" xr:uid="{00000000-0005-0000-0000-0000B96E0000}"/>
    <cellStyle name="Migliaia [0] 15 2" xfId="11292" xr:uid="{00000000-0005-0000-0000-0000BA6E0000}"/>
    <cellStyle name="Migliaia [0] 15 2 2" xfId="20176" xr:uid="{00000000-0005-0000-0000-0000BB6E0000}"/>
    <cellStyle name="Migliaia [0] 15 2 2 2" xfId="37686" xr:uid="{00000000-0005-0000-0000-0000BC6E0000}"/>
    <cellStyle name="Migliaia [0] 15 2 3" xfId="38641" xr:uid="{00000000-0005-0000-0000-0000BD6E0000}"/>
    <cellStyle name="Migliaia [0] 15 3" xfId="11973" xr:uid="{00000000-0005-0000-0000-0000BE6E0000}"/>
    <cellStyle name="Migliaia [0] 15 3 2" xfId="30158" xr:uid="{00000000-0005-0000-0000-0000BF6E0000}"/>
    <cellStyle name="Migliaia [0] 15 4" xfId="19176" xr:uid="{00000000-0005-0000-0000-0000C06E0000}"/>
    <cellStyle name="Migliaia [0] 15 4 2" xfId="37140" xr:uid="{00000000-0005-0000-0000-0000C16E0000}"/>
    <cellStyle name="Migliaia [0] 15 5" xfId="3153" xr:uid="{00000000-0005-0000-0000-0000C26E0000}"/>
    <cellStyle name="Migliaia [0] 15 5 2" xfId="23153" xr:uid="{00000000-0005-0000-0000-0000C36E0000}"/>
    <cellStyle name="Migliaia [0] 15 6" xfId="21304" xr:uid="{00000000-0005-0000-0000-0000C46E0000}"/>
    <cellStyle name="Migliaia [0] 15 7" xfId="38095" xr:uid="{00000000-0005-0000-0000-0000C56E0000}"/>
    <cellStyle name="Migliaia [0] 15 8" xfId="39057" xr:uid="{00000000-0005-0000-0000-0000C66E0000}"/>
    <cellStyle name="Migliaia [0] 15 9" xfId="39457" xr:uid="{00000000-0005-0000-0000-0000C76E0000}"/>
    <cellStyle name="Migliaia [0] 16" xfId="374" xr:uid="{00000000-0005-0000-0000-0000C86E0000}"/>
    <cellStyle name="Migliaia [0] 16 10" xfId="39944" xr:uid="{00000000-0005-0000-0000-0000C96E0000}"/>
    <cellStyle name="Migliaia [0] 16 2" xfId="11293" xr:uid="{00000000-0005-0000-0000-0000CA6E0000}"/>
    <cellStyle name="Migliaia [0] 16 2 2" xfId="20177" xr:uid="{00000000-0005-0000-0000-0000CB6E0000}"/>
    <cellStyle name="Migliaia [0] 16 2 2 2" xfId="37687" xr:uid="{00000000-0005-0000-0000-0000CC6E0000}"/>
    <cellStyle name="Migliaia [0] 16 2 3" xfId="38642" xr:uid="{00000000-0005-0000-0000-0000CD6E0000}"/>
    <cellStyle name="Migliaia [0] 16 3" xfId="11974" xr:uid="{00000000-0005-0000-0000-0000CE6E0000}"/>
    <cellStyle name="Migliaia [0] 16 3 2" xfId="30159" xr:uid="{00000000-0005-0000-0000-0000CF6E0000}"/>
    <cellStyle name="Migliaia [0] 16 4" xfId="19177" xr:uid="{00000000-0005-0000-0000-0000D06E0000}"/>
    <cellStyle name="Migliaia [0] 16 4 2" xfId="37141" xr:uid="{00000000-0005-0000-0000-0000D16E0000}"/>
    <cellStyle name="Migliaia [0] 16 5" xfId="3154" xr:uid="{00000000-0005-0000-0000-0000D26E0000}"/>
    <cellStyle name="Migliaia [0] 16 5 2" xfId="23154" xr:uid="{00000000-0005-0000-0000-0000D36E0000}"/>
    <cellStyle name="Migliaia [0] 16 6" xfId="21305" xr:uid="{00000000-0005-0000-0000-0000D46E0000}"/>
    <cellStyle name="Migliaia [0] 16 7" xfId="38096" xr:uid="{00000000-0005-0000-0000-0000D56E0000}"/>
    <cellStyle name="Migliaia [0] 16 8" xfId="39058" xr:uid="{00000000-0005-0000-0000-0000D66E0000}"/>
    <cellStyle name="Migliaia [0] 16 9" xfId="39458" xr:uid="{00000000-0005-0000-0000-0000D76E0000}"/>
    <cellStyle name="Migliaia [0] 17" xfId="375" xr:uid="{00000000-0005-0000-0000-0000D86E0000}"/>
    <cellStyle name="Migliaia [0] 17 10" xfId="39945" xr:uid="{00000000-0005-0000-0000-0000D96E0000}"/>
    <cellStyle name="Migliaia [0] 17 2" xfId="11294" xr:uid="{00000000-0005-0000-0000-0000DA6E0000}"/>
    <cellStyle name="Migliaia [0] 17 2 2" xfId="20178" xr:uid="{00000000-0005-0000-0000-0000DB6E0000}"/>
    <cellStyle name="Migliaia [0] 17 2 2 2" xfId="37688" xr:uid="{00000000-0005-0000-0000-0000DC6E0000}"/>
    <cellStyle name="Migliaia [0] 17 2 3" xfId="38643" xr:uid="{00000000-0005-0000-0000-0000DD6E0000}"/>
    <cellStyle name="Migliaia [0] 17 3" xfId="11975" xr:uid="{00000000-0005-0000-0000-0000DE6E0000}"/>
    <cellStyle name="Migliaia [0] 17 3 2" xfId="30160" xr:uid="{00000000-0005-0000-0000-0000DF6E0000}"/>
    <cellStyle name="Migliaia [0] 17 4" xfId="19178" xr:uid="{00000000-0005-0000-0000-0000E06E0000}"/>
    <cellStyle name="Migliaia [0] 17 4 2" xfId="37142" xr:uid="{00000000-0005-0000-0000-0000E16E0000}"/>
    <cellStyle name="Migliaia [0] 17 5" xfId="3155" xr:uid="{00000000-0005-0000-0000-0000E26E0000}"/>
    <cellStyle name="Migliaia [0] 17 5 2" xfId="23155" xr:uid="{00000000-0005-0000-0000-0000E36E0000}"/>
    <cellStyle name="Migliaia [0] 17 6" xfId="21306" xr:uid="{00000000-0005-0000-0000-0000E46E0000}"/>
    <cellStyle name="Migliaia [0] 17 7" xfId="38097" xr:uid="{00000000-0005-0000-0000-0000E56E0000}"/>
    <cellStyle name="Migliaia [0] 17 8" xfId="39059" xr:uid="{00000000-0005-0000-0000-0000E66E0000}"/>
    <cellStyle name="Migliaia [0] 17 9" xfId="39459" xr:uid="{00000000-0005-0000-0000-0000E76E0000}"/>
    <cellStyle name="Migliaia [0] 18" xfId="376" xr:uid="{00000000-0005-0000-0000-0000E86E0000}"/>
    <cellStyle name="Migliaia [0] 18 10" xfId="39946" xr:uid="{00000000-0005-0000-0000-0000E96E0000}"/>
    <cellStyle name="Migliaia [0] 18 2" xfId="11295" xr:uid="{00000000-0005-0000-0000-0000EA6E0000}"/>
    <cellStyle name="Migliaia [0] 18 2 2" xfId="20179" xr:uid="{00000000-0005-0000-0000-0000EB6E0000}"/>
    <cellStyle name="Migliaia [0] 18 2 2 2" xfId="37689" xr:uid="{00000000-0005-0000-0000-0000EC6E0000}"/>
    <cellStyle name="Migliaia [0] 18 2 3" xfId="38644" xr:uid="{00000000-0005-0000-0000-0000ED6E0000}"/>
    <cellStyle name="Migliaia [0] 18 3" xfId="11976" xr:uid="{00000000-0005-0000-0000-0000EE6E0000}"/>
    <cellStyle name="Migliaia [0] 18 3 2" xfId="30161" xr:uid="{00000000-0005-0000-0000-0000EF6E0000}"/>
    <cellStyle name="Migliaia [0] 18 4" xfId="19179" xr:uid="{00000000-0005-0000-0000-0000F06E0000}"/>
    <cellStyle name="Migliaia [0] 18 4 2" xfId="37143" xr:uid="{00000000-0005-0000-0000-0000F16E0000}"/>
    <cellStyle name="Migliaia [0] 18 5" xfId="3156" xr:uid="{00000000-0005-0000-0000-0000F26E0000}"/>
    <cellStyle name="Migliaia [0] 18 5 2" xfId="23156" xr:uid="{00000000-0005-0000-0000-0000F36E0000}"/>
    <cellStyle name="Migliaia [0] 18 6" xfId="21307" xr:uid="{00000000-0005-0000-0000-0000F46E0000}"/>
    <cellStyle name="Migliaia [0] 18 7" xfId="38098" xr:uid="{00000000-0005-0000-0000-0000F56E0000}"/>
    <cellStyle name="Migliaia [0] 18 8" xfId="39060" xr:uid="{00000000-0005-0000-0000-0000F66E0000}"/>
    <cellStyle name="Migliaia [0] 18 9" xfId="39460" xr:uid="{00000000-0005-0000-0000-0000F76E0000}"/>
    <cellStyle name="Migliaia [0] 19" xfId="377" xr:uid="{00000000-0005-0000-0000-0000F86E0000}"/>
    <cellStyle name="Migliaia [0] 19 10" xfId="39947" xr:uid="{00000000-0005-0000-0000-0000F96E0000}"/>
    <cellStyle name="Migliaia [0] 19 2" xfId="11296" xr:uid="{00000000-0005-0000-0000-0000FA6E0000}"/>
    <cellStyle name="Migliaia [0] 19 2 2" xfId="20180" xr:uid="{00000000-0005-0000-0000-0000FB6E0000}"/>
    <cellStyle name="Migliaia [0] 19 2 2 2" xfId="37690" xr:uid="{00000000-0005-0000-0000-0000FC6E0000}"/>
    <cellStyle name="Migliaia [0] 19 2 3" xfId="38645" xr:uid="{00000000-0005-0000-0000-0000FD6E0000}"/>
    <cellStyle name="Migliaia [0] 19 3" xfId="11977" xr:uid="{00000000-0005-0000-0000-0000FE6E0000}"/>
    <cellStyle name="Migliaia [0] 19 3 2" xfId="30162" xr:uid="{00000000-0005-0000-0000-0000FF6E0000}"/>
    <cellStyle name="Migliaia [0] 19 4" xfId="19180" xr:uid="{00000000-0005-0000-0000-0000006F0000}"/>
    <cellStyle name="Migliaia [0] 19 4 2" xfId="37144" xr:uid="{00000000-0005-0000-0000-0000016F0000}"/>
    <cellStyle name="Migliaia [0] 19 5" xfId="3157" xr:uid="{00000000-0005-0000-0000-0000026F0000}"/>
    <cellStyle name="Migliaia [0] 19 5 2" xfId="23157" xr:uid="{00000000-0005-0000-0000-0000036F0000}"/>
    <cellStyle name="Migliaia [0] 19 6" xfId="21308" xr:uid="{00000000-0005-0000-0000-0000046F0000}"/>
    <cellStyle name="Migliaia [0] 19 7" xfId="38099" xr:uid="{00000000-0005-0000-0000-0000056F0000}"/>
    <cellStyle name="Migliaia [0] 19 8" xfId="39061" xr:uid="{00000000-0005-0000-0000-0000066F0000}"/>
    <cellStyle name="Migliaia [0] 19 9" xfId="39461" xr:uid="{00000000-0005-0000-0000-0000076F0000}"/>
    <cellStyle name="Migliaia [0] 2" xfId="378" xr:uid="{00000000-0005-0000-0000-0000086F0000}"/>
    <cellStyle name="Migliaia [0] 2 10" xfId="39948" xr:uid="{00000000-0005-0000-0000-0000096F0000}"/>
    <cellStyle name="Migliaia [0] 2 2" xfId="11297" xr:uid="{00000000-0005-0000-0000-00000A6F0000}"/>
    <cellStyle name="Migliaia [0] 2 2 2" xfId="20181" xr:uid="{00000000-0005-0000-0000-00000B6F0000}"/>
    <cellStyle name="Migliaia [0] 2 2 2 2" xfId="37691" xr:uid="{00000000-0005-0000-0000-00000C6F0000}"/>
    <cellStyle name="Migliaia [0] 2 2 3" xfId="38646" xr:uid="{00000000-0005-0000-0000-00000D6F0000}"/>
    <cellStyle name="Migliaia [0] 2 3" xfId="11978" xr:uid="{00000000-0005-0000-0000-00000E6F0000}"/>
    <cellStyle name="Migliaia [0] 2 3 2" xfId="30163" xr:uid="{00000000-0005-0000-0000-00000F6F0000}"/>
    <cellStyle name="Migliaia [0] 2 4" xfId="19181" xr:uid="{00000000-0005-0000-0000-0000106F0000}"/>
    <cellStyle name="Migliaia [0] 2 4 2" xfId="37145" xr:uid="{00000000-0005-0000-0000-0000116F0000}"/>
    <cellStyle name="Migliaia [0] 2 5" xfId="3158" xr:uid="{00000000-0005-0000-0000-0000126F0000}"/>
    <cellStyle name="Migliaia [0] 2 5 2" xfId="23158" xr:uid="{00000000-0005-0000-0000-0000136F0000}"/>
    <cellStyle name="Migliaia [0] 2 6" xfId="21309" xr:uid="{00000000-0005-0000-0000-0000146F0000}"/>
    <cellStyle name="Migliaia [0] 2 7" xfId="38100" xr:uid="{00000000-0005-0000-0000-0000156F0000}"/>
    <cellStyle name="Migliaia [0] 2 8" xfId="39062" xr:uid="{00000000-0005-0000-0000-0000166F0000}"/>
    <cellStyle name="Migliaia [0] 2 9" xfId="39462" xr:uid="{00000000-0005-0000-0000-0000176F0000}"/>
    <cellStyle name="Migliaia [0] 20" xfId="379" xr:uid="{00000000-0005-0000-0000-0000186F0000}"/>
    <cellStyle name="Migliaia [0] 20 10" xfId="39949" xr:uid="{00000000-0005-0000-0000-0000196F0000}"/>
    <cellStyle name="Migliaia [0] 20 2" xfId="11298" xr:uid="{00000000-0005-0000-0000-00001A6F0000}"/>
    <cellStyle name="Migliaia [0] 20 2 2" xfId="20182" xr:uid="{00000000-0005-0000-0000-00001B6F0000}"/>
    <cellStyle name="Migliaia [0] 20 2 2 2" xfId="37692" xr:uid="{00000000-0005-0000-0000-00001C6F0000}"/>
    <cellStyle name="Migliaia [0] 20 2 3" xfId="38647" xr:uid="{00000000-0005-0000-0000-00001D6F0000}"/>
    <cellStyle name="Migliaia [0] 20 3" xfId="11979" xr:uid="{00000000-0005-0000-0000-00001E6F0000}"/>
    <cellStyle name="Migliaia [0] 20 3 2" xfId="30164" xr:uid="{00000000-0005-0000-0000-00001F6F0000}"/>
    <cellStyle name="Migliaia [0] 20 4" xfId="19182" xr:uid="{00000000-0005-0000-0000-0000206F0000}"/>
    <cellStyle name="Migliaia [0] 20 4 2" xfId="37146" xr:uid="{00000000-0005-0000-0000-0000216F0000}"/>
    <cellStyle name="Migliaia [0] 20 5" xfId="3159" xr:uid="{00000000-0005-0000-0000-0000226F0000}"/>
    <cellStyle name="Migliaia [0] 20 5 2" xfId="23159" xr:uid="{00000000-0005-0000-0000-0000236F0000}"/>
    <cellStyle name="Migliaia [0] 20 6" xfId="21310" xr:uid="{00000000-0005-0000-0000-0000246F0000}"/>
    <cellStyle name="Migliaia [0] 20 7" xfId="38101" xr:uid="{00000000-0005-0000-0000-0000256F0000}"/>
    <cellStyle name="Migliaia [0] 20 8" xfId="39063" xr:uid="{00000000-0005-0000-0000-0000266F0000}"/>
    <cellStyle name="Migliaia [0] 20 9" xfId="39463" xr:uid="{00000000-0005-0000-0000-0000276F0000}"/>
    <cellStyle name="Migliaia [0] 21" xfId="380" xr:uid="{00000000-0005-0000-0000-0000286F0000}"/>
    <cellStyle name="Migliaia [0] 21 10" xfId="39950" xr:uid="{00000000-0005-0000-0000-0000296F0000}"/>
    <cellStyle name="Migliaia [0] 21 2" xfId="11299" xr:uid="{00000000-0005-0000-0000-00002A6F0000}"/>
    <cellStyle name="Migliaia [0] 21 2 2" xfId="20183" xr:uid="{00000000-0005-0000-0000-00002B6F0000}"/>
    <cellStyle name="Migliaia [0] 21 2 2 2" xfId="37693" xr:uid="{00000000-0005-0000-0000-00002C6F0000}"/>
    <cellStyle name="Migliaia [0] 21 2 3" xfId="38648" xr:uid="{00000000-0005-0000-0000-00002D6F0000}"/>
    <cellStyle name="Migliaia [0] 21 3" xfId="11980" xr:uid="{00000000-0005-0000-0000-00002E6F0000}"/>
    <cellStyle name="Migliaia [0] 21 3 2" xfId="30165" xr:uid="{00000000-0005-0000-0000-00002F6F0000}"/>
    <cellStyle name="Migliaia [0] 21 4" xfId="19183" xr:uid="{00000000-0005-0000-0000-0000306F0000}"/>
    <cellStyle name="Migliaia [0] 21 4 2" xfId="37147" xr:uid="{00000000-0005-0000-0000-0000316F0000}"/>
    <cellStyle name="Migliaia [0] 21 5" xfId="3160" xr:uid="{00000000-0005-0000-0000-0000326F0000}"/>
    <cellStyle name="Migliaia [0] 21 5 2" xfId="23160" xr:uid="{00000000-0005-0000-0000-0000336F0000}"/>
    <cellStyle name="Migliaia [0] 21 6" xfId="21311" xr:uid="{00000000-0005-0000-0000-0000346F0000}"/>
    <cellStyle name="Migliaia [0] 21 7" xfId="38102" xr:uid="{00000000-0005-0000-0000-0000356F0000}"/>
    <cellStyle name="Migliaia [0] 21 8" xfId="39064" xr:uid="{00000000-0005-0000-0000-0000366F0000}"/>
    <cellStyle name="Migliaia [0] 21 9" xfId="39464" xr:uid="{00000000-0005-0000-0000-0000376F0000}"/>
    <cellStyle name="Migliaia [0] 22" xfId="381" xr:uid="{00000000-0005-0000-0000-0000386F0000}"/>
    <cellStyle name="Migliaia [0] 22 10" xfId="39951" xr:uid="{00000000-0005-0000-0000-0000396F0000}"/>
    <cellStyle name="Migliaia [0] 22 2" xfId="11300" xr:uid="{00000000-0005-0000-0000-00003A6F0000}"/>
    <cellStyle name="Migliaia [0] 22 2 2" xfId="20184" xr:uid="{00000000-0005-0000-0000-00003B6F0000}"/>
    <cellStyle name="Migliaia [0] 22 2 2 2" xfId="37694" xr:uid="{00000000-0005-0000-0000-00003C6F0000}"/>
    <cellStyle name="Migliaia [0] 22 2 3" xfId="38649" xr:uid="{00000000-0005-0000-0000-00003D6F0000}"/>
    <cellStyle name="Migliaia [0] 22 3" xfId="11981" xr:uid="{00000000-0005-0000-0000-00003E6F0000}"/>
    <cellStyle name="Migliaia [0] 22 3 2" xfId="30166" xr:uid="{00000000-0005-0000-0000-00003F6F0000}"/>
    <cellStyle name="Migliaia [0] 22 4" xfId="19184" xr:uid="{00000000-0005-0000-0000-0000406F0000}"/>
    <cellStyle name="Migliaia [0] 22 4 2" xfId="37148" xr:uid="{00000000-0005-0000-0000-0000416F0000}"/>
    <cellStyle name="Migliaia [0] 22 5" xfId="3161" xr:uid="{00000000-0005-0000-0000-0000426F0000}"/>
    <cellStyle name="Migliaia [0] 22 5 2" xfId="23161" xr:uid="{00000000-0005-0000-0000-0000436F0000}"/>
    <cellStyle name="Migliaia [0] 22 6" xfId="21312" xr:uid="{00000000-0005-0000-0000-0000446F0000}"/>
    <cellStyle name="Migliaia [0] 22 7" xfId="38103" xr:uid="{00000000-0005-0000-0000-0000456F0000}"/>
    <cellStyle name="Migliaia [0] 22 8" xfId="39065" xr:uid="{00000000-0005-0000-0000-0000466F0000}"/>
    <cellStyle name="Migliaia [0] 22 9" xfId="39465" xr:uid="{00000000-0005-0000-0000-0000476F0000}"/>
    <cellStyle name="Migliaia [0] 23" xfId="382" xr:uid="{00000000-0005-0000-0000-0000486F0000}"/>
    <cellStyle name="Migliaia [0] 23 10" xfId="39952" xr:uid="{00000000-0005-0000-0000-0000496F0000}"/>
    <cellStyle name="Migliaia [0] 23 2" xfId="11301" xr:uid="{00000000-0005-0000-0000-00004A6F0000}"/>
    <cellStyle name="Migliaia [0] 23 2 2" xfId="20185" xr:uid="{00000000-0005-0000-0000-00004B6F0000}"/>
    <cellStyle name="Migliaia [0] 23 2 2 2" xfId="37695" xr:uid="{00000000-0005-0000-0000-00004C6F0000}"/>
    <cellStyle name="Migliaia [0] 23 2 3" xfId="38650" xr:uid="{00000000-0005-0000-0000-00004D6F0000}"/>
    <cellStyle name="Migliaia [0] 23 3" xfId="11982" xr:uid="{00000000-0005-0000-0000-00004E6F0000}"/>
    <cellStyle name="Migliaia [0] 23 3 2" xfId="30167" xr:uid="{00000000-0005-0000-0000-00004F6F0000}"/>
    <cellStyle name="Migliaia [0] 23 4" xfId="19185" xr:uid="{00000000-0005-0000-0000-0000506F0000}"/>
    <cellStyle name="Migliaia [0] 23 4 2" xfId="37149" xr:uid="{00000000-0005-0000-0000-0000516F0000}"/>
    <cellStyle name="Migliaia [0] 23 5" xfId="3162" xr:uid="{00000000-0005-0000-0000-0000526F0000}"/>
    <cellStyle name="Migliaia [0] 23 5 2" xfId="23162" xr:uid="{00000000-0005-0000-0000-0000536F0000}"/>
    <cellStyle name="Migliaia [0] 23 6" xfId="21313" xr:uid="{00000000-0005-0000-0000-0000546F0000}"/>
    <cellStyle name="Migliaia [0] 23 7" xfId="38104" xr:uid="{00000000-0005-0000-0000-0000556F0000}"/>
    <cellStyle name="Migliaia [0] 23 8" xfId="39066" xr:uid="{00000000-0005-0000-0000-0000566F0000}"/>
    <cellStyle name="Migliaia [0] 23 9" xfId="39466" xr:uid="{00000000-0005-0000-0000-0000576F0000}"/>
    <cellStyle name="Migliaia [0] 24" xfId="383" xr:uid="{00000000-0005-0000-0000-0000586F0000}"/>
    <cellStyle name="Migliaia [0] 24 10" xfId="39953" xr:uid="{00000000-0005-0000-0000-0000596F0000}"/>
    <cellStyle name="Migliaia [0] 24 2" xfId="11302" xr:uid="{00000000-0005-0000-0000-00005A6F0000}"/>
    <cellStyle name="Migliaia [0] 24 2 2" xfId="20186" xr:uid="{00000000-0005-0000-0000-00005B6F0000}"/>
    <cellStyle name="Migliaia [0] 24 2 2 2" xfId="37696" xr:uid="{00000000-0005-0000-0000-00005C6F0000}"/>
    <cellStyle name="Migliaia [0] 24 2 3" xfId="38651" xr:uid="{00000000-0005-0000-0000-00005D6F0000}"/>
    <cellStyle name="Migliaia [0] 24 3" xfId="11983" xr:uid="{00000000-0005-0000-0000-00005E6F0000}"/>
    <cellStyle name="Migliaia [0] 24 3 2" xfId="30168" xr:uid="{00000000-0005-0000-0000-00005F6F0000}"/>
    <cellStyle name="Migliaia [0] 24 4" xfId="19186" xr:uid="{00000000-0005-0000-0000-0000606F0000}"/>
    <cellStyle name="Migliaia [0] 24 4 2" xfId="37150" xr:uid="{00000000-0005-0000-0000-0000616F0000}"/>
    <cellStyle name="Migliaia [0] 24 5" xfId="3163" xr:uid="{00000000-0005-0000-0000-0000626F0000}"/>
    <cellStyle name="Migliaia [0] 24 5 2" xfId="23163" xr:uid="{00000000-0005-0000-0000-0000636F0000}"/>
    <cellStyle name="Migliaia [0] 24 6" xfId="21314" xr:uid="{00000000-0005-0000-0000-0000646F0000}"/>
    <cellStyle name="Migliaia [0] 24 7" xfId="38105" xr:uid="{00000000-0005-0000-0000-0000656F0000}"/>
    <cellStyle name="Migliaia [0] 24 8" xfId="39067" xr:uid="{00000000-0005-0000-0000-0000666F0000}"/>
    <cellStyle name="Migliaia [0] 24 9" xfId="39467" xr:uid="{00000000-0005-0000-0000-0000676F0000}"/>
    <cellStyle name="Migliaia [0] 25" xfId="384" xr:uid="{00000000-0005-0000-0000-0000686F0000}"/>
    <cellStyle name="Migliaia [0] 25 10" xfId="39954" xr:uid="{00000000-0005-0000-0000-0000696F0000}"/>
    <cellStyle name="Migliaia [0] 25 2" xfId="11303" xr:uid="{00000000-0005-0000-0000-00006A6F0000}"/>
    <cellStyle name="Migliaia [0] 25 2 2" xfId="20187" xr:uid="{00000000-0005-0000-0000-00006B6F0000}"/>
    <cellStyle name="Migliaia [0] 25 2 2 2" xfId="37697" xr:uid="{00000000-0005-0000-0000-00006C6F0000}"/>
    <cellStyle name="Migliaia [0] 25 2 3" xfId="38652" xr:uid="{00000000-0005-0000-0000-00006D6F0000}"/>
    <cellStyle name="Migliaia [0] 25 3" xfId="11984" xr:uid="{00000000-0005-0000-0000-00006E6F0000}"/>
    <cellStyle name="Migliaia [0] 25 3 2" xfId="30169" xr:uid="{00000000-0005-0000-0000-00006F6F0000}"/>
    <cellStyle name="Migliaia [0] 25 4" xfId="19187" xr:uid="{00000000-0005-0000-0000-0000706F0000}"/>
    <cellStyle name="Migliaia [0] 25 4 2" xfId="37151" xr:uid="{00000000-0005-0000-0000-0000716F0000}"/>
    <cellStyle name="Migliaia [0] 25 5" xfId="3164" xr:uid="{00000000-0005-0000-0000-0000726F0000}"/>
    <cellStyle name="Migliaia [0] 25 5 2" xfId="23164" xr:uid="{00000000-0005-0000-0000-0000736F0000}"/>
    <cellStyle name="Migliaia [0] 25 6" xfId="21315" xr:uid="{00000000-0005-0000-0000-0000746F0000}"/>
    <cellStyle name="Migliaia [0] 25 7" xfId="38106" xr:uid="{00000000-0005-0000-0000-0000756F0000}"/>
    <cellStyle name="Migliaia [0] 25 8" xfId="39068" xr:uid="{00000000-0005-0000-0000-0000766F0000}"/>
    <cellStyle name="Migliaia [0] 25 9" xfId="39468" xr:uid="{00000000-0005-0000-0000-0000776F0000}"/>
    <cellStyle name="Migliaia [0] 26" xfId="385" xr:uid="{00000000-0005-0000-0000-0000786F0000}"/>
    <cellStyle name="Migliaia [0] 26 10" xfId="39955" xr:uid="{00000000-0005-0000-0000-0000796F0000}"/>
    <cellStyle name="Migliaia [0] 26 2" xfId="11304" xr:uid="{00000000-0005-0000-0000-00007A6F0000}"/>
    <cellStyle name="Migliaia [0] 26 2 2" xfId="20188" xr:uid="{00000000-0005-0000-0000-00007B6F0000}"/>
    <cellStyle name="Migliaia [0] 26 2 2 2" xfId="37698" xr:uid="{00000000-0005-0000-0000-00007C6F0000}"/>
    <cellStyle name="Migliaia [0] 26 2 3" xfId="38653" xr:uid="{00000000-0005-0000-0000-00007D6F0000}"/>
    <cellStyle name="Migliaia [0] 26 3" xfId="11985" xr:uid="{00000000-0005-0000-0000-00007E6F0000}"/>
    <cellStyle name="Migliaia [0] 26 3 2" xfId="30170" xr:uid="{00000000-0005-0000-0000-00007F6F0000}"/>
    <cellStyle name="Migliaia [0] 26 4" xfId="19188" xr:uid="{00000000-0005-0000-0000-0000806F0000}"/>
    <cellStyle name="Migliaia [0] 26 4 2" xfId="37152" xr:uid="{00000000-0005-0000-0000-0000816F0000}"/>
    <cellStyle name="Migliaia [0] 26 5" xfId="3165" xr:uid="{00000000-0005-0000-0000-0000826F0000}"/>
    <cellStyle name="Migliaia [0] 26 5 2" xfId="23165" xr:uid="{00000000-0005-0000-0000-0000836F0000}"/>
    <cellStyle name="Migliaia [0] 26 6" xfId="21316" xr:uid="{00000000-0005-0000-0000-0000846F0000}"/>
    <cellStyle name="Migliaia [0] 26 7" xfId="38107" xr:uid="{00000000-0005-0000-0000-0000856F0000}"/>
    <cellStyle name="Migliaia [0] 26 8" xfId="39069" xr:uid="{00000000-0005-0000-0000-0000866F0000}"/>
    <cellStyle name="Migliaia [0] 26 9" xfId="39469" xr:uid="{00000000-0005-0000-0000-0000876F0000}"/>
    <cellStyle name="Migliaia [0] 27" xfId="386" xr:uid="{00000000-0005-0000-0000-0000886F0000}"/>
    <cellStyle name="Migliaia [0] 27 10" xfId="39956" xr:uid="{00000000-0005-0000-0000-0000896F0000}"/>
    <cellStyle name="Migliaia [0] 27 2" xfId="11305" xr:uid="{00000000-0005-0000-0000-00008A6F0000}"/>
    <cellStyle name="Migliaia [0] 27 2 2" xfId="20189" xr:uid="{00000000-0005-0000-0000-00008B6F0000}"/>
    <cellStyle name="Migliaia [0] 27 2 2 2" xfId="37699" xr:uid="{00000000-0005-0000-0000-00008C6F0000}"/>
    <cellStyle name="Migliaia [0] 27 2 3" xfId="38654" xr:uid="{00000000-0005-0000-0000-00008D6F0000}"/>
    <cellStyle name="Migliaia [0] 27 3" xfId="11986" xr:uid="{00000000-0005-0000-0000-00008E6F0000}"/>
    <cellStyle name="Migliaia [0] 27 3 2" xfId="30171" xr:uid="{00000000-0005-0000-0000-00008F6F0000}"/>
    <cellStyle name="Migliaia [0] 27 4" xfId="19189" xr:uid="{00000000-0005-0000-0000-0000906F0000}"/>
    <cellStyle name="Migliaia [0] 27 4 2" xfId="37153" xr:uid="{00000000-0005-0000-0000-0000916F0000}"/>
    <cellStyle name="Migliaia [0] 27 5" xfId="3166" xr:uid="{00000000-0005-0000-0000-0000926F0000}"/>
    <cellStyle name="Migliaia [0] 27 5 2" xfId="23166" xr:uid="{00000000-0005-0000-0000-0000936F0000}"/>
    <cellStyle name="Migliaia [0] 27 6" xfId="21317" xr:uid="{00000000-0005-0000-0000-0000946F0000}"/>
    <cellStyle name="Migliaia [0] 27 7" xfId="38108" xr:uid="{00000000-0005-0000-0000-0000956F0000}"/>
    <cellStyle name="Migliaia [0] 27 8" xfId="39070" xr:uid="{00000000-0005-0000-0000-0000966F0000}"/>
    <cellStyle name="Migliaia [0] 27 9" xfId="39470" xr:uid="{00000000-0005-0000-0000-0000976F0000}"/>
    <cellStyle name="Migliaia [0] 28" xfId="387" xr:uid="{00000000-0005-0000-0000-0000986F0000}"/>
    <cellStyle name="Migliaia [0] 28 10" xfId="39957" xr:uid="{00000000-0005-0000-0000-0000996F0000}"/>
    <cellStyle name="Migliaia [0] 28 2" xfId="11306" xr:uid="{00000000-0005-0000-0000-00009A6F0000}"/>
    <cellStyle name="Migliaia [0] 28 2 2" xfId="20190" xr:uid="{00000000-0005-0000-0000-00009B6F0000}"/>
    <cellStyle name="Migliaia [0] 28 2 2 2" xfId="37700" xr:uid="{00000000-0005-0000-0000-00009C6F0000}"/>
    <cellStyle name="Migliaia [0] 28 2 3" xfId="38655" xr:uid="{00000000-0005-0000-0000-00009D6F0000}"/>
    <cellStyle name="Migliaia [0] 28 3" xfId="11987" xr:uid="{00000000-0005-0000-0000-00009E6F0000}"/>
    <cellStyle name="Migliaia [0] 28 3 2" xfId="30172" xr:uid="{00000000-0005-0000-0000-00009F6F0000}"/>
    <cellStyle name="Migliaia [0] 28 4" xfId="19190" xr:uid="{00000000-0005-0000-0000-0000A06F0000}"/>
    <cellStyle name="Migliaia [0] 28 4 2" xfId="37154" xr:uid="{00000000-0005-0000-0000-0000A16F0000}"/>
    <cellStyle name="Migliaia [0] 28 5" xfId="3167" xr:uid="{00000000-0005-0000-0000-0000A26F0000}"/>
    <cellStyle name="Migliaia [0] 28 5 2" xfId="23167" xr:uid="{00000000-0005-0000-0000-0000A36F0000}"/>
    <cellStyle name="Migliaia [0] 28 6" xfId="21318" xr:uid="{00000000-0005-0000-0000-0000A46F0000}"/>
    <cellStyle name="Migliaia [0] 28 7" xfId="38109" xr:uid="{00000000-0005-0000-0000-0000A56F0000}"/>
    <cellStyle name="Migliaia [0] 28 8" xfId="39071" xr:uid="{00000000-0005-0000-0000-0000A66F0000}"/>
    <cellStyle name="Migliaia [0] 28 9" xfId="39471" xr:uid="{00000000-0005-0000-0000-0000A76F0000}"/>
    <cellStyle name="Migliaia [0] 29" xfId="388" xr:uid="{00000000-0005-0000-0000-0000A86F0000}"/>
    <cellStyle name="Migliaia [0] 29 10" xfId="39958" xr:uid="{00000000-0005-0000-0000-0000A96F0000}"/>
    <cellStyle name="Migliaia [0] 29 2" xfId="11307" xr:uid="{00000000-0005-0000-0000-0000AA6F0000}"/>
    <cellStyle name="Migliaia [0] 29 2 2" xfId="20191" xr:uid="{00000000-0005-0000-0000-0000AB6F0000}"/>
    <cellStyle name="Migliaia [0] 29 2 2 2" xfId="37701" xr:uid="{00000000-0005-0000-0000-0000AC6F0000}"/>
    <cellStyle name="Migliaia [0] 29 2 3" xfId="38656" xr:uid="{00000000-0005-0000-0000-0000AD6F0000}"/>
    <cellStyle name="Migliaia [0] 29 3" xfId="11988" xr:uid="{00000000-0005-0000-0000-0000AE6F0000}"/>
    <cellStyle name="Migliaia [0] 29 3 2" xfId="30173" xr:uid="{00000000-0005-0000-0000-0000AF6F0000}"/>
    <cellStyle name="Migliaia [0] 29 4" xfId="19191" xr:uid="{00000000-0005-0000-0000-0000B06F0000}"/>
    <cellStyle name="Migliaia [0] 29 4 2" xfId="37155" xr:uid="{00000000-0005-0000-0000-0000B16F0000}"/>
    <cellStyle name="Migliaia [0] 29 5" xfId="3168" xr:uid="{00000000-0005-0000-0000-0000B26F0000}"/>
    <cellStyle name="Migliaia [0] 29 5 2" xfId="23168" xr:uid="{00000000-0005-0000-0000-0000B36F0000}"/>
    <cellStyle name="Migliaia [0] 29 6" xfId="21319" xr:uid="{00000000-0005-0000-0000-0000B46F0000}"/>
    <cellStyle name="Migliaia [0] 29 7" xfId="38110" xr:uid="{00000000-0005-0000-0000-0000B56F0000}"/>
    <cellStyle name="Migliaia [0] 29 8" xfId="39072" xr:uid="{00000000-0005-0000-0000-0000B66F0000}"/>
    <cellStyle name="Migliaia [0] 29 9" xfId="39472" xr:uid="{00000000-0005-0000-0000-0000B76F0000}"/>
    <cellStyle name="Migliaia [0] 3" xfId="389" xr:uid="{00000000-0005-0000-0000-0000B86F0000}"/>
    <cellStyle name="Migliaia [0] 3 10" xfId="39959" xr:uid="{00000000-0005-0000-0000-0000B96F0000}"/>
    <cellStyle name="Migliaia [0] 3 2" xfId="11308" xr:uid="{00000000-0005-0000-0000-0000BA6F0000}"/>
    <cellStyle name="Migliaia [0] 3 2 2" xfId="20192" xr:uid="{00000000-0005-0000-0000-0000BB6F0000}"/>
    <cellStyle name="Migliaia [0] 3 2 2 2" xfId="37702" xr:uid="{00000000-0005-0000-0000-0000BC6F0000}"/>
    <cellStyle name="Migliaia [0] 3 2 3" xfId="38657" xr:uid="{00000000-0005-0000-0000-0000BD6F0000}"/>
    <cellStyle name="Migliaia [0] 3 3" xfId="11989" xr:uid="{00000000-0005-0000-0000-0000BE6F0000}"/>
    <cellStyle name="Migliaia [0] 3 3 2" xfId="30174" xr:uid="{00000000-0005-0000-0000-0000BF6F0000}"/>
    <cellStyle name="Migliaia [0] 3 4" xfId="19192" xr:uid="{00000000-0005-0000-0000-0000C06F0000}"/>
    <cellStyle name="Migliaia [0] 3 4 2" xfId="37156" xr:uid="{00000000-0005-0000-0000-0000C16F0000}"/>
    <cellStyle name="Migliaia [0] 3 5" xfId="3169" xr:uid="{00000000-0005-0000-0000-0000C26F0000}"/>
    <cellStyle name="Migliaia [0] 3 5 2" xfId="23169" xr:uid="{00000000-0005-0000-0000-0000C36F0000}"/>
    <cellStyle name="Migliaia [0] 3 6" xfId="21320" xr:uid="{00000000-0005-0000-0000-0000C46F0000}"/>
    <cellStyle name="Migliaia [0] 3 7" xfId="38111" xr:uid="{00000000-0005-0000-0000-0000C56F0000}"/>
    <cellStyle name="Migliaia [0] 3 8" xfId="39073" xr:uid="{00000000-0005-0000-0000-0000C66F0000}"/>
    <cellStyle name="Migliaia [0] 3 9" xfId="39473" xr:uid="{00000000-0005-0000-0000-0000C76F0000}"/>
    <cellStyle name="Migliaia [0] 30" xfId="390" xr:uid="{00000000-0005-0000-0000-0000C86F0000}"/>
    <cellStyle name="Migliaia [0] 30 10" xfId="39960" xr:uid="{00000000-0005-0000-0000-0000C96F0000}"/>
    <cellStyle name="Migliaia [0] 30 2" xfId="11309" xr:uid="{00000000-0005-0000-0000-0000CA6F0000}"/>
    <cellStyle name="Migliaia [0] 30 2 2" xfId="20193" xr:uid="{00000000-0005-0000-0000-0000CB6F0000}"/>
    <cellStyle name="Migliaia [0] 30 2 2 2" xfId="37703" xr:uid="{00000000-0005-0000-0000-0000CC6F0000}"/>
    <cellStyle name="Migliaia [0] 30 2 3" xfId="38658" xr:uid="{00000000-0005-0000-0000-0000CD6F0000}"/>
    <cellStyle name="Migliaia [0] 30 3" xfId="11990" xr:uid="{00000000-0005-0000-0000-0000CE6F0000}"/>
    <cellStyle name="Migliaia [0] 30 3 2" xfId="30175" xr:uid="{00000000-0005-0000-0000-0000CF6F0000}"/>
    <cellStyle name="Migliaia [0] 30 4" xfId="19193" xr:uid="{00000000-0005-0000-0000-0000D06F0000}"/>
    <cellStyle name="Migliaia [0] 30 4 2" xfId="37157" xr:uid="{00000000-0005-0000-0000-0000D16F0000}"/>
    <cellStyle name="Migliaia [0] 30 5" xfId="3170" xr:uid="{00000000-0005-0000-0000-0000D26F0000}"/>
    <cellStyle name="Migliaia [0] 30 5 2" xfId="23170" xr:uid="{00000000-0005-0000-0000-0000D36F0000}"/>
    <cellStyle name="Migliaia [0] 30 6" xfId="21321" xr:uid="{00000000-0005-0000-0000-0000D46F0000}"/>
    <cellStyle name="Migliaia [0] 30 7" xfId="38112" xr:uid="{00000000-0005-0000-0000-0000D56F0000}"/>
    <cellStyle name="Migliaia [0] 30 8" xfId="39074" xr:uid="{00000000-0005-0000-0000-0000D66F0000}"/>
    <cellStyle name="Migliaia [0] 30 9" xfId="39474" xr:uid="{00000000-0005-0000-0000-0000D76F0000}"/>
    <cellStyle name="Migliaia [0] 31" xfId="391" xr:uid="{00000000-0005-0000-0000-0000D86F0000}"/>
    <cellStyle name="Migliaia [0] 31 10" xfId="39961" xr:uid="{00000000-0005-0000-0000-0000D96F0000}"/>
    <cellStyle name="Migliaia [0] 31 2" xfId="11310" xr:uid="{00000000-0005-0000-0000-0000DA6F0000}"/>
    <cellStyle name="Migliaia [0] 31 2 2" xfId="20194" xr:uid="{00000000-0005-0000-0000-0000DB6F0000}"/>
    <cellStyle name="Migliaia [0] 31 2 2 2" xfId="37704" xr:uid="{00000000-0005-0000-0000-0000DC6F0000}"/>
    <cellStyle name="Migliaia [0] 31 2 3" xfId="38659" xr:uid="{00000000-0005-0000-0000-0000DD6F0000}"/>
    <cellStyle name="Migliaia [0] 31 3" xfId="11991" xr:uid="{00000000-0005-0000-0000-0000DE6F0000}"/>
    <cellStyle name="Migliaia [0] 31 3 2" xfId="30176" xr:uid="{00000000-0005-0000-0000-0000DF6F0000}"/>
    <cellStyle name="Migliaia [0] 31 4" xfId="19194" xr:uid="{00000000-0005-0000-0000-0000E06F0000}"/>
    <cellStyle name="Migliaia [0] 31 4 2" xfId="37158" xr:uid="{00000000-0005-0000-0000-0000E16F0000}"/>
    <cellStyle name="Migliaia [0] 31 5" xfId="3171" xr:uid="{00000000-0005-0000-0000-0000E26F0000}"/>
    <cellStyle name="Migliaia [0] 31 5 2" xfId="23171" xr:uid="{00000000-0005-0000-0000-0000E36F0000}"/>
    <cellStyle name="Migliaia [0] 31 6" xfId="21322" xr:uid="{00000000-0005-0000-0000-0000E46F0000}"/>
    <cellStyle name="Migliaia [0] 31 7" xfId="38113" xr:uid="{00000000-0005-0000-0000-0000E56F0000}"/>
    <cellStyle name="Migliaia [0] 31 8" xfId="39075" xr:uid="{00000000-0005-0000-0000-0000E66F0000}"/>
    <cellStyle name="Migliaia [0] 31 9" xfId="39475" xr:uid="{00000000-0005-0000-0000-0000E76F0000}"/>
    <cellStyle name="Migliaia [0] 32" xfId="392" xr:uid="{00000000-0005-0000-0000-0000E86F0000}"/>
    <cellStyle name="Migliaia [0] 32 10" xfId="39962" xr:uid="{00000000-0005-0000-0000-0000E96F0000}"/>
    <cellStyle name="Migliaia [0] 32 2" xfId="11311" xr:uid="{00000000-0005-0000-0000-0000EA6F0000}"/>
    <cellStyle name="Migliaia [0] 32 2 2" xfId="20195" xr:uid="{00000000-0005-0000-0000-0000EB6F0000}"/>
    <cellStyle name="Migliaia [0] 32 2 2 2" xfId="37705" xr:uid="{00000000-0005-0000-0000-0000EC6F0000}"/>
    <cellStyle name="Migliaia [0] 32 2 3" xfId="38660" xr:uid="{00000000-0005-0000-0000-0000ED6F0000}"/>
    <cellStyle name="Migliaia [0] 32 3" xfId="11992" xr:uid="{00000000-0005-0000-0000-0000EE6F0000}"/>
    <cellStyle name="Migliaia [0] 32 3 2" xfId="30177" xr:uid="{00000000-0005-0000-0000-0000EF6F0000}"/>
    <cellStyle name="Migliaia [0] 32 4" xfId="19195" xr:uid="{00000000-0005-0000-0000-0000F06F0000}"/>
    <cellStyle name="Migliaia [0] 32 4 2" xfId="37159" xr:uid="{00000000-0005-0000-0000-0000F16F0000}"/>
    <cellStyle name="Migliaia [0] 32 5" xfId="3172" xr:uid="{00000000-0005-0000-0000-0000F26F0000}"/>
    <cellStyle name="Migliaia [0] 32 5 2" xfId="23172" xr:uid="{00000000-0005-0000-0000-0000F36F0000}"/>
    <cellStyle name="Migliaia [0] 32 6" xfId="21323" xr:uid="{00000000-0005-0000-0000-0000F46F0000}"/>
    <cellStyle name="Migliaia [0] 32 7" xfId="38114" xr:uid="{00000000-0005-0000-0000-0000F56F0000}"/>
    <cellStyle name="Migliaia [0] 32 8" xfId="39076" xr:uid="{00000000-0005-0000-0000-0000F66F0000}"/>
    <cellStyle name="Migliaia [0] 32 9" xfId="39476" xr:uid="{00000000-0005-0000-0000-0000F76F0000}"/>
    <cellStyle name="Migliaia [0] 33" xfId="393" xr:uid="{00000000-0005-0000-0000-0000F86F0000}"/>
    <cellStyle name="Migliaia [0] 33 10" xfId="39963" xr:uid="{00000000-0005-0000-0000-0000F96F0000}"/>
    <cellStyle name="Migliaia [0] 33 2" xfId="11312" xr:uid="{00000000-0005-0000-0000-0000FA6F0000}"/>
    <cellStyle name="Migliaia [0] 33 2 2" xfId="20196" xr:uid="{00000000-0005-0000-0000-0000FB6F0000}"/>
    <cellStyle name="Migliaia [0] 33 2 2 2" xfId="37706" xr:uid="{00000000-0005-0000-0000-0000FC6F0000}"/>
    <cellStyle name="Migliaia [0] 33 2 3" xfId="38661" xr:uid="{00000000-0005-0000-0000-0000FD6F0000}"/>
    <cellStyle name="Migliaia [0] 33 3" xfId="11993" xr:uid="{00000000-0005-0000-0000-0000FE6F0000}"/>
    <cellStyle name="Migliaia [0] 33 3 2" xfId="30178" xr:uid="{00000000-0005-0000-0000-0000FF6F0000}"/>
    <cellStyle name="Migliaia [0] 33 4" xfId="19196" xr:uid="{00000000-0005-0000-0000-000000700000}"/>
    <cellStyle name="Migliaia [0] 33 4 2" xfId="37160" xr:uid="{00000000-0005-0000-0000-000001700000}"/>
    <cellStyle name="Migliaia [0] 33 5" xfId="3173" xr:uid="{00000000-0005-0000-0000-000002700000}"/>
    <cellStyle name="Migliaia [0] 33 5 2" xfId="23173" xr:uid="{00000000-0005-0000-0000-000003700000}"/>
    <cellStyle name="Migliaia [0] 33 6" xfId="21324" xr:uid="{00000000-0005-0000-0000-000004700000}"/>
    <cellStyle name="Migliaia [0] 33 7" xfId="38115" xr:uid="{00000000-0005-0000-0000-000005700000}"/>
    <cellStyle name="Migliaia [0] 33 8" xfId="39077" xr:uid="{00000000-0005-0000-0000-000006700000}"/>
    <cellStyle name="Migliaia [0] 33 9" xfId="39477" xr:uid="{00000000-0005-0000-0000-000007700000}"/>
    <cellStyle name="Migliaia [0] 34" xfId="394" xr:uid="{00000000-0005-0000-0000-000008700000}"/>
    <cellStyle name="Migliaia [0] 34 10" xfId="39964" xr:uid="{00000000-0005-0000-0000-000009700000}"/>
    <cellStyle name="Migliaia [0] 34 2" xfId="11313" xr:uid="{00000000-0005-0000-0000-00000A700000}"/>
    <cellStyle name="Migliaia [0] 34 2 2" xfId="20197" xr:uid="{00000000-0005-0000-0000-00000B700000}"/>
    <cellStyle name="Migliaia [0] 34 2 2 2" xfId="37707" xr:uid="{00000000-0005-0000-0000-00000C700000}"/>
    <cellStyle name="Migliaia [0] 34 2 3" xfId="38662" xr:uid="{00000000-0005-0000-0000-00000D700000}"/>
    <cellStyle name="Migliaia [0] 34 3" xfId="11994" xr:uid="{00000000-0005-0000-0000-00000E700000}"/>
    <cellStyle name="Migliaia [0] 34 3 2" xfId="30179" xr:uid="{00000000-0005-0000-0000-00000F700000}"/>
    <cellStyle name="Migliaia [0] 34 4" xfId="19197" xr:uid="{00000000-0005-0000-0000-000010700000}"/>
    <cellStyle name="Migliaia [0] 34 4 2" xfId="37161" xr:uid="{00000000-0005-0000-0000-000011700000}"/>
    <cellStyle name="Migliaia [0] 34 5" xfId="3174" xr:uid="{00000000-0005-0000-0000-000012700000}"/>
    <cellStyle name="Migliaia [0] 34 5 2" xfId="23174" xr:uid="{00000000-0005-0000-0000-000013700000}"/>
    <cellStyle name="Migliaia [0] 34 6" xfId="21325" xr:uid="{00000000-0005-0000-0000-000014700000}"/>
    <cellStyle name="Migliaia [0] 34 7" xfId="38116" xr:uid="{00000000-0005-0000-0000-000015700000}"/>
    <cellStyle name="Migliaia [0] 34 8" xfId="39078" xr:uid="{00000000-0005-0000-0000-000016700000}"/>
    <cellStyle name="Migliaia [0] 34 9" xfId="39478" xr:uid="{00000000-0005-0000-0000-000017700000}"/>
    <cellStyle name="Migliaia [0] 35" xfId="395" xr:uid="{00000000-0005-0000-0000-000018700000}"/>
    <cellStyle name="Migliaia [0] 35 10" xfId="39965" xr:uid="{00000000-0005-0000-0000-000019700000}"/>
    <cellStyle name="Migliaia [0] 35 2" xfId="11314" xr:uid="{00000000-0005-0000-0000-00001A700000}"/>
    <cellStyle name="Migliaia [0] 35 2 2" xfId="20198" xr:uid="{00000000-0005-0000-0000-00001B700000}"/>
    <cellStyle name="Migliaia [0] 35 2 2 2" xfId="37708" xr:uid="{00000000-0005-0000-0000-00001C700000}"/>
    <cellStyle name="Migliaia [0] 35 2 3" xfId="38663" xr:uid="{00000000-0005-0000-0000-00001D700000}"/>
    <cellStyle name="Migliaia [0] 35 3" xfId="11995" xr:uid="{00000000-0005-0000-0000-00001E700000}"/>
    <cellStyle name="Migliaia [0] 35 3 2" xfId="30180" xr:uid="{00000000-0005-0000-0000-00001F700000}"/>
    <cellStyle name="Migliaia [0] 35 4" xfId="19198" xr:uid="{00000000-0005-0000-0000-000020700000}"/>
    <cellStyle name="Migliaia [0] 35 4 2" xfId="37162" xr:uid="{00000000-0005-0000-0000-000021700000}"/>
    <cellStyle name="Migliaia [0] 35 5" xfId="3175" xr:uid="{00000000-0005-0000-0000-000022700000}"/>
    <cellStyle name="Migliaia [0] 35 5 2" xfId="23175" xr:uid="{00000000-0005-0000-0000-000023700000}"/>
    <cellStyle name="Migliaia [0] 35 6" xfId="21326" xr:uid="{00000000-0005-0000-0000-000024700000}"/>
    <cellStyle name="Migliaia [0] 35 7" xfId="38117" xr:uid="{00000000-0005-0000-0000-000025700000}"/>
    <cellStyle name="Migliaia [0] 35 8" xfId="39079" xr:uid="{00000000-0005-0000-0000-000026700000}"/>
    <cellStyle name="Migliaia [0] 35 9" xfId="39479" xr:uid="{00000000-0005-0000-0000-000027700000}"/>
    <cellStyle name="Migliaia [0] 36" xfId="396" xr:uid="{00000000-0005-0000-0000-000028700000}"/>
    <cellStyle name="Migliaia [0] 36 10" xfId="39966" xr:uid="{00000000-0005-0000-0000-000029700000}"/>
    <cellStyle name="Migliaia [0] 36 2" xfId="11315" xr:uid="{00000000-0005-0000-0000-00002A700000}"/>
    <cellStyle name="Migliaia [0] 36 2 2" xfId="20199" xr:uid="{00000000-0005-0000-0000-00002B700000}"/>
    <cellStyle name="Migliaia [0] 36 2 2 2" xfId="37709" xr:uid="{00000000-0005-0000-0000-00002C700000}"/>
    <cellStyle name="Migliaia [0] 36 2 3" xfId="38664" xr:uid="{00000000-0005-0000-0000-00002D700000}"/>
    <cellStyle name="Migliaia [0] 36 3" xfId="11996" xr:uid="{00000000-0005-0000-0000-00002E700000}"/>
    <cellStyle name="Migliaia [0] 36 3 2" xfId="30181" xr:uid="{00000000-0005-0000-0000-00002F700000}"/>
    <cellStyle name="Migliaia [0] 36 4" xfId="19199" xr:uid="{00000000-0005-0000-0000-000030700000}"/>
    <cellStyle name="Migliaia [0] 36 4 2" xfId="37163" xr:uid="{00000000-0005-0000-0000-000031700000}"/>
    <cellStyle name="Migliaia [0] 36 5" xfId="3176" xr:uid="{00000000-0005-0000-0000-000032700000}"/>
    <cellStyle name="Migliaia [0] 36 5 2" xfId="23176" xr:uid="{00000000-0005-0000-0000-000033700000}"/>
    <cellStyle name="Migliaia [0] 36 6" xfId="21327" xr:uid="{00000000-0005-0000-0000-000034700000}"/>
    <cellStyle name="Migliaia [0] 36 7" xfId="38118" xr:uid="{00000000-0005-0000-0000-000035700000}"/>
    <cellStyle name="Migliaia [0] 36 8" xfId="39080" xr:uid="{00000000-0005-0000-0000-000036700000}"/>
    <cellStyle name="Migliaia [0] 36 9" xfId="39480" xr:uid="{00000000-0005-0000-0000-000037700000}"/>
    <cellStyle name="Migliaia [0] 37" xfId="397" xr:uid="{00000000-0005-0000-0000-000038700000}"/>
    <cellStyle name="Migliaia [0] 37 10" xfId="39967" xr:uid="{00000000-0005-0000-0000-000039700000}"/>
    <cellStyle name="Migliaia [0] 37 2" xfId="11316" xr:uid="{00000000-0005-0000-0000-00003A700000}"/>
    <cellStyle name="Migliaia [0] 37 2 2" xfId="20200" xr:uid="{00000000-0005-0000-0000-00003B700000}"/>
    <cellStyle name="Migliaia [0] 37 2 2 2" xfId="37710" xr:uid="{00000000-0005-0000-0000-00003C700000}"/>
    <cellStyle name="Migliaia [0] 37 2 3" xfId="38665" xr:uid="{00000000-0005-0000-0000-00003D700000}"/>
    <cellStyle name="Migliaia [0] 37 3" xfId="11997" xr:uid="{00000000-0005-0000-0000-00003E700000}"/>
    <cellStyle name="Migliaia [0] 37 3 2" xfId="30182" xr:uid="{00000000-0005-0000-0000-00003F700000}"/>
    <cellStyle name="Migliaia [0] 37 4" xfId="19200" xr:uid="{00000000-0005-0000-0000-000040700000}"/>
    <cellStyle name="Migliaia [0] 37 4 2" xfId="37164" xr:uid="{00000000-0005-0000-0000-000041700000}"/>
    <cellStyle name="Migliaia [0] 37 5" xfId="3177" xr:uid="{00000000-0005-0000-0000-000042700000}"/>
    <cellStyle name="Migliaia [0] 37 5 2" xfId="23177" xr:uid="{00000000-0005-0000-0000-000043700000}"/>
    <cellStyle name="Migliaia [0] 37 6" xfId="21328" xr:uid="{00000000-0005-0000-0000-000044700000}"/>
    <cellStyle name="Migliaia [0] 37 7" xfId="38119" xr:uid="{00000000-0005-0000-0000-000045700000}"/>
    <cellStyle name="Migliaia [0] 37 8" xfId="39081" xr:uid="{00000000-0005-0000-0000-000046700000}"/>
    <cellStyle name="Migliaia [0] 37 9" xfId="39481" xr:uid="{00000000-0005-0000-0000-000047700000}"/>
    <cellStyle name="Migliaia [0] 38" xfId="398" xr:uid="{00000000-0005-0000-0000-000048700000}"/>
    <cellStyle name="Migliaia [0] 38 10" xfId="39968" xr:uid="{00000000-0005-0000-0000-000049700000}"/>
    <cellStyle name="Migliaia [0] 38 2" xfId="11317" xr:uid="{00000000-0005-0000-0000-00004A700000}"/>
    <cellStyle name="Migliaia [0] 38 2 2" xfId="20201" xr:uid="{00000000-0005-0000-0000-00004B700000}"/>
    <cellStyle name="Migliaia [0] 38 2 2 2" xfId="37711" xr:uid="{00000000-0005-0000-0000-00004C700000}"/>
    <cellStyle name="Migliaia [0] 38 2 3" xfId="38666" xr:uid="{00000000-0005-0000-0000-00004D700000}"/>
    <cellStyle name="Migliaia [0] 38 3" xfId="11998" xr:uid="{00000000-0005-0000-0000-00004E700000}"/>
    <cellStyle name="Migliaia [0] 38 3 2" xfId="30183" xr:uid="{00000000-0005-0000-0000-00004F700000}"/>
    <cellStyle name="Migliaia [0] 38 4" xfId="19201" xr:uid="{00000000-0005-0000-0000-000050700000}"/>
    <cellStyle name="Migliaia [0] 38 4 2" xfId="37165" xr:uid="{00000000-0005-0000-0000-000051700000}"/>
    <cellStyle name="Migliaia [0] 38 5" xfId="3178" xr:uid="{00000000-0005-0000-0000-000052700000}"/>
    <cellStyle name="Migliaia [0] 38 5 2" xfId="23178" xr:uid="{00000000-0005-0000-0000-000053700000}"/>
    <cellStyle name="Migliaia [0] 38 6" xfId="21329" xr:uid="{00000000-0005-0000-0000-000054700000}"/>
    <cellStyle name="Migliaia [0] 38 7" xfId="38120" xr:uid="{00000000-0005-0000-0000-000055700000}"/>
    <cellStyle name="Migliaia [0] 38 8" xfId="39082" xr:uid="{00000000-0005-0000-0000-000056700000}"/>
    <cellStyle name="Migliaia [0] 38 9" xfId="39482" xr:uid="{00000000-0005-0000-0000-000057700000}"/>
    <cellStyle name="Migliaia [0] 39" xfId="399" xr:uid="{00000000-0005-0000-0000-000058700000}"/>
    <cellStyle name="Migliaia [0] 39 10" xfId="39969" xr:uid="{00000000-0005-0000-0000-000059700000}"/>
    <cellStyle name="Migliaia [0] 39 2" xfId="11318" xr:uid="{00000000-0005-0000-0000-00005A700000}"/>
    <cellStyle name="Migliaia [0] 39 2 2" xfId="20202" xr:uid="{00000000-0005-0000-0000-00005B700000}"/>
    <cellStyle name="Migliaia [0] 39 2 2 2" xfId="37712" xr:uid="{00000000-0005-0000-0000-00005C700000}"/>
    <cellStyle name="Migliaia [0] 39 2 3" xfId="38667" xr:uid="{00000000-0005-0000-0000-00005D700000}"/>
    <cellStyle name="Migliaia [0] 39 3" xfId="11999" xr:uid="{00000000-0005-0000-0000-00005E700000}"/>
    <cellStyle name="Migliaia [0] 39 3 2" xfId="30184" xr:uid="{00000000-0005-0000-0000-00005F700000}"/>
    <cellStyle name="Migliaia [0] 39 4" xfId="19202" xr:uid="{00000000-0005-0000-0000-000060700000}"/>
    <cellStyle name="Migliaia [0] 39 4 2" xfId="37166" xr:uid="{00000000-0005-0000-0000-000061700000}"/>
    <cellStyle name="Migliaia [0] 39 5" xfId="3179" xr:uid="{00000000-0005-0000-0000-000062700000}"/>
    <cellStyle name="Migliaia [0] 39 5 2" xfId="23179" xr:uid="{00000000-0005-0000-0000-000063700000}"/>
    <cellStyle name="Migliaia [0] 39 6" xfId="21330" xr:uid="{00000000-0005-0000-0000-000064700000}"/>
    <cellStyle name="Migliaia [0] 39 7" xfId="38121" xr:uid="{00000000-0005-0000-0000-000065700000}"/>
    <cellStyle name="Migliaia [0] 39 8" xfId="39083" xr:uid="{00000000-0005-0000-0000-000066700000}"/>
    <cellStyle name="Migliaia [0] 39 9" xfId="39483" xr:uid="{00000000-0005-0000-0000-000067700000}"/>
    <cellStyle name="Migliaia [0] 4" xfId="400" xr:uid="{00000000-0005-0000-0000-000068700000}"/>
    <cellStyle name="Migliaia [0] 4 10" xfId="39970" xr:uid="{00000000-0005-0000-0000-000069700000}"/>
    <cellStyle name="Migliaia [0] 4 2" xfId="11319" xr:uid="{00000000-0005-0000-0000-00006A700000}"/>
    <cellStyle name="Migliaia [0] 4 2 2" xfId="20203" xr:uid="{00000000-0005-0000-0000-00006B700000}"/>
    <cellStyle name="Migliaia [0] 4 2 2 2" xfId="37713" xr:uid="{00000000-0005-0000-0000-00006C700000}"/>
    <cellStyle name="Migliaia [0] 4 2 3" xfId="38668" xr:uid="{00000000-0005-0000-0000-00006D700000}"/>
    <cellStyle name="Migliaia [0] 4 3" xfId="12000" xr:uid="{00000000-0005-0000-0000-00006E700000}"/>
    <cellStyle name="Migliaia [0] 4 3 2" xfId="30185" xr:uid="{00000000-0005-0000-0000-00006F700000}"/>
    <cellStyle name="Migliaia [0] 4 4" xfId="19203" xr:uid="{00000000-0005-0000-0000-000070700000}"/>
    <cellStyle name="Migliaia [0] 4 4 2" xfId="37167" xr:uid="{00000000-0005-0000-0000-000071700000}"/>
    <cellStyle name="Migliaia [0] 4 5" xfId="3180" xr:uid="{00000000-0005-0000-0000-000072700000}"/>
    <cellStyle name="Migliaia [0] 4 5 2" xfId="23180" xr:uid="{00000000-0005-0000-0000-000073700000}"/>
    <cellStyle name="Migliaia [0] 4 6" xfId="21331" xr:uid="{00000000-0005-0000-0000-000074700000}"/>
    <cellStyle name="Migliaia [0] 4 7" xfId="38122" xr:uid="{00000000-0005-0000-0000-000075700000}"/>
    <cellStyle name="Migliaia [0] 4 8" xfId="39084" xr:uid="{00000000-0005-0000-0000-000076700000}"/>
    <cellStyle name="Migliaia [0] 4 9" xfId="39484" xr:uid="{00000000-0005-0000-0000-000077700000}"/>
    <cellStyle name="Migliaia [0] 40" xfId="401" xr:uid="{00000000-0005-0000-0000-000078700000}"/>
    <cellStyle name="Migliaia [0] 40 10" xfId="39971" xr:uid="{00000000-0005-0000-0000-000079700000}"/>
    <cellStyle name="Migliaia [0] 40 2" xfId="11320" xr:uid="{00000000-0005-0000-0000-00007A700000}"/>
    <cellStyle name="Migliaia [0] 40 2 2" xfId="20204" xr:uid="{00000000-0005-0000-0000-00007B700000}"/>
    <cellStyle name="Migliaia [0] 40 2 2 2" xfId="37714" xr:uid="{00000000-0005-0000-0000-00007C700000}"/>
    <cellStyle name="Migliaia [0] 40 2 3" xfId="38669" xr:uid="{00000000-0005-0000-0000-00007D700000}"/>
    <cellStyle name="Migliaia [0] 40 3" xfId="12001" xr:uid="{00000000-0005-0000-0000-00007E700000}"/>
    <cellStyle name="Migliaia [0] 40 3 2" xfId="30186" xr:uid="{00000000-0005-0000-0000-00007F700000}"/>
    <cellStyle name="Migliaia [0] 40 4" xfId="19204" xr:uid="{00000000-0005-0000-0000-000080700000}"/>
    <cellStyle name="Migliaia [0] 40 4 2" xfId="37168" xr:uid="{00000000-0005-0000-0000-000081700000}"/>
    <cellStyle name="Migliaia [0] 40 5" xfId="3181" xr:uid="{00000000-0005-0000-0000-000082700000}"/>
    <cellStyle name="Migliaia [0] 40 5 2" xfId="23181" xr:uid="{00000000-0005-0000-0000-000083700000}"/>
    <cellStyle name="Migliaia [0] 40 6" xfId="21332" xr:uid="{00000000-0005-0000-0000-000084700000}"/>
    <cellStyle name="Migliaia [0] 40 7" xfId="38123" xr:uid="{00000000-0005-0000-0000-000085700000}"/>
    <cellStyle name="Migliaia [0] 40 8" xfId="39085" xr:uid="{00000000-0005-0000-0000-000086700000}"/>
    <cellStyle name="Migliaia [0] 40 9" xfId="39485" xr:uid="{00000000-0005-0000-0000-000087700000}"/>
    <cellStyle name="Migliaia [0] 41" xfId="402" xr:uid="{00000000-0005-0000-0000-000088700000}"/>
    <cellStyle name="Migliaia [0] 41 10" xfId="39972" xr:uid="{00000000-0005-0000-0000-000089700000}"/>
    <cellStyle name="Migliaia [0] 41 2" xfId="11321" xr:uid="{00000000-0005-0000-0000-00008A700000}"/>
    <cellStyle name="Migliaia [0] 41 2 2" xfId="20205" xr:uid="{00000000-0005-0000-0000-00008B700000}"/>
    <cellStyle name="Migliaia [0] 41 2 2 2" xfId="37715" xr:uid="{00000000-0005-0000-0000-00008C700000}"/>
    <cellStyle name="Migliaia [0] 41 2 3" xfId="38670" xr:uid="{00000000-0005-0000-0000-00008D700000}"/>
    <cellStyle name="Migliaia [0] 41 3" xfId="12002" xr:uid="{00000000-0005-0000-0000-00008E700000}"/>
    <cellStyle name="Migliaia [0] 41 3 2" xfId="30187" xr:uid="{00000000-0005-0000-0000-00008F700000}"/>
    <cellStyle name="Migliaia [0] 41 4" xfId="19205" xr:uid="{00000000-0005-0000-0000-000090700000}"/>
    <cellStyle name="Migliaia [0] 41 4 2" xfId="37169" xr:uid="{00000000-0005-0000-0000-000091700000}"/>
    <cellStyle name="Migliaia [0] 41 5" xfId="3182" xr:uid="{00000000-0005-0000-0000-000092700000}"/>
    <cellStyle name="Migliaia [0] 41 5 2" xfId="23182" xr:uid="{00000000-0005-0000-0000-000093700000}"/>
    <cellStyle name="Migliaia [0] 41 6" xfId="21333" xr:uid="{00000000-0005-0000-0000-000094700000}"/>
    <cellStyle name="Migliaia [0] 41 7" xfId="38124" xr:uid="{00000000-0005-0000-0000-000095700000}"/>
    <cellStyle name="Migliaia [0] 41 8" xfId="39086" xr:uid="{00000000-0005-0000-0000-000096700000}"/>
    <cellStyle name="Migliaia [0] 41 9" xfId="39486" xr:uid="{00000000-0005-0000-0000-000097700000}"/>
    <cellStyle name="Migliaia [0] 42" xfId="403" xr:uid="{00000000-0005-0000-0000-000098700000}"/>
    <cellStyle name="Migliaia [0] 42 10" xfId="39973" xr:uid="{00000000-0005-0000-0000-000099700000}"/>
    <cellStyle name="Migliaia [0] 42 2" xfId="11322" xr:uid="{00000000-0005-0000-0000-00009A700000}"/>
    <cellStyle name="Migliaia [0] 42 2 2" xfId="20206" xr:uid="{00000000-0005-0000-0000-00009B700000}"/>
    <cellStyle name="Migliaia [0] 42 2 2 2" xfId="37716" xr:uid="{00000000-0005-0000-0000-00009C700000}"/>
    <cellStyle name="Migliaia [0] 42 2 3" xfId="38671" xr:uid="{00000000-0005-0000-0000-00009D700000}"/>
    <cellStyle name="Migliaia [0] 42 3" xfId="12003" xr:uid="{00000000-0005-0000-0000-00009E700000}"/>
    <cellStyle name="Migliaia [0] 42 3 2" xfId="30188" xr:uid="{00000000-0005-0000-0000-00009F700000}"/>
    <cellStyle name="Migliaia [0] 42 4" xfId="19206" xr:uid="{00000000-0005-0000-0000-0000A0700000}"/>
    <cellStyle name="Migliaia [0] 42 4 2" xfId="37170" xr:uid="{00000000-0005-0000-0000-0000A1700000}"/>
    <cellStyle name="Migliaia [0] 42 5" xfId="3183" xr:uid="{00000000-0005-0000-0000-0000A2700000}"/>
    <cellStyle name="Migliaia [0] 42 5 2" xfId="23183" xr:uid="{00000000-0005-0000-0000-0000A3700000}"/>
    <cellStyle name="Migliaia [0] 42 6" xfId="21334" xr:uid="{00000000-0005-0000-0000-0000A4700000}"/>
    <cellStyle name="Migliaia [0] 42 7" xfId="38125" xr:uid="{00000000-0005-0000-0000-0000A5700000}"/>
    <cellStyle name="Migliaia [0] 42 8" xfId="39087" xr:uid="{00000000-0005-0000-0000-0000A6700000}"/>
    <cellStyle name="Migliaia [0] 42 9" xfId="39487" xr:uid="{00000000-0005-0000-0000-0000A7700000}"/>
    <cellStyle name="Migliaia [0] 43" xfId="404" xr:uid="{00000000-0005-0000-0000-0000A8700000}"/>
    <cellStyle name="Migliaia [0] 43 10" xfId="39974" xr:uid="{00000000-0005-0000-0000-0000A9700000}"/>
    <cellStyle name="Migliaia [0] 43 2" xfId="11323" xr:uid="{00000000-0005-0000-0000-0000AA700000}"/>
    <cellStyle name="Migliaia [0] 43 2 2" xfId="20207" xr:uid="{00000000-0005-0000-0000-0000AB700000}"/>
    <cellStyle name="Migliaia [0] 43 2 2 2" xfId="37717" xr:uid="{00000000-0005-0000-0000-0000AC700000}"/>
    <cellStyle name="Migliaia [0] 43 2 3" xfId="38672" xr:uid="{00000000-0005-0000-0000-0000AD700000}"/>
    <cellStyle name="Migliaia [0] 43 3" xfId="12004" xr:uid="{00000000-0005-0000-0000-0000AE700000}"/>
    <cellStyle name="Migliaia [0] 43 3 2" xfId="30189" xr:uid="{00000000-0005-0000-0000-0000AF700000}"/>
    <cellStyle name="Migliaia [0] 43 4" xfId="19207" xr:uid="{00000000-0005-0000-0000-0000B0700000}"/>
    <cellStyle name="Migliaia [0] 43 4 2" xfId="37171" xr:uid="{00000000-0005-0000-0000-0000B1700000}"/>
    <cellStyle name="Migliaia [0] 43 5" xfId="3184" xr:uid="{00000000-0005-0000-0000-0000B2700000}"/>
    <cellStyle name="Migliaia [0] 43 5 2" xfId="23184" xr:uid="{00000000-0005-0000-0000-0000B3700000}"/>
    <cellStyle name="Migliaia [0] 43 6" xfId="21335" xr:uid="{00000000-0005-0000-0000-0000B4700000}"/>
    <cellStyle name="Migliaia [0] 43 7" xfId="38126" xr:uid="{00000000-0005-0000-0000-0000B5700000}"/>
    <cellStyle name="Migliaia [0] 43 8" xfId="39088" xr:uid="{00000000-0005-0000-0000-0000B6700000}"/>
    <cellStyle name="Migliaia [0] 43 9" xfId="39488" xr:uid="{00000000-0005-0000-0000-0000B7700000}"/>
    <cellStyle name="Migliaia [0] 44" xfId="405" xr:uid="{00000000-0005-0000-0000-0000B8700000}"/>
    <cellStyle name="Migliaia [0] 44 10" xfId="39975" xr:uid="{00000000-0005-0000-0000-0000B9700000}"/>
    <cellStyle name="Migliaia [0] 44 2" xfId="11324" xr:uid="{00000000-0005-0000-0000-0000BA700000}"/>
    <cellStyle name="Migliaia [0] 44 2 2" xfId="20208" xr:uid="{00000000-0005-0000-0000-0000BB700000}"/>
    <cellStyle name="Migliaia [0] 44 2 2 2" xfId="37718" xr:uid="{00000000-0005-0000-0000-0000BC700000}"/>
    <cellStyle name="Migliaia [0] 44 2 3" xfId="38673" xr:uid="{00000000-0005-0000-0000-0000BD700000}"/>
    <cellStyle name="Migliaia [0] 44 3" xfId="12005" xr:uid="{00000000-0005-0000-0000-0000BE700000}"/>
    <cellStyle name="Migliaia [0] 44 3 2" xfId="30190" xr:uid="{00000000-0005-0000-0000-0000BF700000}"/>
    <cellStyle name="Migliaia [0] 44 4" xfId="19208" xr:uid="{00000000-0005-0000-0000-0000C0700000}"/>
    <cellStyle name="Migliaia [0] 44 4 2" xfId="37172" xr:uid="{00000000-0005-0000-0000-0000C1700000}"/>
    <cellStyle name="Migliaia [0] 44 5" xfId="3185" xr:uid="{00000000-0005-0000-0000-0000C2700000}"/>
    <cellStyle name="Migliaia [0] 44 5 2" xfId="23185" xr:uid="{00000000-0005-0000-0000-0000C3700000}"/>
    <cellStyle name="Migliaia [0] 44 6" xfId="21336" xr:uid="{00000000-0005-0000-0000-0000C4700000}"/>
    <cellStyle name="Migliaia [0] 44 7" xfId="38127" xr:uid="{00000000-0005-0000-0000-0000C5700000}"/>
    <cellStyle name="Migliaia [0] 44 8" xfId="39089" xr:uid="{00000000-0005-0000-0000-0000C6700000}"/>
    <cellStyle name="Migliaia [0] 44 9" xfId="39489" xr:uid="{00000000-0005-0000-0000-0000C7700000}"/>
    <cellStyle name="Migliaia [0] 45" xfId="406" xr:uid="{00000000-0005-0000-0000-0000C8700000}"/>
    <cellStyle name="Migliaia [0] 45 10" xfId="39976" xr:uid="{00000000-0005-0000-0000-0000C9700000}"/>
    <cellStyle name="Migliaia [0] 45 2" xfId="11325" xr:uid="{00000000-0005-0000-0000-0000CA700000}"/>
    <cellStyle name="Migliaia [0] 45 2 2" xfId="20209" xr:uid="{00000000-0005-0000-0000-0000CB700000}"/>
    <cellStyle name="Migliaia [0] 45 2 2 2" xfId="37719" xr:uid="{00000000-0005-0000-0000-0000CC700000}"/>
    <cellStyle name="Migliaia [0] 45 2 3" xfId="38674" xr:uid="{00000000-0005-0000-0000-0000CD700000}"/>
    <cellStyle name="Migliaia [0] 45 3" xfId="12006" xr:uid="{00000000-0005-0000-0000-0000CE700000}"/>
    <cellStyle name="Migliaia [0] 45 3 2" xfId="30191" xr:uid="{00000000-0005-0000-0000-0000CF700000}"/>
    <cellStyle name="Migliaia [0] 45 4" xfId="19209" xr:uid="{00000000-0005-0000-0000-0000D0700000}"/>
    <cellStyle name="Migliaia [0] 45 4 2" xfId="37173" xr:uid="{00000000-0005-0000-0000-0000D1700000}"/>
    <cellStyle name="Migliaia [0] 45 5" xfId="3186" xr:uid="{00000000-0005-0000-0000-0000D2700000}"/>
    <cellStyle name="Migliaia [0] 45 5 2" xfId="23186" xr:uid="{00000000-0005-0000-0000-0000D3700000}"/>
    <cellStyle name="Migliaia [0] 45 6" xfId="21337" xr:uid="{00000000-0005-0000-0000-0000D4700000}"/>
    <cellStyle name="Migliaia [0] 45 7" xfId="38128" xr:uid="{00000000-0005-0000-0000-0000D5700000}"/>
    <cellStyle name="Migliaia [0] 45 8" xfId="39090" xr:uid="{00000000-0005-0000-0000-0000D6700000}"/>
    <cellStyle name="Migliaia [0] 45 9" xfId="39490" xr:uid="{00000000-0005-0000-0000-0000D7700000}"/>
    <cellStyle name="Migliaia [0] 46" xfId="407" xr:uid="{00000000-0005-0000-0000-0000D8700000}"/>
    <cellStyle name="Migliaia [0] 46 10" xfId="39977" xr:uid="{00000000-0005-0000-0000-0000D9700000}"/>
    <cellStyle name="Migliaia [0] 46 2" xfId="11326" xr:uid="{00000000-0005-0000-0000-0000DA700000}"/>
    <cellStyle name="Migliaia [0] 46 2 2" xfId="20210" xr:uid="{00000000-0005-0000-0000-0000DB700000}"/>
    <cellStyle name="Migliaia [0] 46 2 2 2" xfId="37720" xr:uid="{00000000-0005-0000-0000-0000DC700000}"/>
    <cellStyle name="Migliaia [0] 46 2 3" xfId="38675" xr:uid="{00000000-0005-0000-0000-0000DD700000}"/>
    <cellStyle name="Migliaia [0] 46 3" xfId="12007" xr:uid="{00000000-0005-0000-0000-0000DE700000}"/>
    <cellStyle name="Migliaia [0] 46 3 2" xfId="30192" xr:uid="{00000000-0005-0000-0000-0000DF700000}"/>
    <cellStyle name="Migliaia [0] 46 4" xfId="19210" xr:uid="{00000000-0005-0000-0000-0000E0700000}"/>
    <cellStyle name="Migliaia [0] 46 4 2" xfId="37174" xr:uid="{00000000-0005-0000-0000-0000E1700000}"/>
    <cellStyle name="Migliaia [0] 46 5" xfId="3187" xr:uid="{00000000-0005-0000-0000-0000E2700000}"/>
    <cellStyle name="Migliaia [0] 46 5 2" xfId="23187" xr:uid="{00000000-0005-0000-0000-0000E3700000}"/>
    <cellStyle name="Migliaia [0] 46 6" xfId="21338" xr:uid="{00000000-0005-0000-0000-0000E4700000}"/>
    <cellStyle name="Migliaia [0] 46 7" xfId="38129" xr:uid="{00000000-0005-0000-0000-0000E5700000}"/>
    <cellStyle name="Migliaia [0] 46 8" xfId="39091" xr:uid="{00000000-0005-0000-0000-0000E6700000}"/>
    <cellStyle name="Migliaia [0] 46 9" xfId="39491" xr:uid="{00000000-0005-0000-0000-0000E7700000}"/>
    <cellStyle name="Migliaia [0] 47" xfId="408" xr:uid="{00000000-0005-0000-0000-0000E8700000}"/>
    <cellStyle name="Migliaia [0] 47 10" xfId="39978" xr:uid="{00000000-0005-0000-0000-0000E9700000}"/>
    <cellStyle name="Migliaia [0] 47 2" xfId="11327" xr:uid="{00000000-0005-0000-0000-0000EA700000}"/>
    <cellStyle name="Migliaia [0] 47 2 2" xfId="20211" xr:uid="{00000000-0005-0000-0000-0000EB700000}"/>
    <cellStyle name="Migliaia [0] 47 2 2 2" xfId="37721" xr:uid="{00000000-0005-0000-0000-0000EC700000}"/>
    <cellStyle name="Migliaia [0] 47 2 3" xfId="38676" xr:uid="{00000000-0005-0000-0000-0000ED700000}"/>
    <cellStyle name="Migliaia [0] 47 3" xfId="12008" xr:uid="{00000000-0005-0000-0000-0000EE700000}"/>
    <cellStyle name="Migliaia [0] 47 3 2" xfId="30193" xr:uid="{00000000-0005-0000-0000-0000EF700000}"/>
    <cellStyle name="Migliaia [0] 47 4" xfId="19211" xr:uid="{00000000-0005-0000-0000-0000F0700000}"/>
    <cellStyle name="Migliaia [0] 47 4 2" xfId="37175" xr:uid="{00000000-0005-0000-0000-0000F1700000}"/>
    <cellStyle name="Migliaia [0] 47 5" xfId="3188" xr:uid="{00000000-0005-0000-0000-0000F2700000}"/>
    <cellStyle name="Migliaia [0] 47 5 2" xfId="23188" xr:uid="{00000000-0005-0000-0000-0000F3700000}"/>
    <cellStyle name="Migliaia [0] 47 6" xfId="21339" xr:uid="{00000000-0005-0000-0000-0000F4700000}"/>
    <cellStyle name="Migliaia [0] 47 7" xfId="38130" xr:uid="{00000000-0005-0000-0000-0000F5700000}"/>
    <cellStyle name="Migliaia [0] 47 8" xfId="39092" xr:uid="{00000000-0005-0000-0000-0000F6700000}"/>
    <cellStyle name="Migliaia [0] 47 9" xfId="39492" xr:uid="{00000000-0005-0000-0000-0000F7700000}"/>
    <cellStyle name="Migliaia [0] 48" xfId="409" xr:uid="{00000000-0005-0000-0000-0000F8700000}"/>
    <cellStyle name="Migliaia [0] 48 10" xfId="39979" xr:uid="{00000000-0005-0000-0000-0000F9700000}"/>
    <cellStyle name="Migliaia [0] 48 2" xfId="11328" xr:uid="{00000000-0005-0000-0000-0000FA700000}"/>
    <cellStyle name="Migliaia [0] 48 2 2" xfId="20212" xr:uid="{00000000-0005-0000-0000-0000FB700000}"/>
    <cellStyle name="Migliaia [0] 48 2 2 2" xfId="37722" xr:uid="{00000000-0005-0000-0000-0000FC700000}"/>
    <cellStyle name="Migliaia [0] 48 2 3" xfId="38677" xr:uid="{00000000-0005-0000-0000-0000FD700000}"/>
    <cellStyle name="Migliaia [0] 48 3" xfId="12009" xr:uid="{00000000-0005-0000-0000-0000FE700000}"/>
    <cellStyle name="Migliaia [0] 48 3 2" xfId="30194" xr:uid="{00000000-0005-0000-0000-0000FF700000}"/>
    <cellStyle name="Migliaia [0] 48 4" xfId="19212" xr:uid="{00000000-0005-0000-0000-000000710000}"/>
    <cellStyle name="Migliaia [0] 48 4 2" xfId="37176" xr:uid="{00000000-0005-0000-0000-000001710000}"/>
    <cellStyle name="Migliaia [0] 48 5" xfId="3189" xr:uid="{00000000-0005-0000-0000-000002710000}"/>
    <cellStyle name="Migliaia [0] 48 5 2" xfId="23189" xr:uid="{00000000-0005-0000-0000-000003710000}"/>
    <cellStyle name="Migliaia [0] 48 6" xfId="21340" xr:uid="{00000000-0005-0000-0000-000004710000}"/>
    <cellStyle name="Migliaia [0] 48 7" xfId="38131" xr:uid="{00000000-0005-0000-0000-000005710000}"/>
    <cellStyle name="Migliaia [0] 48 8" xfId="39093" xr:uid="{00000000-0005-0000-0000-000006710000}"/>
    <cellStyle name="Migliaia [0] 48 9" xfId="39493" xr:uid="{00000000-0005-0000-0000-000007710000}"/>
    <cellStyle name="Migliaia [0] 49" xfId="410" xr:uid="{00000000-0005-0000-0000-000008710000}"/>
    <cellStyle name="Migliaia [0] 49 10" xfId="39980" xr:uid="{00000000-0005-0000-0000-000009710000}"/>
    <cellStyle name="Migliaia [0] 49 2" xfId="11329" xr:uid="{00000000-0005-0000-0000-00000A710000}"/>
    <cellStyle name="Migliaia [0] 49 2 2" xfId="20213" xr:uid="{00000000-0005-0000-0000-00000B710000}"/>
    <cellStyle name="Migliaia [0] 49 2 2 2" xfId="37723" xr:uid="{00000000-0005-0000-0000-00000C710000}"/>
    <cellStyle name="Migliaia [0] 49 2 3" xfId="38678" xr:uid="{00000000-0005-0000-0000-00000D710000}"/>
    <cellStyle name="Migliaia [0] 49 3" xfId="12010" xr:uid="{00000000-0005-0000-0000-00000E710000}"/>
    <cellStyle name="Migliaia [0] 49 3 2" xfId="30195" xr:uid="{00000000-0005-0000-0000-00000F710000}"/>
    <cellStyle name="Migliaia [0] 49 4" xfId="19213" xr:uid="{00000000-0005-0000-0000-000010710000}"/>
    <cellStyle name="Migliaia [0] 49 4 2" xfId="37177" xr:uid="{00000000-0005-0000-0000-000011710000}"/>
    <cellStyle name="Migliaia [0] 49 5" xfId="3190" xr:uid="{00000000-0005-0000-0000-000012710000}"/>
    <cellStyle name="Migliaia [0] 49 5 2" xfId="23190" xr:uid="{00000000-0005-0000-0000-000013710000}"/>
    <cellStyle name="Migliaia [0] 49 6" xfId="21341" xr:uid="{00000000-0005-0000-0000-000014710000}"/>
    <cellStyle name="Migliaia [0] 49 7" xfId="38132" xr:uid="{00000000-0005-0000-0000-000015710000}"/>
    <cellStyle name="Migliaia [0] 49 8" xfId="39094" xr:uid="{00000000-0005-0000-0000-000016710000}"/>
    <cellStyle name="Migliaia [0] 49 9" xfId="39494" xr:uid="{00000000-0005-0000-0000-000017710000}"/>
    <cellStyle name="Migliaia [0] 5" xfId="411" xr:uid="{00000000-0005-0000-0000-000018710000}"/>
    <cellStyle name="Migliaia [0] 5 10" xfId="39981" xr:uid="{00000000-0005-0000-0000-000019710000}"/>
    <cellStyle name="Migliaia [0] 5 2" xfId="11330" xr:uid="{00000000-0005-0000-0000-00001A710000}"/>
    <cellStyle name="Migliaia [0] 5 2 2" xfId="20214" xr:uid="{00000000-0005-0000-0000-00001B710000}"/>
    <cellStyle name="Migliaia [0] 5 2 2 2" xfId="37724" xr:uid="{00000000-0005-0000-0000-00001C710000}"/>
    <cellStyle name="Migliaia [0] 5 2 3" xfId="38679" xr:uid="{00000000-0005-0000-0000-00001D710000}"/>
    <cellStyle name="Migliaia [0] 5 3" xfId="12011" xr:uid="{00000000-0005-0000-0000-00001E710000}"/>
    <cellStyle name="Migliaia [0] 5 3 2" xfId="30196" xr:uid="{00000000-0005-0000-0000-00001F710000}"/>
    <cellStyle name="Migliaia [0] 5 4" xfId="19214" xr:uid="{00000000-0005-0000-0000-000020710000}"/>
    <cellStyle name="Migliaia [0] 5 4 2" xfId="37178" xr:uid="{00000000-0005-0000-0000-000021710000}"/>
    <cellStyle name="Migliaia [0] 5 5" xfId="3191" xr:uid="{00000000-0005-0000-0000-000022710000}"/>
    <cellStyle name="Migliaia [0] 5 5 2" xfId="23191" xr:uid="{00000000-0005-0000-0000-000023710000}"/>
    <cellStyle name="Migliaia [0] 5 6" xfId="21342" xr:uid="{00000000-0005-0000-0000-000024710000}"/>
    <cellStyle name="Migliaia [0] 5 7" xfId="38133" xr:uid="{00000000-0005-0000-0000-000025710000}"/>
    <cellStyle name="Migliaia [0] 5 8" xfId="39095" xr:uid="{00000000-0005-0000-0000-000026710000}"/>
    <cellStyle name="Migliaia [0] 5 9" xfId="39495" xr:uid="{00000000-0005-0000-0000-000027710000}"/>
    <cellStyle name="Migliaia [0] 50" xfId="412" xr:uid="{00000000-0005-0000-0000-000028710000}"/>
    <cellStyle name="Migliaia [0] 50 10" xfId="39982" xr:uid="{00000000-0005-0000-0000-000029710000}"/>
    <cellStyle name="Migliaia [0] 50 2" xfId="11331" xr:uid="{00000000-0005-0000-0000-00002A710000}"/>
    <cellStyle name="Migliaia [0] 50 2 2" xfId="20215" xr:uid="{00000000-0005-0000-0000-00002B710000}"/>
    <cellStyle name="Migliaia [0] 50 2 2 2" xfId="37725" xr:uid="{00000000-0005-0000-0000-00002C710000}"/>
    <cellStyle name="Migliaia [0] 50 2 3" xfId="38680" xr:uid="{00000000-0005-0000-0000-00002D710000}"/>
    <cellStyle name="Migliaia [0] 50 3" xfId="12012" xr:uid="{00000000-0005-0000-0000-00002E710000}"/>
    <cellStyle name="Migliaia [0] 50 3 2" xfId="30197" xr:uid="{00000000-0005-0000-0000-00002F710000}"/>
    <cellStyle name="Migliaia [0] 50 4" xfId="19215" xr:uid="{00000000-0005-0000-0000-000030710000}"/>
    <cellStyle name="Migliaia [0] 50 4 2" xfId="37179" xr:uid="{00000000-0005-0000-0000-000031710000}"/>
    <cellStyle name="Migliaia [0] 50 5" xfId="3192" xr:uid="{00000000-0005-0000-0000-000032710000}"/>
    <cellStyle name="Migliaia [0] 50 5 2" xfId="23192" xr:uid="{00000000-0005-0000-0000-000033710000}"/>
    <cellStyle name="Migliaia [0] 50 6" xfId="21343" xr:uid="{00000000-0005-0000-0000-000034710000}"/>
    <cellStyle name="Migliaia [0] 50 7" xfId="38134" xr:uid="{00000000-0005-0000-0000-000035710000}"/>
    <cellStyle name="Migliaia [0] 50 8" xfId="39096" xr:uid="{00000000-0005-0000-0000-000036710000}"/>
    <cellStyle name="Migliaia [0] 50 9" xfId="39496" xr:uid="{00000000-0005-0000-0000-000037710000}"/>
    <cellStyle name="Migliaia [0] 51" xfId="413" xr:uid="{00000000-0005-0000-0000-000038710000}"/>
    <cellStyle name="Migliaia [0] 51 10" xfId="39983" xr:uid="{00000000-0005-0000-0000-000039710000}"/>
    <cellStyle name="Migliaia [0] 51 2" xfId="11332" xr:uid="{00000000-0005-0000-0000-00003A710000}"/>
    <cellStyle name="Migliaia [0] 51 2 2" xfId="20216" xr:uid="{00000000-0005-0000-0000-00003B710000}"/>
    <cellStyle name="Migliaia [0] 51 2 2 2" xfId="37726" xr:uid="{00000000-0005-0000-0000-00003C710000}"/>
    <cellStyle name="Migliaia [0] 51 2 3" xfId="38681" xr:uid="{00000000-0005-0000-0000-00003D710000}"/>
    <cellStyle name="Migliaia [0] 51 3" xfId="12013" xr:uid="{00000000-0005-0000-0000-00003E710000}"/>
    <cellStyle name="Migliaia [0] 51 3 2" xfId="30198" xr:uid="{00000000-0005-0000-0000-00003F710000}"/>
    <cellStyle name="Migliaia [0] 51 4" xfId="19216" xr:uid="{00000000-0005-0000-0000-000040710000}"/>
    <cellStyle name="Migliaia [0] 51 4 2" xfId="37180" xr:uid="{00000000-0005-0000-0000-000041710000}"/>
    <cellStyle name="Migliaia [0] 51 5" xfId="3193" xr:uid="{00000000-0005-0000-0000-000042710000}"/>
    <cellStyle name="Migliaia [0] 51 5 2" xfId="23193" xr:uid="{00000000-0005-0000-0000-000043710000}"/>
    <cellStyle name="Migliaia [0] 51 6" xfId="21344" xr:uid="{00000000-0005-0000-0000-000044710000}"/>
    <cellStyle name="Migliaia [0] 51 7" xfId="38135" xr:uid="{00000000-0005-0000-0000-000045710000}"/>
    <cellStyle name="Migliaia [0] 51 8" xfId="39097" xr:uid="{00000000-0005-0000-0000-000046710000}"/>
    <cellStyle name="Migliaia [0] 51 9" xfId="39497" xr:uid="{00000000-0005-0000-0000-000047710000}"/>
    <cellStyle name="Migliaia [0] 52" xfId="414" xr:uid="{00000000-0005-0000-0000-000048710000}"/>
    <cellStyle name="Migliaia [0] 52 10" xfId="39984" xr:uid="{00000000-0005-0000-0000-000049710000}"/>
    <cellStyle name="Migliaia [0] 52 2" xfId="11333" xr:uid="{00000000-0005-0000-0000-00004A710000}"/>
    <cellStyle name="Migliaia [0] 52 2 2" xfId="20217" xr:uid="{00000000-0005-0000-0000-00004B710000}"/>
    <cellStyle name="Migliaia [0] 52 2 2 2" xfId="37727" xr:uid="{00000000-0005-0000-0000-00004C710000}"/>
    <cellStyle name="Migliaia [0] 52 2 3" xfId="38682" xr:uid="{00000000-0005-0000-0000-00004D710000}"/>
    <cellStyle name="Migliaia [0] 52 3" xfId="12014" xr:uid="{00000000-0005-0000-0000-00004E710000}"/>
    <cellStyle name="Migliaia [0] 52 3 2" xfId="30199" xr:uid="{00000000-0005-0000-0000-00004F710000}"/>
    <cellStyle name="Migliaia [0] 52 4" xfId="19217" xr:uid="{00000000-0005-0000-0000-000050710000}"/>
    <cellStyle name="Migliaia [0] 52 4 2" xfId="37181" xr:uid="{00000000-0005-0000-0000-000051710000}"/>
    <cellStyle name="Migliaia [0] 52 5" xfId="3194" xr:uid="{00000000-0005-0000-0000-000052710000}"/>
    <cellStyle name="Migliaia [0] 52 5 2" xfId="23194" xr:uid="{00000000-0005-0000-0000-000053710000}"/>
    <cellStyle name="Migliaia [0] 52 6" xfId="21345" xr:uid="{00000000-0005-0000-0000-000054710000}"/>
    <cellStyle name="Migliaia [0] 52 7" xfId="38136" xr:uid="{00000000-0005-0000-0000-000055710000}"/>
    <cellStyle name="Migliaia [0] 52 8" xfId="39098" xr:uid="{00000000-0005-0000-0000-000056710000}"/>
    <cellStyle name="Migliaia [0] 52 9" xfId="39498" xr:uid="{00000000-0005-0000-0000-000057710000}"/>
    <cellStyle name="Migliaia [0] 53" xfId="415" xr:uid="{00000000-0005-0000-0000-000058710000}"/>
    <cellStyle name="Migliaia [0] 53 10" xfId="39985" xr:uid="{00000000-0005-0000-0000-000059710000}"/>
    <cellStyle name="Migliaia [0] 53 2" xfId="11334" xr:uid="{00000000-0005-0000-0000-00005A710000}"/>
    <cellStyle name="Migliaia [0] 53 2 2" xfId="20218" xr:uid="{00000000-0005-0000-0000-00005B710000}"/>
    <cellStyle name="Migliaia [0] 53 2 2 2" xfId="37728" xr:uid="{00000000-0005-0000-0000-00005C710000}"/>
    <cellStyle name="Migliaia [0] 53 2 3" xfId="38683" xr:uid="{00000000-0005-0000-0000-00005D710000}"/>
    <cellStyle name="Migliaia [0] 53 3" xfId="12015" xr:uid="{00000000-0005-0000-0000-00005E710000}"/>
    <cellStyle name="Migliaia [0] 53 3 2" xfId="30200" xr:uid="{00000000-0005-0000-0000-00005F710000}"/>
    <cellStyle name="Migliaia [0] 53 4" xfId="19218" xr:uid="{00000000-0005-0000-0000-000060710000}"/>
    <cellStyle name="Migliaia [0] 53 4 2" xfId="37182" xr:uid="{00000000-0005-0000-0000-000061710000}"/>
    <cellStyle name="Migliaia [0] 53 5" xfId="3195" xr:uid="{00000000-0005-0000-0000-000062710000}"/>
    <cellStyle name="Migliaia [0] 53 5 2" xfId="23195" xr:uid="{00000000-0005-0000-0000-000063710000}"/>
    <cellStyle name="Migliaia [0] 53 6" xfId="21346" xr:uid="{00000000-0005-0000-0000-000064710000}"/>
    <cellStyle name="Migliaia [0] 53 7" xfId="38137" xr:uid="{00000000-0005-0000-0000-000065710000}"/>
    <cellStyle name="Migliaia [0] 53 8" xfId="39099" xr:uid="{00000000-0005-0000-0000-000066710000}"/>
    <cellStyle name="Migliaia [0] 53 9" xfId="39499" xr:uid="{00000000-0005-0000-0000-000067710000}"/>
    <cellStyle name="Migliaia [0] 54" xfId="416" xr:uid="{00000000-0005-0000-0000-000068710000}"/>
    <cellStyle name="Migliaia [0] 54 10" xfId="39986" xr:uid="{00000000-0005-0000-0000-000069710000}"/>
    <cellStyle name="Migliaia [0] 54 2" xfId="11335" xr:uid="{00000000-0005-0000-0000-00006A710000}"/>
    <cellStyle name="Migliaia [0] 54 2 2" xfId="20219" xr:uid="{00000000-0005-0000-0000-00006B710000}"/>
    <cellStyle name="Migliaia [0] 54 2 2 2" xfId="37729" xr:uid="{00000000-0005-0000-0000-00006C710000}"/>
    <cellStyle name="Migliaia [0] 54 2 3" xfId="38684" xr:uid="{00000000-0005-0000-0000-00006D710000}"/>
    <cellStyle name="Migliaia [0] 54 3" xfId="12016" xr:uid="{00000000-0005-0000-0000-00006E710000}"/>
    <cellStyle name="Migliaia [0] 54 3 2" xfId="30201" xr:uid="{00000000-0005-0000-0000-00006F710000}"/>
    <cellStyle name="Migliaia [0] 54 4" xfId="19219" xr:uid="{00000000-0005-0000-0000-000070710000}"/>
    <cellStyle name="Migliaia [0] 54 4 2" xfId="37183" xr:uid="{00000000-0005-0000-0000-000071710000}"/>
    <cellStyle name="Migliaia [0] 54 5" xfId="3196" xr:uid="{00000000-0005-0000-0000-000072710000}"/>
    <cellStyle name="Migliaia [0] 54 5 2" xfId="23196" xr:uid="{00000000-0005-0000-0000-000073710000}"/>
    <cellStyle name="Migliaia [0] 54 6" xfId="21347" xr:uid="{00000000-0005-0000-0000-000074710000}"/>
    <cellStyle name="Migliaia [0] 54 7" xfId="38138" xr:uid="{00000000-0005-0000-0000-000075710000}"/>
    <cellStyle name="Migliaia [0] 54 8" xfId="39100" xr:uid="{00000000-0005-0000-0000-000076710000}"/>
    <cellStyle name="Migliaia [0] 54 9" xfId="39500" xr:uid="{00000000-0005-0000-0000-000077710000}"/>
    <cellStyle name="Migliaia [0] 55" xfId="417" xr:uid="{00000000-0005-0000-0000-000078710000}"/>
    <cellStyle name="Migliaia [0] 55 10" xfId="39987" xr:uid="{00000000-0005-0000-0000-000079710000}"/>
    <cellStyle name="Migliaia [0] 55 2" xfId="11336" xr:uid="{00000000-0005-0000-0000-00007A710000}"/>
    <cellStyle name="Migliaia [0] 55 2 2" xfId="20220" xr:uid="{00000000-0005-0000-0000-00007B710000}"/>
    <cellStyle name="Migliaia [0] 55 2 2 2" xfId="37730" xr:uid="{00000000-0005-0000-0000-00007C710000}"/>
    <cellStyle name="Migliaia [0] 55 2 3" xfId="38685" xr:uid="{00000000-0005-0000-0000-00007D710000}"/>
    <cellStyle name="Migliaia [0] 55 3" xfId="12017" xr:uid="{00000000-0005-0000-0000-00007E710000}"/>
    <cellStyle name="Migliaia [0] 55 3 2" xfId="30202" xr:uid="{00000000-0005-0000-0000-00007F710000}"/>
    <cellStyle name="Migliaia [0] 55 4" xfId="19220" xr:uid="{00000000-0005-0000-0000-000080710000}"/>
    <cellStyle name="Migliaia [0] 55 4 2" xfId="37184" xr:uid="{00000000-0005-0000-0000-000081710000}"/>
    <cellStyle name="Migliaia [0] 55 5" xfId="3197" xr:uid="{00000000-0005-0000-0000-000082710000}"/>
    <cellStyle name="Migliaia [0] 55 5 2" xfId="23197" xr:uid="{00000000-0005-0000-0000-000083710000}"/>
    <cellStyle name="Migliaia [0] 55 6" xfId="21348" xr:uid="{00000000-0005-0000-0000-000084710000}"/>
    <cellStyle name="Migliaia [0] 55 7" xfId="38139" xr:uid="{00000000-0005-0000-0000-000085710000}"/>
    <cellStyle name="Migliaia [0] 55 8" xfId="39101" xr:uid="{00000000-0005-0000-0000-000086710000}"/>
    <cellStyle name="Migliaia [0] 55 9" xfId="39501" xr:uid="{00000000-0005-0000-0000-000087710000}"/>
    <cellStyle name="Migliaia [0] 56" xfId="418" xr:uid="{00000000-0005-0000-0000-000088710000}"/>
    <cellStyle name="Migliaia [0] 56 10" xfId="39988" xr:uid="{00000000-0005-0000-0000-000089710000}"/>
    <cellStyle name="Migliaia [0] 56 2" xfId="11337" xr:uid="{00000000-0005-0000-0000-00008A710000}"/>
    <cellStyle name="Migliaia [0] 56 2 2" xfId="20221" xr:uid="{00000000-0005-0000-0000-00008B710000}"/>
    <cellStyle name="Migliaia [0] 56 2 2 2" xfId="37731" xr:uid="{00000000-0005-0000-0000-00008C710000}"/>
    <cellStyle name="Migliaia [0] 56 2 3" xfId="38686" xr:uid="{00000000-0005-0000-0000-00008D710000}"/>
    <cellStyle name="Migliaia [0] 56 3" xfId="12018" xr:uid="{00000000-0005-0000-0000-00008E710000}"/>
    <cellStyle name="Migliaia [0] 56 3 2" xfId="30203" xr:uid="{00000000-0005-0000-0000-00008F710000}"/>
    <cellStyle name="Migliaia [0] 56 4" xfId="19221" xr:uid="{00000000-0005-0000-0000-000090710000}"/>
    <cellStyle name="Migliaia [0] 56 4 2" xfId="37185" xr:uid="{00000000-0005-0000-0000-000091710000}"/>
    <cellStyle name="Migliaia [0] 56 5" xfId="3198" xr:uid="{00000000-0005-0000-0000-000092710000}"/>
    <cellStyle name="Migliaia [0] 56 5 2" xfId="23198" xr:uid="{00000000-0005-0000-0000-000093710000}"/>
    <cellStyle name="Migliaia [0] 56 6" xfId="21349" xr:uid="{00000000-0005-0000-0000-000094710000}"/>
    <cellStyle name="Migliaia [0] 56 7" xfId="38140" xr:uid="{00000000-0005-0000-0000-000095710000}"/>
    <cellStyle name="Migliaia [0] 56 8" xfId="39102" xr:uid="{00000000-0005-0000-0000-000096710000}"/>
    <cellStyle name="Migliaia [0] 56 9" xfId="39502" xr:uid="{00000000-0005-0000-0000-000097710000}"/>
    <cellStyle name="Migliaia [0] 57" xfId="419" xr:uid="{00000000-0005-0000-0000-000098710000}"/>
    <cellStyle name="Migliaia [0] 57 10" xfId="39989" xr:uid="{00000000-0005-0000-0000-000099710000}"/>
    <cellStyle name="Migliaia [0] 57 2" xfId="11338" xr:uid="{00000000-0005-0000-0000-00009A710000}"/>
    <cellStyle name="Migliaia [0] 57 2 2" xfId="20222" xr:uid="{00000000-0005-0000-0000-00009B710000}"/>
    <cellStyle name="Migliaia [0] 57 2 2 2" xfId="37732" xr:uid="{00000000-0005-0000-0000-00009C710000}"/>
    <cellStyle name="Migliaia [0] 57 2 3" xfId="38687" xr:uid="{00000000-0005-0000-0000-00009D710000}"/>
    <cellStyle name="Migliaia [0] 57 3" xfId="12019" xr:uid="{00000000-0005-0000-0000-00009E710000}"/>
    <cellStyle name="Migliaia [0] 57 3 2" xfId="30204" xr:uid="{00000000-0005-0000-0000-00009F710000}"/>
    <cellStyle name="Migliaia [0] 57 4" xfId="19222" xr:uid="{00000000-0005-0000-0000-0000A0710000}"/>
    <cellStyle name="Migliaia [0] 57 4 2" xfId="37186" xr:uid="{00000000-0005-0000-0000-0000A1710000}"/>
    <cellStyle name="Migliaia [0] 57 5" xfId="3199" xr:uid="{00000000-0005-0000-0000-0000A2710000}"/>
    <cellStyle name="Migliaia [0] 57 5 2" xfId="23199" xr:uid="{00000000-0005-0000-0000-0000A3710000}"/>
    <cellStyle name="Migliaia [0] 57 6" xfId="21350" xr:uid="{00000000-0005-0000-0000-0000A4710000}"/>
    <cellStyle name="Migliaia [0] 57 7" xfId="38141" xr:uid="{00000000-0005-0000-0000-0000A5710000}"/>
    <cellStyle name="Migliaia [0] 57 8" xfId="39103" xr:uid="{00000000-0005-0000-0000-0000A6710000}"/>
    <cellStyle name="Migliaia [0] 57 9" xfId="39503" xr:uid="{00000000-0005-0000-0000-0000A7710000}"/>
    <cellStyle name="Migliaia [0] 58" xfId="420" xr:uid="{00000000-0005-0000-0000-0000A8710000}"/>
    <cellStyle name="Migliaia [0] 58 10" xfId="39990" xr:uid="{00000000-0005-0000-0000-0000A9710000}"/>
    <cellStyle name="Migliaia [0] 58 2" xfId="11339" xr:uid="{00000000-0005-0000-0000-0000AA710000}"/>
    <cellStyle name="Migliaia [0] 58 2 2" xfId="20223" xr:uid="{00000000-0005-0000-0000-0000AB710000}"/>
    <cellStyle name="Migliaia [0] 58 2 2 2" xfId="37733" xr:uid="{00000000-0005-0000-0000-0000AC710000}"/>
    <cellStyle name="Migliaia [0] 58 2 3" xfId="38688" xr:uid="{00000000-0005-0000-0000-0000AD710000}"/>
    <cellStyle name="Migliaia [0] 58 3" xfId="12020" xr:uid="{00000000-0005-0000-0000-0000AE710000}"/>
    <cellStyle name="Migliaia [0] 58 3 2" xfId="30205" xr:uid="{00000000-0005-0000-0000-0000AF710000}"/>
    <cellStyle name="Migliaia [0] 58 4" xfId="19223" xr:uid="{00000000-0005-0000-0000-0000B0710000}"/>
    <cellStyle name="Migliaia [0] 58 4 2" xfId="37187" xr:uid="{00000000-0005-0000-0000-0000B1710000}"/>
    <cellStyle name="Migliaia [0] 58 5" xfId="3200" xr:uid="{00000000-0005-0000-0000-0000B2710000}"/>
    <cellStyle name="Migliaia [0] 58 5 2" xfId="23200" xr:uid="{00000000-0005-0000-0000-0000B3710000}"/>
    <cellStyle name="Migliaia [0] 58 6" xfId="21351" xr:uid="{00000000-0005-0000-0000-0000B4710000}"/>
    <cellStyle name="Migliaia [0] 58 7" xfId="38142" xr:uid="{00000000-0005-0000-0000-0000B5710000}"/>
    <cellStyle name="Migliaia [0] 58 8" xfId="39104" xr:uid="{00000000-0005-0000-0000-0000B6710000}"/>
    <cellStyle name="Migliaia [0] 58 9" xfId="39504" xr:uid="{00000000-0005-0000-0000-0000B7710000}"/>
    <cellStyle name="Migliaia [0] 59" xfId="421" xr:uid="{00000000-0005-0000-0000-0000B8710000}"/>
    <cellStyle name="Migliaia [0] 59 10" xfId="39991" xr:uid="{00000000-0005-0000-0000-0000B9710000}"/>
    <cellStyle name="Migliaia [0] 59 2" xfId="11340" xr:uid="{00000000-0005-0000-0000-0000BA710000}"/>
    <cellStyle name="Migliaia [0] 59 2 2" xfId="20224" xr:uid="{00000000-0005-0000-0000-0000BB710000}"/>
    <cellStyle name="Migliaia [0] 59 2 2 2" xfId="37734" xr:uid="{00000000-0005-0000-0000-0000BC710000}"/>
    <cellStyle name="Migliaia [0] 59 2 3" xfId="38689" xr:uid="{00000000-0005-0000-0000-0000BD710000}"/>
    <cellStyle name="Migliaia [0] 59 3" xfId="12021" xr:uid="{00000000-0005-0000-0000-0000BE710000}"/>
    <cellStyle name="Migliaia [0] 59 3 2" xfId="30206" xr:uid="{00000000-0005-0000-0000-0000BF710000}"/>
    <cellStyle name="Migliaia [0] 59 4" xfId="19224" xr:uid="{00000000-0005-0000-0000-0000C0710000}"/>
    <cellStyle name="Migliaia [0] 59 4 2" xfId="37188" xr:uid="{00000000-0005-0000-0000-0000C1710000}"/>
    <cellStyle name="Migliaia [0] 59 5" xfId="3201" xr:uid="{00000000-0005-0000-0000-0000C2710000}"/>
    <cellStyle name="Migliaia [0] 59 5 2" xfId="23201" xr:uid="{00000000-0005-0000-0000-0000C3710000}"/>
    <cellStyle name="Migliaia [0] 59 6" xfId="21352" xr:uid="{00000000-0005-0000-0000-0000C4710000}"/>
    <cellStyle name="Migliaia [0] 59 7" xfId="38143" xr:uid="{00000000-0005-0000-0000-0000C5710000}"/>
    <cellStyle name="Migliaia [0] 59 8" xfId="39105" xr:uid="{00000000-0005-0000-0000-0000C6710000}"/>
    <cellStyle name="Migliaia [0] 59 9" xfId="39505" xr:uid="{00000000-0005-0000-0000-0000C7710000}"/>
    <cellStyle name="Migliaia [0] 6" xfId="422" xr:uid="{00000000-0005-0000-0000-0000C8710000}"/>
    <cellStyle name="Migliaia [0] 6 10" xfId="39992" xr:uid="{00000000-0005-0000-0000-0000C9710000}"/>
    <cellStyle name="Migliaia [0] 6 2" xfId="11341" xr:uid="{00000000-0005-0000-0000-0000CA710000}"/>
    <cellStyle name="Migliaia [0] 6 2 2" xfId="20225" xr:uid="{00000000-0005-0000-0000-0000CB710000}"/>
    <cellStyle name="Migliaia [0] 6 2 2 2" xfId="37735" xr:uid="{00000000-0005-0000-0000-0000CC710000}"/>
    <cellStyle name="Migliaia [0] 6 2 3" xfId="38690" xr:uid="{00000000-0005-0000-0000-0000CD710000}"/>
    <cellStyle name="Migliaia [0] 6 3" xfId="12022" xr:uid="{00000000-0005-0000-0000-0000CE710000}"/>
    <cellStyle name="Migliaia [0] 6 3 2" xfId="30207" xr:uid="{00000000-0005-0000-0000-0000CF710000}"/>
    <cellStyle name="Migliaia [0] 6 4" xfId="19225" xr:uid="{00000000-0005-0000-0000-0000D0710000}"/>
    <cellStyle name="Migliaia [0] 6 4 2" xfId="37189" xr:uid="{00000000-0005-0000-0000-0000D1710000}"/>
    <cellStyle name="Migliaia [0] 6 5" xfId="3202" xr:uid="{00000000-0005-0000-0000-0000D2710000}"/>
    <cellStyle name="Migliaia [0] 6 5 2" xfId="23202" xr:uid="{00000000-0005-0000-0000-0000D3710000}"/>
    <cellStyle name="Migliaia [0] 6 6" xfId="21353" xr:uid="{00000000-0005-0000-0000-0000D4710000}"/>
    <cellStyle name="Migliaia [0] 6 7" xfId="38144" xr:uid="{00000000-0005-0000-0000-0000D5710000}"/>
    <cellStyle name="Migliaia [0] 6 8" xfId="39106" xr:uid="{00000000-0005-0000-0000-0000D6710000}"/>
    <cellStyle name="Migliaia [0] 6 9" xfId="39506" xr:uid="{00000000-0005-0000-0000-0000D7710000}"/>
    <cellStyle name="Migliaia [0] 7" xfId="423" xr:uid="{00000000-0005-0000-0000-0000D8710000}"/>
    <cellStyle name="Migliaia [0] 7 10" xfId="39993" xr:uid="{00000000-0005-0000-0000-0000D9710000}"/>
    <cellStyle name="Migliaia [0] 7 2" xfId="11342" xr:uid="{00000000-0005-0000-0000-0000DA710000}"/>
    <cellStyle name="Migliaia [0] 7 2 2" xfId="20226" xr:uid="{00000000-0005-0000-0000-0000DB710000}"/>
    <cellStyle name="Migliaia [0] 7 2 2 2" xfId="37736" xr:uid="{00000000-0005-0000-0000-0000DC710000}"/>
    <cellStyle name="Migliaia [0] 7 2 3" xfId="38691" xr:uid="{00000000-0005-0000-0000-0000DD710000}"/>
    <cellStyle name="Migliaia [0] 7 3" xfId="12023" xr:uid="{00000000-0005-0000-0000-0000DE710000}"/>
    <cellStyle name="Migliaia [0] 7 3 2" xfId="30208" xr:uid="{00000000-0005-0000-0000-0000DF710000}"/>
    <cellStyle name="Migliaia [0] 7 4" xfId="19226" xr:uid="{00000000-0005-0000-0000-0000E0710000}"/>
    <cellStyle name="Migliaia [0] 7 4 2" xfId="37190" xr:uid="{00000000-0005-0000-0000-0000E1710000}"/>
    <cellStyle name="Migliaia [0] 7 5" xfId="3203" xr:uid="{00000000-0005-0000-0000-0000E2710000}"/>
    <cellStyle name="Migliaia [0] 7 5 2" xfId="23203" xr:uid="{00000000-0005-0000-0000-0000E3710000}"/>
    <cellStyle name="Migliaia [0] 7 6" xfId="21354" xr:uid="{00000000-0005-0000-0000-0000E4710000}"/>
    <cellStyle name="Migliaia [0] 7 7" xfId="38145" xr:uid="{00000000-0005-0000-0000-0000E5710000}"/>
    <cellStyle name="Migliaia [0] 7 8" xfId="39107" xr:uid="{00000000-0005-0000-0000-0000E6710000}"/>
    <cellStyle name="Migliaia [0] 7 9" xfId="39507" xr:uid="{00000000-0005-0000-0000-0000E7710000}"/>
    <cellStyle name="Migliaia [0] 8" xfId="424" xr:uid="{00000000-0005-0000-0000-0000E8710000}"/>
    <cellStyle name="Migliaia [0] 8 10" xfId="39994" xr:uid="{00000000-0005-0000-0000-0000E9710000}"/>
    <cellStyle name="Migliaia [0] 8 2" xfId="11343" xr:uid="{00000000-0005-0000-0000-0000EA710000}"/>
    <cellStyle name="Migliaia [0] 8 2 2" xfId="20227" xr:uid="{00000000-0005-0000-0000-0000EB710000}"/>
    <cellStyle name="Migliaia [0] 8 2 2 2" xfId="37737" xr:uid="{00000000-0005-0000-0000-0000EC710000}"/>
    <cellStyle name="Migliaia [0] 8 2 3" xfId="38692" xr:uid="{00000000-0005-0000-0000-0000ED710000}"/>
    <cellStyle name="Migliaia [0] 8 3" xfId="12024" xr:uid="{00000000-0005-0000-0000-0000EE710000}"/>
    <cellStyle name="Migliaia [0] 8 3 2" xfId="30209" xr:uid="{00000000-0005-0000-0000-0000EF710000}"/>
    <cellStyle name="Migliaia [0] 8 4" xfId="19227" xr:uid="{00000000-0005-0000-0000-0000F0710000}"/>
    <cellStyle name="Migliaia [0] 8 4 2" xfId="37191" xr:uid="{00000000-0005-0000-0000-0000F1710000}"/>
    <cellStyle name="Migliaia [0] 8 5" xfId="3204" xr:uid="{00000000-0005-0000-0000-0000F2710000}"/>
    <cellStyle name="Migliaia [0] 8 5 2" xfId="23204" xr:uid="{00000000-0005-0000-0000-0000F3710000}"/>
    <cellStyle name="Migliaia [0] 8 6" xfId="21355" xr:uid="{00000000-0005-0000-0000-0000F4710000}"/>
    <cellStyle name="Migliaia [0] 8 7" xfId="38146" xr:uid="{00000000-0005-0000-0000-0000F5710000}"/>
    <cellStyle name="Migliaia [0] 8 8" xfId="39108" xr:uid="{00000000-0005-0000-0000-0000F6710000}"/>
    <cellStyle name="Migliaia [0] 8 9" xfId="39508" xr:uid="{00000000-0005-0000-0000-0000F7710000}"/>
    <cellStyle name="Migliaia [0] 9" xfId="425" xr:uid="{00000000-0005-0000-0000-0000F8710000}"/>
    <cellStyle name="Migliaia [0] 9 10" xfId="39995" xr:uid="{00000000-0005-0000-0000-0000F9710000}"/>
    <cellStyle name="Migliaia [0] 9 2" xfId="11344" xr:uid="{00000000-0005-0000-0000-0000FA710000}"/>
    <cellStyle name="Migliaia [0] 9 2 2" xfId="20228" xr:uid="{00000000-0005-0000-0000-0000FB710000}"/>
    <cellStyle name="Migliaia [0] 9 2 2 2" xfId="37738" xr:uid="{00000000-0005-0000-0000-0000FC710000}"/>
    <cellStyle name="Migliaia [0] 9 2 3" xfId="38693" xr:uid="{00000000-0005-0000-0000-0000FD710000}"/>
    <cellStyle name="Migliaia [0] 9 3" xfId="12025" xr:uid="{00000000-0005-0000-0000-0000FE710000}"/>
    <cellStyle name="Migliaia [0] 9 3 2" xfId="30210" xr:uid="{00000000-0005-0000-0000-0000FF710000}"/>
    <cellStyle name="Migliaia [0] 9 4" xfId="19228" xr:uid="{00000000-0005-0000-0000-000000720000}"/>
    <cellStyle name="Migliaia [0] 9 4 2" xfId="37192" xr:uid="{00000000-0005-0000-0000-000001720000}"/>
    <cellStyle name="Migliaia [0] 9 5" xfId="3205" xr:uid="{00000000-0005-0000-0000-000002720000}"/>
    <cellStyle name="Migliaia [0] 9 5 2" xfId="23205" xr:uid="{00000000-0005-0000-0000-000003720000}"/>
    <cellStyle name="Migliaia [0] 9 6" xfId="21356" xr:uid="{00000000-0005-0000-0000-000004720000}"/>
    <cellStyle name="Migliaia [0] 9 7" xfId="38147" xr:uid="{00000000-0005-0000-0000-000005720000}"/>
    <cellStyle name="Migliaia [0] 9 8" xfId="39109" xr:uid="{00000000-0005-0000-0000-000006720000}"/>
    <cellStyle name="Migliaia [0] 9 9" xfId="39509" xr:uid="{00000000-0005-0000-0000-000007720000}"/>
    <cellStyle name="Migliaia 10" xfId="426" xr:uid="{00000000-0005-0000-0000-000008720000}"/>
    <cellStyle name="Migliaia 10 10" xfId="21357" xr:uid="{00000000-0005-0000-0000-000009720000}"/>
    <cellStyle name="Migliaia 10 11" xfId="38148" xr:uid="{00000000-0005-0000-0000-00000A720000}"/>
    <cellStyle name="Migliaia 10 12" xfId="39110" xr:uid="{00000000-0005-0000-0000-00000B720000}"/>
    <cellStyle name="Migliaia 10 13" xfId="39510" xr:uid="{00000000-0005-0000-0000-00000C720000}"/>
    <cellStyle name="Migliaia 10 14" xfId="39996" xr:uid="{00000000-0005-0000-0000-00000D720000}"/>
    <cellStyle name="Migliaia 10 2" xfId="427" xr:uid="{00000000-0005-0000-0000-00000E720000}"/>
    <cellStyle name="Migliaia 10 2 10" xfId="39511" xr:uid="{00000000-0005-0000-0000-00000F720000}"/>
    <cellStyle name="Migliaia 10 2 11" xfId="39997" xr:uid="{00000000-0005-0000-0000-000010720000}"/>
    <cellStyle name="Migliaia 10 2 2" xfId="3538" xr:uid="{00000000-0005-0000-0000-000011720000}"/>
    <cellStyle name="Migliaia 10 2 2 2" xfId="12299" xr:uid="{00000000-0005-0000-0000-000012720000}"/>
    <cellStyle name="Migliaia 10 2 2 2 2" xfId="30469" xr:uid="{00000000-0005-0000-0000-000013720000}"/>
    <cellStyle name="Migliaia 10 2 2 3" xfId="20427" xr:uid="{00000000-0005-0000-0000-000014720000}"/>
    <cellStyle name="Migliaia 10 2 2 3 2" xfId="37744" xr:uid="{00000000-0005-0000-0000-000015720000}"/>
    <cellStyle name="Migliaia 10 2 2 4" xfId="23467" xr:uid="{00000000-0005-0000-0000-000016720000}"/>
    <cellStyle name="Migliaia 10 2 2 5" xfId="38699" xr:uid="{00000000-0005-0000-0000-000017720000}"/>
    <cellStyle name="Migliaia 10 2 2 6" xfId="39383" xr:uid="{00000000-0005-0000-0000-000018720000}"/>
    <cellStyle name="Migliaia 10 2 3" xfId="11346" xr:uid="{00000000-0005-0000-0000-000019720000}"/>
    <cellStyle name="Migliaia 10 2 4" xfId="12027" xr:uid="{00000000-0005-0000-0000-00001A720000}"/>
    <cellStyle name="Migliaia 10 2 4 2" xfId="30212" xr:uid="{00000000-0005-0000-0000-00001B720000}"/>
    <cellStyle name="Migliaia 10 2 5" xfId="19230" xr:uid="{00000000-0005-0000-0000-00001C720000}"/>
    <cellStyle name="Migliaia 10 2 5 2" xfId="37194" xr:uid="{00000000-0005-0000-0000-00001D720000}"/>
    <cellStyle name="Migliaia 10 2 6" xfId="3207" xr:uid="{00000000-0005-0000-0000-00001E720000}"/>
    <cellStyle name="Migliaia 10 2 6 2" xfId="23207" xr:uid="{00000000-0005-0000-0000-00001F720000}"/>
    <cellStyle name="Migliaia 10 2 7" xfId="21358" xr:uid="{00000000-0005-0000-0000-000020720000}"/>
    <cellStyle name="Migliaia 10 2 8" xfId="38149" xr:uid="{00000000-0005-0000-0000-000021720000}"/>
    <cellStyle name="Migliaia 10 2 9" xfId="39111" xr:uid="{00000000-0005-0000-0000-000022720000}"/>
    <cellStyle name="Migliaia 10 3" xfId="428" xr:uid="{00000000-0005-0000-0000-000023720000}"/>
    <cellStyle name="Migliaia 10 3 10" xfId="39512" xr:uid="{00000000-0005-0000-0000-000024720000}"/>
    <cellStyle name="Migliaia 10 3 11" xfId="39998" xr:uid="{00000000-0005-0000-0000-000025720000}"/>
    <cellStyle name="Migliaia 10 3 2" xfId="429" xr:uid="{00000000-0005-0000-0000-000026720000}"/>
    <cellStyle name="Migliaia 10 3 2 10" xfId="39999" xr:uid="{00000000-0005-0000-0000-000027720000}"/>
    <cellStyle name="Migliaia 10 3 2 2" xfId="11348" xr:uid="{00000000-0005-0000-0000-000028720000}"/>
    <cellStyle name="Migliaia 10 3 2 3" xfId="12029" xr:uid="{00000000-0005-0000-0000-000029720000}"/>
    <cellStyle name="Migliaia 10 3 2 3 2" xfId="30214" xr:uid="{00000000-0005-0000-0000-00002A720000}"/>
    <cellStyle name="Migliaia 10 3 2 4" xfId="19232" xr:uid="{00000000-0005-0000-0000-00002B720000}"/>
    <cellStyle name="Migliaia 10 3 2 4 2" xfId="37196" xr:uid="{00000000-0005-0000-0000-00002C720000}"/>
    <cellStyle name="Migliaia 10 3 2 5" xfId="3209" xr:uid="{00000000-0005-0000-0000-00002D720000}"/>
    <cellStyle name="Migliaia 10 3 2 5 2" xfId="23209" xr:uid="{00000000-0005-0000-0000-00002E720000}"/>
    <cellStyle name="Migliaia 10 3 2 6" xfId="21360" xr:uid="{00000000-0005-0000-0000-00002F720000}"/>
    <cellStyle name="Migliaia 10 3 2 7" xfId="38151" xr:uid="{00000000-0005-0000-0000-000030720000}"/>
    <cellStyle name="Migliaia 10 3 2 8" xfId="39113" xr:uid="{00000000-0005-0000-0000-000031720000}"/>
    <cellStyle name="Migliaia 10 3 2 9" xfId="39513" xr:uid="{00000000-0005-0000-0000-000032720000}"/>
    <cellStyle name="Migliaia 10 3 3" xfId="11347" xr:uid="{00000000-0005-0000-0000-000033720000}"/>
    <cellStyle name="Migliaia 10 3 3 2" xfId="20429" xr:uid="{00000000-0005-0000-0000-000034720000}"/>
    <cellStyle name="Migliaia 10 3 3 2 2" xfId="37746" xr:uid="{00000000-0005-0000-0000-000035720000}"/>
    <cellStyle name="Migliaia 10 3 3 2 3" xfId="38701" xr:uid="{00000000-0005-0000-0000-000036720000}"/>
    <cellStyle name="Migliaia 10 3 3 3" xfId="19233" xr:uid="{00000000-0005-0000-0000-000037720000}"/>
    <cellStyle name="Migliaia 10 3 3 3 2" xfId="37197" xr:uid="{00000000-0005-0000-0000-000038720000}"/>
    <cellStyle name="Migliaia 10 3 3 4" xfId="38152" xr:uid="{00000000-0005-0000-0000-000039720000}"/>
    <cellStyle name="Migliaia 10 3 4" xfId="12028" xr:uid="{00000000-0005-0000-0000-00003A720000}"/>
    <cellStyle name="Migliaia 10 3 4 2" xfId="20428" xr:uid="{00000000-0005-0000-0000-00003B720000}"/>
    <cellStyle name="Migliaia 10 3 4 2 2" xfId="37745" xr:uid="{00000000-0005-0000-0000-00003C720000}"/>
    <cellStyle name="Migliaia 10 3 4 3" xfId="30213" xr:uid="{00000000-0005-0000-0000-00003D720000}"/>
    <cellStyle name="Migliaia 10 3 4 4" xfId="38700" xr:uid="{00000000-0005-0000-0000-00003E720000}"/>
    <cellStyle name="Migliaia 10 3 5" xfId="19231" xr:uid="{00000000-0005-0000-0000-00003F720000}"/>
    <cellStyle name="Migliaia 10 3 5 2" xfId="37195" xr:uid="{00000000-0005-0000-0000-000040720000}"/>
    <cellStyle name="Migliaia 10 3 6" xfId="3208" xr:uid="{00000000-0005-0000-0000-000041720000}"/>
    <cellStyle name="Migliaia 10 3 6 2" xfId="23208" xr:uid="{00000000-0005-0000-0000-000042720000}"/>
    <cellStyle name="Migliaia 10 3 7" xfId="21359" xr:uid="{00000000-0005-0000-0000-000043720000}"/>
    <cellStyle name="Migliaia 10 3 8" xfId="38150" xr:uid="{00000000-0005-0000-0000-000044720000}"/>
    <cellStyle name="Migliaia 10 3 9" xfId="39112" xr:uid="{00000000-0005-0000-0000-000045720000}"/>
    <cellStyle name="Migliaia 10 4" xfId="430" xr:uid="{00000000-0005-0000-0000-000046720000}"/>
    <cellStyle name="Migliaia 10 4 2" xfId="19235" xr:uid="{00000000-0005-0000-0000-000047720000}"/>
    <cellStyle name="Migliaia 10 4 2 2" xfId="20431" xr:uid="{00000000-0005-0000-0000-000048720000}"/>
    <cellStyle name="Migliaia 10 4 2 2 2" xfId="37748" xr:uid="{00000000-0005-0000-0000-000049720000}"/>
    <cellStyle name="Migliaia 10 4 2 2 3" xfId="38703" xr:uid="{00000000-0005-0000-0000-00004A720000}"/>
    <cellStyle name="Migliaia 10 4 2 3" xfId="37199" xr:uid="{00000000-0005-0000-0000-00004B720000}"/>
    <cellStyle name="Migliaia 10 4 2 4" xfId="38154" xr:uid="{00000000-0005-0000-0000-00004C720000}"/>
    <cellStyle name="Migliaia 10 4 3" xfId="20430" xr:uid="{00000000-0005-0000-0000-00004D720000}"/>
    <cellStyle name="Migliaia 10 4 3 2" xfId="37747" xr:uid="{00000000-0005-0000-0000-00004E720000}"/>
    <cellStyle name="Migliaia 10 4 3 3" xfId="38702" xr:uid="{00000000-0005-0000-0000-00004F720000}"/>
    <cellStyle name="Migliaia 10 4 4" xfId="19234" xr:uid="{00000000-0005-0000-0000-000050720000}"/>
    <cellStyle name="Migliaia 10 4 4 2" xfId="37198" xr:uid="{00000000-0005-0000-0000-000051720000}"/>
    <cellStyle name="Migliaia 10 4 5" xfId="11349" xr:uid="{00000000-0005-0000-0000-000052720000}"/>
    <cellStyle name="Migliaia 10 4 6" xfId="21361" xr:uid="{00000000-0005-0000-0000-000053720000}"/>
    <cellStyle name="Migliaia 10 4 7" xfId="38153" xr:uid="{00000000-0005-0000-0000-000054720000}"/>
    <cellStyle name="Migliaia 10 4 8" xfId="39514" xr:uid="{00000000-0005-0000-0000-000055720000}"/>
    <cellStyle name="Migliaia 10 4 9" xfId="40000" xr:uid="{00000000-0005-0000-0000-000056720000}"/>
    <cellStyle name="Migliaia 10 5" xfId="431" xr:uid="{00000000-0005-0000-0000-000057720000}"/>
    <cellStyle name="Migliaia 10 5 2" xfId="19236" xr:uid="{00000000-0005-0000-0000-000058720000}"/>
    <cellStyle name="Migliaia 10 5 2 2" xfId="37200" xr:uid="{00000000-0005-0000-0000-000059720000}"/>
    <cellStyle name="Migliaia 10 5 3" xfId="11350" xr:uid="{00000000-0005-0000-0000-00005A720000}"/>
    <cellStyle name="Migliaia 10 5 4" xfId="21362" xr:uid="{00000000-0005-0000-0000-00005B720000}"/>
    <cellStyle name="Migliaia 10 5 5" xfId="38155" xr:uid="{00000000-0005-0000-0000-00005C720000}"/>
    <cellStyle name="Migliaia 10 5 6" xfId="39515" xr:uid="{00000000-0005-0000-0000-00005D720000}"/>
    <cellStyle name="Migliaia 10 5 7" xfId="40001" xr:uid="{00000000-0005-0000-0000-00005E720000}"/>
    <cellStyle name="Migliaia 10 6" xfId="432" xr:uid="{00000000-0005-0000-0000-00005F720000}"/>
    <cellStyle name="Migliaia 10 6 2" xfId="11345" xr:uid="{00000000-0005-0000-0000-000060720000}"/>
    <cellStyle name="Migliaia 10 6 3" xfId="21363" xr:uid="{00000000-0005-0000-0000-000061720000}"/>
    <cellStyle name="Migliaia 10 6 4" xfId="39516" xr:uid="{00000000-0005-0000-0000-000062720000}"/>
    <cellStyle name="Migliaia 10 6 5" xfId="40002" xr:uid="{00000000-0005-0000-0000-000063720000}"/>
    <cellStyle name="Migliaia 10 7" xfId="12026" xr:uid="{00000000-0005-0000-0000-000064720000}"/>
    <cellStyle name="Migliaia 10 7 2" xfId="30211" xr:uid="{00000000-0005-0000-0000-000065720000}"/>
    <cellStyle name="Migliaia 10 8" xfId="19229" xr:uid="{00000000-0005-0000-0000-000066720000}"/>
    <cellStyle name="Migliaia 10 8 2" xfId="37193" xr:uid="{00000000-0005-0000-0000-000067720000}"/>
    <cellStyle name="Migliaia 10 9" xfId="3206" xr:uid="{00000000-0005-0000-0000-000068720000}"/>
    <cellStyle name="Migliaia 10 9 2" xfId="23206" xr:uid="{00000000-0005-0000-0000-000069720000}"/>
    <cellStyle name="Migliaia 11" xfId="433" xr:uid="{00000000-0005-0000-0000-00006A720000}"/>
    <cellStyle name="Migliaia 11 10" xfId="21364" xr:uid="{00000000-0005-0000-0000-00006B720000}"/>
    <cellStyle name="Migliaia 11 11" xfId="38156" xr:uid="{00000000-0005-0000-0000-00006C720000}"/>
    <cellStyle name="Migliaia 11 12" xfId="39114" xr:uid="{00000000-0005-0000-0000-00006D720000}"/>
    <cellStyle name="Migliaia 11 13" xfId="39517" xr:uid="{00000000-0005-0000-0000-00006E720000}"/>
    <cellStyle name="Migliaia 11 14" xfId="40003" xr:uid="{00000000-0005-0000-0000-00006F720000}"/>
    <cellStyle name="Migliaia 11 2" xfId="434" xr:uid="{00000000-0005-0000-0000-000070720000}"/>
    <cellStyle name="Migliaia 11 2 10" xfId="39518" xr:uid="{00000000-0005-0000-0000-000071720000}"/>
    <cellStyle name="Migliaia 11 2 11" xfId="40004" xr:uid="{00000000-0005-0000-0000-000072720000}"/>
    <cellStyle name="Migliaia 11 2 2" xfId="3539" xr:uid="{00000000-0005-0000-0000-000073720000}"/>
    <cellStyle name="Migliaia 11 2 2 2" xfId="12300" xr:uid="{00000000-0005-0000-0000-000074720000}"/>
    <cellStyle name="Migliaia 11 2 2 2 2" xfId="30470" xr:uid="{00000000-0005-0000-0000-000075720000}"/>
    <cellStyle name="Migliaia 11 2 2 3" xfId="20432" xr:uid="{00000000-0005-0000-0000-000076720000}"/>
    <cellStyle name="Migliaia 11 2 2 3 2" xfId="37749" xr:uid="{00000000-0005-0000-0000-000077720000}"/>
    <cellStyle name="Migliaia 11 2 2 4" xfId="23468" xr:uid="{00000000-0005-0000-0000-000078720000}"/>
    <cellStyle name="Migliaia 11 2 2 5" xfId="38704" xr:uid="{00000000-0005-0000-0000-000079720000}"/>
    <cellStyle name="Migliaia 11 2 2 6" xfId="39384" xr:uid="{00000000-0005-0000-0000-00007A720000}"/>
    <cellStyle name="Migliaia 11 2 3" xfId="11352" xr:uid="{00000000-0005-0000-0000-00007B720000}"/>
    <cellStyle name="Migliaia 11 2 4" xfId="12031" xr:uid="{00000000-0005-0000-0000-00007C720000}"/>
    <cellStyle name="Migliaia 11 2 4 2" xfId="30216" xr:uid="{00000000-0005-0000-0000-00007D720000}"/>
    <cellStyle name="Migliaia 11 2 5" xfId="19238" xr:uid="{00000000-0005-0000-0000-00007E720000}"/>
    <cellStyle name="Migliaia 11 2 5 2" xfId="37202" xr:uid="{00000000-0005-0000-0000-00007F720000}"/>
    <cellStyle name="Migliaia 11 2 6" xfId="3211" xr:uid="{00000000-0005-0000-0000-000080720000}"/>
    <cellStyle name="Migliaia 11 2 6 2" xfId="23211" xr:uid="{00000000-0005-0000-0000-000081720000}"/>
    <cellStyle name="Migliaia 11 2 7" xfId="21365" xr:uid="{00000000-0005-0000-0000-000082720000}"/>
    <cellStyle name="Migliaia 11 2 8" xfId="38157" xr:uid="{00000000-0005-0000-0000-000083720000}"/>
    <cellStyle name="Migliaia 11 2 9" xfId="39115" xr:uid="{00000000-0005-0000-0000-000084720000}"/>
    <cellStyle name="Migliaia 11 3" xfId="435" xr:uid="{00000000-0005-0000-0000-000085720000}"/>
    <cellStyle name="Migliaia 11 3 10" xfId="39519" xr:uid="{00000000-0005-0000-0000-000086720000}"/>
    <cellStyle name="Migliaia 11 3 11" xfId="40005" xr:uid="{00000000-0005-0000-0000-000087720000}"/>
    <cellStyle name="Migliaia 11 3 2" xfId="436" xr:uid="{00000000-0005-0000-0000-000088720000}"/>
    <cellStyle name="Migliaia 11 3 2 10" xfId="40006" xr:uid="{00000000-0005-0000-0000-000089720000}"/>
    <cellStyle name="Migliaia 11 3 2 2" xfId="11354" xr:uid="{00000000-0005-0000-0000-00008A720000}"/>
    <cellStyle name="Migliaia 11 3 2 3" xfId="12033" xr:uid="{00000000-0005-0000-0000-00008B720000}"/>
    <cellStyle name="Migliaia 11 3 2 3 2" xfId="30218" xr:uid="{00000000-0005-0000-0000-00008C720000}"/>
    <cellStyle name="Migliaia 11 3 2 4" xfId="19240" xr:uid="{00000000-0005-0000-0000-00008D720000}"/>
    <cellStyle name="Migliaia 11 3 2 4 2" xfId="37204" xr:uid="{00000000-0005-0000-0000-00008E720000}"/>
    <cellStyle name="Migliaia 11 3 2 5" xfId="3213" xr:uid="{00000000-0005-0000-0000-00008F720000}"/>
    <cellStyle name="Migliaia 11 3 2 5 2" xfId="23213" xr:uid="{00000000-0005-0000-0000-000090720000}"/>
    <cellStyle name="Migliaia 11 3 2 6" xfId="21367" xr:uid="{00000000-0005-0000-0000-000091720000}"/>
    <cellStyle name="Migliaia 11 3 2 7" xfId="38159" xr:uid="{00000000-0005-0000-0000-000092720000}"/>
    <cellStyle name="Migliaia 11 3 2 8" xfId="39117" xr:uid="{00000000-0005-0000-0000-000093720000}"/>
    <cellStyle name="Migliaia 11 3 2 9" xfId="39520" xr:uid="{00000000-0005-0000-0000-000094720000}"/>
    <cellStyle name="Migliaia 11 3 3" xfId="11353" xr:uid="{00000000-0005-0000-0000-000095720000}"/>
    <cellStyle name="Migliaia 11 3 3 2" xfId="20434" xr:uid="{00000000-0005-0000-0000-000096720000}"/>
    <cellStyle name="Migliaia 11 3 3 2 2" xfId="37751" xr:uid="{00000000-0005-0000-0000-000097720000}"/>
    <cellStyle name="Migliaia 11 3 3 2 3" xfId="38706" xr:uid="{00000000-0005-0000-0000-000098720000}"/>
    <cellStyle name="Migliaia 11 3 3 3" xfId="19241" xr:uid="{00000000-0005-0000-0000-000099720000}"/>
    <cellStyle name="Migliaia 11 3 3 3 2" xfId="37205" xr:uid="{00000000-0005-0000-0000-00009A720000}"/>
    <cellStyle name="Migliaia 11 3 3 4" xfId="38160" xr:uid="{00000000-0005-0000-0000-00009B720000}"/>
    <cellStyle name="Migliaia 11 3 4" xfId="12032" xr:uid="{00000000-0005-0000-0000-00009C720000}"/>
    <cellStyle name="Migliaia 11 3 4 2" xfId="20433" xr:uid="{00000000-0005-0000-0000-00009D720000}"/>
    <cellStyle name="Migliaia 11 3 4 2 2" xfId="37750" xr:uid="{00000000-0005-0000-0000-00009E720000}"/>
    <cellStyle name="Migliaia 11 3 4 3" xfId="30217" xr:uid="{00000000-0005-0000-0000-00009F720000}"/>
    <cellStyle name="Migliaia 11 3 4 4" xfId="38705" xr:uid="{00000000-0005-0000-0000-0000A0720000}"/>
    <cellStyle name="Migliaia 11 3 5" xfId="19239" xr:uid="{00000000-0005-0000-0000-0000A1720000}"/>
    <cellStyle name="Migliaia 11 3 5 2" xfId="37203" xr:uid="{00000000-0005-0000-0000-0000A2720000}"/>
    <cellStyle name="Migliaia 11 3 6" xfId="3212" xr:uid="{00000000-0005-0000-0000-0000A3720000}"/>
    <cellStyle name="Migliaia 11 3 6 2" xfId="23212" xr:uid="{00000000-0005-0000-0000-0000A4720000}"/>
    <cellStyle name="Migliaia 11 3 7" xfId="21366" xr:uid="{00000000-0005-0000-0000-0000A5720000}"/>
    <cellStyle name="Migliaia 11 3 8" xfId="38158" xr:uid="{00000000-0005-0000-0000-0000A6720000}"/>
    <cellStyle name="Migliaia 11 3 9" xfId="39116" xr:uid="{00000000-0005-0000-0000-0000A7720000}"/>
    <cellStyle name="Migliaia 11 4" xfId="437" xr:uid="{00000000-0005-0000-0000-0000A8720000}"/>
    <cellStyle name="Migliaia 11 4 2" xfId="19243" xr:uid="{00000000-0005-0000-0000-0000A9720000}"/>
    <cellStyle name="Migliaia 11 4 2 2" xfId="20436" xr:uid="{00000000-0005-0000-0000-0000AA720000}"/>
    <cellStyle name="Migliaia 11 4 2 2 2" xfId="37753" xr:uid="{00000000-0005-0000-0000-0000AB720000}"/>
    <cellStyle name="Migliaia 11 4 2 2 3" xfId="38708" xr:uid="{00000000-0005-0000-0000-0000AC720000}"/>
    <cellStyle name="Migliaia 11 4 2 3" xfId="37207" xr:uid="{00000000-0005-0000-0000-0000AD720000}"/>
    <cellStyle name="Migliaia 11 4 2 4" xfId="38162" xr:uid="{00000000-0005-0000-0000-0000AE720000}"/>
    <cellStyle name="Migliaia 11 4 3" xfId="20435" xr:uid="{00000000-0005-0000-0000-0000AF720000}"/>
    <cellStyle name="Migliaia 11 4 3 2" xfId="37752" xr:uid="{00000000-0005-0000-0000-0000B0720000}"/>
    <cellStyle name="Migliaia 11 4 3 3" xfId="38707" xr:uid="{00000000-0005-0000-0000-0000B1720000}"/>
    <cellStyle name="Migliaia 11 4 4" xfId="19242" xr:uid="{00000000-0005-0000-0000-0000B2720000}"/>
    <cellStyle name="Migliaia 11 4 4 2" xfId="37206" xr:uid="{00000000-0005-0000-0000-0000B3720000}"/>
    <cellStyle name="Migliaia 11 4 5" xfId="11355" xr:uid="{00000000-0005-0000-0000-0000B4720000}"/>
    <cellStyle name="Migliaia 11 4 6" xfId="21368" xr:uid="{00000000-0005-0000-0000-0000B5720000}"/>
    <cellStyle name="Migliaia 11 4 7" xfId="38161" xr:uid="{00000000-0005-0000-0000-0000B6720000}"/>
    <cellStyle name="Migliaia 11 4 8" xfId="39521" xr:uid="{00000000-0005-0000-0000-0000B7720000}"/>
    <cellStyle name="Migliaia 11 4 9" xfId="40007" xr:uid="{00000000-0005-0000-0000-0000B8720000}"/>
    <cellStyle name="Migliaia 11 5" xfId="438" xr:uid="{00000000-0005-0000-0000-0000B9720000}"/>
    <cellStyle name="Migliaia 11 5 2" xfId="19244" xr:uid="{00000000-0005-0000-0000-0000BA720000}"/>
    <cellStyle name="Migliaia 11 5 2 2" xfId="37208" xr:uid="{00000000-0005-0000-0000-0000BB720000}"/>
    <cellStyle name="Migliaia 11 5 3" xfId="11356" xr:uid="{00000000-0005-0000-0000-0000BC720000}"/>
    <cellStyle name="Migliaia 11 5 4" xfId="21369" xr:uid="{00000000-0005-0000-0000-0000BD720000}"/>
    <cellStyle name="Migliaia 11 5 5" xfId="38163" xr:uid="{00000000-0005-0000-0000-0000BE720000}"/>
    <cellStyle name="Migliaia 11 5 6" xfId="39522" xr:uid="{00000000-0005-0000-0000-0000BF720000}"/>
    <cellStyle name="Migliaia 11 5 7" xfId="40008" xr:uid="{00000000-0005-0000-0000-0000C0720000}"/>
    <cellStyle name="Migliaia 11 6" xfId="439" xr:uid="{00000000-0005-0000-0000-0000C1720000}"/>
    <cellStyle name="Migliaia 11 6 2" xfId="11351" xr:uid="{00000000-0005-0000-0000-0000C2720000}"/>
    <cellStyle name="Migliaia 11 6 3" xfId="21370" xr:uid="{00000000-0005-0000-0000-0000C3720000}"/>
    <cellStyle name="Migliaia 11 6 4" xfId="39523" xr:uid="{00000000-0005-0000-0000-0000C4720000}"/>
    <cellStyle name="Migliaia 11 6 5" xfId="40009" xr:uid="{00000000-0005-0000-0000-0000C5720000}"/>
    <cellStyle name="Migliaia 11 7" xfId="12030" xr:uid="{00000000-0005-0000-0000-0000C6720000}"/>
    <cellStyle name="Migliaia 11 7 2" xfId="30215" xr:uid="{00000000-0005-0000-0000-0000C7720000}"/>
    <cellStyle name="Migliaia 11 8" xfId="19237" xr:uid="{00000000-0005-0000-0000-0000C8720000}"/>
    <cellStyle name="Migliaia 11 8 2" xfId="37201" xr:uid="{00000000-0005-0000-0000-0000C9720000}"/>
    <cellStyle name="Migliaia 11 9" xfId="3210" xr:uid="{00000000-0005-0000-0000-0000CA720000}"/>
    <cellStyle name="Migliaia 11 9 2" xfId="23210" xr:uid="{00000000-0005-0000-0000-0000CB720000}"/>
    <cellStyle name="Migliaia 12" xfId="440" xr:uid="{00000000-0005-0000-0000-0000CC720000}"/>
    <cellStyle name="Migliaia 12 10" xfId="21371" xr:uid="{00000000-0005-0000-0000-0000CD720000}"/>
    <cellStyle name="Migliaia 12 11" xfId="38164" xr:uid="{00000000-0005-0000-0000-0000CE720000}"/>
    <cellStyle name="Migliaia 12 12" xfId="39118" xr:uid="{00000000-0005-0000-0000-0000CF720000}"/>
    <cellStyle name="Migliaia 12 13" xfId="39524" xr:uid="{00000000-0005-0000-0000-0000D0720000}"/>
    <cellStyle name="Migliaia 12 14" xfId="40010" xr:uid="{00000000-0005-0000-0000-0000D1720000}"/>
    <cellStyle name="Migliaia 12 2" xfId="441" xr:uid="{00000000-0005-0000-0000-0000D2720000}"/>
    <cellStyle name="Migliaia 12 2 10" xfId="39525" xr:uid="{00000000-0005-0000-0000-0000D3720000}"/>
    <cellStyle name="Migliaia 12 2 11" xfId="40011" xr:uid="{00000000-0005-0000-0000-0000D4720000}"/>
    <cellStyle name="Migliaia 12 2 2" xfId="3540" xr:uid="{00000000-0005-0000-0000-0000D5720000}"/>
    <cellStyle name="Migliaia 12 2 2 2" xfId="12301" xr:uid="{00000000-0005-0000-0000-0000D6720000}"/>
    <cellStyle name="Migliaia 12 2 2 2 2" xfId="30471" xr:uid="{00000000-0005-0000-0000-0000D7720000}"/>
    <cellStyle name="Migliaia 12 2 2 3" xfId="20437" xr:uid="{00000000-0005-0000-0000-0000D8720000}"/>
    <cellStyle name="Migliaia 12 2 2 3 2" xfId="37754" xr:uid="{00000000-0005-0000-0000-0000D9720000}"/>
    <cellStyle name="Migliaia 12 2 2 4" xfId="23469" xr:uid="{00000000-0005-0000-0000-0000DA720000}"/>
    <cellStyle name="Migliaia 12 2 2 5" xfId="38709" xr:uid="{00000000-0005-0000-0000-0000DB720000}"/>
    <cellStyle name="Migliaia 12 2 2 6" xfId="39385" xr:uid="{00000000-0005-0000-0000-0000DC720000}"/>
    <cellStyle name="Migliaia 12 2 3" xfId="11358" xr:uid="{00000000-0005-0000-0000-0000DD720000}"/>
    <cellStyle name="Migliaia 12 2 4" xfId="12035" xr:uid="{00000000-0005-0000-0000-0000DE720000}"/>
    <cellStyle name="Migliaia 12 2 4 2" xfId="30220" xr:uid="{00000000-0005-0000-0000-0000DF720000}"/>
    <cellStyle name="Migliaia 12 2 5" xfId="19246" xr:uid="{00000000-0005-0000-0000-0000E0720000}"/>
    <cellStyle name="Migliaia 12 2 5 2" xfId="37210" xr:uid="{00000000-0005-0000-0000-0000E1720000}"/>
    <cellStyle name="Migliaia 12 2 6" xfId="3215" xr:uid="{00000000-0005-0000-0000-0000E2720000}"/>
    <cellStyle name="Migliaia 12 2 6 2" xfId="23215" xr:uid="{00000000-0005-0000-0000-0000E3720000}"/>
    <cellStyle name="Migliaia 12 2 7" xfId="21372" xr:uid="{00000000-0005-0000-0000-0000E4720000}"/>
    <cellStyle name="Migliaia 12 2 8" xfId="38165" xr:uid="{00000000-0005-0000-0000-0000E5720000}"/>
    <cellStyle name="Migliaia 12 2 9" xfId="39119" xr:uid="{00000000-0005-0000-0000-0000E6720000}"/>
    <cellStyle name="Migliaia 12 3" xfId="442" xr:uid="{00000000-0005-0000-0000-0000E7720000}"/>
    <cellStyle name="Migliaia 12 3 10" xfId="39526" xr:uid="{00000000-0005-0000-0000-0000E8720000}"/>
    <cellStyle name="Migliaia 12 3 11" xfId="40012" xr:uid="{00000000-0005-0000-0000-0000E9720000}"/>
    <cellStyle name="Migliaia 12 3 2" xfId="443" xr:uid="{00000000-0005-0000-0000-0000EA720000}"/>
    <cellStyle name="Migliaia 12 3 2 10" xfId="40013" xr:uid="{00000000-0005-0000-0000-0000EB720000}"/>
    <cellStyle name="Migliaia 12 3 2 2" xfId="11360" xr:uid="{00000000-0005-0000-0000-0000EC720000}"/>
    <cellStyle name="Migliaia 12 3 2 3" xfId="12037" xr:uid="{00000000-0005-0000-0000-0000ED720000}"/>
    <cellStyle name="Migliaia 12 3 2 3 2" xfId="30222" xr:uid="{00000000-0005-0000-0000-0000EE720000}"/>
    <cellStyle name="Migliaia 12 3 2 4" xfId="19248" xr:uid="{00000000-0005-0000-0000-0000EF720000}"/>
    <cellStyle name="Migliaia 12 3 2 4 2" xfId="37212" xr:uid="{00000000-0005-0000-0000-0000F0720000}"/>
    <cellStyle name="Migliaia 12 3 2 5" xfId="3217" xr:uid="{00000000-0005-0000-0000-0000F1720000}"/>
    <cellStyle name="Migliaia 12 3 2 5 2" xfId="23217" xr:uid="{00000000-0005-0000-0000-0000F2720000}"/>
    <cellStyle name="Migliaia 12 3 2 6" xfId="21374" xr:uid="{00000000-0005-0000-0000-0000F3720000}"/>
    <cellStyle name="Migliaia 12 3 2 7" xfId="38167" xr:uid="{00000000-0005-0000-0000-0000F4720000}"/>
    <cellStyle name="Migliaia 12 3 2 8" xfId="39121" xr:uid="{00000000-0005-0000-0000-0000F5720000}"/>
    <cellStyle name="Migliaia 12 3 2 9" xfId="39527" xr:uid="{00000000-0005-0000-0000-0000F6720000}"/>
    <cellStyle name="Migliaia 12 3 3" xfId="11359" xr:uid="{00000000-0005-0000-0000-0000F7720000}"/>
    <cellStyle name="Migliaia 12 3 3 2" xfId="20439" xr:uid="{00000000-0005-0000-0000-0000F8720000}"/>
    <cellStyle name="Migliaia 12 3 3 2 2" xfId="37756" xr:uid="{00000000-0005-0000-0000-0000F9720000}"/>
    <cellStyle name="Migliaia 12 3 3 2 3" xfId="38711" xr:uid="{00000000-0005-0000-0000-0000FA720000}"/>
    <cellStyle name="Migliaia 12 3 3 3" xfId="19249" xr:uid="{00000000-0005-0000-0000-0000FB720000}"/>
    <cellStyle name="Migliaia 12 3 3 3 2" xfId="37213" xr:uid="{00000000-0005-0000-0000-0000FC720000}"/>
    <cellStyle name="Migliaia 12 3 3 4" xfId="38168" xr:uid="{00000000-0005-0000-0000-0000FD720000}"/>
    <cellStyle name="Migliaia 12 3 4" xfId="12036" xr:uid="{00000000-0005-0000-0000-0000FE720000}"/>
    <cellStyle name="Migliaia 12 3 4 2" xfId="20438" xr:uid="{00000000-0005-0000-0000-0000FF720000}"/>
    <cellStyle name="Migliaia 12 3 4 2 2" xfId="37755" xr:uid="{00000000-0005-0000-0000-000000730000}"/>
    <cellStyle name="Migliaia 12 3 4 3" xfId="30221" xr:uid="{00000000-0005-0000-0000-000001730000}"/>
    <cellStyle name="Migliaia 12 3 4 4" xfId="38710" xr:uid="{00000000-0005-0000-0000-000002730000}"/>
    <cellStyle name="Migliaia 12 3 5" xfId="19247" xr:uid="{00000000-0005-0000-0000-000003730000}"/>
    <cellStyle name="Migliaia 12 3 5 2" xfId="37211" xr:uid="{00000000-0005-0000-0000-000004730000}"/>
    <cellStyle name="Migliaia 12 3 6" xfId="3216" xr:uid="{00000000-0005-0000-0000-000005730000}"/>
    <cellStyle name="Migliaia 12 3 6 2" xfId="23216" xr:uid="{00000000-0005-0000-0000-000006730000}"/>
    <cellStyle name="Migliaia 12 3 7" xfId="21373" xr:uid="{00000000-0005-0000-0000-000007730000}"/>
    <cellStyle name="Migliaia 12 3 8" xfId="38166" xr:uid="{00000000-0005-0000-0000-000008730000}"/>
    <cellStyle name="Migliaia 12 3 9" xfId="39120" xr:uid="{00000000-0005-0000-0000-000009730000}"/>
    <cellStyle name="Migliaia 12 4" xfId="444" xr:uid="{00000000-0005-0000-0000-00000A730000}"/>
    <cellStyle name="Migliaia 12 4 2" xfId="19251" xr:uid="{00000000-0005-0000-0000-00000B730000}"/>
    <cellStyle name="Migliaia 12 4 2 2" xfId="20441" xr:uid="{00000000-0005-0000-0000-00000C730000}"/>
    <cellStyle name="Migliaia 12 4 2 2 2" xfId="37758" xr:uid="{00000000-0005-0000-0000-00000D730000}"/>
    <cellStyle name="Migliaia 12 4 2 2 3" xfId="38713" xr:uid="{00000000-0005-0000-0000-00000E730000}"/>
    <cellStyle name="Migliaia 12 4 2 3" xfId="37215" xr:uid="{00000000-0005-0000-0000-00000F730000}"/>
    <cellStyle name="Migliaia 12 4 2 4" xfId="38170" xr:uid="{00000000-0005-0000-0000-000010730000}"/>
    <cellStyle name="Migliaia 12 4 3" xfId="20440" xr:uid="{00000000-0005-0000-0000-000011730000}"/>
    <cellStyle name="Migliaia 12 4 3 2" xfId="37757" xr:uid="{00000000-0005-0000-0000-000012730000}"/>
    <cellStyle name="Migliaia 12 4 3 3" xfId="38712" xr:uid="{00000000-0005-0000-0000-000013730000}"/>
    <cellStyle name="Migliaia 12 4 4" xfId="19250" xr:uid="{00000000-0005-0000-0000-000014730000}"/>
    <cellStyle name="Migliaia 12 4 4 2" xfId="37214" xr:uid="{00000000-0005-0000-0000-000015730000}"/>
    <cellStyle name="Migliaia 12 4 5" xfId="11361" xr:uid="{00000000-0005-0000-0000-000016730000}"/>
    <cellStyle name="Migliaia 12 4 6" xfId="21375" xr:uid="{00000000-0005-0000-0000-000017730000}"/>
    <cellStyle name="Migliaia 12 4 7" xfId="38169" xr:uid="{00000000-0005-0000-0000-000018730000}"/>
    <cellStyle name="Migliaia 12 4 8" xfId="39528" xr:uid="{00000000-0005-0000-0000-000019730000}"/>
    <cellStyle name="Migliaia 12 4 9" xfId="40014" xr:uid="{00000000-0005-0000-0000-00001A730000}"/>
    <cellStyle name="Migliaia 12 5" xfId="445" xr:uid="{00000000-0005-0000-0000-00001B730000}"/>
    <cellStyle name="Migliaia 12 5 2" xfId="19252" xr:uid="{00000000-0005-0000-0000-00001C730000}"/>
    <cellStyle name="Migliaia 12 5 2 2" xfId="37216" xr:uid="{00000000-0005-0000-0000-00001D730000}"/>
    <cellStyle name="Migliaia 12 5 3" xfId="11362" xr:uid="{00000000-0005-0000-0000-00001E730000}"/>
    <cellStyle name="Migliaia 12 5 4" xfId="21376" xr:uid="{00000000-0005-0000-0000-00001F730000}"/>
    <cellStyle name="Migliaia 12 5 5" xfId="38171" xr:uid="{00000000-0005-0000-0000-000020730000}"/>
    <cellStyle name="Migliaia 12 5 6" xfId="39529" xr:uid="{00000000-0005-0000-0000-000021730000}"/>
    <cellStyle name="Migliaia 12 5 7" xfId="40015" xr:uid="{00000000-0005-0000-0000-000022730000}"/>
    <cellStyle name="Migliaia 12 6" xfId="446" xr:uid="{00000000-0005-0000-0000-000023730000}"/>
    <cellStyle name="Migliaia 12 6 2" xfId="11357" xr:uid="{00000000-0005-0000-0000-000024730000}"/>
    <cellStyle name="Migliaia 12 6 3" xfId="21377" xr:uid="{00000000-0005-0000-0000-000025730000}"/>
    <cellStyle name="Migliaia 12 6 4" xfId="39530" xr:uid="{00000000-0005-0000-0000-000026730000}"/>
    <cellStyle name="Migliaia 12 6 5" xfId="40016" xr:uid="{00000000-0005-0000-0000-000027730000}"/>
    <cellStyle name="Migliaia 12 7" xfId="12034" xr:uid="{00000000-0005-0000-0000-000028730000}"/>
    <cellStyle name="Migliaia 12 7 2" xfId="30219" xr:uid="{00000000-0005-0000-0000-000029730000}"/>
    <cellStyle name="Migliaia 12 8" xfId="19245" xr:uid="{00000000-0005-0000-0000-00002A730000}"/>
    <cellStyle name="Migliaia 12 8 2" xfId="37209" xr:uid="{00000000-0005-0000-0000-00002B730000}"/>
    <cellStyle name="Migliaia 12 9" xfId="3214" xr:uid="{00000000-0005-0000-0000-00002C730000}"/>
    <cellStyle name="Migliaia 12 9 2" xfId="23214" xr:uid="{00000000-0005-0000-0000-00002D730000}"/>
    <cellStyle name="Migliaia 13" xfId="447" xr:uid="{00000000-0005-0000-0000-00002E730000}"/>
    <cellStyle name="Migliaia 13 10" xfId="21378" xr:uid="{00000000-0005-0000-0000-00002F730000}"/>
    <cellStyle name="Migliaia 13 11" xfId="38172" xr:uid="{00000000-0005-0000-0000-000030730000}"/>
    <cellStyle name="Migliaia 13 12" xfId="39122" xr:uid="{00000000-0005-0000-0000-000031730000}"/>
    <cellStyle name="Migliaia 13 13" xfId="39531" xr:uid="{00000000-0005-0000-0000-000032730000}"/>
    <cellStyle name="Migliaia 13 14" xfId="40017" xr:uid="{00000000-0005-0000-0000-000033730000}"/>
    <cellStyle name="Migliaia 13 2" xfId="448" xr:uid="{00000000-0005-0000-0000-000034730000}"/>
    <cellStyle name="Migliaia 13 2 10" xfId="39532" xr:uid="{00000000-0005-0000-0000-000035730000}"/>
    <cellStyle name="Migliaia 13 2 11" xfId="40018" xr:uid="{00000000-0005-0000-0000-000036730000}"/>
    <cellStyle name="Migliaia 13 2 2" xfId="3541" xr:uid="{00000000-0005-0000-0000-000037730000}"/>
    <cellStyle name="Migliaia 13 2 2 2" xfId="12302" xr:uid="{00000000-0005-0000-0000-000038730000}"/>
    <cellStyle name="Migliaia 13 2 2 2 2" xfId="30472" xr:uid="{00000000-0005-0000-0000-000039730000}"/>
    <cellStyle name="Migliaia 13 2 2 3" xfId="20442" xr:uid="{00000000-0005-0000-0000-00003A730000}"/>
    <cellStyle name="Migliaia 13 2 2 3 2" xfId="37759" xr:uid="{00000000-0005-0000-0000-00003B730000}"/>
    <cellStyle name="Migliaia 13 2 2 4" xfId="23470" xr:uid="{00000000-0005-0000-0000-00003C730000}"/>
    <cellStyle name="Migliaia 13 2 2 5" xfId="38714" xr:uid="{00000000-0005-0000-0000-00003D730000}"/>
    <cellStyle name="Migliaia 13 2 2 6" xfId="39386" xr:uid="{00000000-0005-0000-0000-00003E730000}"/>
    <cellStyle name="Migliaia 13 2 3" xfId="11364" xr:uid="{00000000-0005-0000-0000-00003F730000}"/>
    <cellStyle name="Migliaia 13 2 4" xfId="12039" xr:uid="{00000000-0005-0000-0000-000040730000}"/>
    <cellStyle name="Migliaia 13 2 4 2" xfId="30224" xr:uid="{00000000-0005-0000-0000-000041730000}"/>
    <cellStyle name="Migliaia 13 2 5" xfId="19254" xr:uid="{00000000-0005-0000-0000-000042730000}"/>
    <cellStyle name="Migliaia 13 2 5 2" xfId="37218" xr:uid="{00000000-0005-0000-0000-000043730000}"/>
    <cellStyle name="Migliaia 13 2 6" xfId="3219" xr:uid="{00000000-0005-0000-0000-000044730000}"/>
    <cellStyle name="Migliaia 13 2 6 2" xfId="23219" xr:uid="{00000000-0005-0000-0000-000045730000}"/>
    <cellStyle name="Migliaia 13 2 7" xfId="21379" xr:uid="{00000000-0005-0000-0000-000046730000}"/>
    <cellStyle name="Migliaia 13 2 8" xfId="38173" xr:uid="{00000000-0005-0000-0000-000047730000}"/>
    <cellStyle name="Migliaia 13 2 9" xfId="39123" xr:uid="{00000000-0005-0000-0000-000048730000}"/>
    <cellStyle name="Migliaia 13 3" xfId="449" xr:uid="{00000000-0005-0000-0000-000049730000}"/>
    <cellStyle name="Migliaia 13 3 10" xfId="39533" xr:uid="{00000000-0005-0000-0000-00004A730000}"/>
    <cellStyle name="Migliaia 13 3 11" xfId="40019" xr:uid="{00000000-0005-0000-0000-00004B730000}"/>
    <cellStyle name="Migliaia 13 3 2" xfId="450" xr:uid="{00000000-0005-0000-0000-00004C730000}"/>
    <cellStyle name="Migliaia 13 3 2 10" xfId="40020" xr:uid="{00000000-0005-0000-0000-00004D730000}"/>
    <cellStyle name="Migliaia 13 3 2 2" xfId="11366" xr:uid="{00000000-0005-0000-0000-00004E730000}"/>
    <cellStyle name="Migliaia 13 3 2 3" xfId="12041" xr:uid="{00000000-0005-0000-0000-00004F730000}"/>
    <cellStyle name="Migliaia 13 3 2 3 2" xfId="30226" xr:uid="{00000000-0005-0000-0000-000050730000}"/>
    <cellStyle name="Migliaia 13 3 2 4" xfId="19256" xr:uid="{00000000-0005-0000-0000-000051730000}"/>
    <cellStyle name="Migliaia 13 3 2 4 2" xfId="37220" xr:uid="{00000000-0005-0000-0000-000052730000}"/>
    <cellStyle name="Migliaia 13 3 2 5" xfId="3221" xr:uid="{00000000-0005-0000-0000-000053730000}"/>
    <cellStyle name="Migliaia 13 3 2 5 2" xfId="23221" xr:uid="{00000000-0005-0000-0000-000054730000}"/>
    <cellStyle name="Migliaia 13 3 2 6" xfId="21381" xr:uid="{00000000-0005-0000-0000-000055730000}"/>
    <cellStyle name="Migliaia 13 3 2 7" xfId="38175" xr:uid="{00000000-0005-0000-0000-000056730000}"/>
    <cellStyle name="Migliaia 13 3 2 8" xfId="39125" xr:uid="{00000000-0005-0000-0000-000057730000}"/>
    <cellStyle name="Migliaia 13 3 2 9" xfId="39534" xr:uid="{00000000-0005-0000-0000-000058730000}"/>
    <cellStyle name="Migliaia 13 3 3" xfId="11365" xr:uid="{00000000-0005-0000-0000-000059730000}"/>
    <cellStyle name="Migliaia 13 3 3 2" xfId="20444" xr:uid="{00000000-0005-0000-0000-00005A730000}"/>
    <cellStyle name="Migliaia 13 3 3 2 2" xfId="37761" xr:uid="{00000000-0005-0000-0000-00005B730000}"/>
    <cellStyle name="Migliaia 13 3 3 2 3" xfId="38716" xr:uid="{00000000-0005-0000-0000-00005C730000}"/>
    <cellStyle name="Migliaia 13 3 3 3" xfId="19257" xr:uid="{00000000-0005-0000-0000-00005D730000}"/>
    <cellStyle name="Migliaia 13 3 3 3 2" xfId="37221" xr:uid="{00000000-0005-0000-0000-00005E730000}"/>
    <cellStyle name="Migliaia 13 3 3 4" xfId="38176" xr:uid="{00000000-0005-0000-0000-00005F730000}"/>
    <cellStyle name="Migliaia 13 3 4" xfId="12040" xr:uid="{00000000-0005-0000-0000-000060730000}"/>
    <cellStyle name="Migliaia 13 3 4 2" xfId="20443" xr:uid="{00000000-0005-0000-0000-000061730000}"/>
    <cellStyle name="Migliaia 13 3 4 2 2" xfId="37760" xr:uid="{00000000-0005-0000-0000-000062730000}"/>
    <cellStyle name="Migliaia 13 3 4 3" xfId="30225" xr:uid="{00000000-0005-0000-0000-000063730000}"/>
    <cellStyle name="Migliaia 13 3 4 4" xfId="38715" xr:uid="{00000000-0005-0000-0000-000064730000}"/>
    <cellStyle name="Migliaia 13 3 5" xfId="19255" xr:uid="{00000000-0005-0000-0000-000065730000}"/>
    <cellStyle name="Migliaia 13 3 5 2" xfId="37219" xr:uid="{00000000-0005-0000-0000-000066730000}"/>
    <cellStyle name="Migliaia 13 3 6" xfId="3220" xr:uid="{00000000-0005-0000-0000-000067730000}"/>
    <cellStyle name="Migliaia 13 3 6 2" xfId="23220" xr:uid="{00000000-0005-0000-0000-000068730000}"/>
    <cellStyle name="Migliaia 13 3 7" xfId="21380" xr:uid="{00000000-0005-0000-0000-000069730000}"/>
    <cellStyle name="Migliaia 13 3 8" xfId="38174" xr:uid="{00000000-0005-0000-0000-00006A730000}"/>
    <cellStyle name="Migliaia 13 3 9" xfId="39124" xr:uid="{00000000-0005-0000-0000-00006B730000}"/>
    <cellStyle name="Migliaia 13 4" xfId="451" xr:uid="{00000000-0005-0000-0000-00006C730000}"/>
    <cellStyle name="Migliaia 13 4 2" xfId="19259" xr:uid="{00000000-0005-0000-0000-00006D730000}"/>
    <cellStyle name="Migliaia 13 4 2 2" xfId="20446" xr:uid="{00000000-0005-0000-0000-00006E730000}"/>
    <cellStyle name="Migliaia 13 4 2 2 2" xfId="37763" xr:uid="{00000000-0005-0000-0000-00006F730000}"/>
    <cellStyle name="Migliaia 13 4 2 2 3" xfId="38718" xr:uid="{00000000-0005-0000-0000-000070730000}"/>
    <cellStyle name="Migliaia 13 4 2 3" xfId="37223" xr:uid="{00000000-0005-0000-0000-000071730000}"/>
    <cellStyle name="Migliaia 13 4 2 4" xfId="38178" xr:uid="{00000000-0005-0000-0000-000072730000}"/>
    <cellStyle name="Migliaia 13 4 3" xfId="20445" xr:uid="{00000000-0005-0000-0000-000073730000}"/>
    <cellStyle name="Migliaia 13 4 3 2" xfId="37762" xr:uid="{00000000-0005-0000-0000-000074730000}"/>
    <cellStyle name="Migliaia 13 4 3 3" xfId="38717" xr:uid="{00000000-0005-0000-0000-000075730000}"/>
    <cellStyle name="Migliaia 13 4 4" xfId="19258" xr:uid="{00000000-0005-0000-0000-000076730000}"/>
    <cellStyle name="Migliaia 13 4 4 2" xfId="37222" xr:uid="{00000000-0005-0000-0000-000077730000}"/>
    <cellStyle name="Migliaia 13 4 5" xfId="11367" xr:uid="{00000000-0005-0000-0000-000078730000}"/>
    <cellStyle name="Migliaia 13 4 6" xfId="21382" xr:uid="{00000000-0005-0000-0000-000079730000}"/>
    <cellStyle name="Migliaia 13 4 7" xfId="38177" xr:uid="{00000000-0005-0000-0000-00007A730000}"/>
    <cellStyle name="Migliaia 13 4 8" xfId="39535" xr:uid="{00000000-0005-0000-0000-00007B730000}"/>
    <cellStyle name="Migliaia 13 4 9" xfId="40021" xr:uid="{00000000-0005-0000-0000-00007C730000}"/>
    <cellStyle name="Migliaia 13 5" xfId="452" xr:uid="{00000000-0005-0000-0000-00007D730000}"/>
    <cellStyle name="Migliaia 13 5 2" xfId="19260" xr:uid="{00000000-0005-0000-0000-00007E730000}"/>
    <cellStyle name="Migliaia 13 5 2 2" xfId="37224" xr:uid="{00000000-0005-0000-0000-00007F730000}"/>
    <cellStyle name="Migliaia 13 5 3" xfId="11368" xr:uid="{00000000-0005-0000-0000-000080730000}"/>
    <cellStyle name="Migliaia 13 5 4" xfId="21383" xr:uid="{00000000-0005-0000-0000-000081730000}"/>
    <cellStyle name="Migliaia 13 5 5" xfId="38179" xr:uid="{00000000-0005-0000-0000-000082730000}"/>
    <cellStyle name="Migliaia 13 5 6" xfId="39536" xr:uid="{00000000-0005-0000-0000-000083730000}"/>
    <cellStyle name="Migliaia 13 5 7" xfId="40022" xr:uid="{00000000-0005-0000-0000-000084730000}"/>
    <cellStyle name="Migliaia 13 6" xfId="453" xr:uid="{00000000-0005-0000-0000-000085730000}"/>
    <cellStyle name="Migliaia 13 6 2" xfId="11363" xr:uid="{00000000-0005-0000-0000-000086730000}"/>
    <cellStyle name="Migliaia 13 6 3" xfId="21384" xr:uid="{00000000-0005-0000-0000-000087730000}"/>
    <cellStyle name="Migliaia 13 6 4" xfId="39537" xr:uid="{00000000-0005-0000-0000-000088730000}"/>
    <cellStyle name="Migliaia 13 6 5" xfId="40023" xr:uid="{00000000-0005-0000-0000-000089730000}"/>
    <cellStyle name="Migliaia 13 7" xfId="12038" xr:uid="{00000000-0005-0000-0000-00008A730000}"/>
    <cellStyle name="Migliaia 13 7 2" xfId="30223" xr:uid="{00000000-0005-0000-0000-00008B730000}"/>
    <cellStyle name="Migliaia 13 8" xfId="19253" xr:uid="{00000000-0005-0000-0000-00008C730000}"/>
    <cellStyle name="Migliaia 13 8 2" xfId="37217" xr:uid="{00000000-0005-0000-0000-00008D730000}"/>
    <cellStyle name="Migliaia 13 9" xfId="3218" xr:uid="{00000000-0005-0000-0000-00008E730000}"/>
    <cellStyle name="Migliaia 13 9 2" xfId="23218" xr:uid="{00000000-0005-0000-0000-00008F730000}"/>
    <cellStyle name="Migliaia 14" xfId="454" xr:uid="{00000000-0005-0000-0000-000090730000}"/>
    <cellStyle name="Migliaia 14 10" xfId="21385" xr:uid="{00000000-0005-0000-0000-000091730000}"/>
    <cellStyle name="Migliaia 14 11" xfId="38180" xr:uid="{00000000-0005-0000-0000-000092730000}"/>
    <cellStyle name="Migliaia 14 12" xfId="39126" xr:uid="{00000000-0005-0000-0000-000093730000}"/>
    <cellStyle name="Migliaia 14 13" xfId="39538" xr:uid="{00000000-0005-0000-0000-000094730000}"/>
    <cellStyle name="Migliaia 14 14" xfId="40024" xr:uid="{00000000-0005-0000-0000-000095730000}"/>
    <cellStyle name="Migliaia 14 2" xfId="455" xr:uid="{00000000-0005-0000-0000-000096730000}"/>
    <cellStyle name="Migliaia 14 2 10" xfId="39539" xr:uid="{00000000-0005-0000-0000-000097730000}"/>
    <cellStyle name="Migliaia 14 2 11" xfId="40025" xr:uid="{00000000-0005-0000-0000-000098730000}"/>
    <cellStyle name="Migliaia 14 2 2" xfId="3542" xr:uid="{00000000-0005-0000-0000-000099730000}"/>
    <cellStyle name="Migliaia 14 2 2 2" xfId="12303" xr:uid="{00000000-0005-0000-0000-00009A730000}"/>
    <cellStyle name="Migliaia 14 2 2 2 2" xfId="30473" xr:uid="{00000000-0005-0000-0000-00009B730000}"/>
    <cellStyle name="Migliaia 14 2 2 3" xfId="20447" xr:uid="{00000000-0005-0000-0000-00009C730000}"/>
    <cellStyle name="Migliaia 14 2 2 3 2" xfId="37764" xr:uid="{00000000-0005-0000-0000-00009D730000}"/>
    <cellStyle name="Migliaia 14 2 2 4" xfId="23471" xr:uid="{00000000-0005-0000-0000-00009E730000}"/>
    <cellStyle name="Migliaia 14 2 2 5" xfId="38719" xr:uid="{00000000-0005-0000-0000-00009F730000}"/>
    <cellStyle name="Migliaia 14 2 2 6" xfId="39387" xr:uid="{00000000-0005-0000-0000-0000A0730000}"/>
    <cellStyle name="Migliaia 14 2 3" xfId="11370" xr:uid="{00000000-0005-0000-0000-0000A1730000}"/>
    <cellStyle name="Migliaia 14 2 4" xfId="12043" xr:uid="{00000000-0005-0000-0000-0000A2730000}"/>
    <cellStyle name="Migliaia 14 2 4 2" xfId="30228" xr:uid="{00000000-0005-0000-0000-0000A3730000}"/>
    <cellStyle name="Migliaia 14 2 5" xfId="19262" xr:uid="{00000000-0005-0000-0000-0000A4730000}"/>
    <cellStyle name="Migliaia 14 2 5 2" xfId="37226" xr:uid="{00000000-0005-0000-0000-0000A5730000}"/>
    <cellStyle name="Migliaia 14 2 6" xfId="3223" xr:uid="{00000000-0005-0000-0000-0000A6730000}"/>
    <cellStyle name="Migliaia 14 2 6 2" xfId="23223" xr:uid="{00000000-0005-0000-0000-0000A7730000}"/>
    <cellStyle name="Migliaia 14 2 7" xfId="21386" xr:uid="{00000000-0005-0000-0000-0000A8730000}"/>
    <cellStyle name="Migliaia 14 2 8" xfId="38181" xr:uid="{00000000-0005-0000-0000-0000A9730000}"/>
    <cellStyle name="Migliaia 14 2 9" xfId="39127" xr:uid="{00000000-0005-0000-0000-0000AA730000}"/>
    <cellStyle name="Migliaia 14 3" xfId="456" xr:uid="{00000000-0005-0000-0000-0000AB730000}"/>
    <cellStyle name="Migliaia 14 3 10" xfId="39540" xr:uid="{00000000-0005-0000-0000-0000AC730000}"/>
    <cellStyle name="Migliaia 14 3 11" xfId="40026" xr:uid="{00000000-0005-0000-0000-0000AD730000}"/>
    <cellStyle name="Migliaia 14 3 2" xfId="457" xr:uid="{00000000-0005-0000-0000-0000AE730000}"/>
    <cellStyle name="Migliaia 14 3 2 10" xfId="40027" xr:uid="{00000000-0005-0000-0000-0000AF730000}"/>
    <cellStyle name="Migliaia 14 3 2 2" xfId="11372" xr:uid="{00000000-0005-0000-0000-0000B0730000}"/>
    <cellStyle name="Migliaia 14 3 2 3" xfId="12045" xr:uid="{00000000-0005-0000-0000-0000B1730000}"/>
    <cellStyle name="Migliaia 14 3 2 3 2" xfId="30230" xr:uid="{00000000-0005-0000-0000-0000B2730000}"/>
    <cellStyle name="Migliaia 14 3 2 4" xfId="19264" xr:uid="{00000000-0005-0000-0000-0000B3730000}"/>
    <cellStyle name="Migliaia 14 3 2 4 2" xfId="37228" xr:uid="{00000000-0005-0000-0000-0000B4730000}"/>
    <cellStyle name="Migliaia 14 3 2 5" xfId="3225" xr:uid="{00000000-0005-0000-0000-0000B5730000}"/>
    <cellStyle name="Migliaia 14 3 2 5 2" xfId="23225" xr:uid="{00000000-0005-0000-0000-0000B6730000}"/>
    <cellStyle name="Migliaia 14 3 2 6" xfId="21388" xr:uid="{00000000-0005-0000-0000-0000B7730000}"/>
    <cellStyle name="Migliaia 14 3 2 7" xfId="38183" xr:uid="{00000000-0005-0000-0000-0000B8730000}"/>
    <cellStyle name="Migliaia 14 3 2 8" xfId="39129" xr:uid="{00000000-0005-0000-0000-0000B9730000}"/>
    <cellStyle name="Migliaia 14 3 2 9" xfId="39541" xr:uid="{00000000-0005-0000-0000-0000BA730000}"/>
    <cellStyle name="Migliaia 14 3 3" xfId="11371" xr:uid="{00000000-0005-0000-0000-0000BB730000}"/>
    <cellStyle name="Migliaia 14 3 3 2" xfId="20449" xr:uid="{00000000-0005-0000-0000-0000BC730000}"/>
    <cellStyle name="Migliaia 14 3 3 2 2" xfId="37766" xr:uid="{00000000-0005-0000-0000-0000BD730000}"/>
    <cellStyle name="Migliaia 14 3 3 2 3" xfId="38721" xr:uid="{00000000-0005-0000-0000-0000BE730000}"/>
    <cellStyle name="Migliaia 14 3 3 3" xfId="19265" xr:uid="{00000000-0005-0000-0000-0000BF730000}"/>
    <cellStyle name="Migliaia 14 3 3 3 2" xfId="37229" xr:uid="{00000000-0005-0000-0000-0000C0730000}"/>
    <cellStyle name="Migliaia 14 3 3 4" xfId="38184" xr:uid="{00000000-0005-0000-0000-0000C1730000}"/>
    <cellStyle name="Migliaia 14 3 4" xfId="12044" xr:uid="{00000000-0005-0000-0000-0000C2730000}"/>
    <cellStyle name="Migliaia 14 3 4 2" xfId="20448" xr:uid="{00000000-0005-0000-0000-0000C3730000}"/>
    <cellStyle name="Migliaia 14 3 4 2 2" xfId="37765" xr:uid="{00000000-0005-0000-0000-0000C4730000}"/>
    <cellStyle name="Migliaia 14 3 4 3" xfId="30229" xr:uid="{00000000-0005-0000-0000-0000C5730000}"/>
    <cellStyle name="Migliaia 14 3 4 4" xfId="38720" xr:uid="{00000000-0005-0000-0000-0000C6730000}"/>
    <cellStyle name="Migliaia 14 3 5" xfId="19263" xr:uid="{00000000-0005-0000-0000-0000C7730000}"/>
    <cellStyle name="Migliaia 14 3 5 2" xfId="37227" xr:uid="{00000000-0005-0000-0000-0000C8730000}"/>
    <cellStyle name="Migliaia 14 3 6" xfId="3224" xr:uid="{00000000-0005-0000-0000-0000C9730000}"/>
    <cellStyle name="Migliaia 14 3 6 2" xfId="23224" xr:uid="{00000000-0005-0000-0000-0000CA730000}"/>
    <cellStyle name="Migliaia 14 3 7" xfId="21387" xr:uid="{00000000-0005-0000-0000-0000CB730000}"/>
    <cellStyle name="Migliaia 14 3 8" xfId="38182" xr:uid="{00000000-0005-0000-0000-0000CC730000}"/>
    <cellStyle name="Migliaia 14 3 9" xfId="39128" xr:uid="{00000000-0005-0000-0000-0000CD730000}"/>
    <cellStyle name="Migliaia 14 4" xfId="458" xr:uid="{00000000-0005-0000-0000-0000CE730000}"/>
    <cellStyle name="Migliaia 14 4 2" xfId="19267" xr:uid="{00000000-0005-0000-0000-0000CF730000}"/>
    <cellStyle name="Migliaia 14 4 2 2" xfId="20451" xr:uid="{00000000-0005-0000-0000-0000D0730000}"/>
    <cellStyle name="Migliaia 14 4 2 2 2" xfId="37768" xr:uid="{00000000-0005-0000-0000-0000D1730000}"/>
    <cellStyle name="Migliaia 14 4 2 2 3" xfId="38723" xr:uid="{00000000-0005-0000-0000-0000D2730000}"/>
    <cellStyle name="Migliaia 14 4 2 3" xfId="37231" xr:uid="{00000000-0005-0000-0000-0000D3730000}"/>
    <cellStyle name="Migliaia 14 4 2 4" xfId="38186" xr:uid="{00000000-0005-0000-0000-0000D4730000}"/>
    <cellStyle name="Migliaia 14 4 3" xfId="20450" xr:uid="{00000000-0005-0000-0000-0000D5730000}"/>
    <cellStyle name="Migliaia 14 4 3 2" xfId="37767" xr:uid="{00000000-0005-0000-0000-0000D6730000}"/>
    <cellStyle name="Migliaia 14 4 3 3" xfId="38722" xr:uid="{00000000-0005-0000-0000-0000D7730000}"/>
    <cellStyle name="Migliaia 14 4 4" xfId="19266" xr:uid="{00000000-0005-0000-0000-0000D8730000}"/>
    <cellStyle name="Migliaia 14 4 4 2" xfId="37230" xr:uid="{00000000-0005-0000-0000-0000D9730000}"/>
    <cellStyle name="Migliaia 14 4 5" xfId="11373" xr:uid="{00000000-0005-0000-0000-0000DA730000}"/>
    <cellStyle name="Migliaia 14 4 6" xfId="21389" xr:uid="{00000000-0005-0000-0000-0000DB730000}"/>
    <cellStyle name="Migliaia 14 4 7" xfId="38185" xr:uid="{00000000-0005-0000-0000-0000DC730000}"/>
    <cellStyle name="Migliaia 14 4 8" xfId="39542" xr:uid="{00000000-0005-0000-0000-0000DD730000}"/>
    <cellStyle name="Migliaia 14 4 9" xfId="40028" xr:uid="{00000000-0005-0000-0000-0000DE730000}"/>
    <cellStyle name="Migliaia 14 5" xfId="459" xr:uid="{00000000-0005-0000-0000-0000DF730000}"/>
    <cellStyle name="Migliaia 14 5 2" xfId="19268" xr:uid="{00000000-0005-0000-0000-0000E0730000}"/>
    <cellStyle name="Migliaia 14 5 2 2" xfId="37232" xr:uid="{00000000-0005-0000-0000-0000E1730000}"/>
    <cellStyle name="Migliaia 14 5 3" xfId="11374" xr:uid="{00000000-0005-0000-0000-0000E2730000}"/>
    <cellStyle name="Migliaia 14 5 4" xfId="21390" xr:uid="{00000000-0005-0000-0000-0000E3730000}"/>
    <cellStyle name="Migliaia 14 5 5" xfId="38187" xr:uid="{00000000-0005-0000-0000-0000E4730000}"/>
    <cellStyle name="Migliaia 14 5 6" xfId="39543" xr:uid="{00000000-0005-0000-0000-0000E5730000}"/>
    <cellStyle name="Migliaia 14 5 7" xfId="40029" xr:uid="{00000000-0005-0000-0000-0000E6730000}"/>
    <cellStyle name="Migliaia 14 6" xfId="460" xr:uid="{00000000-0005-0000-0000-0000E7730000}"/>
    <cellStyle name="Migliaia 14 6 2" xfId="11369" xr:uid="{00000000-0005-0000-0000-0000E8730000}"/>
    <cellStyle name="Migliaia 14 6 3" xfId="21391" xr:uid="{00000000-0005-0000-0000-0000E9730000}"/>
    <cellStyle name="Migliaia 14 6 4" xfId="39544" xr:uid="{00000000-0005-0000-0000-0000EA730000}"/>
    <cellStyle name="Migliaia 14 6 5" xfId="40030" xr:uid="{00000000-0005-0000-0000-0000EB730000}"/>
    <cellStyle name="Migliaia 14 7" xfId="12042" xr:uid="{00000000-0005-0000-0000-0000EC730000}"/>
    <cellStyle name="Migliaia 14 7 2" xfId="30227" xr:uid="{00000000-0005-0000-0000-0000ED730000}"/>
    <cellStyle name="Migliaia 14 8" xfId="19261" xr:uid="{00000000-0005-0000-0000-0000EE730000}"/>
    <cellStyle name="Migliaia 14 8 2" xfId="37225" xr:uid="{00000000-0005-0000-0000-0000EF730000}"/>
    <cellStyle name="Migliaia 14 9" xfId="3222" xr:uid="{00000000-0005-0000-0000-0000F0730000}"/>
    <cellStyle name="Migliaia 14 9 2" xfId="23222" xr:uid="{00000000-0005-0000-0000-0000F1730000}"/>
    <cellStyle name="Migliaia 15" xfId="461" xr:uid="{00000000-0005-0000-0000-0000F2730000}"/>
    <cellStyle name="Migliaia 15 10" xfId="21392" xr:uid="{00000000-0005-0000-0000-0000F3730000}"/>
    <cellStyle name="Migliaia 15 11" xfId="38188" xr:uid="{00000000-0005-0000-0000-0000F4730000}"/>
    <cellStyle name="Migliaia 15 12" xfId="39130" xr:uid="{00000000-0005-0000-0000-0000F5730000}"/>
    <cellStyle name="Migliaia 15 13" xfId="39545" xr:uid="{00000000-0005-0000-0000-0000F6730000}"/>
    <cellStyle name="Migliaia 15 14" xfId="40031" xr:uid="{00000000-0005-0000-0000-0000F7730000}"/>
    <cellStyle name="Migliaia 15 2" xfId="462" xr:uid="{00000000-0005-0000-0000-0000F8730000}"/>
    <cellStyle name="Migliaia 15 2 10" xfId="39546" xr:uid="{00000000-0005-0000-0000-0000F9730000}"/>
    <cellStyle name="Migliaia 15 2 11" xfId="40032" xr:uid="{00000000-0005-0000-0000-0000FA730000}"/>
    <cellStyle name="Migliaia 15 2 2" xfId="3543" xr:uid="{00000000-0005-0000-0000-0000FB730000}"/>
    <cellStyle name="Migliaia 15 2 2 2" xfId="12304" xr:uid="{00000000-0005-0000-0000-0000FC730000}"/>
    <cellStyle name="Migliaia 15 2 2 2 2" xfId="30474" xr:uid="{00000000-0005-0000-0000-0000FD730000}"/>
    <cellStyle name="Migliaia 15 2 2 3" xfId="20452" xr:uid="{00000000-0005-0000-0000-0000FE730000}"/>
    <cellStyle name="Migliaia 15 2 2 3 2" xfId="37769" xr:uid="{00000000-0005-0000-0000-0000FF730000}"/>
    <cellStyle name="Migliaia 15 2 2 4" xfId="23472" xr:uid="{00000000-0005-0000-0000-000000740000}"/>
    <cellStyle name="Migliaia 15 2 2 5" xfId="38724" xr:uid="{00000000-0005-0000-0000-000001740000}"/>
    <cellStyle name="Migliaia 15 2 2 6" xfId="39388" xr:uid="{00000000-0005-0000-0000-000002740000}"/>
    <cellStyle name="Migliaia 15 2 3" xfId="11376" xr:uid="{00000000-0005-0000-0000-000003740000}"/>
    <cellStyle name="Migliaia 15 2 4" xfId="12047" xr:uid="{00000000-0005-0000-0000-000004740000}"/>
    <cellStyle name="Migliaia 15 2 4 2" xfId="30232" xr:uid="{00000000-0005-0000-0000-000005740000}"/>
    <cellStyle name="Migliaia 15 2 5" xfId="19270" xr:uid="{00000000-0005-0000-0000-000006740000}"/>
    <cellStyle name="Migliaia 15 2 5 2" xfId="37234" xr:uid="{00000000-0005-0000-0000-000007740000}"/>
    <cellStyle name="Migliaia 15 2 6" xfId="3227" xr:uid="{00000000-0005-0000-0000-000008740000}"/>
    <cellStyle name="Migliaia 15 2 6 2" xfId="23227" xr:uid="{00000000-0005-0000-0000-000009740000}"/>
    <cellStyle name="Migliaia 15 2 7" xfId="21393" xr:uid="{00000000-0005-0000-0000-00000A740000}"/>
    <cellStyle name="Migliaia 15 2 8" xfId="38189" xr:uid="{00000000-0005-0000-0000-00000B740000}"/>
    <cellStyle name="Migliaia 15 2 9" xfId="39131" xr:uid="{00000000-0005-0000-0000-00000C740000}"/>
    <cellStyle name="Migliaia 15 3" xfId="463" xr:uid="{00000000-0005-0000-0000-00000D740000}"/>
    <cellStyle name="Migliaia 15 3 10" xfId="39547" xr:uid="{00000000-0005-0000-0000-00000E740000}"/>
    <cellStyle name="Migliaia 15 3 11" xfId="40033" xr:uid="{00000000-0005-0000-0000-00000F740000}"/>
    <cellStyle name="Migliaia 15 3 2" xfId="464" xr:uid="{00000000-0005-0000-0000-000010740000}"/>
    <cellStyle name="Migliaia 15 3 2 10" xfId="40034" xr:uid="{00000000-0005-0000-0000-000011740000}"/>
    <cellStyle name="Migliaia 15 3 2 2" xfId="11378" xr:uid="{00000000-0005-0000-0000-000012740000}"/>
    <cellStyle name="Migliaia 15 3 2 3" xfId="12049" xr:uid="{00000000-0005-0000-0000-000013740000}"/>
    <cellStyle name="Migliaia 15 3 2 3 2" xfId="30234" xr:uid="{00000000-0005-0000-0000-000014740000}"/>
    <cellStyle name="Migliaia 15 3 2 4" xfId="19272" xr:uid="{00000000-0005-0000-0000-000015740000}"/>
    <cellStyle name="Migliaia 15 3 2 4 2" xfId="37236" xr:uid="{00000000-0005-0000-0000-000016740000}"/>
    <cellStyle name="Migliaia 15 3 2 5" xfId="3229" xr:uid="{00000000-0005-0000-0000-000017740000}"/>
    <cellStyle name="Migliaia 15 3 2 5 2" xfId="23229" xr:uid="{00000000-0005-0000-0000-000018740000}"/>
    <cellStyle name="Migliaia 15 3 2 6" xfId="21395" xr:uid="{00000000-0005-0000-0000-000019740000}"/>
    <cellStyle name="Migliaia 15 3 2 7" xfId="38191" xr:uid="{00000000-0005-0000-0000-00001A740000}"/>
    <cellStyle name="Migliaia 15 3 2 8" xfId="39133" xr:uid="{00000000-0005-0000-0000-00001B740000}"/>
    <cellStyle name="Migliaia 15 3 2 9" xfId="39548" xr:uid="{00000000-0005-0000-0000-00001C740000}"/>
    <cellStyle name="Migliaia 15 3 3" xfId="11377" xr:uid="{00000000-0005-0000-0000-00001D740000}"/>
    <cellStyle name="Migliaia 15 3 3 2" xfId="20454" xr:uid="{00000000-0005-0000-0000-00001E740000}"/>
    <cellStyle name="Migliaia 15 3 3 2 2" xfId="37771" xr:uid="{00000000-0005-0000-0000-00001F740000}"/>
    <cellStyle name="Migliaia 15 3 3 2 3" xfId="38726" xr:uid="{00000000-0005-0000-0000-000020740000}"/>
    <cellStyle name="Migliaia 15 3 3 3" xfId="19273" xr:uid="{00000000-0005-0000-0000-000021740000}"/>
    <cellStyle name="Migliaia 15 3 3 3 2" xfId="37237" xr:uid="{00000000-0005-0000-0000-000022740000}"/>
    <cellStyle name="Migliaia 15 3 3 4" xfId="38192" xr:uid="{00000000-0005-0000-0000-000023740000}"/>
    <cellStyle name="Migliaia 15 3 4" xfId="12048" xr:uid="{00000000-0005-0000-0000-000024740000}"/>
    <cellStyle name="Migliaia 15 3 4 2" xfId="20453" xr:uid="{00000000-0005-0000-0000-000025740000}"/>
    <cellStyle name="Migliaia 15 3 4 2 2" xfId="37770" xr:uid="{00000000-0005-0000-0000-000026740000}"/>
    <cellStyle name="Migliaia 15 3 4 3" xfId="30233" xr:uid="{00000000-0005-0000-0000-000027740000}"/>
    <cellStyle name="Migliaia 15 3 4 4" xfId="38725" xr:uid="{00000000-0005-0000-0000-000028740000}"/>
    <cellStyle name="Migliaia 15 3 5" xfId="19271" xr:uid="{00000000-0005-0000-0000-000029740000}"/>
    <cellStyle name="Migliaia 15 3 5 2" xfId="37235" xr:uid="{00000000-0005-0000-0000-00002A740000}"/>
    <cellStyle name="Migliaia 15 3 6" xfId="3228" xr:uid="{00000000-0005-0000-0000-00002B740000}"/>
    <cellStyle name="Migliaia 15 3 6 2" xfId="23228" xr:uid="{00000000-0005-0000-0000-00002C740000}"/>
    <cellStyle name="Migliaia 15 3 7" xfId="21394" xr:uid="{00000000-0005-0000-0000-00002D740000}"/>
    <cellStyle name="Migliaia 15 3 8" xfId="38190" xr:uid="{00000000-0005-0000-0000-00002E740000}"/>
    <cellStyle name="Migliaia 15 3 9" xfId="39132" xr:uid="{00000000-0005-0000-0000-00002F740000}"/>
    <cellStyle name="Migliaia 15 4" xfId="465" xr:uid="{00000000-0005-0000-0000-000030740000}"/>
    <cellStyle name="Migliaia 15 4 2" xfId="19275" xr:uid="{00000000-0005-0000-0000-000031740000}"/>
    <cellStyle name="Migliaia 15 4 2 2" xfId="20456" xr:uid="{00000000-0005-0000-0000-000032740000}"/>
    <cellStyle name="Migliaia 15 4 2 2 2" xfId="37773" xr:uid="{00000000-0005-0000-0000-000033740000}"/>
    <cellStyle name="Migliaia 15 4 2 2 3" xfId="38728" xr:uid="{00000000-0005-0000-0000-000034740000}"/>
    <cellStyle name="Migliaia 15 4 2 3" xfId="37239" xr:uid="{00000000-0005-0000-0000-000035740000}"/>
    <cellStyle name="Migliaia 15 4 2 4" xfId="38194" xr:uid="{00000000-0005-0000-0000-000036740000}"/>
    <cellStyle name="Migliaia 15 4 3" xfId="20455" xr:uid="{00000000-0005-0000-0000-000037740000}"/>
    <cellStyle name="Migliaia 15 4 3 2" xfId="37772" xr:uid="{00000000-0005-0000-0000-000038740000}"/>
    <cellStyle name="Migliaia 15 4 3 3" xfId="38727" xr:uid="{00000000-0005-0000-0000-000039740000}"/>
    <cellStyle name="Migliaia 15 4 4" xfId="19274" xr:uid="{00000000-0005-0000-0000-00003A740000}"/>
    <cellStyle name="Migliaia 15 4 4 2" xfId="37238" xr:uid="{00000000-0005-0000-0000-00003B740000}"/>
    <cellStyle name="Migliaia 15 4 5" xfId="11379" xr:uid="{00000000-0005-0000-0000-00003C740000}"/>
    <cellStyle name="Migliaia 15 4 6" xfId="21396" xr:uid="{00000000-0005-0000-0000-00003D740000}"/>
    <cellStyle name="Migliaia 15 4 7" xfId="38193" xr:uid="{00000000-0005-0000-0000-00003E740000}"/>
    <cellStyle name="Migliaia 15 4 8" xfId="39549" xr:uid="{00000000-0005-0000-0000-00003F740000}"/>
    <cellStyle name="Migliaia 15 4 9" xfId="40035" xr:uid="{00000000-0005-0000-0000-000040740000}"/>
    <cellStyle name="Migliaia 15 5" xfId="466" xr:uid="{00000000-0005-0000-0000-000041740000}"/>
    <cellStyle name="Migliaia 15 5 2" xfId="19276" xr:uid="{00000000-0005-0000-0000-000042740000}"/>
    <cellStyle name="Migliaia 15 5 2 2" xfId="37240" xr:uid="{00000000-0005-0000-0000-000043740000}"/>
    <cellStyle name="Migliaia 15 5 3" xfId="11380" xr:uid="{00000000-0005-0000-0000-000044740000}"/>
    <cellStyle name="Migliaia 15 5 4" xfId="21397" xr:uid="{00000000-0005-0000-0000-000045740000}"/>
    <cellStyle name="Migliaia 15 5 5" xfId="38195" xr:uid="{00000000-0005-0000-0000-000046740000}"/>
    <cellStyle name="Migliaia 15 5 6" xfId="39550" xr:uid="{00000000-0005-0000-0000-000047740000}"/>
    <cellStyle name="Migliaia 15 5 7" xfId="40036" xr:uid="{00000000-0005-0000-0000-000048740000}"/>
    <cellStyle name="Migliaia 15 6" xfId="467" xr:uid="{00000000-0005-0000-0000-000049740000}"/>
    <cellStyle name="Migliaia 15 6 2" xfId="11375" xr:uid="{00000000-0005-0000-0000-00004A740000}"/>
    <cellStyle name="Migliaia 15 6 3" xfId="21398" xr:uid="{00000000-0005-0000-0000-00004B740000}"/>
    <cellStyle name="Migliaia 15 6 4" xfId="39551" xr:uid="{00000000-0005-0000-0000-00004C740000}"/>
    <cellStyle name="Migliaia 15 6 5" xfId="40037" xr:uid="{00000000-0005-0000-0000-00004D740000}"/>
    <cellStyle name="Migliaia 15 7" xfId="12046" xr:uid="{00000000-0005-0000-0000-00004E740000}"/>
    <cellStyle name="Migliaia 15 7 2" xfId="30231" xr:uid="{00000000-0005-0000-0000-00004F740000}"/>
    <cellStyle name="Migliaia 15 8" xfId="19269" xr:uid="{00000000-0005-0000-0000-000050740000}"/>
    <cellStyle name="Migliaia 15 8 2" xfId="37233" xr:uid="{00000000-0005-0000-0000-000051740000}"/>
    <cellStyle name="Migliaia 15 9" xfId="3226" xr:uid="{00000000-0005-0000-0000-000052740000}"/>
    <cellStyle name="Migliaia 15 9 2" xfId="23226" xr:uid="{00000000-0005-0000-0000-000053740000}"/>
    <cellStyle name="Migliaia 16" xfId="468" xr:uid="{00000000-0005-0000-0000-000054740000}"/>
    <cellStyle name="Migliaia 16 10" xfId="21399" xr:uid="{00000000-0005-0000-0000-000055740000}"/>
    <cellStyle name="Migliaia 16 11" xfId="38196" xr:uid="{00000000-0005-0000-0000-000056740000}"/>
    <cellStyle name="Migliaia 16 12" xfId="39134" xr:uid="{00000000-0005-0000-0000-000057740000}"/>
    <cellStyle name="Migliaia 16 13" xfId="39552" xr:uid="{00000000-0005-0000-0000-000058740000}"/>
    <cellStyle name="Migliaia 16 14" xfId="40038" xr:uid="{00000000-0005-0000-0000-000059740000}"/>
    <cellStyle name="Migliaia 16 2" xfId="469" xr:uid="{00000000-0005-0000-0000-00005A740000}"/>
    <cellStyle name="Migliaia 16 2 10" xfId="39553" xr:uid="{00000000-0005-0000-0000-00005B740000}"/>
    <cellStyle name="Migliaia 16 2 11" xfId="40039" xr:uid="{00000000-0005-0000-0000-00005C740000}"/>
    <cellStyle name="Migliaia 16 2 2" xfId="3544" xr:uid="{00000000-0005-0000-0000-00005D740000}"/>
    <cellStyle name="Migliaia 16 2 2 2" xfId="12305" xr:uid="{00000000-0005-0000-0000-00005E740000}"/>
    <cellStyle name="Migliaia 16 2 2 2 2" xfId="30475" xr:uid="{00000000-0005-0000-0000-00005F740000}"/>
    <cellStyle name="Migliaia 16 2 2 3" xfId="20457" xr:uid="{00000000-0005-0000-0000-000060740000}"/>
    <cellStyle name="Migliaia 16 2 2 3 2" xfId="37774" xr:uid="{00000000-0005-0000-0000-000061740000}"/>
    <cellStyle name="Migliaia 16 2 2 4" xfId="23473" xr:uid="{00000000-0005-0000-0000-000062740000}"/>
    <cellStyle name="Migliaia 16 2 2 5" xfId="38729" xr:uid="{00000000-0005-0000-0000-000063740000}"/>
    <cellStyle name="Migliaia 16 2 2 6" xfId="39389" xr:uid="{00000000-0005-0000-0000-000064740000}"/>
    <cellStyle name="Migliaia 16 2 3" xfId="11382" xr:uid="{00000000-0005-0000-0000-000065740000}"/>
    <cellStyle name="Migliaia 16 2 4" xfId="12051" xr:uid="{00000000-0005-0000-0000-000066740000}"/>
    <cellStyle name="Migliaia 16 2 4 2" xfId="30236" xr:uid="{00000000-0005-0000-0000-000067740000}"/>
    <cellStyle name="Migliaia 16 2 5" xfId="19278" xr:uid="{00000000-0005-0000-0000-000068740000}"/>
    <cellStyle name="Migliaia 16 2 5 2" xfId="37242" xr:uid="{00000000-0005-0000-0000-000069740000}"/>
    <cellStyle name="Migliaia 16 2 6" xfId="3231" xr:uid="{00000000-0005-0000-0000-00006A740000}"/>
    <cellStyle name="Migliaia 16 2 6 2" xfId="23231" xr:uid="{00000000-0005-0000-0000-00006B740000}"/>
    <cellStyle name="Migliaia 16 2 7" xfId="21400" xr:uid="{00000000-0005-0000-0000-00006C740000}"/>
    <cellStyle name="Migliaia 16 2 8" xfId="38197" xr:uid="{00000000-0005-0000-0000-00006D740000}"/>
    <cellStyle name="Migliaia 16 2 9" xfId="39135" xr:uid="{00000000-0005-0000-0000-00006E740000}"/>
    <cellStyle name="Migliaia 16 3" xfId="470" xr:uid="{00000000-0005-0000-0000-00006F740000}"/>
    <cellStyle name="Migliaia 16 3 10" xfId="39554" xr:uid="{00000000-0005-0000-0000-000070740000}"/>
    <cellStyle name="Migliaia 16 3 11" xfId="40040" xr:uid="{00000000-0005-0000-0000-000071740000}"/>
    <cellStyle name="Migliaia 16 3 2" xfId="471" xr:uid="{00000000-0005-0000-0000-000072740000}"/>
    <cellStyle name="Migliaia 16 3 2 10" xfId="40041" xr:uid="{00000000-0005-0000-0000-000073740000}"/>
    <cellStyle name="Migliaia 16 3 2 2" xfId="11384" xr:uid="{00000000-0005-0000-0000-000074740000}"/>
    <cellStyle name="Migliaia 16 3 2 3" xfId="12053" xr:uid="{00000000-0005-0000-0000-000075740000}"/>
    <cellStyle name="Migliaia 16 3 2 3 2" xfId="30238" xr:uid="{00000000-0005-0000-0000-000076740000}"/>
    <cellStyle name="Migliaia 16 3 2 4" xfId="19280" xr:uid="{00000000-0005-0000-0000-000077740000}"/>
    <cellStyle name="Migliaia 16 3 2 4 2" xfId="37244" xr:uid="{00000000-0005-0000-0000-000078740000}"/>
    <cellStyle name="Migliaia 16 3 2 5" xfId="3233" xr:uid="{00000000-0005-0000-0000-000079740000}"/>
    <cellStyle name="Migliaia 16 3 2 5 2" xfId="23233" xr:uid="{00000000-0005-0000-0000-00007A740000}"/>
    <cellStyle name="Migliaia 16 3 2 6" xfId="21402" xr:uid="{00000000-0005-0000-0000-00007B740000}"/>
    <cellStyle name="Migliaia 16 3 2 7" xfId="38199" xr:uid="{00000000-0005-0000-0000-00007C740000}"/>
    <cellStyle name="Migliaia 16 3 2 8" xfId="39137" xr:uid="{00000000-0005-0000-0000-00007D740000}"/>
    <cellStyle name="Migliaia 16 3 2 9" xfId="39555" xr:uid="{00000000-0005-0000-0000-00007E740000}"/>
    <cellStyle name="Migliaia 16 3 3" xfId="11383" xr:uid="{00000000-0005-0000-0000-00007F740000}"/>
    <cellStyle name="Migliaia 16 3 3 2" xfId="20459" xr:uid="{00000000-0005-0000-0000-000080740000}"/>
    <cellStyle name="Migliaia 16 3 3 2 2" xfId="37776" xr:uid="{00000000-0005-0000-0000-000081740000}"/>
    <cellStyle name="Migliaia 16 3 3 2 3" xfId="38731" xr:uid="{00000000-0005-0000-0000-000082740000}"/>
    <cellStyle name="Migliaia 16 3 3 3" xfId="19281" xr:uid="{00000000-0005-0000-0000-000083740000}"/>
    <cellStyle name="Migliaia 16 3 3 3 2" xfId="37245" xr:uid="{00000000-0005-0000-0000-000084740000}"/>
    <cellStyle name="Migliaia 16 3 3 4" xfId="38200" xr:uid="{00000000-0005-0000-0000-000085740000}"/>
    <cellStyle name="Migliaia 16 3 4" xfId="12052" xr:uid="{00000000-0005-0000-0000-000086740000}"/>
    <cellStyle name="Migliaia 16 3 4 2" xfId="20458" xr:uid="{00000000-0005-0000-0000-000087740000}"/>
    <cellStyle name="Migliaia 16 3 4 2 2" xfId="37775" xr:uid="{00000000-0005-0000-0000-000088740000}"/>
    <cellStyle name="Migliaia 16 3 4 3" xfId="30237" xr:uid="{00000000-0005-0000-0000-000089740000}"/>
    <cellStyle name="Migliaia 16 3 4 4" xfId="38730" xr:uid="{00000000-0005-0000-0000-00008A740000}"/>
    <cellStyle name="Migliaia 16 3 5" xfId="19279" xr:uid="{00000000-0005-0000-0000-00008B740000}"/>
    <cellStyle name="Migliaia 16 3 5 2" xfId="37243" xr:uid="{00000000-0005-0000-0000-00008C740000}"/>
    <cellStyle name="Migliaia 16 3 6" xfId="3232" xr:uid="{00000000-0005-0000-0000-00008D740000}"/>
    <cellStyle name="Migliaia 16 3 6 2" xfId="23232" xr:uid="{00000000-0005-0000-0000-00008E740000}"/>
    <cellStyle name="Migliaia 16 3 7" xfId="21401" xr:uid="{00000000-0005-0000-0000-00008F740000}"/>
    <cellStyle name="Migliaia 16 3 8" xfId="38198" xr:uid="{00000000-0005-0000-0000-000090740000}"/>
    <cellStyle name="Migliaia 16 3 9" xfId="39136" xr:uid="{00000000-0005-0000-0000-000091740000}"/>
    <cellStyle name="Migliaia 16 4" xfId="472" xr:uid="{00000000-0005-0000-0000-000092740000}"/>
    <cellStyle name="Migliaia 16 4 2" xfId="19283" xr:uid="{00000000-0005-0000-0000-000093740000}"/>
    <cellStyle name="Migliaia 16 4 2 2" xfId="20461" xr:uid="{00000000-0005-0000-0000-000094740000}"/>
    <cellStyle name="Migliaia 16 4 2 2 2" xfId="37778" xr:uid="{00000000-0005-0000-0000-000095740000}"/>
    <cellStyle name="Migliaia 16 4 2 2 3" xfId="38733" xr:uid="{00000000-0005-0000-0000-000096740000}"/>
    <cellStyle name="Migliaia 16 4 2 3" xfId="37247" xr:uid="{00000000-0005-0000-0000-000097740000}"/>
    <cellStyle name="Migliaia 16 4 2 4" xfId="38202" xr:uid="{00000000-0005-0000-0000-000098740000}"/>
    <cellStyle name="Migliaia 16 4 3" xfId="20460" xr:uid="{00000000-0005-0000-0000-000099740000}"/>
    <cellStyle name="Migliaia 16 4 3 2" xfId="37777" xr:uid="{00000000-0005-0000-0000-00009A740000}"/>
    <cellStyle name="Migliaia 16 4 3 3" xfId="38732" xr:uid="{00000000-0005-0000-0000-00009B740000}"/>
    <cellStyle name="Migliaia 16 4 4" xfId="19282" xr:uid="{00000000-0005-0000-0000-00009C740000}"/>
    <cellStyle name="Migliaia 16 4 4 2" xfId="37246" xr:uid="{00000000-0005-0000-0000-00009D740000}"/>
    <cellStyle name="Migliaia 16 4 5" xfId="11385" xr:uid="{00000000-0005-0000-0000-00009E740000}"/>
    <cellStyle name="Migliaia 16 4 6" xfId="21403" xr:uid="{00000000-0005-0000-0000-00009F740000}"/>
    <cellStyle name="Migliaia 16 4 7" xfId="38201" xr:uid="{00000000-0005-0000-0000-0000A0740000}"/>
    <cellStyle name="Migliaia 16 4 8" xfId="39556" xr:uid="{00000000-0005-0000-0000-0000A1740000}"/>
    <cellStyle name="Migliaia 16 4 9" xfId="40042" xr:uid="{00000000-0005-0000-0000-0000A2740000}"/>
    <cellStyle name="Migliaia 16 5" xfId="473" xr:uid="{00000000-0005-0000-0000-0000A3740000}"/>
    <cellStyle name="Migliaia 16 5 2" xfId="19284" xr:uid="{00000000-0005-0000-0000-0000A4740000}"/>
    <cellStyle name="Migliaia 16 5 2 2" xfId="37248" xr:uid="{00000000-0005-0000-0000-0000A5740000}"/>
    <cellStyle name="Migliaia 16 5 3" xfId="11386" xr:uid="{00000000-0005-0000-0000-0000A6740000}"/>
    <cellStyle name="Migliaia 16 5 4" xfId="21404" xr:uid="{00000000-0005-0000-0000-0000A7740000}"/>
    <cellStyle name="Migliaia 16 5 5" xfId="38203" xr:uid="{00000000-0005-0000-0000-0000A8740000}"/>
    <cellStyle name="Migliaia 16 5 6" xfId="39557" xr:uid="{00000000-0005-0000-0000-0000A9740000}"/>
    <cellStyle name="Migliaia 16 5 7" xfId="40043" xr:uid="{00000000-0005-0000-0000-0000AA740000}"/>
    <cellStyle name="Migliaia 16 6" xfId="474" xr:uid="{00000000-0005-0000-0000-0000AB740000}"/>
    <cellStyle name="Migliaia 16 6 2" xfId="11381" xr:uid="{00000000-0005-0000-0000-0000AC740000}"/>
    <cellStyle name="Migliaia 16 6 3" xfId="21405" xr:uid="{00000000-0005-0000-0000-0000AD740000}"/>
    <cellStyle name="Migliaia 16 6 4" xfId="39558" xr:uid="{00000000-0005-0000-0000-0000AE740000}"/>
    <cellStyle name="Migliaia 16 6 5" xfId="40044" xr:uid="{00000000-0005-0000-0000-0000AF740000}"/>
    <cellStyle name="Migliaia 16 7" xfId="12050" xr:uid="{00000000-0005-0000-0000-0000B0740000}"/>
    <cellStyle name="Migliaia 16 7 2" xfId="30235" xr:uid="{00000000-0005-0000-0000-0000B1740000}"/>
    <cellStyle name="Migliaia 16 8" xfId="19277" xr:uid="{00000000-0005-0000-0000-0000B2740000}"/>
    <cellStyle name="Migliaia 16 8 2" xfId="37241" xr:uid="{00000000-0005-0000-0000-0000B3740000}"/>
    <cellStyle name="Migliaia 16 9" xfId="3230" xr:uid="{00000000-0005-0000-0000-0000B4740000}"/>
    <cellStyle name="Migliaia 16 9 2" xfId="23230" xr:uid="{00000000-0005-0000-0000-0000B5740000}"/>
    <cellStyle name="Migliaia 17" xfId="475" xr:uid="{00000000-0005-0000-0000-0000B6740000}"/>
    <cellStyle name="Migliaia 17 10" xfId="21406" xr:uid="{00000000-0005-0000-0000-0000B7740000}"/>
    <cellStyle name="Migliaia 17 11" xfId="38204" xr:uid="{00000000-0005-0000-0000-0000B8740000}"/>
    <cellStyle name="Migliaia 17 12" xfId="39138" xr:uid="{00000000-0005-0000-0000-0000B9740000}"/>
    <cellStyle name="Migliaia 17 13" xfId="39559" xr:uid="{00000000-0005-0000-0000-0000BA740000}"/>
    <cellStyle name="Migliaia 17 14" xfId="40045" xr:uid="{00000000-0005-0000-0000-0000BB740000}"/>
    <cellStyle name="Migliaia 17 2" xfId="476" xr:uid="{00000000-0005-0000-0000-0000BC740000}"/>
    <cellStyle name="Migliaia 17 2 10" xfId="39560" xr:uid="{00000000-0005-0000-0000-0000BD740000}"/>
    <cellStyle name="Migliaia 17 2 11" xfId="40046" xr:uid="{00000000-0005-0000-0000-0000BE740000}"/>
    <cellStyle name="Migliaia 17 2 2" xfId="3545" xr:uid="{00000000-0005-0000-0000-0000BF740000}"/>
    <cellStyle name="Migliaia 17 2 2 2" xfId="12306" xr:uid="{00000000-0005-0000-0000-0000C0740000}"/>
    <cellStyle name="Migliaia 17 2 2 2 2" xfId="30476" xr:uid="{00000000-0005-0000-0000-0000C1740000}"/>
    <cellStyle name="Migliaia 17 2 2 3" xfId="20462" xr:uid="{00000000-0005-0000-0000-0000C2740000}"/>
    <cellStyle name="Migliaia 17 2 2 3 2" xfId="37779" xr:uid="{00000000-0005-0000-0000-0000C3740000}"/>
    <cellStyle name="Migliaia 17 2 2 4" xfId="23474" xr:uid="{00000000-0005-0000-0000-0000C4740000}"/>
    <cellStyle name="Migliaia 17 2 2 5" xfId="38734" xr:uid="{00000000-0005-0000-0000-0000C5740000}"/>
    <cellStyle name="Migliaia 17 2 2 6" xfId="39390" xr:uid="{00000000-0005-0000-0000-0000C6740000}"/>
    <cellStyle name="Migliaia 17 2 3" xfId="11388" xr:uid="{00000000-0005-0000-0000-0000C7740000}"/>
    <cellStyle name="Migliaia 17 2 4" xfId="12055" xr:uid="{00000000-0005-0000-0000-0000C8740000}"/>
    <cellStyle name="Migliaia 17 2 4 2" xfId="30240" xr:uid="{00000000-0005-0000-0000-0000C9740000}"/>
    <cellStyle name="Migliaia 17 2 5" xfId="19286" xr:uid="{00000000-0005-0000-0000-0000CA740000}"/>
    <cellStyle name="Migliaia 17 2 5 2" xfId="37250" xr:uid="{00000000-0005-0000-0000-0000CB740000}"/>
    <cellStyle name="Migliaia 17 2 6" xfId="3235" xr:uid="{00000000-0005-0000-0000-0000CC740000}"/>
    <cellStyle name="Migliaia 17 2 6 2" xfId="23235" xr:uid="{00000000-0005-0000-0000-0000CD740000}"/>
    <cellStyle name="Migliaia 17 2 7" xfId="21407" xr:uid="{00000000-0005-0000-0000-0000CE740000}"/>
    <cellStyle name="Migliaia 17 2 8" xfId="38205" xr:uid="{00000000-0005-0000-0000-0000CF740000}"/>
    <cellStyle name="Migliaia 17 2 9" xfId="39139" xr:uid="{00000000-0005-0000-0000-0000D0740000}"/>
    <cellStyle name="Migliaia 17 3" xfId="477" xr:uid="{00000000-0005-0000-0000-0000D1740000}"/>
    <cellStyle name="Migliaia 17 3 10" xfId="39561" xr:uid="{00000000-0005-0000-0000-0000D2740000}"/>
    <cellStyle name="Migliaia 17 3 11" xfId="40047" xr:uid="{00000000-0005-0000-0000-0000D3740000}"/>
    <cellStyle name="Migliaia 17 3 2" xfId="478" xr:uid="{00000000-0005-0000-0000-0000D4740000}"/>
    <cellStyle name="Migliaia 17 3 2 10" xfId="40048" xr:uid="{00000000-0005-0000-0000-0000D5740000}"/>
    <cellStyle name="Migliaia 17 3 2 2" xfId="11390" xr:uid="{00000000-0005-0000-0000-0000D6740000}"/>
    <cellStyle name="Migliaia 17 3 2 3" xfId="12057" xr:uid="{00000000-0005-0000-0000-0000D7740000}"/>
    <cellStyle name="Migliaia 17 3 2 3 2" xfId="30242" xr:uid="{00000000-0005-0000-0000-0000D8740000}"/>
    <cellStyle name="Migliaia 17 3 2 4" xfId="19288" xr:uid="{00000000-0005-0000-0000-0000D9740000}"/>
    <cellStyle name="Migliaia 17 3 2 4 2" xfId="37252" xr:uid="{00000000-0005-0000-0000-0000DA740000}"/>
    <cellStyle name="Migliaia 17 3 2 5" xfId="3237" xr:uid="{00000000-0005-0000-0000-0000DB740000}"/>
    <cellStyle name="Migliaia 17 3 2 5 2" xfId="23237" xr:uid="{00000000-0005-0000-0000-0000DC740000}"/>
    <cellStyle name="Migliaia 17 3 2 6" xfId="21409" xr:uid="{00000000-0005-0000-0000-0000DD740000}"/>
    <cellStyle name="Migliaia 17 3 2 7" xfId="38207" xr:uid="{00000000-0005-0000-0000-0000DE740000}"/>
    <cellStyle name="Migliaia 17 3 2 8" xfId="39141" xr:uid="{00000000-0005-0000-0000-0000DF740000}"/>
    <cellStyle name="Migliaia 17 3 2 9" xfId="39562" xr:uid="{00000000-0005-0000-0000-0000E0740000}"/>
    <cellStyle name="Migliaia 17 3 3" xfId="11389" xr:uid="{00000000-0005-0000-0000-0000E1740000}"/>
    <cellStyle name="Migliaia 17 3 3 2" xfId="20464" xr:uid="{00000000-0005-0000-0000-0000E2740000}"/>
    <cellStyle name="Migliaia 17 3 3 2 2" xfId="37781" xr:uid="{00000000-0005-0000-0000-0000E3740000}"/>
    <cellStyle name="Migliaia 17 3 3 2 3" xfId="38736" xr:uid="{00000000-0005-0000-0000-0000E4740000}"/>
    <cellStyle name="Migliaia 17 3 3 3" xfId="19289" xr:uid="{00000000-0005-0000-0000-0000E5740000}"/>
    <cellStyle name="Migliaia 17 3 3 3 2" xfId="37253" xr:uid="{00000000-0005-0000-0000-0000E6740000}"/>
    <cellStyle name="Migliaia 17 3 3 4" xfId="38208" xr:uid="{00000000-0005-0000-0000-0000E7740000}"/>
    <cellStyle name="Migliaia 17 3 4" xfId="12056" xr:uid="{00000000-0005-0000-0000-0000E8740000}"/>
    <cellStyle name="Migliaia 17 3 4 2" xfId="20463" xr:uid="{00000000-0005-0000-0000-0000E9740000}"/>
    <cellStyle name="Migliaia 17 3 4 2 2" xfId="37780" xr:uid="{00000000-0005-0000-0000-0000EA740000}"/>
    <cellStyle name="Migliaia 17 3 4 3" xfId="30241" xr:uid="{00000000-0005-0000-0000-0000EB740000}"/>
    <cellStyle name="Migliaia 17 3 4 4" xfId="38735" xr:uid="{00000000-0005-0000-0000-0000EC740000}"/>
    <cellStyle name="Migliaia 17 3 5" xfId="19287" xr:uid="{00000000-0005-0000-0000-0000ED740000}"/>
    <cellStyle name="Migliaia 17 3 5 2" xfId="37251" xr:uid="{00000000-0005-0000-0000-0000EE740000}"/>
    <cellStyle name="Migliaia 17 3 6" xfId="3236" xr:uid="{00000000-0005-0000-0000-0000EF740000}"/>
    <cellStyle name="Migliaia 17 3 6 2" xfId="23236" xr:uid="{00000000-0005-0000-0000-0000F0740000}"/>
    <cellStyle name="Migliaia 17 3 7" xfId="21408" xr:uid="{00000000-0005-0000-0000-0000F1740000}"/>
    <cellStyle name="Migliaia 17 3 8" xfId="38206" xr:uid="{00000000-0005-0000-0000-0000F2740000}"/>
    <cellStyle name="Migliaia 17 3 9" xfId="39140" xr:uid="{00000000-0005-0000-0000-0000F3740000}"/>
    <cellStyle name="Migliaia 17 4" xfId="479" xr:uid="{00000000-0005-0000-0000-0000F4740000}"/>
    <cellStyle name="Migliaia 17 4 2" xfId="19291" xr:uid="{00000000-0005-0000-0000-0000F5740000}"/>
    <cellStyle name="Migliaia 17 4 2 2" xfId="20466" xr:uid="{00000000-0005-0000-0000-0000F6740000}"/>
    <cellStyle name="Migliaia 17 4 2 2 2" xfId="37783" xr:uid="{00000000-0005-0000-0000-0000F7740000}"/>
    <cellStyle name="Migliaia 17 4 2 2 3" xfId="38738" xr:uid="{00000000-0005-0000-0000-0000F8740000}"/>
    <cellStyle name="Migliaia 17 4 2 3" xfId="37255" xr:uid="{00000000-0005-0000-0000-0000F9740000}"/>
    <cellStyle name="Migliaia 17 4 2 4" xfId="38210" xr:uid="{00000000-0005-0000-0000-0000FA740000}"/>
    <cellStyle name="Migliaia 17 4 3" xfId="20465" xr:uid="{00000000-0005-0000-0000-0000FB740000}"/>
    <cellStyle name="Migliaia 17 4 3 2" xfId="37782" xr:uid="{00000000-0005-0000-0000-0000FC740000}"/>
    <cellStyle name="Migliaia 17 4 3 3" xfId="38737" xr:uid="{00000000-0005-0000-0000-0000FD740000}"/>
    <cellStyle name="Migliaia 17 4 4" xfId="19290" xr:uid="{00000000-0005-0000-0000-0000FE740000}"/>
    <cellStyle name="Migliaia 17 4 4 2" xfId="37254" xr:uid="{00000000-0005-0000-0000-0000FF740000}"/>
    <cellStyle name="Migliaia 17 4 5" xfId="11391" xr:uid="{00000000-0005-0000-0000-000000750000}"/>
    <cellStyle name="Migliaia 17 4 6" xfId="21410" xr:uid="{00000000-0005-0000-0000-000001750000}"/>
    <cellStyle name="Migliaia 17 4 7" xfId="38209" xr:uid="{00000000-0005-0000-0000-000002750000}"/>
    <cellStyle name="Migliaia 17 4 8" xfId="39563" xr:uid="{00000000-0005-0000-0000-000003750000}"/>
    <cellStyle name="Migliaia 17 4 9" xfId="40049" xr:uid="{00000000-0005-0000-0000-000004750000}"/>
    <cellStyle name="Migliaia 17 5" xfId="480" xr:uid="{00000000-0005-0000-0000-000005750000}"/>
    <cellStyle name="Migliaia 17 5 2" xfId="19292" xr:uid="{00000000-0005-0000-0000-000006750000}"/>
    <cellStyle name="Migliaia 17 5 2 2" xfId="37256" xr:uid="{00000000-0005-0000-0000-000007750000}"/>
    <cellStyle name="Migliaia 17 5 3" xfId="11392" xr:uid="{00000000-0005-0000-0000-000008750000}"/>
    <cellStyle name="Migliaia 17 5 4" xfId="21411" xr:uid="{00000000-0005-0000-0000-000009750000}"/>
    <cellStyle name="Migliaia 17 5 5" xfId="38211" xr:uid="{00000000-0005-0000-0000-00000A750000}"/>
    <cellStyle name="Migliaia 17 5 6" xfId="39564" xr:uid="{00000000-0005-0000-0000-00000B750000}"/>
    <cellStyle name="Migliaia 17 5 7" xfId="40050" xr:uid="{00000000-0005-0000-0000-00000C750000}"/>
    <cellStyle name="Migliaia 17 6" xfId="481" xr:uid="{00000000-0005-0000-0000-00000D750000}"/>
    <cellStyle name="Migliaia 17 6 2" xfId="11387" xr:uid="{00000000-0005-0000-0000-00000E750000}"/>
    <cellStyle name="Migliaia 17 6 3" xfId="21412" xr:uid="{00000000-0005-0000-0000-00000F750000}"/>
    <cellStyle name="Migliaia 17 6 4" xfId="39565" xr:uid="{00000000-0005-0000-0000-000010750000}"/>
    <cellStyle name="Migliaia 17 6 5" xfId="40051" xr:uid="{00000000-0005-0000-0000-000011750000}"/>
    <cellStyle name="Migliaia 17 7" xfId="12054" xr:uid="{00000000-0005-0000-0000-000012750000}"/>
    <cellStyle name="Migliaia 17 7 2" xfId="30239" xr:uid="{00000000-0005-0000-0000-000013750000}"/>
    <cellStyle name="Migliaia 17 8" xfId="19285" xr:uid="{00000000-0005-0000-0000-000014750000}"/>
    <cellStyle name="Migliaia 17 8 2" xfId="37249" xr:uid="{00000000-0005-0000-0000-000015750000}"/>
    <cellStyle name="Migliaia 17 9" xfId="3234" xr:uid="{00000000-0005-0000-0000-000016750000}"/>
    <cellStyle name="Migliaia 17 9 2" xfId="23234" xr:uid="{00000000-0005-0000-0000-000017750000}"/>
    <cellStyle name="Migliaia 18" xfId="482" xr:uid="{00000000-0005-0000-0000-000018750000}"/>
    <cellStyle name="Migliaia 18 10" xfId="21413" xr:uid="{00000000-0005-0000-0000-000019750000}"/>
    <cellStyle name="Migliaia 18 11" xfId="38212" xr:uid="{00000000-0005-0000-0000-00001A750000}"/>
    <cellStyle name="Migliaia 18 12" xfId="39142" xr:uid="{00000000-0005-0000-0000-00001B750000}"/>
    <cellStyle name="Migliaia 18 13" xfId="39566" xr:uid="{00000000-0005-0000-0000-00001C750000}"/>
    <cellStyle name="Migliaia 18 14" xfId="40052" xr:uid="{00000000-0005-0000-0000-00001D750000}"/>
    <cellStyle name="Migliaia 18 2" xfId="483" xr:uid="{00000000-0005-0000-0000-00001E750000}"/>
    <cellStyle name="Migliaia 18 2 10" xfId="39567" xr:uid="{00000000-0005-0000-0000-00001F750000}"/>
    <cellStyle name="Migliaia 18 2 11" xfId="40053" xr:uid="{00000000-0005-0000-0000-000020750000}"/>
    <cellStyle name="Migliaia 18 2 2" xfId="3546" xr:uid="{00000000-0005-0000-0000-000021750000}"/>
    <cellStyle name="Migliaia 18 2 2 2" xfId="12307" xr:uid="{00000000-0005-0000-0000-000022750000}"/>
    <cellStyle name="Migliaia 18 2 2 2 2" xfId="30477" xr:uid="{00000000-0005-0000-0000-000023750000}"/>
    <cellStyle name="Migliaia 18 2 2 3" xfId="20467" xr:uid="{00000000-0005-0000-0000-000024750000}"/>
    <cellStyle name="Migliaia 18 2 2 3 2" xfId="37784" xr:uid="{00000000-0005-0000-0000-000025750000}"/>
    <cellStyle name="Migliaia 18 2 2 4" xfId="23475" xr:uid="{00000000-0005-0000-0000-000026750000}"/>
    <cellStyle name="Migliaia 18 2 2 5" xfId="38739" xr:uid="{00000000-0005-0000-0000-000027750000}"/>
    <cellStyle name="Migliaia 18 2 2 6" xfId="39391" xr:uid="{00000000-0005-0000-0000-000028750000}"/>
    <cellStyle name="Migliaia 18 2 3" xfId="11394" xr:uid="{00000000-0005-0000-0000-000029750000}"/>
    <cellStyle name="Migliaia 18 2 4" xfId="12059" xr:uid="{00000000-0005-0000-0000-00002A750000}"/>
    <cellStyle name="Migliaia 18 2 4 2" xfId="30244" xr:uid="{00000000-0005-0000-0000-00002B750000}"/>
    <cellStyle name="Migliaia 18 2 5" xfId="19294" xr:uid="{00000000-0005-0000-0000-00002C750000}"/>
    <cellStyle name="Migliaia 18 2 5 2" xfId="37258" xr:uid="{00000000-0005-0000-0000-00002D750000}"/>
    <cellStyle name="Migliaia 18 2 6" xfId="3239" xr:uid="{00000000-0005-0000-0000-00002E750000}"/>
    <cellStyle name="Migliaia 18 2 6 2" xfId="23239" xr:uid="{00000000-0005-0000-0000-00002F750000}"/>
    <cellStyle name="Migliaia 18 2 7" xfId="21414" xr:uid="{00000000-0005-0000-0000-000030750000}"/>
    <cellStyle name="Migliaia 18 2 8" xfId="38213" xr:uid="{00000000-0005-0000-0000-000031750000}"/>
    <cellStyle name="Migliaia 18 2 9" xfId="39143" xr:uid="{00000000-0005-0000-0000-000032750000}"/>
    <cellStyle name="Migliaia 18 3" xfId="484" xr:uid="{00000000-0005-0000-0000-000033750000}"/>
    <cellStyle name="Migliaia 18 3 10" xfId="39568" xr:uid="{00000000-0005-0000-0000-000034750000}"/>
    <cellStyle name="Migliaia 18 3 11" xfId="40054" xr:uid="{00000000-0005-0000-0000-000035750000}"/>
    <cellStyle name="Migliaia 18 3 2" xfId="485" xr:uid="{00000000-0005-0000-0000-000036750000}"/>
    <cellStyle name="Migliaia 18 3 2 10" xfId="40055" xr:uid="{00000000-0005-0000-0000-000037750000}"/>
    <cellStyle name="Migliaia 18 3 2 2" xfId="11396" xr:uid="{00000000-0005-0000-0000-000038750000}"/>
    <cellStyle name="Migliaia 18 3 2 3" xfId="12061" xr:uid="{00000000-0005-0000-0000-000039750000}"/>
    <cellStyle name="Migliaia 18 3 2 3 2" xfId="30246" xr:uid="{00000000-0005-0000-0000-00003A750000}"/>
    <cellStyle name="Migliaia 18 3 2 4" xfId="19296" xr:uid="{00000000-0005-0000-0000-00003B750000}"/>
    <cellStyle name="Migliaia 18 3 2 4 2" xfId="37260" xr:uid="{00000000-0005-0000-0000-00003C750000}"/>
    <cellStyle name="Migliaia 18 3 2 5" xfId="3241" xr:uid="{00000000-0005-0000-0000-00003D750000}"/>
    <cellStyle name="Migliaia 18 3 2 5 2" xfId="23241" xr:uid="{00000000-0005-0000-0000-00003E750000}"/>
    <cellStyle name="Migliaia 18 3 2 6" xfId="21416" xr:uid="{00000000-0005-0000-0000-00003F750000}"/>
    <cellStyle name="Migliaia 18 3 2 7" xfId="38215" xr:uid="{00000000-0005-0000-0000-000040750000}"/>
    <cellStyle name="Migliaia 18 3 2 8" xfId="39145" xr:uid="{00000000-0005-0000-0000-000041750000}"/>
    <cellStyle name="Migliaia 18 3 2 9" xfId="39569" xr:uid="{00000000-0005-0000-0000-000042750000}"/>
    <cellStyle name="Migliaia 18 3 3" xfId="11395" xr:uid="{00000000-0005-0000-0000-000043750000}"/>
    <cellStyle name="Migliaia 18 3 3 2" xfId="20469" xr:uid="{00000000-0005-0000-0000-000044750000}"/>
    <cellStyle name="Migliaia 18 3 3 2 2" xfId="37786" xr:uid="{00000000-0005-0000-0000-000045750000}"/>
    <cellStyle name="Migliaia 18 3 3 2 3" xfId="38741" xr:uid="{00000000-0005-0000-0000-000046750000}"/>
    <cellStyle name="Migliaia 18 3 3 3" xfId="19297" xr:uid="{00000000-0005-0000-0000-000047750000}"/>
    <cellStyle name="Migliaia 18 3 3 3 2" xfId="37261" xr:uid="{00000000-0005-0000-0000-000048750000}"/>
    <cellStyle name="Migliaia 18 3 3 4" xfId="38216" xr:uid="{00000000-0005-0000-0000-000049750000}"/>
    <cellStyle name="Migliaia 18 3 4" xfId="12060" xr:uid="{00000000-0005-0000-0000-00004A750000}"/>
    <cellStyle name="Migliaia 18 3 4 2" xfId="20468" xr:uid="{00000000-0005-0000-0000-00004B750000}"/>
    <cellStyle name="Migliaia 18 3 4 2 2" xfId="37785" xr:uid="{00000000-0005-0000-0000-00004C750000}"/>
    <cellStyle name="Migliaia 18 3 4 3" xfId="30245" xr:uid="{00000000-0005-0000-0000-00004D750000}"/>
    <cellStyle name="Migliaia 18 3 4 4" xfId="38740" xr:uid="{00000000-0005-0000-0000-00004E750000}"/>
    <cellStyle name="Migliaia 18 3 5" xfId="19295" xr:uid="{00000000-0005-0000-0000-00004F750000}"/>
    <cellStyle name="Migliaia 18 3 5 2" xfId="37259" xr:uid="{00000000-0005-0000-0000-000050750000}"/>
    <cellStyle name="Migliaia 18 3 6" xfId="3240" xr:uid="{00000000-0005-0000-0000-000051750000}"/>
    <cellStyle name="Migliaia 18 3 6 2" xfId="23240" xr:uid="{00000000-0005-0000-0000-000052750000}"/>
    <cellStyle name="Migliaia 18 3 7" xfId="21415" xr:uid="{00000000-0005-0000-0000-000053750000}"/>
    <cellStyle name="Migliaia 18 3 8" xfId="38214" xr:uid="{00000000-0005-0000-0000-000054750000}"/>
    <cellStyle name="Migliaia 18 3 9" xfId="39144" xr:uid="{00000000-0005-0000-0000-000055750000}"/>
    <cellStyle name="Migliaia 18 4" xfId="486" xr:uid="{00000000-0005-0000-0000-000056750000}"/>
    <cellStyle name="Migliaia 18 4 2" xfId="19299" xr:uid="{00000000-0005-0000-0000-000057750000}"/>
    <cellStyle name="Migliaia 18 4 2 2" xfId="20471" xr:uid="{00000000-0005-0000-0000-000058750000}"/>
    <cellStyle name="Migliaia 18 4 2 2 2" xfId="37788" xr:uid="{00000000-0005-0000-0000-000059750000}"/>
    <cellStyle name="Migliaia 18 4 2 2 3" xfId="38743" xr:uid="{00000000-0005-0000-0000-00005A750000}"/>
    <cellStyle name="Migliaia 18 4 2 3" xfId="37263" xr:uid="{00000000-0005-0000-0000-00005B750000}"/>
    <cellStyle name="Migliaia 18 4 2 4" xfId="38218" xr:uid="{00000000-0005-0000-0000-00005C750000}"/>
    <cellStyle name="Migliaia 18 4 3" xfId="20470" xr:uid="{00000000-0005-0000-0000-00005D750000}"/>
    <cellStyle name="Migliaia 18 4 3 2" xfId="37787" xr:uid="{00000000-0005-0000-0000-00005E750000}"/>
    <cellStyle name="Migliaia 18 4 3 3" xfId="38742" xr:uid="{00000000-0005-0000-0000-00005F750000}"/>
    <cellStyle name="Migliaia 18 4 4" xfId="19298" xr:uid="{00000000-0005-0000-0000-000060750000}"/>
    <cellStyle name="Migliaia 18 4 4 2" xfId="37262" xr:uid="{00000000-0005-0000-0000-000061750000}"/>
    <cellStyle name="Migliaia 18 4 5" xfId="11397" xr:uid="{00000000-0005-0000-0000-000062750000}"/>
    <cellStyle name="Migliaia 18 4 6" xfId="21417" xr:uid="{00000000-0005-0000-0000-000063750000}"/>
    <cellStyle name="Migliaia 18 4 7" xfId="38217" xr:uid="{00000000-0005-0000-0000-000064750000}"/>
    <cellStyle name="Migliaia 18 4 8" xfId="39570" xr:uid="{00000000-0005-0000-0000-000065750000}"/>
    <cellStyle name="Migliaia 18 4 9" xfId="40056" xr:uid="{00000000-0005-0000-0000-000066750000}"/>
    <cellStyle name="Migliaia 18 5" xfId="487" xr:uid="{00000000-0005-0000-0000-000067750000}"/>
    <cellStyle name="Migliaia 18 5 2" xfId="19300" xr:uid="{00000000-0005-0000-0000-000068750000}"/>
    <cellStyle name="Migliaia 18 5 2 2" xfId="37264" xr:uid="{00000000-0005-0000-0000-000069750000}"/>
    <cellStyle name="Migliaia 18 5 3" xfId="11398" xr:uid="{00000000-0005-0000-0000-00006A750000}"/>
    <cellStyle name="Migliaia 18 5 4" xfId="21418" xr:uid="{00000000-0005-0000-0000-00006B750000}"/>
    <cellStyle name="Migliaia 18 5 5" xfId="38219" xr:uid="{00000000-0005-0000-0000-00006C750000}"/>
    <cellStyle name="Migliaia 18 5 6" xfId="39571" xr:uid="{00000000-0005-0000-0000-00006D750000}"/>
    <cellStyle name="Migliaia 18 5 7" xfId="40057" xr:uid="{00000000-0005-0000-0000-00006E750000}"/>
    <cellStyle name="Migliaia 18 6" xfId="488" xr:uid="{00000000-0005-0000-0000-00006F750000}"/>
    <cellStyle name="Migliaia 18 6 2" xfId="11393" xr:uid="{00000000-0005-0000-0000-000070750000}"/>
    <cellStyle name="Migliaia 18 6 3" xfId="21419" xr:uid="{00000000-0005-0000-0000-000071750000}"/>
    <cellStyle name="Migliaia 18 6 4" xfId="39572" xr:uid="{00000000-0005-0000-0000-000072750000}"/>
    <cellStyle name="Migliaia 18 6 5" xfId="40058" xr:uid="{00000000-0005-0000-0000-000073750000}"/>
    <cellStyle name="Migliaia 18 7" xfId="12058" xr:uid="{00000000-0005-0000-0000-000074750000}"/>
    <cellStyle name="Migliaia 18 7 2" xfId="30243" xr:uid="{00000000-0005-0000-0000-000075750000}"/>
    <cellStyle name="Migliaia 18 8" xfId="19293" xr:uid="{00000000-0005-0000-0000-000076750000}"/>
    <cellStyle name="Migliaia 18 8 2" xfId="37257" xr:uid="{00000000-0005-0000-0000-000077750000}"/>
    <cellStyle name="Migliaia 18 9" xfId="3238" xr:uid="{00000000-0005-0000-0000-000078750000}"/>
    <cellStyle name="Migliaia 18 9 2" xfId="23238" xr:uid="{00000000-0005-0000-0000-000079750000}"/>
    <cellStyle name="Migliaia 19" xfId="489" xr:uid="{00000000-0005-0000-0000-00007A750000}"/>
    <cellStyle name="Migliaia 19 10" xfId="21420" xr:uid="{00000000-0005-0000-0000-00007B750000}"/>
    <cellStyle name="Migliaia 19 11" xfId="38220" xr:uid="{00000000-0005-0000-0000-00007C750000}"/>
    <cellStyle name="Migliaia 19 12" xfId="39146" xr:uid="{00000000-0005-0000-0000-00007D750000}"/>
    <cellStyle name="Migliaia 19 13" xfId="39573" xr:uid="{00000000-0005-0000-0000-00007E750000}"/>
    <cellStyle name="Migliaia 19 14" xfId="40059" xr:uid="{00000000-0005-0000-0000-00007F750000}"/>
    <cellStyle name="Migliaia 19 2" xfId="490" xr:uid="{00000000-0005-0000-0000-000080750000}"/>
    <cellStyle name="Migliaia 19 2 10" xfId="39574" xr:uid="{00000000-0005-0000-0000-000081750000}"/>
    <cellStyle name="Migliaia 19 2 11" xfId="40060" xr:uid="{00000000-0005-0000-0000-000082750000}"/>
    <cellStyle name="Migliaia 19 2 2" xfId="3547" xr:uid="{00000000-0005-0000-0000-000083750000}"/>
    <cellStyle name="Migliaia 19 2 2 2" xfId="12308" xr:uid="{00000000-0005-0000-0000-000084750000}"/>
    <cellStyle name="Migliaia 19 2 2 2 2" xfId="30478" xr:uid="{00000000-0005-0000-0000-000085750000}"/>
    <cellStyle name="Migliaia 19 2 2 3" xfId="20472" xr:uid="{00000000-0005-0000-0000-000086750000}"/>
    <cellStyle name="Migliaia 19 2 2 3 2" xfId="37789" xr:uid="{00000000-0005-0000-0000-000087750000}"/>
    <cellStyle name="Migliaia 19 2 2 4" xfId="23476" xr:uid="{00000000-0005-0000-0000-000088750000}"/>
    <cellStyle name="Migliaia 19 2 2 5" xfId="38744" xr:uid="{00000000-0005-0000-0000-000089750000}"/>
    <cellStyle name="Migliaia 19 2 2 6" xfId="39392" xr:uid="{00000000-0005-0000-0000-00008A750000}"/>
    <cellStyle name="Migliaia 19 2 3" xfId="11400" xr:uid="{00000000-0005-0000-0000-00008B750000}"/>
    <cellStyle name="Migliaia 19 2 4" xfId="12063" xr:uid="{00000000-0005-0000-0000-00008C750000}"/>
    <cellStyle name="Migliaia 19 2 4 2" xfId="30248" xr:uid="{00000000-0005-0000-0000-00008D750000}"/>
    <cellStyle name="Migliaia 19 2 5" xfId="19302" xr:uid="{00000000-0005-0000-0000-00008E750000}"/>
    <cellStyle name="Migliaia 19 2 5 2" xfId="37266" xr:uid="{00000000-0005-0000-0000-00008F750000}"/>
    <cellStyle name="Migliaia 19 2 6" xfId="3243" xr:uid="{00000000-0005-0000-0000-000090750000}"/>
    <cellStyle name="Migliaia 19 2 6 2" xfId="23243" xr:uid="{00000000-0005-0000-0000-000091750000}"/>
    <cellStyle name="Migliaia 19 2 7" xfId="21421" xr:uid="{00000000-0005-0000-0000-000092750000}"/>
    <cellStyle name="Migliaia 19 2 8" xfId="38221" xr:uid="{00000000-0005-0000-0000-000093750000}"/>
    <cellStyle name="Migliaia 19 2 9" xfId="39147" xr:uid="{00000000-0005-0000-0000-000094750000}"/>
    <cellStyle name="Migliaia 19 3" xfId="491" xr:uid="{00000000-0005-0000-0000-000095750000}"/>
    <cellStyle name="Migliaia 19 3 10" xfId="39575" xr:uid="{00000000-0005-0000-0000-000096750000}"/>
    <cellStyle name="Migliaia 19 3 11" xfId="40061" xr:uid="{00000000-0005-0000-0000-000097750000}"/>
    <cellStyle name="Migliaia 19 3 2" xfId="492" xr:uid="{00000000-0005-0000-0000-000098750000}"/>
    <cellStyle name="Migliaia 19 3 2 10" xfId="40062" xr:uid="{00000000-0005-0000-0000-000099750000}"/>
    <cellStyle name="Migliaia 19 3 2 2" xfId="11402" xr:uid="{00000000-0005-0000-0000-00009A750000}"/>
    <cellStyle name="Migliaia 19 3 2 3" xfId="12065" xr:uid="{00000000-0005-0000-0000-00009B750000}"/>
    <cellStyle name="Migliaia 19 3 2 3 2" xfId="30250" xr:uid="{00000000-0005-0000-0000-00009C750000}"/>
    <cellStyle name="Migliaia 19 3 2 4" xfId="19304" xr:uid="{00000000-0005-0000-0000-00009D750000}"/>
    <cellStyle name="Migliaia 19 3 2 4 2" xfId="37268" xr:uid="{00000000-0005-0000-0000-00009E750000}"/>
    <cellStyle name="Migliaia 19 3 2 5" xfId="3245" xr:uid="{00000000-0005-0000-0000-00009F750000}"/>
    <cellStyle name="Migliaia 19 3 2 5 2" xfId="23245" xr:uid="{00000000-0005-0000-0000-0000A0750000}"/>
    <cellStyle name="Migliaia 19 3 2 6" xfId="21423" xr:uid="{00000000-0005-0000-0000-0000A1750000}"/>
    <cellStyle name="Migliaia 19 3 2 7" xfId="38223" xr:uid="{00000000-0005-0000-0000-0000A2750000}"/>
    <cellStyle name="Migliaia 19 3 2 8" xfId="39149" xr:uid="{00000000-0005-0000-0000-0000A3750000}"/>
    <cellStyle name="Migliaia 19 3 2 9" xfId="39576" xr:uid="{00000000-0005-0000-0000-0000A4750000}"/>
    <cellStyle name="Migliaia 19 3 3" xfId="11401" xr:uid="{00000000-0005-0000-0000-0000A5750000}"/>
    <cellStyle name="Migliaia 19 3 3 2" xfId="20474" xr:uid="{00000000-0005-0000-0000-0000A6750000}"/>
    <cellStyle name="Migliaia 19 3 3 2 2" xfId="37791" xr:uid="{00000000-0005-0000-0000-0000A7750000}"/>
    <cellStyle name="Migliaia 19 3 3 2 3" xfId="38746" xr:uid="{00000000-0005-0000-0000-0000A8750000}"/>
    <cellStyle name="Migliaia 19 3 3 3" xfId="19305" xr:uid="{00000000-0005-0000-0000-0000A9750000}"/>
    <cellStyle name="Migliaia 19 3 3 3 2" xfId="37269" xr:uid="{00000000-0005-0000-0000-0000AA750000}"/>
    <cellStyle name="Migliaia 19 3 3 4" xfId="38224" xr:uid="{00000000-0005-0000-0000-0000AB750000}"/>
    <cellStyle name="Migliaia 19 3 4" xfId="12064" xr:uid="{00000000-0005-0000-0000-0000AC750000}"/>
    <cellStyle name="Migliaia 19 3 4 2" xfId="20473" xr:uid="{00000000-0005-0000-0000-0000AD750000}"/>
    <cellStyle name="Migliaia 19 3 4 2 2" xfId="37790" xr:uid="{00000000-0005-0000-0000-0000AE750000}"/>
    <cellStyle name="Migliaia 19 3 4 3" xfId="30249" xr:uid="{00000000-0005-0000-0000-0000AF750000}"/>
    <cellStyle name="Migliaia 19 3 4 4" xfId="38745" xr:uid="{00000000-0005-0000-0000-0000B0750000}"/>
    <cellStyle name="Migliaia 19 3 5" xfId="19303" xr:uid="{00000000-0005-0000-0000-0000B1750000}"/>
    <cellStyle name="Migliaia 19 3 5 2" xfId="37267" xr:uid="{00000000-0005-0000-0000-0000B2750000}"/>
    <cellStyle name="Migliaia 19 3 6" xfId="3244" xr:uid="{00000000-0005-0000-0000-0000B3750000}"/>
    <cellStyle name="Migliaia 19 3 6 2" xfId="23244" xr:uid="{00000000-0005-0000-0000-0000B4750000}"/>
    <cellStyle name="Migliaia 19 3 7" xfId="21422" xr:uid="{00000000-0005-0000-0000-0000B5750000}"/>
    <cellStyle name="Migliaia 19 3 8" xfId="38222" xr:uid="{00000000-0005-0000-0000-0000B6750000}"/>
    <cellStyle name="Migliaia 19 3 9" xfId="39148" xr:uid="{00000000-0005-0000-0000-0000B7750000}"/>
    <cellStyle name="Migliaia 19 4" xfId="493" xr:uid="{00000000-0005-0000-0000-0000B8750000}"/>
    <cellStyle name="Migliaia 19 4 2" xfId="19307" xr:uid="{00000000-0005-0000-0000-0000B9750000}"/>
    <cellStyle name="Migliaia 19 4 2 2" xfId="20476" xr:uid="{00000000-0005-0000-0000-0000BA750000}"/>
    <cellStyle name="Migliaia 19 4 2 2 2" xfId="37793" xr:uid="{00000000-0005-0000-0000-0000BB750000}"/>
    <cellStyle name="Migliaia 19 4 2 2 3" xfId="38748" xr:uid="{00000000-0005-0000-0000-0000BC750000}"/>
    <cellStyle name="Migliaia 19 4 2 3" xfId="37271" xr:uid="{00000000-0005-0000-0000-0000BD750000}"/>
    <cellStyle name="Migliaia 19 4 2 4" xfId="38226" xr:uid="{00000000-0005-0000-0000-0000BE750000}"/>
    <cellStyle name="Migliaia 19 4 3" xfId="20475" xr:uid="{00000000-0005-0000-0000-0000BF750000}"/>
    <cellStyle name="Migliaia 19 4 3 2" xfId="37792" xr:uid="{00000000-0005-0000-0000-0000C0750000}"/>
    <cellStyle name="Migliaia 19 4 3 3" xfId="38747" xr:uid="{00000000-0005-0000-0000-0000C1750000}"/>
    <cellStyle name="Migliaia 19 4 4" xfId="19306" xr:uid="{00000000-0005-0000-0000-0000C2750000}"/>
    <cellStyle name="Migliaia 19 4 4 2" xfId="37270" xr:uid="{00000000-0005-0000-0000-0000C3750000}"/>
    <cellStyle name="Migliaia 19 4 5" xfId="11403" xr:uid="{00000000-0005-0000-0000-0000C4750000}"/>
    <cellStyle name="Migliaia 19 4 6" xfId="21424" xr:uid="{00000000-0005-0000-0000-0000C5750000}"/>
    <cellStyle name="Migliaia 19 4 7" xfId="38225" xr:uid="{00000000-0005-0000-0000-0000C6750000}"/>
    <cellStyle name="Migliaia 19 4 8" xfId="39577" xr:uid="{00000000-0005-0000-0000-0000C7750000}"/>
    <cellStyle name="Migliaia 19 4 9" xfId="40063" xr:uid="{00000000-0005-0000-0000-0000C8750000}"/>
    <cellStyle name="Migliaia 19 5" xfId="494" xr:uid="{00000000-0005-0000-0000-0000C9750000}"/>
    <cellStyle name="Migliaia 19 5 2" xfId="19308" xr:uid="{00000000-0005-0000-0000-0000CA750000}"/>
    <cellStyle name="Migliaia 19 5 2 2" xfId="37272" xr:uid="{00000000-0005-0000-0000-0000CB750000}"/>
    <cellStyle name="Migliaia 19 5 3" xfId="11404" xr:uid="{00000000-0005-0000-0000-0000CC750000}"/>
    <cellStyle name="Migliaia 19 5 4" xfId="21425" xr:uid="{00000000-0005-0000-0000-0000CD750000}"/>
    <cellStyle name="Migliaia 19 5 5" xfId="38227" xr:uid="{00000000-0005-0000-0000-0000CE750000}"/>
    <cellStyle name="Migliaia 19 5 6" xfId="39578" xr:uid="{00000000-0005-0000-0000-0000CF750000}"/>
    <cellStyle name="Migliaia 19 5 7" xfId="40064" xr:uid="{00000000-0005-0000-0000-0000D0750000}"/>
    <cellStyle name="Migliaia 19 6" xfId="495" xr:uid="{00000000-0005-0000-0000-0000D1750000}"/>
    <cellStyle name="Migliaia 19 6 2" xfId="11399" xr:uid="{00000000-0005-0000-0000-0000D2750000}"/>
    <cellStyle name="Migliaia 19 6 3" xfId="21426" xr:uid="{00000000-0005-0000-0000-0000D3750000}"/>
    <cellStyle name="Migliaia 19 6 4" xfId="39579" xr:uid="{00000000-0005-0000-0000-0000D4750000}"/>
    <cellStyle name="Migliaia 19 6 5" xfId="40065" xr:uid="{00000000-0005-0000-0000-0000D5750000}"/>
    <cellStyle name="Migliaia 19 7" xfId="12062" xr:uid="{00000000-0005-0000-0000-0000D6750000}"/>
    <cellStyle name="Migliaia 19 7 2" xfId="30247" xr:uid="{00000000-0005-0000-0000-0000D7750000}"/>
    <cellStyle name="Migliaia 19 8" xfId="19301" xr:uid="{00000000-0005-0000-0000-0000D8750000}"/>
    <cellStyle name="Migliaia 19 8 2" xfId="37265" xr:uid="{00000000-0005-0000-0000-0000D9750000}"/>
    <cellStyle name="Migliaia 19 9" xfId="3242" xr:uid="{00000000-0005-0000-0000-0000DA750000}"/>
    <cellStyle name="Migliaia 19 9 2" xfId="23242" xr:uid="{00000000-0005-0000-0000-0000DB750000}"/>
    <cellStyle name="Migliaia 2" xfId="496" xr:uid="{00000000-0005-0000-0000-0000DC750000}"/>
    <cellStyle name="Migliaia 2 10" xfId="3246" xr:uid="{00000000-0005-0000-0000-0000DD750000}"/>
    <cellStyle name="Migliaia 2 10 2" xfId="23246" xr:uid="{00000000-0005-0000-0000-0000DE750000}"/>
    <cellStyle name="Migliaia 2 11" xfId="21427" xr:uid="{00000000-0005-0000-0000-0000DF750000}"/>
    <cellStyle name="Migliaia 2 12" xfId="38228" xr:uid="{00000000-0005-0000-0000-0000E0750000}"/>
    <cellStyle name="Migliaia 2 13" xfId="39150" xr:uid="{00000000-0005-0000-0000-0000E1750000}"/>
    <cellStyle name="Migliaia 2 14" xfId="39580" xr:uid="{00000000-0005-0000-0000-0000E2750000}"/>
    <cellStyle name="Migliaia 2 15" xfId="40066" xr:uid="{00000000-0005-0000-0000-0000E3750000}"/>
    <cellStyle name="Migliaia 2 2" xfId="497" xr:uid="{00000000-0005-0000-0000-0000E4750000}"/>
    <cellStyle name="Migliaia 2 2 10" xfId="39581" xr:uid="{00000000-0005-0000-0000-0000E5750000}"/>
    <cellStyle name="Migliaia 2 2 11" xfId="40067" xr:uid="{00000000-0005-0000-0000-0000E6750000}"/>
    <cellStyle name="Migliaia 2 2 2" xfId="3548" xr:uid="{00000000-0005-0000-0000-0000E7750000}"/>
    <cellStyle name="Migliaia 2 2 2 2" xfId="12309" xr:uid="{00000000-0005-0000-0000-0000E8750000}"/>
    <cellStyle name="Migliaia 2 2 2 2 2" xfId="30479" xr:uid="{00000000-0005-0000-0000-0000E9750000}"/>
    <cellStyle name="Migliaia 2 2 2 3" xfId="20229" xr:uid="{00000000-0005-0000-0000-0000EA750000}"/>
    <cellStyle name="Migliaia 2 2 2 3 2" xfId="37739" xr:uid="{00000000-0005-0000-0000-0000EB750000}"/>
    <cellStyle name="Migliaia 2 2 2 4" xfId="23477" xr:uid="{00000000-0005-0000-0000-0000EC750000}"/>
    <cellStyle name="Migliaia 2 2 2 5" xfId="38694" xr:uid="{00000000-0005-0000-0000-0000ED750000}"/>
    <cellStyle name="Migliaia 2 2 2 6" xfId="39393" xr:uid="{00000000-0005-0000-0000-0000EE750000}"/>
    <cellStyle name="Migliaia 2 2 3" xfId="11406" xr:uid="{00000000-0005-0000-0000-0000EF750000}"/>
    <cellStyle name="Migliaia 2 2 4" xfId="12067" xr:uid="{00000000-0005-0000-0000-0000F0750000}"/>
    <cellStyle name="Migliaia 2 2 4 2" xfId="30252" xr:uid="{00000000-0005-0000-0000-0000F1750000}"/>
    <cellStyle name="Migliaia 2 2 5" xfId="19310" xr:uid="{00000000-0005-0000-0000-0000F2750000}"/>
    <cellStyle name="Migliaia 2 2 5 2" xfId="37274" xr:uid="{00000000-0005-0000-0000-0000F3750000}"/>
    <cellStyle name="Migliaia 2 2 6" xfId="3247" xr:uid="{00000000-0005-0000-0000-0000F4750000}"/>
    <cellStyle name="Migliaia 2 2 6 2" xfId="23247" xr:uid="{00000000-0005-0000-0000-0000F5750000}"/>
    <cellStyle name="Migliaia 2 2 7" xfId="21428" xr:uid="{00000000-0005-0000-0000-0000F6750000}"/>
    <cellStyle name="Migliaia 2 2 8" xfId="38229" xr:uid="{00000000-0005-0000-0000-0000F7750000}"/>
    <cellStyle name="Migliaia 2 2 9" xfId="39151" xr:uid="{00000000-0005-0000-0000-0000F8750000}"/>
    <cellStyle name="Migliaia 2 3" xfId="498" xr:uid="{00000000-0005-0000-0000-0000F9750000}"/>
    <cellStyle name="Migliaia 2 3 10" xfId="39582" xr:uid="{00000000-0005-0000-0000-0000FA750000}"/>
    <cellStyle name="Migliaia 2 3 11" xfId="40068" xr:uid="{00000000-0005-0000-0000-0000FB750000}"/>
    <cellStyle name="Migliaia 2 3 2" xfId="3549" xr:uid="{00000000-0005-0000-0000-0000FC750000}"/>
    <cellStyle name="Migliaia 2 3 2 2" xfId="12310" xr:uid="{00000000-0005-0000-0000-0000FD750000}"/>
    <cellStyle name="Migliaia 2 3 2 2 2" xfId="30480" xr:uid="{00000000-0005-0000-0000-0000FE750000}"/>
    <cellStyle name="Migliaia 2 3 2 3" xfId="20230" xr:uid="{00000000-0005-0000-0000-0000FF750000}"/>
    <cellStyle name="Migliaia 2 3 2 3 2" xfId="37740" xr:uid="{00000000-0005-0000-0000-000000760000}"/>
    <cellStyle name="Migliaia 2 3 2 4" xfId="23478" xr:uid="{00000000-0005-0000-0000-000001760000}"/>
    <cellStyle name="Migliaia 2 3 2 5" xfId="38695" xr:uid="{00000000-0005-0000-0000-000002760000}"/>
    <cellStyle name="Migliaia 2 3 2 6" xfId="39394" xr:uid="{00000000-0005-0000-0000-000003760000}"/>
    <cellStyle name="Migliaia 2 3 3" xfId="11407" xr:uid="{00000000-0005-0000-0000-000004760000}"/>
    <cellStyle name="Migliaia 2 3 4" xfId="12068" xr:uid="{00000000-0005-0000-0000-000005760000}"/>
    <cellStyle name="Migliaia 2 3 4 2" xfId="30253" xr:uid="{00000000-0005-0000-0000-000006760000}"/>
    <cellStyle name="Migliaia 2 3 5" xfId="19311" xr:uid="{00000000-0005-0000-0000-000007760000}"/>
    <cellStyle name="Migliaia 2 3 5 2" xfId="37275" xr:uid="{00000000-0005-0000-0000-000008760000}"/>
    <cellStyle name="Migliaia 2 3 6" xfId="3248" xr:uid="{00000000-0005-0000-0000-000009760000}"/>
    <cellStyle name="Migliaia 2 3 6 2" xfId="23248" xr:uid="{00000000-0005-0000-0000-00000A760000}"/>
    <cellStyle name="Migliaia 2 3 7" xfId="21429" xr:uid="{00000000-0005-0000-0000-00000B760000}"/>
    <cellStyle name="Migliaia 2 3 8" xfId="38230" xr:uid="{00000000-0005-0000-0000-00000C760000}"/>
    <cellStyle name="Migliaia 2 3 9" xfId="39152" xr:uid="{00000000-0005-0000-0000-00000D760000}"/>
    <cellStyle name="Migliaia 2 4" xfId="499" xr:uid="{00000000-0005-0000-0000-00000E760000}"/>
    <cellStyle name="Migliaia 2 4 10" xfId="39583" xr:uid="{00000000-0005-0000-0000-00000F760000}"/>
    <cellStyle name="Migliaia 2 4 11" xfId="40069" xr:uid="{00000000-0005-0000-0000-000010760000}"/>
    <cellStyle name="Migliaia 2 4 2" xfId="500" xr:uid="{00000000-0005-0000-0000-000011760000}"/>
    <cellStyle name="Migliaia 2 4 2 10" xfId="40070" xr:uid="{00000000-0005-0000-0000-000012760000}"/>
    <cellStyle name="Migliaia 2 4 2 2" xfId="11409" xr:uid="{00000000-0005-0000-0000-000013760000}"/>
    <cellStyle name="Migliaia 2 4 2 3" xfId="12070" xr:uid="{00000000-0005-0000-0000-000014760000}"/>
    <cellStyle name="Migliaia 2 4 2 3 2" xfId="30255" xr:uid="{00000000-0005-0000-0000-000015760000}"/>
    <cellStyle name="Migliaia 2 4 2 4" xfId="19313" xr:uid="{00000000-0005-0000-0000-000016760000}"/>
    <cellStyle name="Migliaia 2 4 2 4 2" xfId="37277" xr:uid="{00000000-0005-0000-0000-000017760000}"/>
    <cellStyle name="Migliaia 2 4 2 5" xfId="3250" xr:uid="{00000000-0005-0000-0000-000018760000}"/>
    <cellStyle name="Migliaia 2 4 2 5 2" xfId="23250" xr:uid="{00000000-0005-0000-0000-000019760000}"/>
    <cellStyle name="Migliaia 2 4 2 6" xfId="21431" xr:uid="{00000000-0005-0000-0000-00001A760000}"/>
    <cellStyle name="Migliaia 2 4 2 7" xfId="38232" xr:uid="{00000000-0005-0000-0000-00001B760000}"/>
    <cellStyle name="Migliaia 2 4 2 8" xfId="39154" xr:uid="{00000000-0005-0000-0000-00001C760000}"/>
    <cellStyle name="Migliaia 2 4 2 9" xfId="39584" xr:uid="{00000000-0005-0000-0000-00001D760000}"/>
    <cellStyle name="Migliaia 2 4 3" xfId="11408" xr:uid="{00000000-0005-0000-0000-00001E760000}"/>
    <cellStyle name="Migliaia 2 4 3 2" xfId="20478" xr:uid="{00000000-0005-0000-0000-00001F760000}"/>
    <cellStyle name="Migliaia 2 4 3 2 2" xfId="37795" xr:uid="{00000000-0005-0000-0000-000020760000}"/>
    <cellStyle name="Migliaia 2 4 3 2 3" xfId="38750" xr:uid="{00000000-0005-0000-0000-000021760000}"/>
    <cellStyle name="Migliaia 2 4 3 3" xfId="19314" xr:uid="{00000000-0005-0000-0000-000022760000}"/>
    <cellStyle name="Migliaia 2 4 3 3 2" xfId="37278" xr:uid="{00000000-0005-0000-0000-000023760000}"/>
    <cellStyle name="Migliaia 2 4 3 4" xfId="38233" xr:uid="{00000000-0005-0000-0000-000024760000}"/>
    <cellStyle name="Migliaia 2 4 4" xfId="12069" xr:uid="{00000000-0005-0000-0000-000025760000}"/>
    <cellStyle name="Migliaia 2 4 4 2" xfId="20477" xr:uid="{00000000-0005-0000-0000-000026760000}"/>
    <cellStyle name="Migliaia 2 4 4 2 2" xfId="37794" xr:uid="{00000000-0005-0000-0000-000027760000}"/>
    <cellStyle name="Migliaia 2 4 4 3" xfId="30254" xr:uid="{00000000-0005-0000-0000-000028760000}"/>
    <cellStyle name="Migliaia 2 4 4 4" xfId="38749" xr:uid="{00000000-0005-0000-0000-000029760000}"/>
    <cellStyle name="Migliaia 2 4 5" xfId="19312" xr:uid="{00000000-0005-0000-0000-00002A760000}"/>
    <cellStyle name="Migliaia 2 4 5 2" xfId="37276" xr:uid="{00000000-0005-0000-0000-00002B760000}"/>
    <cellStyle name="Migliaia 2 4 6" xfId="3249" xr:uid="{00000000-0005-0000-0000-00002C760000}"/>
    <cellStyle name="Migliaia 2 4 6 2" xfId="23249" xr:uid="{00000000-0005-0000-0000-00002D760000}"/>
    <cellStyle name="Migliaia 2 4 7" xfId="21430" xr:uid="{00000000-0005-0000-0000-00002E760000}"/>
    <cellStyle name="Migliaia 2 4 8" xfId="38231" xr:uid="{00000000-0005-0000-0000-00002F760000}"/>
    <cellStyle name="Migliaia 2 4 9" xfId="39153" xr:uid="{00000000-0005-0000-0000-000030760000}"/>
    <cellStyle name="Migliaia 2 5" xfId="501" xr:uid="{00000000-0005-0000-0000-000031760000}"/>
    <cellStyle name="Migliaia 2 5 2" xfId="19316" xr:uid="{00000000-0005-0000-0000-000032760000}"/>
    <cellStyle name="Migliaia 2 5 2 2" xfId="20480" xr:uid="{00000000-0005-0000-0000-000033760000}"/>
    <cellStyle name="Migliaia 2 5 2 2 2" xfId="37797" xr:uid="{00000000-0005-0000-0000-000034760000}"/>
    <cellStyle name="Migliaia 2 5 2 2 3" xfId="38752" xr:uid="{00000000-0005-0000-0000-000035760000}"/>
    <cellStyle name="Migliaia 2 5 2 3" xfId="37280" xr:uid="{00000000-0005-0000-0000-000036760000}"/>
    <cellStyle name="Migliaia 2 5 2 4" xfId="38235" xr:uid="{00000000-0005-0000-0000-000037760000}"/>
    <cellStyle name="Migliaia 2 5 3" xfId="20479" xr:uid="{00000000-0005-0000-0000-000038760000}"/>
    <cellStyle name="Migliaia 2 5 3 2" xfId="37796" xr:uid="{00000000-0005-0000-0000-000039760000}"/>
    <cellStyle name="Migliaia 2 5 3 3" xfId="38751" xr:uid="{00000000-0005-0000-0000-00003A760000}"/>
    <cellStyle name="Migliaia 2 5 4" xfId="19315" xr:uid="{00000000-0005-0000-0000-00003B760000}"/>
    <cellStyle name="Migliaia 2 5 4 2" xfId="37279" xr:uid="{00000000-0005-0000-0000-00003C760000}"/>
    <cellStyle name="Migliaia 2 5 5" xfId="11410" xr:uid="{00000000-0005-0000-0000-00003D760000}"/>
    <cellStyle name="Migliaia 2 5 6" xfId="21432" xr:uid="{00000000-0005-0000-0000-00003E760000}"/>
    <cellStyle name="Migliaia 2 5 7" xfId="38234" xr:uid="{00000000-0005-0000-0000-00003F760000}"/>
    <cellStyle name="Migliaia 2 5 8" xfId="39585" xr:uid="{00000000-0005-0000-0000-000040760000}"/>
    <cellStyle name="Migliaia 2 5 9" xfId="40071" xr:uid="{00000000-0005-0000-0000-000041760000}"/>
    <cellStyle name="Migliaia 2 6" xfId="502" xr:uid="{00000000-0005-0000-0000-000042760000}"/>
    <cellStyle name="Migliaia 2 6 2" xfId="19317" xr:uid="{00000000-0005-0000-0000-000043760000}"/>
    <cellStyle name="Migliaia 2 6 2 2" xfId="37281" xr:uid="{00000000-0005-0000-0000-000044760000}"/>
    <cellStyle name="Migliaia 2 6 3" xfId="11411" xr:uid="{00000000-0005-0000-0000-000045760000}"/>
    <cellStyle name="Migliaia 2 6 4" xfId="21433" xr:uid="{00000000-0005-0000-0000-000046760000}"/>
    <cellStyle name="Migliaia 2 6 5" xfId="38236" xr:uid="{00000000-0005-0000-0000-000047760000}"/>
    <cellStyle name="Migliaia 2 6 6" xfId="39586" xr:uid="{00000000-0005-0000-0000-000048760000}"/>
    <cellStyle name="Migliaia 2 6 7" xfId="40072" xr:uid="{00000000-0005-0000-0000-000049760000}"/>
    <cellStyle name="Migliaia 2 7" xfId="503" xr:uid="{00000000-0005-0000-0000-00004A760000}"/>
    <cellStyle name="Migliaia 2 7 2" xfId="11405" xr:uid="{00000000-0005-0000-0000-00004B760000}"/>
    <cellStyle name="Migliaia 2 7 3" xfId="21434" xr:uid="{00000000-0005-0000-0000-00004C760000}"/>
    <cellStyle name="Migliaia 2 7 4" xfId="39587" xr:uid="{00000000-0005-0000-0000-00004D760000}"/>
    <cellStyle name="Migliaia 2 7 5" xfId="40073" xr:uid="{00000000-0005-0000-0000-00004E760000}"/>
    <cellStyle name="Migliaia 2 8" xfId="12066" xr:uid="{00000000-0005-0000-0000-00004F760000}"/>
    <cellStyle name="Migliaia 2 8 2" xfId="30251" xr:uid="{00000000-0005-0000-0000-000050760000}"/>
    <cellStyle name="Migliaia 2 9" xfId="19309" xr:uid="{00000000-0005-0000-0000-000051760000}"/>
    <cellStyle name="Migliaia 2 9 2" xfId="37273" xr:uid="{00000000-0005-0000-0000-000052760000}"/>
    <cellStyle name="Migliaia 2_Domestico_reg&amp;naz" xfId="504" xr:uid="{00000000-0005-0000-0000-000053760000}"/>
    <cellStyle name="Migliaia 20" xfId="505" xr:uid="{00000000-0005-0000-0000-000054760000}"/>
    <cellStyle name="Migliaia 20 10" xfId="21435" xr:uid="{00000000-0005-0000-0000-000055760000}"/>
    <cellStyle name="Migliaia 20 11" xfId="38237" xr:uid="{00000000-0005-0000-0000-000056760000}"/>
    <cellStyle name="Migliaia 20 12" xfId="39155" xr:uid="{00000000-0005-0000-0000-000057760000}"/>
    <cellStyle name="Migliaia 20 13" xfId="39588" xr:uid="{00000000-0005-0000-0000-000058760000}"/>
    <cellStyle name="Migliaia 20 14" xfId="40074" xr:uid="{00000000-0005-0000-0000-000059760000}"/>
    <cellStyle name="Migliaia 20 2" xfId="506" xr:uid="{00000000-0005-0000-0000-00005A760000}"/>
    <cellStyle name="Migliaia 20 2 10" xfId="39589" xr:uid="{00000000-0005-0000-0000-00005B760000}"/>
    <cellStyle name="Migliaia 20 2 11" xfId="40075" xr:uid="{00000000-0005-0000-0000-00005C760000}"/>
    <cellStyle name="Migliaia 20 2 2" xfId="3550" xr:uid="{00000000-0005-0000-0000-00005D760000}"/>
    <cellStyle name="Migliaia 20 2 2 2" xfId="12311" xr:uid="{00000000-0005-0000-0000-00005E760000}"/>
    <cellStyle name="Migliaia 20 2 2 2 2" xfId="30481" xr:uid="{00000000-0005-0000-0000-00005F760000}"/>
    <cellStyle name="Migliaia 20 2 2 3" xfId="20481" xr:uid="{00000000-0005-0000-0000-000060760000}"/>
    <cellStyle name="Migliaia 20 2 2 3 2" xfId="37798" xr:uid="{00000000-0005-0000-0000-000061760000}"/>
    <cellStyle name="Migliaia 20 2 2 4" xfId="23479" xr:uid="{00000000-0005-0000-0000-000062760000}"/>
    <cellStyle name="Migliaia 20 2 2 5" xfId="38753" xr:uid="{00000000-0005-0000-0000-000063760000}"/>
    <cellStyle name="Migliaia 20 2 2 6" xfId="39395" xr:uid="{00000000-0005-0000-0000-000064760000}"/>
    <cellStyle name="Migliaia 20 2 3" xfId="11413" xr:uid="{00000000-0005-0000-0000-000065760000}"/>
    <cellStyle name="Migliaia 20 2 4" xfId="12072" xr:uid="{00000000-0005-0000-0000-000066760000}"/>
    <cellStyle name="Migliaia 20 2 4 2" xfId="30257" xr:uid="{00000000-0005-0000-0000-000067760000}"/>
    <cellStyle name="Migliaia 20 2 5" xfId="19319" xr:uid="{00000000-0005-0000-0000-000068760000}"/>
    <cellStyle name="Migliaia 20 2 5 2" xfId="37283" xr:uid="{00000000-0005-0000-0000-000069760000}"/>
    <cellStyle name="Migliaia 20 2 6" xfId="3252" xr:uid="{00000000-0005-0000-0000-00006A760000}"/>
    <cellStyle name="Migliaia 20 2 6 2" xfId="23252" xr:uid="{00000000-0005-0000-0000-00006B760000}"/>
    <cellStyle name="Migliaia 20 2 7" xfId="21436" xr:uid="{00000000-0005-0000-0000-00006C760000}"/>
    <cellStyle name="Migliaia 20 2 8" xfId="38238" xr:uid="{00000000-0005-0000-0000-00006D760000}"/>
    <cellStyle name="Migliaia 20 2 9" xfId="39156" xr:uid="{00000000-0005-0000-0000-00006E760000}"/>
    <cellStyle name="Migliaia 20 3" xfId="507" xr:uid="{00000000-0005-0000-0000-00006F760000}"/>
    <cellStyle name="Migliaia 20 3 10" xfId="39590" xr:uid="{00000000-0005-0000-0000-000070760000}"/>
    <cellStyle name="Migliaia 20 3 11" xfId="40076" xr:uid="{00000000-0005-0000-0000-000071760000}"/>
    <cellStyle name="Migliaia 20 3 2" xfId="508" xr:uid="{00000000-0005-0000-0000-000072760000}"/>
    <cellStyle name="Migliaia 20 3 2 10" xfId="40077" xr:uid="{00000000-0005-0000-0000-000073760000}"/>
    <cellStyle name="Migliaia 20 3 2 2" xfId="11415" xr:uid="{00000000-0005-0000-0000-000074760000}"/>
    <cellStyle name="Migliaia 20 3 2 3" xfId="12074" xr:uid="{00000000-0005-0000-0000-000075760000}"/>
    <cellStyle name="Migliaia 20 3 2 3 2" xfId="30259" xr:uid="{00000000-0005-0000-0000-000076760000}"/>
    <cellStyle name="Migliaia 20 3 2 4" xfId="19321" xr:uid="{00000000-0005-0000-0000-000077760000}"/>
    <cellStyle name="Migliaia 20 3 2 4 2" xfId="37285" xr:uid="{00000000-0005-0000-0000-000078760000}"/>
    <cellStyle name="Migliaia 20 3 2 5" xfId="3254" xr:uid="{00000000-0005-0000-0000-000079760000}"/>
    <cellStyle name="Migliaia 20 3 2 5 2" xfId="23254" xr:uid="{00000000-0005-0000-0000-00007A760000}"/>
    <cellStyle name="Migliaia 20 3 2 6" xfId="21438" xr:uid="{00000000-0005-0000-0000-00007B760000}"/>
    <cellStyle name="Migliaia 20 3 2 7" xfId="38240" xr:uid="{00000000-0005-0000-0000-00007C760000}"/>
    <cellStyle name="Migliaia 20 3 2 8" xfId="39158" xr:uid="{00000000-0005-0000-0000-00007D760000}"/>
    <cellStyle name="Migliaia 20 3 2 9" xfId="39591" xr:uid="{00000000-0005-0000-0000-00007E760000}"/>
    <cellStyle name="Migliaia 20 3 3" xfId="11414" xr:uid="{00000000-0005-0000-0000-00007F760000}"/>
    <cellStyle name="Migliaia 20 3 3 2" xfId="20483" xr:uid="{00000000-0005-0000-0000-000080760000}"/>
    <cellStyle name="Migliaia 20 3 3 2 2" xfId="37800" xr:uid="{00000000-0005-0000-0000-000081760000}"/>
    <cellStyle name="Migliaia 20 3 3 2 3" xfId="38755" xr:uid="{00000000-0005-0000-0000-000082760000}"/>
    <cellStyle name="Migliaia 20 3 3 3" xfId="19322" xr:uid="{00000000-0005-0000-0000-000083760000}"/>
    <cellStyle name="Migliaia 20 3 3 3 2" xfId="37286" xr:uid="{00000000-0005-0000-0000-000084760000}"/>
    <cellStyle name="Migliaia 20 3 3 4" xfId="38241" xr:uid="{00000000-0005-0000-0000-000085760000}"/>
    <cellStyle name="Migliaia 20 3 4" xfId="12073" xr:uid="{00000000-0005-0000-0000-000086760000}"/>
    <cellStyle name="Migliaia 20 3 4 2" xfId="20482" xr:uid="{00000000-0005-0000-0000-000087760000}"/>
    <cellStyle name="Migliaia 20 3 4 2 2" xfId="37799" xr:uid="{00000000-0005-0000-0000-000088760000}"/>
    <cellStyle name="Migliaia 20 3 4 3" xfId="30258" xr:uid="{00000000-0005-0000-0000-000089760000}"/>
    <cellStyle name="Migliaia 20 3 4 4" xfId="38754" xr:uid="{00000000-0005-0000-0000-00008A760000}"/>
    <cellStyle name="Migliaia 20 3 5" xfId="19320" xr:uid="{00000000-0005-0000-0000-00008B760000}"/>
    <cellStyle name="Migliaia 20 3 5 2" xfId="37284" xr:uid="{00000000-0005-0000-0000-00008C760000}"/>
    <cellStyle name="Migliaia 20 3 6" xfId="3253" xr:uid="{00000000-0005-0000-0000-00008D760000}"/>
    <cellStyle name="Migliaia 20 3 6 2" xfId="23253" xr:uid="{00000000-0005-0000-0000-00008E760000}"/>
    <cellStyle name="Migliaia 20 3 7" xfId="21437" xr:uid="{00000000-0005-0000-0000-00008F760000}"/>
    <cellStyle name="Migliaia 20 3 8" xfId="38239" xr:uid="{00000000-0005-0000-0000-000090760000}"/>
    <cellStyle name="Migliaia 20 3 9" xfId="39157" xr:uid="{00000000-0005-0000-0000-000091760000}"/>
    <cellStyle name="Migliaia 20 4" xfId="509" xr:uid="{00000000-0005-0000-0000-000092760000}"/>
    <cellStyle name="Migliaia 20 4 2" xfId="19324" xr:uid="{00000000-0005-0000-0000-000093760000}"/>
    <cellStyle name="Migliaia 20 4 2 2" xfId="20485" xr:uid="{00000000-0005-0000-0000-000094760000}"/>
    <cellStyle name="Migliaia 20 4 2 2 2" xfId="37802" xr:uid="{00000000-0005-0000-0000-000095760000}"/>
    <cellStyle name="Migliaia 20 4 2 2 3" xfId="38757" xr:uid="{00000000-0005-0000-0000-000096760000}"/>
    <cellStyle name="Migliaia 20 4 2 3" xfId="37288" xr:uid="{00000000-0005-0000-0000-000097760000}"/>
    <cellStyle name="Migliaia 20 4 2 4" xfId="38243" xr:uid="{00000000-0005-0000-0000-000098760000}"/>
    <cellStyle name="Migliaia 20 4 3" xfId="20484" xr:uid="{00000000-0005-0000-0000-000099760000}"/>
    <cellStyle name="Migliaia 20 4 3 2" xfId="37801" xr:uid="{00000000-0005-0000-0000-00009A760000}"/>
    <cellStyle name="Migliaia 20 4 3 3" xfId="38756" xr:uid="{00000000-0005-0000-0000-00009B760000}"/>
    <cellStyle name="Migliaia 20 4 4" xfId="19323" xr:uid="{00000000-0005-0000-0000-00009C760000}"/>
    <cellStyle name="Migliaia 20 4 4 2" xfId="37287" xr:uid="{00000000-0005-0000-0000-00009D760000}"/>
    <cellStyle name="Migliaia 20 4 5" xfId="11416" xr:uid="{00000000-0005-0000-0000-00009E760000}"/>
    <cellStyle name="Migliaia 20 4 6" xfId="21439" xr:uid="{00000000-0005-0000-0000-00009F760000}"/>
    <cellStyle name="Migliaia 20 4 7" xfId="38242" xr:uid="{00000000-0005-0000-0000-0000A0760000}"/>
    <cellStyle name="Migliaia 20 4 8" xfId="39592" xr:uid="{00000000-0005-0000-0000-0000A1760000}"/>
    <cellStyle name="Migliaia 20 4 9" xfId="40078" xr:uid="{00000000-0005-0000-0000-0000A2760000}"/>
    <cellStyle name="Migliaia 20 5" xfId="510" xr:uid="{00000000-0005-0000-0000-0000A3760000}"/>
    <cellStyle name="Migliaia 20 5 2" xfId="19325" xr:uid="{00000000-0005-0000-0000-0000A4760000}"/>
    <cellStyle name="Migliaia 20 5 2 2" xfId="37289" xr:uid="{00000000-0005-0000-0000-0000A5760000}"/>
    <cellStyle name="Migliaia 20 5 3" xfId="11417" xr:uid="{00000000-0005-0000-0000-0000A6760000}"/>
    <cellStyle name="Migliaia 20 5 4" xfId="21440" xr:uid="{00000000-0005-0000-0000-0000A7760000}"/>
    <cellStyle name="Migliaia 20 5 5" xfId="38244" xr:uid="{00000000-0005-0000-0000-0000A8760000}"/>
    <cellStyle name="Migliaia 20 5 6" xfId="39593" xr:uid="{00000000-0005-0000-0000-0000A9760000}"/>
    <cellStyle name="Migliaia 20 5 7" xfId="40079" xr:uid="{00000000-0005-0000-0000-0000AA760000}"/>
    <cellStyle name="Migliaia 20 6" xfId="511" xr:uid="{00000000-0005-0000-0000-0000AB760000}"/>
    <cellStyle name="Migliaia 20 6 2" xfId="11412" xr:uid="{00000000-0005-0000-0000-0000AC760000}"/>
    <cellStyle name="Migliaia 20 6 3" xfId="21441" xr:uid="{00000000-0005-0000-0000-0000AD760000}"/>
    <cellStyle name="Migliaia 20 6 4" xfId="39594" xr:uid="{00000000-0005-0000-0000-0000AE760000}"/>
    <cellStyle name="Migliaia 20 6 5" xfId="40080" xr:uid="{00000000-0005-0000-0000-0000AF760000}"/>
    <cellStyle name="Migliaia 20 7" xfId="12071" xr:uid="{00000000-0005-0000-0000-0000B0760000}"/>
    <cellStyle name="Migliaia 20 7 2" xfId="30256" xr:uid="{00000000-0005-0000-0000-0000B1760000}"/>
    <cellStyle name="Migliaia 20 8" xfId="19318" xr:uid="{00000000-0005-0000-0000-0000B2760000}"/>
    <cellStyle name="Migliaia 20 8 2" xfId="37282" xr:uid="{00000000-0005-0000-0000-0000B3760000}"/>
    <cellStyle name="Migliaia 20 9" xfId="3251" xr:uid="{00000000-0005-0000-0000-0000B4760000}"/>
    <cellStyle name="Migliaia 20 9 2" xfId="23251" xr:uid="{00000000-0005-0000-0000-0000B5760000}"/>
    <cellStyle name="Migliaia 21" xfId="512" xr:uid="{00000000-0005-0000-0000-0000B6760000}"/>
    <cellStyle name="Migliaia 21 10" xfId="21442" xr:uid="{00000000-0005-0000-0000-0000B7760000}"/>
    <cellStyle name="Migliaia 21 11" xfId="38245" xr:uid="{00000000-0005-0000-0000-0000B8760000}"/>
    <cellStyle name="Migliaia 21 12" xfId="39159" xr:uid="{00000000-0005-0000-0000-0000B9760000}"/>
    <cellStyle name="Migliaia 21 13" xfId="39595" xr:uid="{00000000-0005-0000-0000-0000BA760000}"/>
    <cellStyle name="Migliaia 21 14" xfId="40081" xr:uid="{00000000-0005-0000-0000-0000BB760000}"/>
    <cellStyle name="Migliaia 21 2" xfId="513" xr:uid="{00000000-0005-0000-0000-0000BC760000}"/>
    <cellStyle name="Migliaia 21 2 10" xfId="39596" xr:uid="{00000000-0005-0000-0000-0000BD760000}"/>
    <cellStyle name="Migliaia 21 2 11" xfId="40082" xr:uid="{00000000-0005-0000-0000-0000BE760000}"/>
    <cellStyle name="Migliaia 21 2 2" xfId="3551" xr:uid="{00000000-0005-0000-0000-0000BF760000}"/>
    <cellStyle name="Migliaia 21 2 2 2" xfId="12312" xr:uid="{00000000-0005-0000-0000-0000C0760000}"/>
    <cellStyle name="Migliaia 21 2 2 2 2" xfId="30482" xr:uid="{00000000-0005-0000-0000-0000C1760000}"/>
    <cellStyle name="Migliaia 21 2 2 3" xfId="20486" xr:uid="{00000000-0005-0000-0000-0000C2760000}"/>
    <cellStyle name="Migliaia 21 2 2 3 2" xfId="37803" xr:uid="{00000000-0005-0000-0000-0000C3760000}"/>
    <cellStyle name="Migliaia 21 2 2 4" xfId="23480" xr:uid="{00000000-0005-0000-0000-0000C4760000}"/>
    <cellStyle name="Migliaia 21 2 2 5" xfId="38758" xr:uid="{00000000-0005-0000-0000-0000C5760000}"/>
    <cellStyle name="Migliaia 21 2 2 6" xfId="39396" xr:uid="{00000000-0005-0000-0000-0000C6760000}"/>
    <cellStyle name="Migliaia 21 2 3" xfId="11419" xr:uid="{00000000-0005-0000-0000-0000C7760000}"/>
    <cellStyle name="Migliaia 21 2 4" xfId="12076" xr:uid="{00000000-0005-0000-0000-0000C8760000}"/>
    <cellStyle name="Migliaia 21 2 4 2" xfId="30261" xr:uid="{00000000-0005-0000-0000-0000C9760000}"/>
    <cellStyle name="Migliaia 21 2 5" xfId="19327" xr:uid="{00000000-0005-0000-0000-0000CA760000}"/>
    <cellStyle name="Migliaia 21 2 5 2" xfId="37291" xr:uid="{00000000-0005-0000-0000-0000CB760000}"/>
    <cellStyle name="Migliaia 21 2 6" xfId="3256" xr:uid="{00000000-0005-0000-0000-0000CC760000}"/>
    <cellStyle name="Migliaia 21 2 6 2" xfId="23256" xr:uid="{00000000-0005-0000-0000-0000CD760000}"/>
    <cellStyle name="Migliaia 21 2 7" xfId="21443" xr:uid="{00000000-0005-0000-0000-0000CE760000}"/>
    <cellStyle name="Migliaia 21 2 8" xfId="38246" xr:uid="{00000000-0005-0000-0000-0000CF760000}"/>
    <cellStyle name="Migliaia 21 2 9" xfId="39160" xr:uid="{00000000-0005-0000-0000-0000D0760000}"/>
    <cellStyle name="Migliaia 21 3" xfId="514" xr:uid="{00000000-0005-0000-0000-0000D1760000}"/>
    <cellStyle name="Migliaia 21 3 10" xfId="39597" xr:uid="{00000000-0005-0000-0000-0000D2760000}"/>
    <cellStyle name="Migliaia 21 3 11" xfId="40083" xr:uid="{00000000-0005-0000-0000-0000D3760000}"/>
    <cellStyle name="Migliaia 21 3 2" xfId="515" xr:uid="{00000000-0005-0000-0000-0000D4760000}"/>
    <cellStyle name="Migliaia 21 3 2 10" xfId="40084" xr:uid="{00000000-0005-0000-0000-0000D5760000}"/>
    <cellStyle name="Migliaia 21 3 2 2" xfId="11421" xr:uid="{00000000-0005-0000-0000-0000D6760000}"/>
    <cellStyle name="Migliaia 21 3 2 3" xfId="12078" xr:uid="{00000000-0005-0000-0000-0000D7760000}"/>
    <cellStyle name="Migliaia 21 3 2 3 2" xfId="30263" xr:uid="{00000000-0005-0000-0000-0000D8760000}"/>
    <cellStyle name="Migliaia 21 3 2 4" xfId="19329" xr:uid="{00000000-0005-0000-0000-0000D9760000}"/>
    <cellStyle name="Migliaia 21 3 2 4 2" xfId="37293" xr:uid="{00000000-0005-0000-0000-0000DA760000}"/>
    <cellStyle name="Migliaia 21 3 2 5" xfId="3258" xr:uid="{00000000-0005-0000-0000-0000DB760000}"/>
    <cellStyle name="Migliaia 21 3 2 5 2" xfId="23258" xr:uid="{00000000-0005-0000-0000-0000DC760000}"/>
    <cellStyle name="Migliaia 21 3 2 6" xfId="21445" xr:uid="{00000000-0005-0000-0000-0000DD760000}"/>
    <cellStyle name="Migliaia 21 3 2 7" xfId="38248" xr:uid="{00000000-0005-0000-0000-0000DE760000}"/>
    <cellStyle name="Migliaia 21 3 2 8" xfId="39162" xr:uid="{00000000-0005-0000-0000-0000DF760000}"/>
    <cellStyle name="Migliaia 21 3 2 9" xfId="39598" xr:uid="{00000000-0005-0000-0000-0000E0760000}"/>
    <cellStyle name="Migliaia 21 3 3" xfId="11420" xr:uid="{00000000-0005-0000-0000-0000E1760000}"/>
    <cellStyle name="Migliaia 21 3 3 2" xfId="20488" xr:uid="{00000000-0005-0000-0000-0000E2760000}"/>
    <cellStyle name="Migliaia 21 3 3 2 2" xfId="37805" xr:uid="{00000000-0005-0000-0000-0000E3760000}"/>
    <cellStyle name="Migliaia 21 3 3 2 3" xfId="38760" xr:uid="{00000000-0005-0000-0000-0000E4760000}"/>
    <cellStyle name="Migliaia 21 3 3 3" xfId="19330" xr:uid="{00000000-0005-0000-0000-0000E5760000}"/>
    <cellStyle name="Migliaia 21 3 3 3 2" xfId="37294" xr:uid="{00000000-0005-0000-0000-0000E6760000}"/>
    <cellStyle name="Migliaia 21 3 3 4" xfId="38249" xr:uid="{00000000-0005-0000-0000-0000E7760000}"/>
    <cellStyle name="Migliaia 21 3 4" xfId="12077" xr:uid="{00000000-0005-0000-0000-0000E8760000}"/>
    <cellStyle name="Migliaia 21 3 4 2" xfId="20487" xr:uid="{00000000-0005-0000-0000-0000E9760000}"/>
    <cellStyle name="Migliaia 21 3 4 2 2" xfId="37804" xr:uid="{00000000-0005-0000-0000-0000EA760000}"/>
    <cellStyle name="Migliaia 21 3 4 3" xfId="30262" xr:uid="{00000000-0005-0000-0000-0000EB760000}"/>
    <cellStyle name="Migliaia 21 3 4 4" xfId="38759" xr:uid="{00000000-0005-0000-0000-0000EC760000}"/>
    <cellStyle name="Migliaia 21 3 5" xfId="19328" xr:uid="{00000000-0005-0000-0000-0000ED760000}"/>
    <cellStyle name="Migliaia 21 3 5 2" xfId="37292" xr:uid="{00000000-0005-0000-0000-0000EE760000}"/>
    <cellStyle name="Migliaia 21 3 6" xfId="3257" xr:uid="{00000000-0005-0000-0000-0000EF760000}"/>
    <cellStyle name="Migliaia 21 3 6 2" xfId="23257" xr:uid="{00000000-0005-0000-0000-0000F0760000}"/>
    <cellStyle name="Migliaia 21 3 7" xfId="21444" xr:uid="{00000000-0005-0000-0000-0000F1760000}"/>
    <cellStyle name="Migliaia 21 3 8" xfId="38247" xr:uid="{00000000-0005-0000-0000-0000F2760000}"/>
    <cellStyle name="Migliaia 21 3 9" xfId="39161" xr:uid="{00000000-0005-0000-0000-0000F3760000}"/>
    <cellStyle name="Migliaia 21 4" xfId="516" xr:uid="{00000000-0005-0000-0000-0000F4760000}"/>
    <cellStyle name="Migliaia 21 4 2" xfId="19332" xr:uid="{00000000-0005-0000-0000-0000F5760000}"/>
    <cellStyle name="Migliaia 21 4 2 2" xfId="20490" xr:uid="{00000000-0005-0000-0000-0000F6760000}"/>
    <cellStyle name="Migliaia 21 4 2 2 2" xfId="37807" xr:uid="{00000000-0005-0000-0000-0000F7760000}"/>
    <cellStyle name="Migliaia 21 4 2 2 3" xfId="38762" xr:uid="{00000000-0005-0000-0000-0000F8760000}"/>
    <cellStyle name="Migliaia 21 4 2 3" xfId="37296" xr:uid="{00000000-0005-0000-0000-0000F9760000}"/>
    <cellStyle name="Migliaia 21 4 2 4" xfId="38251" xr:uid="{00000000-0005-0000-0000-0000FA760000}"/>
    <cellStyle name="Migliaia 21 4 3" xfId="20489" xr:uid="{00000000-0005-0000-0000-0000FB760000}"/>
    <cellStyle name="Migliaia 21 4 3 2" xfId="37806" xr:uid="{00000000-0005-0000-0000-0000FC760000}"/>
    <cellStyle name="Migliaia 21 4 3 3" xfId="38761" xr:uid="{00000000-0005-0000-0000-0000FD760000}"/>
    <cellStyle name="Migliaia 21 4 4" xfId="19331" xr:uid="{00000000-0005-0000-0000-0000FE760000}"/>
    <cellStyle name="Migliaia 21 4 4 2" xfId="37295" xr:uid="{00000000-0005-0000-0000-0000FF760000}"/>
    <cellStyle name="Migliaia 21 4 5" xfId="11422" xr:uid="{00000000-0005-0000-0000-000000770000}"/>
    <cellStyle name="Migliaia 21 4 6" xfId="21446" xr:uid="{00000000-0005-0000-0000-000001770000}"/>
    <cellStyle name="Migliaia 21 4 7" xfId="38250" xr:uid="{00000000-0005-0000-0000-000002770000}"/>
    <cellStyle name="Migliaia 21 4 8" xfId="39599" xr:uid="{00000000-0005-0000-0000-000003770000}"/>
    <cellStyle name="Migliaia 21 4 9" xfId="40085" xr:uid="{00000000-0005-0000-0000-000004770000}"/>
    <cellStyle name="Migliaia 21 5" xfId="517" xr:uid="{00000000-0005-0000-0000-000005770000}"/>
    <cellStyle name="Migliaia 21 5 2" xfId="19333" xr:uid="{00000000-0005-0000-0000-000006770000}"/>
    <cellStyle name="Migliaia 21 5 2 2" xfId="37297" xr:uid="{00000000-0005-0000-0000-000007770000}"/>
    <cellStyle name="Migliaia 21 5 3" xfId="11423" xr:uid="{00000000-0005-0000-0000-000008770000}"/>
    <cellStyle name="Migliaia 21 5 4" xfId="21447" xr:uid="{00000000-0005-0000-0000-000009770000}"/>
    <cellStyle name="Migliaia 21 5 5" xfId="38252" xr:uid="{00000000-0005-0000-0000-00000A770000}"/>
    <cellStyle name="Migliaia 21 5 6" xfId="39600" xr:uid="{00000000-0005-0000-0000-00000B770000}"/>
    <cellStyle name="Migliaia 21 5 7" xfId="40086" xr:uid="{00000000-0005-0000-0000-00000C770000}"/>
    <cellStyle name="Migliaia 21 6" xfId="518" xr:uid="{00000000-0005-0000-0000-00000D770000}"/>
    <cellStyle name="Migliaia 21 6 2" xfId="11418" xr:uid="{00000000-0005-0000-0000-00000E770000}"/>
    <cellStyle name="Migliaia 21 6 3" xfId="21448" xr:uid="{00000000-0005-0000-0000-00000F770000}"/>
    <cellStyle name="Migliaia 21 6 4" xfId="39601" xr:uid="{00000000-0005-0000-0000-000010770000}"/>
    <cellStyle name="Migliaia 21 6 5" xfId="40087" xr:uid="{00000000-0005-0000-0000-000011770000}"/>
    <cellStyle name="Migliaia 21 7" xfId="12075" xr:uid="{00000000-0005-0000-0000-000012770000}"/>
    <cellStyle name="Migliaia 21 7 2" xfId="30260" xr:uid="{00000000-0005-0000-0000-000013770000}"/>
    <cellStyle name="Migliaia 21 8" xfId="19326" xr:uid="{00000000-0005-0000-0000-000014770000}"/>
    <cellStyle name="Migliaia 21 8 2" xfId="37290" xr:uid="{00000000-0005-0000-0000-000015770000}"/>
    <cellStyle name="Migliaia 21 9" xfId="3255" xr:uid="{00000000-0005-0000-0000-000016770000}"/>
    <cellStyle name="Migliaia 21 9 2" xfId="23255" xr:uid="{00000000-0005-0000-0000-000017770000}"/>
    <cellStyle name="Migliaia 22" xfId="519" xr:uid="{00000000-0005-0000-0000-000018770000}"/>
    <cellStyle name="Migliaia 22 10" xfId="21449" xr:uid="{00000000-0005-0000-0000-000019770000}"/>
    <cellStyle name="Migliaia 22 11" xfId="38253" xr:uid="{00000000-0005-0000-0000-00001A770000}"/>
    <cellStyle name="Migliaia 22 12" xfId="39163" xr:uid="{00000000-0005-0000-0000-00001B770000}"/>
    <cellStyle name="Migliaia 22 13" xfId="39602" xr:uid="{00000000-0005-0000-0000-00001C770000}"/>
    <cellStyle name="Migliaia 22 14" xfId="40088" xr:uid="{00000000-0005-0000-0000-00001D770000}"/>
    <cellStyle name="Migliaia 22 2" xfId="520" xr:uid="{00000000-0005-0000-0000-00001E770000}"/>
    <cellStyle name="Migliaia 22 2 10" xfId="39603" xr:uid="{00000000-0005-0000-0000-00001F770000}"/>
    <cellStyle name="Migliaia 22 2 11" xfId="40089" xr:uid="{00000000-0005-0000-0000-000020770000}"/>
    <cellStyle name="Migliaia 22 2 2" xfId="3552" xr:uid="{00000000-0005-0000-0000-000021770000}"/>
    <cellStyle name="Migliaia 22 2 2 2" xfId="12313" xr:uid="{00000000-0005-0000-0000-000022770000}"/>
    <cellStyle name="Migliaia 22 2 2 2 2" xfId="30483" xr:uid="{00000000-0005-0000-0000-000023770000}"/>
    <cellStyle name="Migliaia 22 2 2 3" xfId="20491" xr:uid="{00000000-0005-0000-0000-000024770000}"/>
    <cellStyle name="Migliaia 22 2 2 3 2" xfId="37808" xr:uid="{00000000-0005-0000-0000-000025770000}"/>
    <cellStyle name="Migliaia 22 2 2 4" xfId="23481" xr:uid="{00000000-0005-0000-0000-000026770000}"/>
    <cellStyle name="Migliaia 22 2 2 5" xfId="38763" xr:uid="{00000000-0005-0000-0000-000027770000}"/>
    <cellStyle name="Migliaia 22 2 2 6" xfId="39397" xr:uid="{00000000-0005-0000-0000-000028770000}"/>
    <cellStyle name="Migliaia 22 2 3" xfId="11425" xr:uid="{00000000-0005-0000-0000-000029770000}"/>
    <cellStyle name="Migliaia 22 2 4" xfId="12080" xr:uid="{00000000-0005-0000-0000-00002A770000}"/>
    <cellStyle name="Migliaia 22 2 4 2" xfId="30265" xr:uid="{00000000-0005-0000-0000-00002B770000}"/>
    <cellStyle name="Migliaia 22 2 5" xfId="19335" xr:uid="{00000000-0005-0000-0000-00002C770000}"/>
    <cellStyle name="Migliaia 22 2 5 2" xfId="37299" xr:uid="{00000000-0005-0000-0000-00002D770000}"/>
    <cellStyle name="Migliaia 22 2 6" xfId="3260" xr:uid="{00000000-0005-0000-0000-00002E770000}"/>
    <cellStyle name="Migliaia 22 2 6 2" xfId="23260" xr:uid="{00000000-0005-0000-0000-00002F770000}"/>
    <cellStyle name="Migliaia 22 2 7" xfId="21450" xr:uid="{00000000-0005-0000-0000-000030770000}"/>
    <cellStyle name="Migliaia 22 2 8" xfId="38254" xr:uid="{00000000-0005-0000-0000-000031770000}"/>
    <cellStyle name="Migliaia 22 2 9" xfId="39164" xr:uid="{00000000-0005-0000-0000-000032770000}"/>
    <cellStyle name="Migliaia 22 3" xfId="521" xr:uid="{00000000-0005-0000-0000-000033770000}"/>
    <cellStyle name="Migliaia 22 3 10" xfId="39604" xr:uid="{00000000-0005-0000-0000-000034770000}"/>
    <cellStyle name="Migliaia 22 3 11" xfId="40090" xr:uid="{00000000-0005-0000-0000-000035770000}"/>
    <cellStyle name="Migliaia 22 3 2" xfId="522" xr:uid="{00000000-0005-0000-0000-000036770000}"/>
    <cellStyle name="Migliaia 22 3 2 10" xfId="40091" xr:uid="{00000000-0005-0000-0000-000037770000}"/>
    <cellStyle name="Migliaia 22 3 2 2" xfId="11427" xr:uid="{00000000-0005-0000-0000-000038770000}"/>
    <cellStyle name="Migliaia 22 3 2 3" xfId="12082" xr:uid="{00000000-0005-0000-0000-000039770000}"/>
    <cellStyle name="Migliaia 22 3 2 3 2" xfId="30267" xr:uid="{00000000-0005-0000-0000-00003A770000}"/>
    <cellStyle name="Migliaia 22 3 2 4" xfId="19337" xr:uid="{00000000-0005-0000-0000-00003B770000}"/>
    <cellStyle name="Migliaia 22 3 2 4 2" xfId="37301" xr:uid="{00000000-0005-0000-0000-00003C770000}"/>
    <cellStyle name="Migliaia 22 3 2 5" xfId="3262" xr:uid="{00000000-0005-0000-0000-00003D770000}"/>
    <cellStyle name="Migliaia 22 3 2 5 2" xfId="23262" xr:uid="{00000000-0005-0000-0000-00003E770000}"/>
    <cellStyle name="Migliaia 22 3 2 6" xfId="21452" xr:uid="{00000000-0005-0000-0000-00003F770000}"/>
    <cellStyle name="Migliaia 22 3 2 7" xfId="38256" xr:uid="{00000000-0005-0000-0000-000040770000}"/>
    <cellStyle name="Migliaia 22 3 2 8" xfId="39166" xr:uid="{00000000-0005-0000-0000-000041770000}"/>
    <cellStyle name="Migliaia 22 3 2 9" xfId="39605" xr:uid="{00000000-0005-0000-0000-000042770000}"/>
    <cellStyle name="Migliaia 22 3 3" xfId="11426" xr:uid="{00000000-0005-0000-0000-000043770000}"/>
    <cellStyle name="Migliaia 22 3 3 2" xfId="20493" xr:uid="{00000000-0005-0000-0000-000044770000}"/>
    <cellStyle name="Migliaia 22 3 3 2 2" xfId="37810" xr:uid="{00000000-0005-0000-0000-000045770000}"/>
    <cellStyle name="Migliaia 22 3 3 2 3" xfId="38765" xr:uid="{00000000-0005-0000-0000-000046770000}"/>
    <cellStyle name="Migliaia 22 3 3 3" xfId="19338" xr:uid="{00000000-0005-0000-0000-000047770000}"/>
    <cellStyle name="Migliaia 22 3 3 3 2" xfId="37302" xr:uid="{00000000-0005-0000-0000-000048770000}"/>
    <cellStyle name="Migliaia 22 3 3 4" xfId="38257" xr:uid="{00000000-0005-0000-0000-000049770000}"/>
    <cellStyle name="Migliaia 22 3 4" xfId="12081" xr:uid="{00000000-0005-0000-0000-00004A770000}"/>
    <cellStyle name="Migliaia 22 3 4 2" xfId="20492" xr:uid="{00000000-0005-0000-0000-00004B770000}"/>
    <cellStyle name="Migliaia 22 3 4 2 2" xfId="37809" xr:uid="{00000000-0005-0000-0000-00004C770000}"/>
    <cellStyle name="Migliaia 22 3 4 3" xfId="30266" xr:uid="{00000000-0005-0000-0000-00004D770000}"/>
    <cellStyle name="Migliaia 22 3 4 4" xfId="38764" xr:uid="{00000000-0005-0000-0000-00004E770000}"/>
    <cellStyle name="Migliaia 22 3 5" xfId="19336" xr:uid="{00000000-0005-0000-0000-00004F770000}"/>
    <cellStyle name="Migliaia 22 3 5 2" xfId="37300" xr:uid="{00000000-0005-0000-0000-000050770000}"/>
    <cellStyle name="Migliaia 22 3 6" xfId="3261" xr:uid="{00000000-0005-0000-0000-000051770000}"/>
    <cellStyle name="Migliaia 22 3 6 2" xfId="23261" xr:uid="{00000000-0005-0000-0000-000052770000}"/>
    <cellStyle name="Migliaia 22 3 7" xfId="21451" xr:uid="{00000000-0005-0000-0000-000053770000}"/>
    <cellStyle name="Migliaia 22 3 8" xfId="38255" xr:uid="{00000000-0005-0000-0000-000054770000}"/>
    <cellStyle name="Migliaia 22 3 9" xfId="39165" xr:uid="{00000000-0005-0000-0000-000055770000}"/>
    <cellStyle name="Migliaia 22 4" xfId="523" xr:uid="{00000000-0005-0000-0000-000056770000}"/>
    <cellStyle name="Migliaia 22 4 2" xfId="19340" xr:uid="{00000000-0005-0000-0000-000057770000}"/>
    <cellStyle name="Migliaia 22 4 2 2" xfId="20495" xr:uid="{00000000-0005-0000-0000-000058770000}"/>
    <cellStyle name="Migliaia 22 4 2 2 2" xfId="37812" xr:uid="{00000000-0005-0000-0000-000059770000}"/>
    <cellStyle name="Migliaia 22 4 2 2 3" xfId="38767" xr:uid="{00000000-0005-0000-0000-00005A770000}"/>
    <cellStyle name="Migliaia 22 4 2 3" xfId="37304" xr:uid="{00000000-0005-0000-0000-00005B770000}"/>
    <cellStyle name="Migliaia 22 4 2 4" xfId="38259" xr:uid="{00000000-0005-0000-0000-00005C770000}"/>
    <cellStyle name="Migliaia 22 4 3" xfId="20494" xr:uid="{00000000-0005-0000-0000-00005D770000}"/>
    <cellStyle name="Migliaia 22 4 3 2" xfId="37811" xr:uid="{00000000-0005-0000-0000-00005E770000}"/>
    <cellStyle name="Migliaia 22 4 3 3" xfId="38766" xr:uid="{00000000-0005-0000-0000-00005F770000}"/>
    <cellStyle name="Migliaia 22 4 4" xfId="19339" xr:uid="{00000000-0005-0000-0000-000060770000}"/>
    <cellStyle name="Migliaia 22 4 4 2" xfId="37303" xr:uid="{00000000-0005-0000-0000-000061770000}"/>
    <cellStyle name="Migliaia 22 4 5" xfId="11428" xr:uid="{00000000-0005-0000-0000-000062770000}"/>
    <cellStyle name="Migliaia 22 4 6" xfId="21453" xr:uid="{00000000-0005-0000-0000-000063770000}"/>
    <cellStyle name="Migliaia 22 4 7" xfId="38258" xr:uid="{00000000-0005-0000-0000-000064770000}"/>
    <cellStyle name="Migliaia 22 4 8" xfId="39606" xr:uid="{00000000-0005-0000-0000-000065770000}"/>
    <cellStyle name="Migliaia 22 4 9" xfId="40092" xr:uid="{00000000-0005-0000-0000-000066770000}"/>
    <cellStyle name="Migliaia 22 5" xfId="524" xr:uid="{00000000-0005-0000-0000-000067770000}"/>
    <cellStyle name="Migliaia 22 5 2" xfId="19341" xr:uid="{00000000-0005-0000-0000-000068770000}"/>
    <cellStyle name="Migliaia 22 5 2 2" xfId="37305" xr:uid="{00000000-0005-0000-0000-000069770000}"/>
    <cellStyle name="Migliaia 22 5 3" xfId="11429" xr:uid="{00000000-0005-0000-0000-00006A770000}"/>
    <cellStyle name="Migliaia 22 5 4" xfId="21454" xr:uid="{00000000-0005-0000-0000-00006B770000}"/>
    <cellStyle name="Migliaia 22 5 5" xfId="38260" xr:uid="{00000000-0005-0000-0000-00006C770000}"/>
    <cellStyle name="Migliaia 22 5 6" xfId="39607" xr:uid="{00000000-0005-0000-0000-00006D770000}"/>
    <cellStyle name="Migliaia 22 5 7" xfId="40093" xr:uid="{00000000-0005-0000-0000-00006E770000}"/>
    <cellStyle name="Migliaia 22 6" xfId="525" xr:uid="{00000000-0005-0000-0000-00006F770000}"/>
    <cellStyle name="Migliaia 22 6 2" xfId="11424" xr:uid="{00000000-0005-0000-0000-000070770000}"/>
    <cellStyle name="Migliaia 22 6 3" xfId="21455" xr:uid="{00000000-0005-0000-0000-000071770000}"/>
    <cellStyle name="Migliaia 22 6 4" xfId="39608" xr:uid="{00000000-0005-0000-0000-000072770000}"/>
    <cellStyle name="Migliaia 22 6 5" xfId="40094" xr:uid="{00000000-0005-0000-0000-000073770000}"/>
    <cellStyle name="Migliaia 22 7" xfId="12079" xr:uid="{00000000-0005-0000-0000-000074770000}"/>
    <cellStyle name="Migliaia 22 7 2" xfId="30264" xr:uid="{00000000-0005-0000-0000-000075770000}"/>
    <cellStyle name="Migliaia 22 8" xfId="19334" xr:uid="{00000000-0005-0000-0000-000076770000}"/>
    <cellStyle name="Migliaia 22 8 2" xfId="37298" xr:uid="{00000000-0005-0000-0000-000077770000}"/>
    <cellStyle name="Migliaia 22 9" xfId="3259" xr:uid="{00000000-0005-0000-0000-000078770000}"/>
    <cellStyle name="Migliaia 22 9 2" xfId="23259" xr:uid="{00000000-0005-0000-0000-000079770000}"/>
    <cellStyle name="Migliaia 23" xfId="526" xr:uid="{00000000-0005-0000-0000-00007A770000}"/>
    <cellStyle name="Migliaia 23 10" xfId="21456" xr:uid="{00000000-0005-0000-0000-00007B770000}"/>
    <cellStyle name="Migliaia 23 11" xfId="38261" xr:uid="{00000000-0005-0000-0000-00007C770000}"/>
    <cellStyle name="Migliaia 23 12" xfId="39167" xr:uid="{00000000-0005-0000-0000-00007D770000}"/>
    <cellStyle name="Migliaia 23 13" xfId="39609" xr:uid="{00000000-0005-0000-0000-00007E770000}"/>
    <cellStyle name="Migliaia 23 14" xfId="40095" xr:uid="{00000000-0005-0000-0000-00007F770000}"/>
    <cellStyle name="Migliaia 23 2" xfId="527" xr:uid="{00000000-0005-0000-0000-000080770000}"/>
    <cellStyle name="Migliaia 23 2 10" xfId="39610" xr:uid="{00000000-0005-0000-0000-000081770000}"/>
    <cellStyle name="Migliaia 23 2 11" xfId="40096" xr:uid="{00000000-0005-0000-0000-000082770000}"/>
    <cellStyle name="Migliaia 23 2 2" xfId="3553" xr:uid="{00000000-0005-0000-0000-000083770000}"/>
    <cellStyle name="Migliaia 23 2 2 2" xfId="12314" xr:uid="{00000000-0005-0000-0000-000084770000}"/>
    <cellStyle name="Migliaia 23 2 2 2 2" xfId="30484" xr:uid="{00000000-0005-0000-0000-000085770000}"/>
    <cellStyle name="Migliaia 23 2 2 3" xfId="20496" xr:uid="{00000000-0005-0000-0000-000086770000}"/>
    <cellStyle name="Migliaia 23 2 2 3 2" xfId="37813" xr:uid="{00000000-0005-0000-0000-000087770000}"/>
    <cellStyle name="Migliaia 23 2 2 4" xfId="23482" xr:uid="{00000000-0005-0000-0000-000088770000}"/>
    <cellStyle name="Migliaia 23 2 2 5" xfId="38768" xr:uid="{00000000-0005-0000-0000-000089770000}"/>
    <cellStyle name="Migliaia 23 2 2 6" xfId="39398" xr:uid="{00000000-0005-0000-0000-00008A770000}"/>
    <cellStyle name="Migliaia 23 2 3" xfId="11431" xr:uid="{00000000-0005-0000-0000-00008B770000}"/>
    <cellStyle name="Migliaia 23 2 4" xfId="12084" xr:uid="{00000000-0005-0000-0000-00008C770000}"/>
    <cellStyle name="Migliaia 23 2 4 2" xfId="30269" xr:uid="{00000000-0005-0000-0000-00008D770000}"/>
    <cellStyle name="Migliaia 23 2 5" xfId="19343" xr:uid="{00000000-0005-0000-0000-00008E770000}"/>
    <cellStyle name="Migliaia 23 2 5 2" xfId="37307" xr:uid="{00000000-0005-0000-0000-00008F770000}"/>
    <cellStyle name="Migliaia 23 2 6" xfId="3264" xr:uid="{00000000-0005-0000-0000-000090770000}"/>
    <cellStyle name="Migliaia 23 2 6 2" xfId="23264" xr:uid="{00000000-0005-0000-0000-000091770000}"/>
    <cellStyle name="Migliaia 23 2 7" xfId="21457" xr:uid="{00000000-0005-0000-0000-000092770000}"/>
    <cellStyle name="Migliaia 23 2 8" xfId="38262" xr:uid="{00000000-0005-0000-0000-000093770000}"/>
    <cellStyle name="Migliaia 23 2 9" xfId="39168" xr:uid="{00000000-0005-0000-0000-000094770000}"/>
    <cellStyle name="Migliaia 23 3" xfId="528" xr:uid="{00000000-0005-0000-0000-000095770000}"/>
    <cellStyle name="Migliaia 23 3 10" xfId="39611" xr:uid="{00000000-0005-0000-0000-000096770000}"/>
    <cellStyle name="Migliaia 23 3 11" xfId="40097" xr:uid="{00000000-0005-0000-0000-000097770000}"/>
    <cellStyle name="Migliaia 23 3 2" xfId="529" xr:uid="{00000000-0005-0000-0000-000098770000}"/>
    <cellStyle name="Migliaia 23 3 2 10" xfId="40098" xr:uid="{00000000-0005-0000-0000-000099770000}"/>
    <cellStyle name="Migliaia 23 3 2 2" xfId="11433" xr:uid="{00000000-0005-0000-0000-00009A770000}"/>
    <cellStyle name="Migliaia 23 3 2 3" xfId="12086" xr:uid="{00000000-0005-0000-0000-00009B770000}"/>
    <cellStyle name="Migliaia 23 3 2 3 2" xfId="30271" xr:uid="{00000000-0005-0000-0000-00009C770000}"/>
    <cellStyle name="Migliaia 23 3 2 4" xfId="19345" xr:uid="{00000000-0005-0000-0000-00009D770000}"/>
    <cellStyle name="Migliaia 23 3 2 4 2" xfId="37309" xr:uid="{00000000-0005-0000-0000-00009E770000}"/>
    <cellStyle name="Migliaia 23 3 2 5" xfId="3266" xr:uid="{00000000-0005-0000-0000-00009F770000}"/>
    <cellStyle name="Migliaia 23 3 2 5 2" xfId="23266" xr:uid="{00000000-0005-0000-0000-0000A0770000}"/>
    <cellStyle name="Migliaia 23 3 2 6" xfId="21459" xr:uid="{00000000-0005-0000-0000-0000A1770000}"/>
    <cellStyle name="Migliaia 23 3 2 7" xfId="38264" xr:uid="{00000000-0005-0000-0000-0000A2770000}"/>
    <cellStyle name="Migliaia 23 3 2 8" xfId="39170" xr:uid="{00000000-0005-0000-0000-0000A3770000}"/>
    <cellStyle name="Migliaia 23 3 2 9" xfId="39612" xr:uid="{00000000-0005-0000-0000-0000A4770000}"/>
    <cellStyle name="Migliaia 23 3 3" xfId="11432" xr:uid="{00000000-0005-0000-0000-0000A5770000}"/>
    <cellStyle name="Migliaia 23 3 3 2" xfId="20498" xr:uid="{00000000-0005-0000-0000-0000A6770000}"/>
    <cellStyle name="Migliaia 23 3 3 2 2" xfId="37815" xr:uid="{00000000-0005-0000-0000-0000A7770000}"/>
    <cellStyle name="Migliaia 23 3 3 2 3" xfId="38770" xr:uid="{00000000-0005-0000-0000-0000A8770000}"/>
    <cellStyle name="Migliaia 23 3 3 3" xfId="19346" xr:uid="{00000000-0005-0000-0000-0000A9770000}"/>
    <cellStyle name="Migliaia 23 3 3 3 2" xfId="37310" xr:uid="{00000000-0005-0000-0000-0000AA770000}"/>
    <cellStyle name="Migliaia 23 3 3 4" xfId="38265" xr:uid="{00000000-0005-0000-0000-0000AB770000}"/>
    <cellStyle name="Migliaia 23 3 4" xfId="12085" xr:uid="{00000000-0005-0000-0000-0000AC770000}"/>
    <cellStyle name="Migliaia 23 3 4 2" xfId="20497" xr:uid="{00000000-0005-0000-0000-0000AD770000}"/>
    <cellStyle name="Migliaia 23 3 4 2 2" xfId="37814" xr:uid="{00000000-0005-0000-0000-0000AE770000}"/>
    <cellStyle name="Migliaia 23 3 4 3" xfId="30270" xr:uid="{00000000-0005-0000-0000-0000AF770000}"/>
    <cellStyle name="Migliaia 23 3 4 4" xfId="38769" xr:uid="{00000000-0005-0000-0000-0000B0770000}"/>
    <cellStyle name="Migliaia 23 3 5" xfId="19344" xr:uid="{00000000-0005-0000-0000-0000B1770000}"/>
    <cellStyle name="Migliaia 23 3 5 2" xfId="37308" xr:uid="{00000000-0005-0000-0000-0000B2770000}"/>
    <cellStyle name="Migliaia 23 3 6" xfId="3265" xr:uid="{00000000-0005-0000-0000-0000B3770000}"/>
    <cellStyle name="Migliaia 23 3 6 2" xfId="23265" xr:uid="{00000000-0005-0000-0000-0000B4770000}"/>
    <cellStyle name="Migliaia 23 3 7" xfId="21458" xr:uid="{00000000-0005-0000-0000-0000B5770000}"/>
    <cellStyle name="Migliaia 23 3 8" xfId="38263" xr:uid="{00000000-0005-0000-0000-0000B6770000}"/>
    <cellStyle name="Migliaia 23 3 9" xfId="39169" xr:uid="{00000000-0005-0000-0000-0000B7770000}"/>
    <cellStyle name="Migliaia 23 4" xfId="530" xr:uid="{00000000-0005-0000-0000-0000B8770000}"/>
    <cellStyle name="Migliaia 23 4 2" xfId="19348" xr:uid="{00000000-0005-0000-0000-0000B9770000}"/>
    <cellStyle name="Migliaia 23 4 2 2" xfId="20500" xr:uid="{00000000-0005-0000-0000-0000BA770000}"/>
    <cellStyle name="Migliaia 23 4 2 2 2" xfId="37817" xr:uid="{00000000-0005-0000-0000-0000BB770000}"/>
    <cellStyle name="Migliaia 23 4 2 2 3" xfId="38772" xr:uid="{00000000-0005-0000-0000-0000BC770000}"/>
    <cellStyle name="Migliaia 23 4 2 3" xfId="37312" xr:uid="{00000000-0005-0000-0000-0000BD770000}"/>
    <cellStyle name="Migliaia 23 4 2 4" xfId="38267" xr:uid="{00000000-0005-0000-0000-0000BE770000}"/>
    <cellStyle name="Migliaia 23 4 3" xfId="20499" xr:uid="{00000000-0005-0000-0000-0000BF770000}"/>
    <cellStyle name="Migliaia 23 4 3 2" xfId="37816" xr:uid="{00000000-0005-0000-0000-0000C0770000}"/>
    <cellStyle name="Migliaia 23 4 3 3" xfId="38771" xr:uid="{00000000-0005-0000-0000-0000C1770000}"/>
    <cellStyle name="Migliaia 23 4 4" xfId="19347" xr:uid="{00000000-0005-0000-0000-0000C2770000}"/>
    <cellStyle name="Migliaia 23 4 4 2" xfId="37311" xr:uid="{00000000-0005-0000-0000-0000C3770000}"/>
    <cellStyle name="Migliaia 23 4 5" xfId="11434" xr:uid="{00000000-0005-0000-0000-0000C4770000}"/>
    <cellStyle name="Migliaia 23 4 6" xfId="21460" xr:uid="{00000000-0005-0000-0000-0000C5770000}"/>
    <cellStyle name="Migliaia 23 4 7" xfId="38266" xr:uid="{00000000-0005-0000-0000-0000C6770000}"/>
    <cellStyle name="Migliaia 23 4 8" xfId="39613" xr:uid="{00000000-0005-0000-0000-0000C7770000}"/>
    <cellStyle name="Migliaia 23 4 9" xfId="40099" xr:uid="{00000000-0005-0000-0000-0000C8770000}"/>
    <cellStyle name="Migliaia 23 5" xfId="531" xr:uid="{00000000-0005-0000-0000-0000C9770000}"/>
    <cellStyle name="Migliaia 23 5 2" xfId="19349" xr:uid="{00000000-0005-0000-0000-0000CA770000}"/>
    <cellStyle name="Migliaia 23 5 2 2" xfId="37313" xr:uid="{00000000-0005-0000-0000-0000CB770000}"/>
    <cellStyle name="Migliaia 23 5 3" xfId="11435" xr:uid="{00000000-0005-0000-0000-0000CC770000}"/>
    <cellStyle name="Migliaia 23 5 4" xfId="21461" xr:uid="{00000000-0005-0000-0000-0000CD770000}"/>
    <cellStyle name="Migliaia 23 5 5" xfId="38268" xr:uid="{00000000-0005-0000-0000-0000CE770000}"/>
    <cellStyle name="Migliaia 23 5 6" xfId="39614" xr:uid="{00000000-0005-0000-0000-0000CF770000}"/>
    <cellStyle name="Migliaia 23 5 7" xfId="40100" xr:uid="{00000000-0005-0000-0000-0000D0770000}"/>
    <cellStyle name="Migliaia 23 6" xfId="532" xr:uid="{00000000-0005-0000-0000-0000D1770000}"/>
    <cellStyle name="Migliaia 23 6 2" xfId="11430" xr:uid="{00000000-0005-0000-0000-0000D2770000}"/>
    <cellStyle name="Migliaia 23 6 3" xfId="21462" xr:uid="{00000000-0005-0000-0000-0000D3770000}"/>
    <cellStyle name="Migliaia 23 6 4" xfId="39615" xr:uid="{00000000-0005-0000-0000-0000D4770000}"/>
    <cellStyle name="Migliaia 23 6 5" xfId="40101" xr:uid="{00000000-0005-0000-0000-0000D5770000}"/>
    <cellStyle name="Migliaia 23 7" xfId="12083" xr:uid="{00000000-0005-0000-0000-0000D6770000}"/>
    <cellStyle name="Migliaia 23 7 2" xfId="30268" xr:uid="{00000000-0005-0000-0000-0000D7770000}"/>
    <cellStyle name="Migliaia 23 8" xfId="19342" xr:uid="{00000000-0005-0000-0000-0000D8770000}"/>
    <cellStyle name="Migliaia 23 8 2" xfId="37306" xr:uid="{00000000-0005-0000-0000-0000D9770000}"/>
    <cellStyle name="Migliaia 23 9" xfId="3263" xr:uid="{00000000-0005-0000-0000-0000DA770000}"/>
    <cellStyle name="Migliaia 23 9 2" xfId="23263" xr:uid="{00000000-0005-0000-0000-0000DB770000}"/>
    <cellStyle name="Migliaia 24" xfId="533" xr:uid="{00000000-0005-0000-0000-0000DC770000}"/>
    <cellStyle name="Migliaia 24 10" xfId="21463" xr:uid="{00000000-0005-0000-0000-0000DD770000}"/>
    <cellStyle name="Migliaia 24 11" xfId="38269" xr:uid="{00000000-0005-0000-0000-0000DE770000}"/>
    <cellStyle name="Migliaia 24 12" xfId="39171" xr:uid="{00000000-0005-0000-0000-0000DF770000}"/>
    <cellStyle name="Migliaia 24 13" xfId="39616" xr:uid="{00000000-0005-0000-0000-0000E0770000}"/>
    <cellStyle name="Migliaia 24 14" xfId="40102" xr:uid="{00000000-0005-0000-0000-0000E1770000}"/>
    <cellStyle name="Migliaia 24 2" xfId="534" xr:uid="{00000000-0005-0000-0000-0000E2770000}"/>
    <cellStyle name="Migliaia 24 2 10" xfId="39617" xr:uid="{00000000-0005-0000-0000-0000E3770000}"/>
    <cellStyle name="Migliaia 24 2 11" xfId="40103" xr:uid="{00000000-0005-0000-0000-0000E4770000}"/>
    <cellStyle name="Migliaia 24 2 2" xfId="3554" xr:uid="{00000000-0005-0000-0000-0000E5770000}"/>
    <cellStyle name="Migliaia 24 2 2 2" xfId="12315" xr:uid="{00000000-0005-0000-0000-0000E6770000}"/>
    <cellStyle name="Migliaia 24 2 2 2 2" xfId="30485" xr:uid="{00000000-0005-0000-0000-0000E7770000}"/>
    <cellStyle name="Migliaia 24 2 2 3" xfId="20501" xr:uid="{00000000-0005-0000-0000-0000E8770000}"/>
    <cellStyle name="Migliaia 24 2 2 3 2" xfId="37818" xr:uid="{00000000-0005-0000-0000-0000E9770000}"/>
    <cellStyle name="Migliaia 24 2 2 4" xfId="23483" xr:uid="{00000000-0005-0000-0000-0000EA770000}"/>
    <cellStyle name="Migliaia 24 2 2 5" xfId="38773" xr:uid="{00000000-0005-0000-0000-0000EB770000}"/>
    <cellStyle name="Migliaia 24 2 2 6" xfId="39399" xr:uid="{00000000-0005-0000-0000-0000EC770000}"/>
    <cellStyle name="Migliaia 24 2 3" xfId="11437" xr:uid="{00000000-0005-0000-0000-0000ED770000}"/>
    <cellStyle name="Migliaia 24 2 4" xfId="12088" xr:uid="{00000000-0005-0000-0000-0000EE770000}"/>
    <cellStyle name="Migliaia 24 2 4 2" xfId="30273" xr:uid="{00000000-0005-0000-0000-0000EF770000}"/>
    <cellStyle name="Migliaia 24 2 5" xfId="19351" xr:uid="{00000000-0005-0000-0000-0000F0770000}"/>
    <cellStyle name="Migliaia 24 2 5 2" xfId="37315" xr:uid="{00000000-0005-0000-0000-0000F1770000}"/>
    <cellStyle name="Migliaia 24 2 6" xfId="3268" xr:uid="{00000000-0005-0000-0000-0000F2770000}"/>
    <cellStyle name="Migliaia 24 2 6 2" xfId="23268" xr:uid="{00000000-0005-0000-0000-0000F3770000}"/>
    <cellStyle name="Migliaia 24 2 7" xfId="21464" xr:uid="{00000000-0005-0000-0000-0000F4770000}"/>
    <cellStyle name="Migliaia 24 2 8" xfId="38270" xr:uid="{00000000-0005-0000-0000-0000F5770000}"/>
    <cellStyle name="Migliaia 24 2 9" xfId="39172" xr:uid="{00000000-0005-0000-0000-0000F6770000}"/>
    <cellStyle name="Migliaia 24 3" xfId="535" xr:uid="{00000000-0005-0000-0000-0000F7770000}"/>
    <cellStyle name="Migliaia 24 3 10" xfId="39618" xr:uid="{00000000-0005-0000-0000-0000F8770000}"/>
    <cellStyle name="Migliaia 24 3 11" xfId="40104" xr:uid="{00000000-0005-0000-0000-0000F9770000}"/>
    <cellStyle name="Migliaia 24 3 2" xfId="536" xr:uid="{00000000-0005-0000-0000-0000FA770000}"/>
    <cellStyle name="Migliaia 24 3 2 10" xfId="40105" xr:uid="{00000000-0005-0000-0000-0000FB770000}"/>
    <cellStyle name="Migliaia 24 3 2 2" xfId="11439" xr:uid="{00000000-0005-0000-0000-0000FC770000}"/>
    <cellStyle name="Migliaia 24 3 2 3" xfId="12090" xr:uid="{00000000-0005-0000-0000-0000FD770000}"/>
    <cellStyle name="Migliaia 24 3 2 3 2" xfId="30275" xr:uid="{00000000-0005-0000-0000-0000FE770000}"/>
    <cellStyle name="Migliaia 24 3 2 4" xfId="19353" xr:uid="{00000000-0005-0000-0000-0000FF770000}"/>
    <cellStyle name="Migliaia 24 3 2 4 2" xfId="37317" xr:uid="{00000000-0005-0000-0000-000000780000}"/>
    <cellStyle name="Migliaia 24 3 2 5" xfId="3270" xr:uid="{00000000-0005-0000-0000-000001780000}"/>
    <cellStyle name="Migliaia 24 3 2 5 2" xfId="23270" xr:uid="{00000000-0005-0000-0000-000002780000}"/>
    <cellStyle name="Migliaia 24 3 2 6" xfId="21466" xr:uid="{00000000-0005-0000-0000-000003780000}"/>
    <cellStyle name="Migliaia 24 3 2 7" xfId="38272" xr:uid="{00000000-0005-0000-0000-000004780000}"/>
    <cellStyle name="Migliaia 24 3 2 8" xfId="39174" xr:uid="{00000000-0005-0000-0000-000005780000}"/>
    <cellStyle name="Migliaia 24 3 2 9" xfId="39619" xr:uid="{00000000-0005-0000-0000-000006780000}"/>
    <cellStyle name="Migliaia 24 3 3" xfId="11438" xr:uid="{00000000-0005-0000-0000-000007780000}"/>
    <cellStyle name="Migliaia 24 3 3 2" xfId="20503" xr:uid="{00000000-0005-0000-0000-000008780000}"/>
    <cellStyle name="Migliaia 24 3 3 2 2" xfId="37820" xr:uid="{00000000-0005-0000-0000-000009780000}"/>
    <cellStyle name="Migliaia 24 3 3 2 3" xfId="38775" xr:uid="{00000000-0005-0000-0000-00000A780000}"/>
    <cellStyle name="Migliaia 24 3 3 3" xfId="19354" xr:uid="{00000000-0005-0000-0000-00000B780000}"/>
    <cellStyle name="Migliaia 24 3 3 3 2" xfId="37318" xr:uid="{00000000-0005-0000-0000-00000C780000}"/>
    <cellStyle name="Migliaia 24 3 3 4" xfId="38273" xr:uid="{00000000-0005-0000-0000-00000D780000}"/>
    <cellStyle name="Migliaia 24 3 4" xfId="12089" xr:uid="{00000000-0005-0000-0000-00000E780000}"/>
    <cellStyle name="Migliaia 24 3 4 2" xfId="20502" xr:uid="{00000000-0005-0000-0000-00000F780000}"/>
    <cellStyle name="Migliaia 24 3 4 2 2" xfId="37819" xr:uid="{00000000-0005-0000-0000-000010780000}"/>
    <cellStyle name="Migliaia 24 3 4 3" xfId="30274" xr:uid="{00000000-0005-0000-0000-000011780000}"/>
    <cellStyle name="Migliaia 24 3 4 4" xfId="38774" xr:uid="{00000000-0005-0000-0000-000012780000}"/>
    <cellStyle name="Migliaia 24 3 5" xfId="19352" xr:uid="{00000000-0005-0000-0000-000013780000}"/>
    <cellStyle name="Migliaia 24 3 5 2" xfId="37316" xr:uid="{00000000-0005-0000-0000-000014780000}"/>
    <cellStyle name="Migliaia 24 3 6" xfId="3269" xr:uid="{00000000-0005-0000-0000-000015780000}"/>
    <cellStyle name="Migliaia 24 3 6 2" xfId="23269" xr:uid="{00000000-0005-0000-0000-000016780000}"/>
    <cellStyle name="Migliaia 24 3 7" xfId="21465" xr:uid="{00000000-0005-0000-0000-000017780000}"/>
    <cellStyle name="Migliaia 24 3 8" xfId="38271" xr:uid="{00000000-0005-0000-0000-000018780000}"/>
    <cellStyle name="Migliaia 24 3 9" xfId="39173" xr:uid="{00000000-0005-0000-0000-000019780000}"/>
    <cellStyle name="Migliaia 24 4" xfId="537" xr:uid="{00000000-0005-0000-0000-00001A780000}"/>
    <cellStyle name="Migliaia 24 4 2" xfId="19356" xr:uid="{00000000-0005-0000-0000-00001B780000}"/>
    <cellStyle name="Migliaia 24 4 2 2" xfId="20505" xr:uid="{00000000-0005-0000-0000-00001C780000}"/>
    <cellStyle name="Migliaia 24 4 2 2 2" xfId="37822" xr:uid="{00000000-0005-0000-0000-00001D780000}"/>
    <cellStyle name="Migliaia 24 4 2 2 3" xfId="38777" xr:uid="{00000000-0005-0000-0000-00001E780000}"/>
    <cellStyle name="Migliaia 24 4 2 3" xfId="37320" xr:uid="{00000000-0005-0000-0000-00001F780000}"/>
    <cellStyle name="Migliaia 24 4 2 4" xfId="38275" xr:uid="{00000000-0005-0000-0000-000020780000}"/>
    <cellStyle name="Migliaia 24 4 3" xfId="20504" xr:uid="{00000000-0005-0000-0000-000021780000}"/>
    <cellStyle name="Migliaia 24 4 3 2" xfId="37821" xr:uid="{00000000-0005-0000-0000-000022780000}"/>
    <cellStyle name="Migliaia 24 4 3 3" xfId="38776" xr:uid="{00000000-0005-0000-0000-000023780000}"/>
    <cellStyle name="Migliaia 24 4 4" xfId="19355" xr:uid="{00000000-0005-0000-0000-000024780000}"/>
    <cellStyle name="Migliaia 24 4 4 2" xfId="37319" xr:uid="{00000000-0005-0000-0000-000025780000}"/>
    <cellStyle name="Migliaia 24 4 5" xfId="11440" xr:uid="{00000000-0005-0000-0000-000026780000}"/>
    <cellStyle name="Migliaia 24 4 6" xfId="21467" xr:uid="{00000000-0005-0000-0000-000027780000}"/>
    <cellStyle name="Migliaia 24 4 7" xfId="38274" xr:uid="{00000000-0005-0000-0000-000028780000}"/>
    <cellStyle name="Migliaia 24 4 8" xfId="39620" xr:uid="{00000000-0005-0000-0000-000029780000}"/>
    <cellStyle name="Migliaia 24 4 9" xfId="40106" xr:uid="{00000000-0005-0000-0000-00002A780000}"/>
    <cellStyle name="Migliaia 24 5" xfId="538" xr:uid="{00000000-0005-0000-0000-00002B780000}"/>
    <cellStyle name="Migliaia 24 5 2" xfId="19357" xr:uid="{00000000-0005-0000-0000-00002C780000}"/>
    <cellStyle name="Migliaia 24 5 2 2" xfId="37321" xr:uid="{00000000-0005-0000-0000-00002D780000}"/>
    <cellStyle name="Migliaia 24 5 3" xfId="11441" xr:uid="{00000000-0005-0000-0000-00002E780000}"/>
    <cellStyle name="Migliaia 24 5 4" xfId="21468" xr:uid="{00000000-0005-0000-0000-00002F780000}"/>
    <cellStyle name="Migliaia 24 5 5" xfId="38276" xr:uid="{00000000-0005-0000-0000-000030780000}"/>
    <cellStyle name="Migliaia 24 5 6" xfId="39621" xr:uid="{00000000-0005-0000-0000-000031780000}"/>
    <cellStyle name="Migliaia 24 5 7" xfId="40107" xr:uid="{00000000-0005-0000-0000-000032780000}"/>
    <cellStyle name="Migliaia 24 6" xfId="539" xr:uid="{00000000-0005-0000-0000-000033780000}"/>
    <cellStyle name="Migliaia 24 6 2" xfId="11436" xr:uid="{00000000-0005-0000-0000-000034780000}"/>
    <cellStyle name="Migliaia 24 6 3" xfId="21469" xr:uid="{00000000-0005-0000-0000-000035780000}"/>
    <cellStyle name="Migliaia 24 6 4" xfId="39622" xr:uid="{00000000-0005-0000-0000-000036780000}"/>
    <cellStyle name="Migliaia 24 6 5" xfId="40108" xr:uid="{00000000-0005-0000-0000-000037780000}"/>
    <cellStyle name="Migliaia 24 7" xfId="12087" xr:uid="{00000000-0005-0000-0000-000038780000}"/>
    <cellStyle name="Migliaia 24 7 2" xfId="30272" xr:uid="{00000000-0005-0000-0000-000039780000}"/>
    <cellStyle name="Migliaia 24 8" xfId="19350" xr:uid="{00000000-0005-0000-0000-00003A780000}"/>
    <cellStyle name="Migliaia 24 8 2" xfId="37314" xr:uid="{00000000-0005-0000-0000-00003B780000}"/>
    <cellStyle name="Migliaia 24 9" xfId="3267" xr:uid="{00000000-0005-0000-0000-00003C780000}"/>
    <cellStyle name="Migliaia 24 9 2" xfId="23267" xr:uid="{00000000-0005-0000-0000-00003D780000}"/>
    <cellStyle name="Migliaia 25" xfId="540" xr:uid="{00000000-0005-0000-0000-00003E780000}"/>
    <cellStyle name="Migliaia 25 10" xfId="21470" xr:uid="{00000000-0005-0000-0000-00003F780000}"/>
    <cellStyle name="Migliaia 25 11" xfId="38277" xr:uid="{00000000-0005-0000-0000-000040780000}"/>
    <cellStyle name="Migliaia 25 12" xfId="39175" xr:uid="{00000000-0005-0000-0000-000041780000}"/>
    <cellStyle name="Migliaia 25 13" xfId="39623" xr:uid="{00000000-0005-0000-0000-000042780000}"/>
    <cellStyle name="Migliaia 25 14" xfId="40109" xr:uid="{00000000-0005-0000-0000-000043780000}"/>
    <cellStyle name="Migliaia 25 2" xfId="541" xr:uid="{00000000-0005-0000-0000-000044780000}"/>
    <cellStyle name="Migliaia 25 2 10" xfId="39624" xr:uid="{00000000-0005-0000-0000-000045780000}"/>
    <cellStyle name="Migliaia 25 2 11" xfId="40110" xr:uid="{00000000-0005-0000-0000-000046780000}"/>
    <cellStyle name="Migliaia 25 2 2" xfId="3555" xr:uid="{00000000-0005-0000-0000-000047780000}"/>
    <cellStyle name="Migliaia 25 2 2 2" xfId="12316" xr:uid="{00000000-0005-0000-0000-000048780000}"/>
    <cellStyle name="Migliaia 25 2 2 2 2" xfId="30486" xr:uid="{00000000-0005-0000-0000-000049780000}"/>
    <cellStyle name="Migliaia 25 2 2 3" xfId="20506" xr:uid="{00000000-0005-0000-0000-00004A780000}"/>
    <cellStyle name="Migliaia 25 2 2 3 2" xfId="37823" xr:uid="{00000000-0005-0000-0000-00004B780000}"/>
    <cellStyle name="Migliaia 25 2 2 4" xfId="23484" xr:uid="{00000000-0005-0000-0000-00004C780000}"/>
    <cellStyle name="Migliaia 25 2 2 5" xfId="38778" xr:uid="{00000000-0005-0000-0000-00004D780000}"/>
    <cellStyle name="Migliaia 25 2 2 6" xfId="39400" xr:uid="{00000000-0005-0000-0000-00004E780000}"/>
    <cellStyle name="Migliaia 25 2 3" xfId="11443" xr:uid="{00000000-0005-0000-0000-00004F780000}"/>
    <cellStyle name="Migliaia 25 2 4" xfId="12092" xr:uid="{00000000-0005-0000-0000-000050780000}"/>
    <cellStyle name="Migliaia 25 2 4 2" xfId="30277" xr:uid="{00000000-0005-0000-0000-000051780000}"/>
    <cellStyle name="Migliaia 25 2 5" xfId="19359" xr:uid="{00000000-0005-0000-0000-000052780000}"/>
    <cellStyle name="Migliaia 25 2 5 2" xfId="37323" xr:uid="{00000000-0005-0000-0000-000053780000}"/>
    <cellStyle name="Migliaia 25 2 6" xfId="3272" xr:uid="{00000000-0005-0000-0000-000054780000}"/>
    <cellStyle name="Migliaia 25 2 6 2" xfId="23272" xr:uid="{00000000-0005-0000-0000-000055780000}"/>
    <cellStyle name="Migliaia 25 2 7" xfId="21471" xr:uid="{00000000-0005-0000-0000-000056780000}"/>
    <cellStyle name="Migliaia 25 2 8" xfId="38278" xr:uid="{00000000-0005-0000-0000-000057780000}"/>
    <cellStyle name="Migliaia 25 2 9" xfId="39176" xr:uid="{00000000-0005-0000-0000-000058780000}"/>
    <cellStyle name="Migliaia 25 3" xfId="542" xr:uid="{00000000-0005-0000-0000-000059780000}"/>
    <cellStyle name="Migliaia 25 3 10" xfId="39625" xr:uid="{00000000-0005-0000-0000-00005A780000}"/>
    <cellStyle name="Migliaia 25 3 11" xfId="40111" xr:uid="{00000000-0005-0000-0000-00005B780000}"/>
    <cellStyle name="Migliaia 25 3 2" xfId="543" xr:uid="{00000000-0005-0000-0000-00005C780000}"/>
    <cellStyle name="Migliaia 25 3 2 10" xfId="40112" xr:uid="{00000000-0005-0000-0000-00005D780000}"/>
    <cellStyle name="Migliaia 25 3 2 2" xfId="11445" xr:uid="{00000000-0005-0000-0000-00005E780000}"/>
    <cellStyle name="Migliaia 25 3 2 3" xfId="12094" xr:uid="{00000000-0005-0000-0000-00005F780000}"/>
    <cellStyle name="Migliaia 25 3 2 3 2" xfId="30279" xr:uid="{00000000-0005-0000-0000-000060780000}"/>
    <cellStyle name="Migliaia 25 3 2 4" xfId="19361" xr:uid="{00000000-0005-0000-0000-000061780000}"/>
    <cellStyle name="Migliaia 25 3 2 4 2" xfId="37325" xr:uid="{00000000-0005-0000-0000-000062780000}"/>
    <cellStyle name="Migliaia 25 3 2 5" xfId="3274" xr:uid="{00000000-0005-0000-0000-000063780000}"/>
    <cellStyle name="Migliaia 25 3 2 5 2" xfId="23274" xr:uid="{00000000-0005-0000-0000-000064780000}"/>
    <cellStyle name="Migliaia 25 3 2 6" xfId="21473" xr:uid="{00000000-0005-0000-0000-000065780000}"/>
    <cellStyle name="Migliaia 25 3 2 7" xfId="38280" xr:uid="{00000000-0005-0000-0000-000066780000}"/>
    <cellStyle name="Migliaia 25 3 2 8" xfId="39178" xr:uid="{00000000-0005-0000-0000-000067780000}"/>
    <cellStyle name="Migliaia 25 3 2 9" xfId="39626" xr:uid="{00000000-0005-0000-0000-000068780000}"/>
    <cellStyle name="Migliaia 25 3 3" xfId="11444" xr:uid="{00000000-0005-0000-0000-000069780000}"/>
    <cellStyle name="Migliaia 25 3 3 2" xfId="20508" xr:uid="{00000000-0005-0000-0000-00006A780000}"/>
    <cellStyle name="Migliaia 25 3 3 2 2" xfId="37825" xr:uid="{00000000-0005-0000-0000-00006B780000}"/>
    <cellStyle name="Migliaia 25 3 3 2 3" xfId="38780" xr:uid="{00000000-0005-0000-0000-00006C780000}"/>
    <cellStyle name="Migliaia 25 3 3 3" xfId="19362" xr:uid="{00000000-0005-0000-0000-00006D780000}"/>
    <cellStyle name="Migliaia 25 3 3 3 2" xfId="37326" xr:uid="{00000000-0005-0000-0000-00006E780000}"/>
    <cellStyle name="Migliaia 25 3 3 4" xfId="38281" xr:uid="{00000000-0005-0000-0000-00006F780000}"/>
    <cellStyle name="Migliaia 25 3 4" xfId="12093" xr:uid="{00000000-0005-0000-0000-000070780000}"/>
    <cellStyle name="Migliaia 25 3 4 2" xfId="20507" xr:uid="{00000000-0005-0000-0000-000071780000}"/>
    <cellStyle name="Migliaia 25 3 4 2 2" xfId="37824" xr:uid="{00000000-0005-0000-0000-000072780000}"/>
    <cellStyle name="Migliaia 25 3 4 3" xfId="30278" xr:uid="{00000000-0005-0000-0000-000073780000}"/>
    <cellStyle name="Migliaia 25 3 4 4" xfId="38779" xr:uid="{00000000-0005-0000-0000-000074780000}"/>
    <cellStyle name="Migliaia 25 3 5" xfId="19360" xr:uid="{00000000-0005-0000-0000-000075780000}"/>
    <cellStyle name="Migliaia 25 3 5 2" xfId="37324" xr:uid="{00000000-0005-0000-0000-000076780000}"/>
    <cellStyle name="Migliaia 25 3 6" xfId="3273" xr:uid="{00000000-0005-0000-0000-000077780000}"/>
    <cellStyle name="Migliaia 25 3 6 2" xfId="23273" xr:uid="{00000000-0005-0000-0000-000078780000}"/>
    <cellStyle name="Migliaia 25 3 7" xfId="21472" xr:uid="{00000000-0005-0000-0000-000079780000}"/>
    <cellStyle name="Migliaia 25 3 8" xfId="38279" xr:uid="{00000000-0005-0000-0000-00007A780000}"/>
    <cellStyle name="Migliaia 25 3 9" xfId="39177" xr:uid="{00000000-0005-0000-0000-00007B780000}"/>
    <cellStyle name="Migliaia 25 4" xfId="544" xr:uid="{00000000-0005-0000-0000-00007C780000}"/>
    <cellStyle name="Migliaia 25 4 2" xfId="19364" xr:uid="{00000000-0005-0000-0000-00007D780000}"/>
    <cellStyle name="Migliaia 25 4 2 2" xfId="20510" xr:uid="{00000000-0005-0000-0000-00007E780000}"/>
    <cellStyle name="Migliaia 25 4 2 2 2" xfId="37827" xr:uid="{00000000-0005-0000-0000-00007F780000}"/>
    <cellStyle name="Migliaia 25 4 2 2 3" xfId="38782" xr:uid="{00000000-0005-0000-0000-000080780000}"/>
    <cellStyle name="Migliaia 25 4 2 3" xfId="37328" xr:uid="{00000000-0005-0000-0000-000081780000}"/>
    <cellStyle name="Migliaia 25 4 2 4" xfId="38283" xr:uid="{00000000-0005-0000-0000-000082780000}"/>
    <cellStyle name="Migliaia 25 4 3" xfId="20509" xr:uid="{00000000-0005-0000-0000-000083780000}"/>
    <cellStyle name="Migliaia 25 4 3 2" xfId="37826" xr:uid="{00000000-0005-0000-0000-000084780000}"/>
    <cellStyle name="Migliaia 25 4 3 3" xfId="38781" xr:uid="{00000000-0005-0000-0000-000085780000}"/>
    <cellStyle name="Migliaia 25 4 4" xfId="19363" xr:uid="{00000000-0005-0000-0000-000086780000}"/>
    <cellStyle name="Migliaia 25 4 4 2" xfId="37327" xr:uid="{00000000-0005-0000-0000-000087780000}"/>
    <cellStyle name="Migliaia 25 4 5" xfId="11446" xr:uid="{00000000-0005-0000-0000-000088780000}"/>
    <cellStyle name="Migliaia 25 4 6" xfId="21474" xr:uid="{00000000-0005-0000-0000-000089780000}"/>
    <cellStyle name="Migliaia 25 4 7" xfId="38282" xr:uid="{00000000-0005-0000-0000-00008A780000}"/>
    <cellStyle name="Migliaia 25 4 8" xfId="39627" xr:uid="{00000000-0005-0000-0000-00008B780000}"/>
    <cellStyle name="Migliaia 25 4 9" xfId="40113" xr:uid="{00000000-0005-0000-0000-00008C780000}"/>
    <cellStyle name="Migliaia 25 5" xfId="545" xr:uid="{00000000-0005-0000-0000-00008D780000}"/>
    <cellStyle name="Migliaia 25 5 2" xfId="19365" xr:uid="{00000000-0005-0000-0000-00008E780000}"/>
    <cellStyle name="Migliaia 25 5 2 2" xfId="37329" xr:uid="{00000000-0005-0000-0000-00008F780000}"/>
    <cellStyle name="Migliaia 25 5 3" xfId="11447" xr:uid="{00000000-0005-0000-0000-000090780000}"/>
    <cellStyle name="Migliaia 25 5 4" xfId="21475" xr:uid="{00000000-0005-0000-0000-000091780000}"/>
    <cellStyle name="Migliaia 25 5 5" xfId="38284" xr:uid="{00000000-0005-0000-0000-000092780000}"/>
    <cellStyle name="Migliaia 25 5 6" xfId="39628" xr:uid="{00000000-0005-0000-0000-000093780000}"/>
    <cellStyle name="Migliaia 25 5 7" xfId="40114" xr:uid="{00000000-0005-0000-0000-000094780000}"/>
    <cellStyle name="Migliaia 25 6" xfId="546" xr:uid="{00000000-0005-0000-0000-000095780000}"/>
    <cellStyle name="Migliaia 25 6 2" xfId="11442" xr:uid="{00000000-0005-0000-0000-000096780000}"/>
    <cellStyle name="Migliaia 25 6 3" xfId="21476" xr:uid="{00000000-0005-0000-0000-000097780000}"/>
    <cellStyle name="Migliaia 25 6 4" xfId="39629" xr:uid="{00000000-0005-0000-0000-000098780000}"/>
    <cellStyle name="Migliaia 25 6 5" xfId="40115" xr:uid="{00000000-0005-0000-0000-000099780000}"/>
    <cellStyle name="Migliaia 25 7" xfId="12091" xr:uid="{00000000-0005-0000-0000-00009A780000}"/>
    <cellStyle name="Migliaia 25 7 2" xfId="30276" xr:uid="{00000000-0005-0000-0000-00009B780000}"/>
    <cellStyle name="Migliaia 25 8" xfId="19358" xr:uid="{00000000-0005-0000-0000-00009C780000}"/>
    <cellStyle name="Migliaia 25 8 2" xfId="37322" xr:uid="{00000000-0005-0000-0000-00009D780000}"/>
    <cellStyle name="Migliaia 25 9" xfId="3271" xr:uid="{00000000-0005-0000-0000-00009E780000}"/>
    <cellStyle name="Migliaia 25 9 2" xfId="23271" xr:uid="{00000000-0005-0000-0000-00009F780000}"/>
    <cellStyle name="Migliaia 26" xfId="547" xr:uid="{00000000-0005-0000-0000-0000A0780000}"/>
    <cellStyle name="Migliaia 26 10" xfId="21477" xr:uid="{00000000-0005-0000-0000-0000A1780000}"/>
    <cellStyle name="Migliaia 26 11" xfId="38285" xr:uid="{00000000-0005-0000-0000-0000A2780000}"/>
    <cellStyle name="Migliaia 26 12" xfId="39179" xr:uid="{00000000-0005-0000-0000-0000A3780000}"/>
    <cellStyle name="Migliaia 26 13" xfId="39630" xr:uid="{00000000-0005-0000-0000-0000A4780000}"/>
    <cellStyle name="Migliaia 26 14" xfId="40116" xr:uid="{00000000-0005-0000-0000-0000A5780000}"/>
    <cellStyle name="Migliaia 26 2" xfId="548" xr:uid="{00000000-0005-0000-0000-0000A6780000}"/>
    <cellStyle name="Migliaia 26 2 10" xfId="39631" xr:uid="{00000000-0005-0000-0000-0000A7780000}"/>
    <cellStyle name="Migliaia 26 2 11" xfId="40117" xr:uid="{00000000-0005-0000-0000-0000A8780000}"/>
    <cellStyle name="Migliaia 26 2 2" xfId="3556" xr:uid="{00000000-0005-0000-0000-0000A9780000}"/>
    <cellStyle name="Migliaia 26 2 2 2" xfId="12317" xr:uid="{00000000-0005-0000-0000-0000AA780000}"/>
    <cellStyle name="Migliaia 26 2 2 2 2" xfId="30487" xr:uid="{00000000-0005-0000-0000-0000AB780000}"/>
    <cellStyle name="Migliaia 26 2 2 3" xfId="20511" xr:uid="{00000000-0005-0000-0000-0000AC780000}"/>
    <cellStyle name="Migliaia 26 2 2 3 2" xfId="37828" xr:uid="{00000000-0005-0000-0000-0000AD780000}"/>
    <cellStyle name="Migliaia 26 2 2 4" xfId="23485" xr:uid="{00000000-0005-0000-0000-0000AE780000}"/>
    <cellStyle name="Migliaia 26 2 2 5" xfId="38783" xr:uid="{00000000-0005-0000-0000-0000AF780000}"/>
    <cellStyle name="Migliaia 26 2 2 6" xfId="39401" xr:uid="{00000000-0005-0000-0000-0000B0780000}"/>
    <cellStyle name="Migliaia 26 2 3" xfId="11449" xr:uid="{00000000-0005-0000-0000-0000B1780000}"/>
    <cellStyle name="Migliaia 26 2 4" xfId="12096" xr:uid="{00000000-0005-0000-0000-0000B2780000}"/>
    <cellStyle name="Migliaia 26 2 4 2" xfId="30281" xr:uid="{00000000-0005-0000-0000-0000B3780000}"/>
    <cellStyle name="Migliaia 26 2 5" xfId="19367" xr:uid="{00000000-0005-0000-0000-0000B4780000}"/>
    <cellStyle name="Migliaia 26 2 5 2" xfId="37331" xr:uid="{00000000-0005-0000-0000-0000B5780000}"/>
    <cellStyle name="Migliaia 26 2 6" xfId="3276" xr:uid="{00000000-0005-0000-0000-0000B6780000}"/>
    <cellStyle name="Migliaia 26 2 6 2" xfId="23276" xr:uid="{00000000-0005-0000-0000-0000B7780000}"/>
    <cellStyle name="Migliaia 26 2 7" xfId="21478" xr:uid="{00000000-0005-0000-0000-0000B8780000}"/>
    <cellStyle name="Migliaia 26 2 8" xfId="38286" xr:uid="{00000000-0005-0000-0000-0000B9780000}"/>
    <cellStyle name="Migliaia 26 2 9" xfId="39180" xr:uid="{00000000-0005-0000-0000-0000BA780000}"/>
    <cellStyle name="Migliaia 26 3" xfId="549" xr:uid="{00000000-0005-0000-0000-0000BB780000}"/>
    <cellStyle name="Migliaia 26 3 10" xfId="39632" xr:uid="{00000000-0005-0000-0000-0000BC780000}"/>
    <cellStyle name="Migliaia 26 3 11" xfId="40118" xr:uid="{00000000-0005-0000-0000-0000BD780000}"/>
    <cellStyle name="Migliaia 26 3 2" xfId="550" xr:uid="{00000000-0005-0000-0000-0000BE780000}"/>
    <cellStyle name="Migliaia 26 3 2 10" xfId="40119" xr:uid="{00000000-0005-0000-0000-0000BF780000}"/>
    <cellStyle name="Migliaia 26 3 2 2" xfId="11451" xr:uid="{00000000-0005-0000-0000-0000C0780000}"/>
    <cellStyle name="Migliaia 26 3 2 3" xfId="12098" xr:uid="{00000000-0005-0000-0000-0000C1780000}"/>
    <cellStyle name="Migliaia 26 3 2 3 2" xfId="30283" xr:uid="{00000000-0005-0000-0000-0000C2780000}"/>
    <cellStyle name="Migliaia 26 3 2 4" xfId="19369" xr:uid="{00000000-0005-0000-0000-0000C3780000}"/>
    <cellStyle name="Migliaia 26 3 2 4 2" xfId="37333" xr:uid="{00000000-0005-0000-0000-0000C4780000}"/>
    <cellStyle name="Migliaia 26 3 2 5" xfId="3278" xr:uid="{00000000-0005-0000-0000-0000C5780000}"/>
    <cellStyle name="Migliaia 26 3 2 5 2" xfId="23278" xr:uid="{00000000-0005-0000-0000-0000C6780000}"/>
    <cellStyle name="Migliaia 26 3 2 6" xfId="21480" xr:uid="{00000000-0005-0000-0000-0000C7780000}"/>
    <cellStyle name="Migliaia 26 3 2 7" xfId="38288" xr:uid="{00000000-0005-0000-0000-0000C8780000}"/>
    <cellStyle name="Migliaia 26 3 2 8" xfId="39182" xr:uid="{00000000-0005-0000-0000-0000C9780000}"/>
    <cellStyle name="Migliaia 26 3 2 9" xfId="39633" xr:uid="{00000000-0005-0000-0000-0000CA780000}"/>
    <cellStyle name="Migliaia 26 3 3" xfId="11450" xr:uid="{00000000-0005-0000-0000-0000CB780000}"/>
    <cellStyle name="Migliaia 26 3 3 2" xfId="20513" xr:uid="{00000000-0005-0000-0000-0000CC780000}"/>
    <cellStyle name="Migliaia 26 3 3 2 2" xfId="37830" xr:uid="{00000000-0005-0000-0000-0000CD780000}"/>
    <cellStyle name="Migliaia 26 3 3 2 3" xfId="38785" xr:uid="{00000000-0005-0000-0000-0000CE780000}"/>
    <cellStyle name="Migliaia 26 3 3 3" xfId="19370" xr:uid="{00000000-0005-0000-0000-0000CF780000}"/>
    <cellStyle name="Migliaia 26 3 3 3 2" xfId="37334" xr:uid="{00000000-0005-0000-0000-0000D0780000}"/>
    <cellStyle name="Migliaia 26 3 3 4" xfId="38289" xr:uid="{00000000-0005-0000-0000-0000D1780000}"/>
    <cellStyle name="Migliaia 26 3 4" xfId="12097" xr:uid="{00000000-0005-0000-0000-0000D2780000}"/>
    <cellStyle name="Migliaia 26 3 4 2" xfId="20512" xr:uid="{00000000-0005-0000-0000-0000D3780000}"/>
    <cellStyle name="Migliaia 26 3 4 2 2" xfId="37829" xr:uid="{00000000-0005-0000-0000-0000D4780000}"/>
    <cellStyle name="Migliaia 26 3 4 3" xfId="30282" xr:uid="{00000000-0005-0000-0000-0000D5780000}"/>
    <cellStyle name="Migliaia 26 3 4 4" xfId="38784" xr:uid="{00000000-0005-0000-0000-0000D6780000}"/>
    <cellStyle name="Migliaia 26 3 5" xfId="19368" xr:uid="{00000000-0005-0000-0000-0000D7780000}"/>
    <cellStyle name="Migliaia 26 3 5 2" xfId="37332" xr:uid="{00000000-0005-0000-0000-0000D8780000}"/>
    <cellStyle name="Migliaia 26 3 6" xfId="3277" xr:uid="{00000000-0005-0000-0000-0000D9780000}"/>
    <cellStyle name="Migliaia 26 3 6 2" xfId="23277" xr:uid="{00000000-0005-0000-0000-0000DA780000}"/>
    <cellStyle name="Migliaia 26 3 7" xfId="21479" xr:uid="{00000000-0005-0000-0000-0000DB780000}"/>
    <cellStyle name="Migliaia 26 3 8" xfId="38287" xr:uid="{00000000-0005-0000-0000-0000DC780000}"/>
    <cellStyle name="Migliaia 26 3 9" xfId="39181" xr:uid="{00000000-0005-0000-0000-0000DD780000}"/>
    <cellStyle name="Migliaia 26 4" xfId="551" xr:uid="{00000000-0005-0000-0000-0000DE780000}"/>
    <cellStyle name="Migliaia 26 4 2" xfId="19372" xr:uid="{00000000-0005-0000-0000-0000DF780000}"/>
    <cellStyle name="Migliaia 26 4 2 2" xfId="20515" xr:uid="{00000000-0005-0000-0000-0000E0780000}"/>
    <cellStyle name="Migliaia 26 4 2 2 2" xfId="37832" xr:uid="{00000000-0005-0000-0000-0000E1780000}"/>
    <cellStyle name="Migliaia 26 4 2 2 3" xfId="38787" xr:uid="{00000000-0005-0000-0000-0000E2780000}"/>
    <cellStyle name="Migliaia 26 4 2 3" xfId="37336" xr:uid="{00000000-0005-0000-0000-0000E3780000}"/>
    <cellStyle name="Migliaia 26 4 2 4" xfId="38291" xr:uid="{00000000-0005-0000-0000-0000E4780000}"/>
    <cellStyle name="Migliaia 26 4 3" xfId="20514" xr:uid="{00000000-0005-0000-0000-0000E5780000}"/>
    <cellStyle name="Migliaia 26 4 3 2" xfId="37831" xr:uid="{00000000-0005-0000-0000-0000E6780000}"/>
    <cellStyle name="Migliaia 26 4 3 3" xfId="38786" xr:uid="{00000000-0005-0000-0000-0000E7780000}"/>
    <cellStyle name="Migliaia 26 4 4" xfId="19371" xr:uid="{00000000-0005-0000-0000-0000E8780000}"/>
    <cellStyle name="Migliaia 26 4 4 2" xfId="37335" xr:uid="{00000000-0005-0000-0000-0000E9780000}"/>
    <cellStyle name="Migliaia 26 4 5" xfId="11452" xr:uid="{00000000-0005-0000-0000-0000EA780000}"/>
    <cellStyle name="Migliaia 26 4 6" xfId="21481" xr:uid="{00000000-0005-0000-0000-0000EB780000}"/>
    <cellStyle name="Migliaia 26 4 7" xfId="38290" xr:uid="{00000000-0005-0000-0000-0000EC780000}"/>
    <cellStyle name="Migliaia 26 4 8" xfId="39634" xr:uid="{00000000-0005-0000-0000-0000ED780000}"/>
    <cellStyle name="Migliaia 26 4 9" xfId="40120" xr:uid="{00000000-0005-0000-0000-0000EE780000}"/>
    <cellStyle name="Migliaia 26 5" xfId="552" xr:uid="{00000000-0005-0000-0000-0000EF780000}"/>
    <cellStyle name="Migliaia 26 5 2" xfId="19373" xr:uid="{00000000-0005-0000-0000-0000F0780000}"/>
    <cellStyle name="Migliaia 26 5 2 2" xfId="37337" xr:uid="{00000000-0005-0000-0000-0000F1780000}"/>
    <cellStyle name="Migliaia 26 5 3" xfId="11453" xr:uid="{00000000-0005-0000-0000-0000F2780000}"/>
    <cellStyle name="Migliaia 26 5 4" xfId="21482" xr:uid="{00000000-0005-0000-0000-0000F3780000}"/>
    <cellStyle name="Migliaia 26 5 5" xfId="38292" xr:uid="{00000000-0005-0000-0000-0000F4780000}"/>
    <cellStyle name="Migliaia 26 5 6" xfId="39635" xr:uid="{00000000-0005-0000-0000-0000F5780000}"/>
    <cellStyle name="Migliaia 26 5 7" xfId="40121" xr:uid="{00000000-0005-0000-0000-0000F6780000}"/>
    <cellStyle name="Migliaia 26 6" xfId="553" xr:uid="{00000000-0005-0000-0000-0000F7780000}"/>
    <cellStyle name="Migliaia 26 6 2" xfId="11448" xr:uid="{00000000-0005-0000-0000-0000F8780000}"/>
    <cellStyle name="Migliaia 26 6 3" xfId="21483" xr:uid="{00000000-0005-0000-0000-0000F9780000}"/>
    <cellStyle name="Migliaia 26 6 4" xfId="39636" xr:uid="{00000000-0005-0000-0000-0000FA780000}"/>
    <cellStyle name="Migliaia 26 6 5" xfId="40122" xr:uid="{00000000-0005-0000-0000-0000FB780000}"/>
    <cellStyle name="Migliaia 26 7" xfId="12095" xr:uid="{00000000-0005-0000-0000-0000FC780000}"/>
    <cellStyle name="Migliaia 26 7 2" xfId="30280" xr:uid="{00000000-0005-0000-0000-0000FD780000}"/>
    <cellStyle name="Migliaia 26 8" xfId="19366" xr:uid="{00000000-0005-0000-0000-0000FE780000}"/>
    <cellStyle name="Migliaia 26 8 2" xfId="37330" xr:uid="{00000000-0005-0000-0000-0000FF780000}"/>
    <cellStyle name="Migliaia 26 9" xfId="3275" xr:uid="{00000000-0005-0000-0000-000000790000}"/>
    <cellStyle name="Migliaia 26 9 2" xfId="23275" xr:uid="{00000000-0005-0000-0000-000001790000}"/>
    <cellStyle name="Migliaia 27" xfId="554" xr:uid="{00000000-0005-0000-0000-000002790000}"/>
    <cellStyle name="Migliaia 27 10" xfId="21484" xr:uid="{00000000-0005-0000-0000-000003790000}"/>
    <cellStyle name="Migliaia 27 11" xfId="38293" xr:uid="{00000000-0005-0000-0000-000004790000}"/>
    <cellStyle name="Migliaia 27 12" xfId="39183" xr:uid="{00000000-0005-0000-0000-000005790000}"/>
    <cellStyle name="Migliaia 27 13" xfId="39637" xr:uid="{00000000-0005-0000-0000-000006790000}"/>
    <cellStyle name="Migliaia 27 14" xfId="40123" xr:uid="{00000000-0005-0000-0000-000007790000}"/>
    <cellStyle name="Migliaia 27 2" xfId="555" xr:uid="{00000000-0005-0000-0000-000008790000}"/>
    <cellStyle name="Migliaia 27 2 10" xfId="39638" xr:uid="{00000000-0005-0000-0000-000009790000}"/>
    <cellStyle name="Migliaia 27 2 11" xfId="40124" xr:uid="{00000000-0005-0000-0000-00000A790000}"/>
    <cellStyle name="Migliaia 27 2 2" xfId="3557" xr:uid="{00000000-0005-0000-0000-00000B790000}"/>
    <cellStyle name="Migliaia 27 2 2 2" xfId="12318" xr:uid="{00000000-0005-0000-0000-00000C790000}"/>
    <cellStyle name="Migliaia 27 2 2 2 2" xfId="30488" xr:uid="{00000000-0005-0000-0000-00000D790000}"/>
    <cellStyle name="Migliaia 27 2 2 3" xfId="20516" xr:uid="{00000000-0005-0000-0000-00000E790000}"/>
    <cellStyle name="Migliaia 27 2 2 3 2" xfId="37833" xr:uid="{00000000-0005-0000-0000-00000F790000}"/>
    <cellStyle name="Migliaia 27 2 2 4" xfId="23486" xr:uid="{00000000-0005-0000-0000-000010790000}"/>
    <cellStyle name="Migliaia 27 2 2 5" xfId="38788" xr:uid="{00000000-0005-0000-0000-000011790000}"/>
    <cellStyle name="Migliaia 27 2 2 6" xfId="39402" xr:uid="{00000000-0005-0000-0000-000012790000}"/>
    <cellStyle name="Migliaia 27 2 3" xfId="11455" xr:uid="{00000000-0005-0000-0000-000013790000}"/>
    <cellStyle name="Migliaia 27 2 4" xfId="12100" xr:uid="{00000000-0005-0000-0000-000014790000}"/>
    <cellStyle name="Migliaia 27 2 4 2" xfId="30285" xr:uid="{00000000-0005-0000-0000-000015790000}"/>
    <cellStyle name="Migliaia 27 2 5" xfId="19375" xr:uid="{00000000-0005-0000-0000-000016790000}"/>
    <cellStyle name="Migliaia 27 2 5 2" xfId="37339" xr:uid="{00000000-0005-0000-0000-000017790000}"/>
    <cellStyle name="Migliaia 27 2 6" xfId="3280" xr:uid="{00000000-0005-0000-0000-000018790000}"/>
    <cellStyle name="Migliaia 27 2 6 2" xfId="23280" xr:uid="{00000000-0005-0000-0000-000019790000}"/>
    <cellStyle name="Migliaia 27 2 7" xfId="21485" xr:uid="{00000000-0005-0000-0000-00001A790000}"/>
    <cellStyle name="Migliaia 27 2 8" xfId="38294" xr:uid="{00000000-0005-0000-0000-00001B790000}"/>
    <cellStyle name="Migliaia 27 2 9" xfId="39184" xr:uid="{00000000-0005-0000-0000-00001C790000}"/>
    <cellStyle name="Migliaia 27 3" xfId="556" xr:uid="{00000000-0005-0000-0000-00001D790000}"/>
    <cellStyle name="Migliaia 27 3 10" xfId="39639" xr:uid="{00000000-0005-0000-0000-00001E790000}"/>
    <cellStyle name="Migliaia 27 3 11" xfId="40125" xr:uid="{00000000-0005-0000-0000-00001F790000}"/>
    <cellStyle name="Migliaia 27 3 2" xfId="557" xr:uid="{00000000-0005-0000-0000-000020790000}"/>
    <cellStyle name="Migliaia 27 3 2 10" xfId="40126" xr:uid="{00000000-0005-0000-0000-000021790000}"/>
    <cellStyle name="Migliaia 27 3 2 2" xfId="11457" xr:uid="{00000000-0005-0000-0000-000022790000}"/>
    <cellStyle name="Migliaia 27 3 2 3" xfId="12102" xr:uid="{00000000-0005-0000-0000-000023790000}"/>
    <cellStyle name="Migliaia 27 3 2 3 2" xfId="30287" xr:uid="{00000000-0005-0000-0000-000024790000}"/>
    <cellStyle name="Migliaia 27 3 2 4" xfId="19377" xr:uid="{00000000-0005-0000-0000-000025790000}"/>
    <cellStyle name="Migliaia 27 3 2 4 2" xfId="37341" xr:uid="{00000000-0005-0000-0000-000026790000}"/>
    <cellStyle name="Migliaia 27 3 2 5" xfId="3282" xr:uid="{00000000-0005-0000-0000-000027790000}"/>
    <cellStyle name="Migliaia 27 3 2 5 2" xfId="23282" xr:uid="{00000000-0005-0000-0000-000028790000}"/>
    <cellStyle name="Migliaia 27 3 2 6" xfId="21487" xr:uid="{00000000-0005-0000-0000-000029790000}"/>
    <cellStyle name="Migliaia 27 3 2 7" xfId="38296" xr:uid="{00000000-0005-0000-0000-00002A790000}"/>
    <cellStyle name="Migliaia 27 3 2 8" xfId="39186" xr:uid="{00000000-0005-0000-0000-00002B790000}"/>
    <cellStyle name="Migliaia 27 3 2 9" xfId="39640" xr:uid="{00000000-0005-0000-0000-00002C790000}"/>
    <cellStyle name="Migliaia 27 3 3" xfId="11456" xr:uid="{00000000-0005-0000-0000-00002D790000}"/>
    <cellStyle name="Migliaia 27 3 3 2" xfId="20518" xr:uid="{00000000-0005-0000-0000-00002E790000}"/>
    <cellStyle name="Migliaia 27 3 3 2 2" xfId="37835" xr:uid="{00000000-0005-0000-0000-00002F790000}"/>
    <cellStyle name="Migliaia 27 3 3 2 3" xfId="38790" xr:uid="{00000000-0005-0000-0000-000030790000}"/>
    <cellStyle name="Migliaia 27 3 3 3" xfId="19378" xr:uid="{00000000-0005-0000-0000-000031790000}"/>
    <cellStyle name="Migliaia 27 3 3 3 2" xfId="37342" xr:uid="{00000000-0005-0000-0000-000032790000}"/>
    <cellStyle name="Migliaia 27 3 3 4" xfId="38297" xr:uid="{00000000-0005-0000-0000-000033790000}"/>
    <cellStyle name="Migliaia 27 3 4" xfId="12101" xr:uid="{00000000-0005-0000-0000-000034790000}"/>
    <cellStyle name="Migliaia 27 3 4 2" xfId="20517" xr:uid="{00000000-0005-0000-0000-000035790000}"/>
    <cellStyle name="Migliaia 27 3 4 2 2" xfId="37834" xr:uid="{00000000-0005-0000-0000-000036790000}"/>
    <cellStyle name="Migliaia 27 3 4 3" xfId="30286" xr:uid="{00000000-0005-0000-0000-000037790000}"/>
    <cellStyle name="Migliaia 27 3 4 4" xfId="38789" xr:uid="{00000000-0005-0000-0000-000038790000}"/>
    <cellStyle name="Migliaia 27 3 5" xfId="19376" xr:uid="{00000000-0005-0000-0000-000039790000}"/>
    <cellStyle name="Migliaia 27 3 5 2" xfId="37340" xr:uid="{00000000-0005-0000-0000-00003A790000}"/>
    <cellStyle name="Migliaia 27 3 6" xfId="3281" xr:uid="{00000000-0005-0000-0000-00003B790000}"/>
    <cellStyle name="Migliaia 27 3 6 2" xfId="23281" xr:uid="{00000000-0005-0000-0000-00003C790000}"/>
    <cellStyle name="Migliaia 27 3 7" xfId="21486" xr:uid="{00000000-0005-0000-0000-00003D790000}"/>
    <cellStyle name="Migliaia 27 3 8" xfId="38295" xr:uid="{00000000-0005-0000-0000-00003E790000}"/>
    <cellStyle name="Migliaia 27 3 9" xfId="39185" xr:uid="{00000000-0005-0000-0000-00003F790000}"/>
    <cellStyle name="Migliaia 27 4" xfId="558" xr:uid="{00000000-0005-0000-0000-000040790000}"/>
    <cellStyle name="Migliaia 27 4 2" xfId="19380" xr:uid="{00000000-0005-0000-0000-000041790000}"/>
    <cellStyle name="Migliaia 27 4 2 2" xfId="20520" xr:uid="{00000000-0005-0000-0000-000042790000}"/>
    <cellStyle name="Migliaia 27 4 2 2 2" xfId="37837" xr:uid="{00000000-0005-0000-0000-000043790000}"/>
    <cellStyle name="Migliaia 27 4 2 2 3" xfId="38792" xr:uid="{00000000-0005-0000-0000-000044790000}"/>
    <cellStyle name="Migliaia 27 4 2 3" xfId="37344" xr:uid="{00000000-0005-0000-0000-000045790000}"/>
    <cellStyle name="Migliaia 27 4 2 4" xfId="38299" xr:uid="{00000000-0005-0000-0000-000046790000}"/>
    <cellStyle name="Migliaia 27 4 3" xfId="20519" xr:uid="{00000000-0005-0000-0000-000047790000}"/>
    <cellStyle name="Migliaia 27 4 3 2" xfId="37836" xr:uid="{00000000-0005-0000-0000-000048790000}"/>
    <cellStyle name="Migliaia 27 4 3 3" xfId="38791" xr:uid="{00000000-0005-0000-0000-000049790000}"/>
    <cellStyle name="Migliaia 27 4 4" xfId="19379" xr:uid="{00000000-0005-0000-0000-00004A790000}"/>
    <cellStyle name="Migliaia 27 4 4 2" xfId="37343" xr:uid="{00000000-0005-0000-0000-00004B790000}"/>
    <cellStyle name="Migliaia 27 4 5" xfId="11458" xr:uid="{00000000-0005-0000-0000-00004C790000}"/>
    <cellStyle name="Migliaia 27 4 6" xfId="21488" xr:uid="{00000000-0005-0000-0000-00004D790000}"/>
    <cellStyle name="Migliaia 27 4 7" xfId="38298" xr:uid="{00000000-0005-0000-0000-00004E790000}"/>
    <cellStyle name="Migliaia 27 4 8" xfId="39641" xr:uid="{00000000-0005-0000-0000-00004F790000}"/>
    <cellStyle name="Migliaia 27 4 9" xfId="40127" xr:uid="{00000000-0005-0000-0000-000050790000}"/>
    <cellStyle name="Migliaia 27 5" xfId="559" xr:uid="{00000000-0005-0000-0000-000051790000}"/>
    <cellStyle name="Migliaia 27 5 2" xfId="19381" xr:uid="{00000000-0005-0000-0000-000052790000}"/>
    <cellStyle name="Migliaia 27 5 2 2" xfId="37345" xr:uid="{00000000-0005-0000-0000-000053790000}"/>
    <cellStyle name="Migliaia 27 5 3" xfId="11459" xr:uid="{00000000-0005-0000-0000-000054790000}"/>
    <cellStyle name="Migliaia 27 5 4" xfId="21489" xr:uid="{00000000-0005-0000-0000-000055790000}"/>
    <cellStyle name="Migliaia 27 5 5" xfId="38300" xr:uid="{00000000-0005-0000-0000-000056790000}"/>
    <cellStyle name="Migliaia 27 5 6" xfId="39642" xr:uid="{00000000-0005-0000-0000-000057790000}"/>
    <cellStyle name="Migliaia 27 5 7" xfId="40128" xr:uid="{00000000-0005-0000-0000-000058790000}"/>
    <cellStyle name="Migliaia 27 6" xfId="560" xr:uid="{00000000-0005-0000-0000-000059790000}"/>
    <cellStyle name="Migliaia 27 6 2" xfId="11454" xr:uid="{00000000-0005-0000-0000-00005A790000}"/>
    <cellStyle name="Migliaia 27 6 3" xfId="21490" xr:uid="{00000000-0005-0000-0000-00005B790000}"/>
    <cellStyle name="Migliaia 27 6 4" xfId="39643" xr:uid="{00000000-0005-0000-0000-00005C790000}"/>
    <cellStyle name="Migliaia 27 6 5" xfId="40129" xr:uid="{00000000-0005-0000-0000-00005D790000}"/>
    <cellStyle name="Migliaia 27 7" xfId="12099" xr:uid="{00000000-0005-0000-0000-00005E790000}"/>
    <cellStyle name="Migliaia 27 7 2" xfId="30284" xr:uid="{00000000-0005-0000-0000-00005F790000}"/>
    <cellStyle name="Migliaia 27 8" xfId="19374" xr:uid="{00000000-0005-0000-0000-000060790000}"/>
    <cellStyle name="Migliaia 27 8 2" xfId="37338" xr:uid="{00000000-0005-0000-0000-000061790000}"/>
    <cellStyle name="Migliaia 27 9" xfId="3279" xr:uid="{00000000-0005-0000-0000-000062790000}"/>
    <cellStyle name="Migliaia 27 9 2" xfId="23279" xr:uid="{00000000-0005-0000-0000-000063790000}"/>
    <cellStyle name="Migliaia 28" xfId="561" xr:uid="{00000000-0005-0000-0000-000064790000}"/>
    <cellStyle name="Migliaia 28 10" xfId="21491" xr:uid="{00000000-0005-0000-0000-000065790000}"/>
    <cellStyle name="Migliaia 28 11" xfId="38301" xr:uid="{00000000-0005-0000-0000-000066790000}"/>
    <cellStyle name="Migliaia 28 12" xfId="39187" xr:uid="{00000000-0005-0000-0000-000067790000}"/>
    <cellStyle name="Migliaia 28 13" xfId="39644" xr:uid="{00000000-0005-0000-0000-000068790000}"/>
    <cellStyle name="Migliaia 28 14" xfId="40130" xr:uid="{00000000-0005-0000-0000-000069790000}"/>
    <cellStyle name="Migliaia 28 2" xfId="562" xr:uid="{00000000-0005-0000-0000-00006A790000}"/>
    <cellStyle name="Migliaia 28 2 10" xfId="39645" xr:uid="{00000000-0005-0000-0000-00006B790000}"/>
    <cellStyle name="Migliaia 28 2 11" xfId="40131" xr:uid="{00000000-0005-0000-0000-00006C790000}"/>
    <cellStyle name="Migliaia 28 2 2" xfId="3558" xr:uid="{00000000-0005-0000-0000-00006D790000}"/>
    <cellStyle name="Migliaia 28 2 2 2" xfId="12319" xr:uid="{00000000-0005-0000-0000-00006E790000}"/>
    <cellStyle name="Migliaia 28 2 2 2 2" xfId="30489" xr:uid="{00000000-0005-0000-0000-00006F790000}"/>
    <cellStyle name="Migliaia 28 2 2 3" xfId="20521" xr:uid="{00000000-0005-0000-0000-000070790000}"/>
    <cellStyle name="Migliaia 28 2 2 3 2" xfId="37838" xr:uid="{00000000-0005-0000-0000-000071790000}"/>
    <cellStyle name="Migliaia 28 2 2 4" xfId="23487" xr:uid="{00000000-0005-0000-0000-000072790000}"/>
    <cellStyle name="Migliaia 28 2 2 5" xfId="38793" xr:uid="{00000000-0005-0000-0000-000073790000}"/>
    <cellStyle name="Migliaia 28 2 2 6" xfId="39403" xr:uid="{00000000-0005-0000-0000-000074790000}"/>
    <cellStyle name="Migliaia 28 2 3" xfId="11461" xr:uid="{00000000-0005-0000-0000-000075790000}"/>
    <cellStyle name="Migliaia 28 2 4" xfId="12104" xr:uid="{00000000-0005-0000-0000-000076790000}"/>
    <cellStyle name="Migliaia 28 2 4 2" xfId="30289" xr:uid="{00000000-0005-0000-0000-000077790000}"/>
    <cellStyle name="Migliaia 28 2 5" xfId="19383" xr:uid="{00000000-0005-0000-0000-000078790000}"/>
    <cellStyle name="Migliaia 28 2 5 2" xfId="37347" xr:uid="{00000000-0005-0000-0000-000079790000}"/>
    <cellStyle name="Migliaia 28 2 6" xfId="3284" xr:uid="{00000000-0005-0000-0000-00007A790000}"/>
    <cellStyle name="Migliaia 28 2 6 2" xfId="23284" xr:uid="{00000000-0005-0000-0000-00007B790000}"/>
    <cellStyle name="Migliaia 28 2 7" xfId="21492" xr:uid="{00000000-0005-0000-0000-00007C790000}"/>
    <cellStyle name="Migliaia 28 2 8" xfId="38302" xr:uid="{00000000-0005-0000-0000-00007D790000}"/>
    <cellStyle name="Migliaia 28 2 9" xfId="39188" xr:uid="{00000000-0005-0000-0000-00007E790000}"/>
    <cellStyle name="Migliaia 28 3" xfId="563" xr:uid="{00000000-0005-0000-0000-00007F790000}"/>
    <cellStyle name="Migliaia 28 3 10" xfId="39646" xr:uid="{00000000-0005-0000-0000-000080790000}"/>
    <cellStyle name="Migliaia 28 3 11" xfId="40132" xr:uid="{00000000-0005-0000-0000-000081790000}"/>
    <cellStyle name="Migliaia 28 3 2" xfId="564" xr:uid="{00000000-0005-0000-0000-000082790000}"/>
    <cellStyle name="Migliaia 28 3 2 10" xfId="40133" xr:uid="{00000000-0005-0000-0000-000083790000}"/>
    <cellStyle name="Migliaia 28 3 2 2" xfId="11463" xr:uid="{00000000-0005-0000-0000-000084790000}"/>
    <cellStyle name="Migliaia 28 3 2 3" xfId="12106" xr:uid="{00000000-0005-0000-0000-000085790000}"/>
    <cellStyle name="Migliaia 28 3 2 3 2" xfId="30291" xr:uid="{00000000-0005-0000-0000-000086790000}"/>
    <cellStyle name="Migliaia 28 3 2 4" xfId="19385" xr:uid="{00000000-0005-0000-0000-000087790000}"/>
    <cellStyle name="Migliaia 28 3 2 4 2" xfId="37349" xr:uid="{00000000-0005-0000-0000-000088790000}"/>
    <cellStyle name="Migliaia 28 3 2 5" xfId="3286" xr:uid="{00000000-0005-0000-0000-000089790000}"/>
    <cellStyle name="Migliaia 28 3 2 5 2" xfId="23286" xr:uid="{00000000-0005-0000-0000-00008A790000}"/>
    <cellStyle name="Migliaia 28 3 2 6" xfId="21494" xr:uid="{00000000-0005-0000-0000-00008B790000}"/>
    <cellStyle name="Migliaia 28 3 2 7" xfId="38304" xr:uid="{00000000-0005-0000-0000-00008C790000}"/>
    <cellStyle name="Migliaia 28 3 2 8" xfId="39190" xr:uid="{00000000-0005-0000-0000-00008D790000}"/>
    <cellStyle name="Migliaia 28 3 2 9" xfId="39647" xr:uid="{00000000-0005-0000-0000-00008E790000}"/>
    <cellStyle name="Migliaia 28 3 3" xfId="11462" xr:uid="{00000000-0005-0000-0000-00008F790000}"/>
    <cellStyle name="Migliaia 28 3 3 2" xfId="20523" xr:uid="{00000000-0005-0000-0000-000090790000}"/>
    <cellStyle name="Migliaia 28 3 3 2 2" xfId="37840" xr:uid="{00000000-0005-0000-0000-000091790000}"/>
    <cellStyle name="Migliaia 28 3 3 2 3" xfId="38795" xr:uid="{00000000-0005-0000-0000-000092790000}"/>
    <cellStyle name="Migliaia 28 3 3 3" xfId="19386" xr:uid="{00000000-0005-0000-0000-000093790000}"/>
    <cellStyle name="Migliaia 28 3 3 3 2" xfId="37350" xr:uid="{00000000-0005-0000-0000-000094790000}"/>
    <cellStyle name="Migliaia 28 3 3 4" xfId="38305" xr:uid="{00000000-0005-0000-0000-000095790000}"/>
    <cellStyle name="Migliaia 28 3 4" xfId="12105" xr:uid="{00000000-0005-0000-0000-000096790000}"/>
    <cellStyle name="Migliaia 28 3 4 2" xfId="20522" xr:uid="{00000000-0005-0000-0000-000097790000}"/>
    <cellStyle name="Migliaia 28 3 4 2 2" xfId="37839" xr:uid="{00000000-0005-0000-0000-000098790000}"/>
    <cellStyle name="Migliaia 28 3 4 3" xfId="30290" xr:uid="{00000000-0005-0000-0000-000099790000}"/>
    <cellStyle name="Migliaia 28 3 4 4" xfId="38794" xr:uid="{00000000-0005-0000-0000-00009A790000}"/>
    <cellStyle name="Migliaia 28 3 5" xfId="19384" xr:uid="{00000000-0005-0000-0000-00009B790000}"/>
    <cellStyle name="Migliaia 28 3 5 2" xfId="37348" xr:uid="{00000000-0005-0000-0000-00009C790000}"/>
    <cellStyle name="Migliaia 28 3 6" xfId="3285" xr:uid="{00000000-0005-0000-0000-00009D790000}"/>
    <cellStyle name="Migliaia 28 3 6 2" xfId="23285" xr:uid="{00000000-0005-0000-0000-00009E790000}"/>
    <cellStyle name="Migliaia 28 3 7" xfId="21493" xr:uid="{00000000-0005-0000-0000-00009F790000}"/>
    <cellStyle name="Migliaia 28 3 8" xfId="38303" xr:uid="{00000000-0005-0000-0000-0000A0790000}"/>
    <cellStyle name="Migliaia 28 3 9" xfId="39189" xr:uid="{00000000-0005-0000-0000-0000A1790000}"/>
    <cellStyle name="Migliaia 28 4" xfId="565" xr:uid="{00000000-0005-0000-0000-0000A2790000}"/>
    <cellStyle name="Migliaia 28 4 2" xfId="19388" xr:uid="{00000000-0005-0000-0000-0000A3790000}"/>
    <cellStyle name="Migliaia 28 4 2 2" xfId="20525" xr:uid="{00000000-0005-0000-0000-0000A4790000}"/>
    <cellStyle name="Migliaia 28 4 2 2 2" xfId="37842" xr:uid="{00000000-0005-0000-0000-0000A5790000}"/>
    <cellStyle name="Migliaia 28 4 2 2 3" xfId="38797" xr:uid="{00000000-0005-0000-0000-0000A6790000}"/>
    <cellStyle name="Migliaia 28 4 2 3" xfId="37352" xr:uid="{00000000-0005-0000-0000-0000A7790000}"/>
    <cellStyle name="Migliaia 28 4 2 4" xfId="38307" xr:uid="{00000000-0005-0000-0000-0000A8790000}"/>
    <cellStyle name="Migliaia 28 4 3" xfId="20524" xr:uid="{00000000-0005-0000-0000-0000A9790000}"/>
    <cellStyle name="Migliaia 28 4 3 2" xfId="37841" xr:uid="{00000000-0005-0000-0000-0000AA790000}"/>
    <cellStyle name="Migliaia 28 4 3 3" xfId="38796" xr:uid="{00000000-0005-0000-0000-0000AB790000}"/>
    <cellStyle name="Migliaia 28 4 4" xfId="19387" xr:uid="{00000000-0005-0000-0000-0000AC790000}"/>
    <cellStyle name="Migliaia 28 4 4 2" xfId="37351" xr:uid="{00000000-0005-0000-0000-0000AD790000}"/>
    <cellStyle name="Migliaia 28 4 5" xfId="11464" xr:uid="{00000000-0005-0000-0000-0000AE790000}"/>
    <cellStyle name="Migliaia 28 4 6" xfId="21495" xr:uid="{00000000-0005-0000-0000-0000AF790000}"/>
    <cellStyle name="Migliaia 28 4 7" xfId="38306" xr:uid="{00000000-0005-0000-0000-0000B0790000}"/>
    <cellStyle name="Migliaia 28 4 8" xfId="39648" xr:uid="{00000000-0005-0000-0000-0000B1790000}"/>
    <cellStyle name="Migliaia 28 4 9" xfId="40134" xr:uid="{00000000-0005-0000-0000-0000B2790000}"/>
    <cellStyle name="Migliaia 28 5" xfId="566" xr:uid="{00000000-0005-0000-0000-0000B3790000}"/>
    <cellStyle name="Migliaia 28 5 2" xfId="19389" xr:uid="{00000000-0005-0000-0000-0000B4790000}"/>
    <cellStyle name="Migliaia 28 5 2 2" xfId="37353" xr:uid="{00000000-0005-0000-0000-0000B5790000}"/>
    <cellStyle name="Migliaia 28 5 3" xfId="11465" xr:uid="{00000000-0005-0000-0000-0000B6790000}"/>
    <cellStyle name="Migliaia 28 5 4" xfId="21496" xr:uid="{00000000-0005-0000-0000-0000B7790000}"/>
    <cellStyle name="Migliaia 28 5 5" xfId="38308" xr:uid="{00000000-0005-0000-0000-0000B8790000}"/>
    <cellStyle name="Migliaia 28 5 6" xfId="39649" xr:uid="{00000000-0005-0000-0000-0000B9790000}"/>
    <cellStyle name="Migliaia 28 5 7" xfId="40135" xr:uid="{00000000-0005-0000-0000-0000BA790000}"/>
    <cellStyle name="Migliaia 28 6" xfId="567" xr:uid="{00000000-0005-0000-0000-0000BB790000}"/>
    <cellStyle name="Migliaia 28 6 2" xfId="11460" xr:uid="{00000000-0005-0000-0000-0000BC790000}"/>
    <cellStyle name="Migliaia 28 6 3" xfId="21497" xr:uid="{00000000-0005-0000-0000-0000BD790000}"/>
    <cellStyle name="Migliaia 28 6 4" xfId="39650" xr:uid="{00000000-0005-0000-0000-0000BE790000}"/>
    <cellStyle name="Migliaia 28 6 5" xfId="40136" xr:uid="{00000000-0005-0000-0000-0000BF790000}"/>
    <cellStyle name="Migliaia 28 7" xfId="12103" xr:uid="{00000000-0005-0000-0000-0000C0790000}"/>
    <cellStyle name="Migliaia 28 7 2" xfId="30288" xr:uid="{00000000-0005-0000-0000-0000C1790000}"/>
    <cellStyle name="Migliaia 28 8" xfId="19382" xr:uid="{00000000-0005-0000-0000-0000C2790000}"/>
    <cellStyle name="Migliaia 28 8 2" xfId="37346" xr:uid="{00000000-0005-0000-0000-0000C3790000}"/>
    <cellStyle name="Migliaia 28 9" xfId="3283" xr:uid="{00000000-0005-0000-0000-0000C4790000}"/>
    <cellStyle name="Migliaia 28 9 2" xfId="23283" xr:uid="{00000000-0005-0000-0000-0000C5790000}"/>
    <cellStyle name="Migliaia 29" xfId="568" xr:uid="{00000000-0005-0000-0000-0000C6790000}"/>
    <cellStyle name="Migliaia 29 10" xfId="21498" xr:uid="{00000000-0005-0000-0000-0000C7790000}"/>
    <cellStyle name="Migliaia 29 11" xfId="38309" xr:uid="{00000000-0005-0000-0000-0000C8790000}"/>
    <cellStyle name="Migliaia 29 12" xfId="39191" xr:uid="{00000000-0005-0000-0000-0000C9790000}"/>
    <cellStyle name="Migliaia 29 13" xfId="39651" xr:uid="{00000000-0005-0000-0000-0000CA790000}"/>
    <cellStyle name="Migliaia 29 14" xfId="40137" xr:uid="{00000000-0005-0000-0000-0000CB790000}"/>
    <cellStyle name="Migliaia 29 2" xfId="569" xr:uid="{00000000-0005-0000-0000-0000CC790000}"/>
    <cellStyle name="Migliaia 29 2 10" xfId="39652" xr:uid="{00000000-0005-0000-0000-0000CD790000}"/>
    <cellStyle name="Migliaia 29 2 11" xfId="40138" xr:uid="{00000000-0005-0000-0000-0000CE790000}"/>
    <cellStyle name="Migliaia 29 2 2" xfId="3559" xr:uid="{00000000-0005-0000-0000-0000CF790000}"/>
    <cellStyle name="Migliaia 29 2 2 2" xfId="12320" xr:uid="{00000000-0005-0000-0000-0000D0790000}"/>
    <cellStyle name="Migliaia 29 2 2 2 2" xfId="30490" xr:uid="{00000000-0005-0000-0000-0000D1790000}"/>
    <cellStyle name="Migliaia 29 2 2 3" xfId="20526" xr:uid="{00000000-0005-0000-0000-0000D2790000}"/>
    <cellStyle name="Migliaia 29 2 2 3 2" xfId="37843" xr:uid="{00000000-0005-0000-0000-0000D3790000}"/>
    <cellStyle name="Migliaia 29 2 2 4" xfId="23488" xr:uid="{00000000-0005-0000-0000-0000D4790000}"/>
    <cellStyle name="Migliaia 29 2 2 5" xfId="38798" xr:uid="{00000000-0005-0000-0000-0000D5790000}"/>
    <cellStyle name="Migliaia 29 2 2 6" xfId="39404" xr:uid="{00000000-0005-0000-0000-0000D6790000}"/>
    <cellStyle name="Migliaia 29 2 3" xfId="11467" xr:uid="{00000000-0005-0000-0000-0000D7790000}"/>
    <cellStyle name="Migliaia 29 2 4" xfId="12108" xr:uid="{00000000-0005-0000-0000-0000D8790000}"/>
    <cellStyle name="Migliaia 29 2 4 2" xfId="30293" xr:uid="{00000000-0005-0000-0000-0000D9790000}"/>
    <cellStyle name="Migliaia 29 2 5" xfId="19391" xr:uid="{00000000-0005-0000-0000-0000DA790000}"/>
    <cellStyle name="Migliaia 29 2 5 2" xfId="37355" xr:uid="{00000000-0005-0000-0000-0000DB790000}"/>
    <cellStyle name="Migliaia 29 2 6" xfId="3288" xr:uid="{00000000-0005-0000-0000-0000DC790000}"/>
    <cellStyle name="Migliaia 29 2 6 2" xfId="23288" xr:uid="{00000000-0005-0000-0000-0000DD790000}"/>
    <cellStyle name="Migliaia 29 2 7" xfId="21499" xr:uid="{00000000-0005-0000-0000-0000DE790000}"/>
    <cellStyle name="Migliaia 29 2 8" xfId="38310" xr:uid="{00000000-0005-0000-0000-0000DF790000}"/>
    <cellStyle name="Migliaia 29 2 9" xfId="39192" xr:uid="{00000000-0005-0000-0000-0000E0790000}"/>
    <cellStyle name="Migliaia 29 3" xfId="570" xr:uid="{00000000-0005-0000-0000-0000E1790000}"/>
    <cellStyle name="Migliaia 29 3 10" xfId="39653" xr:uid="{00000000-0005-0000-0000-0000E2790000}"/>
    <cellStyle name="Migliaia 29 3 11" xfId="40139" xr:uid="{00000000-0005-0000-0000-0000E3790000}"/>
    <cellStyle name="Migliaia 29 3 2" xfId="571" xr:uid="{00000000-0005-0000-0000-0000E4790000}"/>
    <cellStyle name="Migliaia 29 3 2 10" xfId="40140" xr:uid="{00000000-0005-0000-0000-0000E5790000}"/>
    <cellStyle name="Migliaia 29 3 2 2" xfId="11469" xr:uid="{00000000-0005-0000-0000-0000E6790000}"/>
    <cellStyle name="Migliaia 29 3 2 3" xfId="12110" xr:uid="{00000000-0005-0000-0000-0000E7790000}"/>
    <cellStyle name="Migliaia 29 3 2 3 2" xfId="30295" xr:uid="{00000000-0005-0000-0000-0000E8790000}"/>
    <cellStyle name="Migliaia 29 3 2 4" xfId="19393" xr:uid="{00000000-0005-0000-0000-0000E9790000}"/>
    <cellStyle name="Migliaia 29 3 2 4 2" xfId="37357" xr:uid="{00000000-0005-0000-0000-0000EA790000}"/>
    <cellStyle name="Migliaia 29 3 2 5" xfId="3290" xr:uid="{00000000-0005-0000-0000-0000EB790000}"/>
    <cellStyle name="Migliaia 29 3 2 5 2" xfId="23290" xr:uid="{00000000-0005-0000-0000-0000EC790000}"/>
    <cellStyle name="Migliaia 29 3 2 6" xfId="21501" xr:uid="{00000000-0005-0000-0000-0000ED790000}"/>
    <cellStyle name="Migliaia 29 3 2 7" xfId="38312" xr:uid="{00000000-0005-0000-0000-0000EE790000}"/>
    <cellStyle name="Migliaia 29 3 2 8" xfId="39194" xr:uid="{00000000-0005-0000-0000-0000EF790000}"/>
    <cellStyle name="Migliaia 29 3 2 9" xfId="39654" xr:uid="{00000000-0005-0000-0000-0000F0790000}"/>
    <cellStyle name="Migliaia 29 3 3" xfId="11468" xr:uid="{00000000-0005-0000-0000-0000F1790000}"/>
    <cellStyle name="Migliaia 29 3 3 2" xfId="20528" xr:uid="{00000000-0005-0000-0000-0000F2790000}"/>
    <cellStyle name="Migliaia 29 3 3 2 2" xfId="37845" xr:uid="{00000000-0005-0000-0000-0000F3790000}"/>
    <cellStyle name="Migliaia 29 3 3 2 3" xfId="38800" xr:uid="{00000000-0005-0000-0000-0000F4790000}"/>
    <cellStyle name="Migliaia 29 3 3 3" xfId="19394" xr:uid="{00000000-0005-0000-0000-0000F5790000}"/>
    <cellStyle name="Migliaia 29 3 3 3 2" xfId="37358" xr:uid="{00000000-0005-0000-0000-0000F6790000}"/>
    <cellStyle name="Migliaia 29 3 3 4" xfId="38313" xr:uid="{00000000-0005-0000-0000-0000F7790000}"/>
    <cellStyle name="Migliaia 29 3 4" xfId="12109" xr:uid="{00000000-0005-0000-0000-0000F8790000}"/>
    <cellStyle name="Migliaia 29 3 4 2" xfId="20527" xr:uid="{00000000-0005-0000-0000-0000F9790000}"/>
    <cellStyle name="Migliaia 29 3 4 2 2" xfId="37844" xr:uid="{00000000-0005-0000-0000-0000FA790000}"/>
    <cellStyle name="Migliaia 29 3 4 3" xfId="30294" xr:uid="{00000000-0005-0000-0000-0000FB790000}"/>
    <cellStyle name="Migliaia 29 3 4 4" xfId="38799" xr:uid="{00000000-0005-0000-0000-0000FC790000}"/>
    <cellStyle name="Migliaia 29 3 5" xfId="19392" xr:uid="{00000000-0005-0000-0000-0000FD790000}"/>
    <cellStyle name="Migliaia 29 3 5 2" xfId="37356" xr:uid="{00000000-0005-0000-0000-0000FE790000}"/>
    <cellStyle name="Migliaia 29 3 6" xfId="3289" xr:uid="{00000000-0005-0000-0000-0000FF790000}"/>
    <cellStyle name="Migliaia 29 3 6 2" xfId="23289" xr:uid="{00000000-0005-0000-0000-0000007A0000}"/>
    <cellStyle name="Migliaia 29 3 7" xfId="21500" xr:uid="{00000000-0005-0000-0000-0000017A0000}"/>
    <cellStyle name="Migliaia 29 3 8" xfId="38311" xr:uid="{00000000-0005-0000-0000-0000027A0000}"/>
    <cellStyle name="Migliaia 29 3 9" xfId="39193" xr:uid="{00000000-0005-0000-0000-0000037A0000}"/>
    <cellStyle name="Migliaia 29 4" xfId="572" xr:uid="{00000000-0005-0000-0000-0000047A0000}"/>
    <cellStyle name="Migliaia 29 4 2" xfId="19396" xr:uid="{00000000-0005-0000-0000-0000057A0000}"/>
    <cellStyle name="Migliaia 29 4 2 2" xfId="20530" xr:uid="{00000000-0005-0000-0000-0000067A0000}"/>
    <cellStyle name="Migliaia 29 4 2 2 2" xfId="37847" xr:uid="{00000000-0005-0000-0000-0000077A0000}"/>
    <cellStyle name="Migliaia 29 4 2 2 3" xfId="38802" xr:uid="{00000000-0005-0000-0000-0000087A0000}"/>
    <cellStyle name="Migliaia 29 4 2 3" xfId="37360" xr:uid="{00000000-0005-0000-0000-0000097A0000}"/>
    <cellStyle name="Migliaia 29 4 2 4" xfId="38315" xr:uid="{00000000-0005-0000-0000-00000A7A0000}"/>
    <cellStyle name="Migliaia 29 4 3" xfId="20529" xr:uid="{00000000-0005-0000-0000-00000B7A0000}"/>
    <cellStyle name="Migliaia 29 4 3 2" xfId="37846" xr:uid="{00000000-0005-0000-0000-00000C7A0000}"/>
    <cellStyle name="Migliaia 29 4 3 3" xfId="38801" xr:uid="{00000000-0005-0000-0000-00000D7A0000}"/>
    <cellStyle name="Migliaia 29 4 4" xfId="19395" xr:uid="{00000000-0005-0000-0000-00000E7A0000}"/>
    <cellStyle name="Migliaia 29 4 4 2" xfId="37359" xr:uid="{00000000-0005-0000-0000-00000F7A0000}"/>
    <cellStyle name="Migliaia 29 4 5" xfId="11470" xr:uid="{00000000-0005-0000-0000-0000107A0000}"/>
    <cellStyle name="Migliaia 29 4 6" xfId="21502" xr:uid="{00000000-0005-0000-0000-0000117A0000}"/>
    <cellStyle name="Migliaia 29 4 7" xfId="38314" xr:uid="{00000000-0005-0000-0000-0000127A0000}"/>
    <cellStyle name="Migliaia 29 4 8" xfId="39655" xr:uid="{00000000-0005-0000-0000-0000137A0000}"/>
    <cellStyle name="Migliaia 29 4 9" xfId="40141" xr:uid="{00000000-0005-0000-0000-0000147A0000}"/>
    <cellStyle name="Migliaia 29 5" xfId="573" xr:uid="{00000000-0005-0000-0000-0000157A0000}"/>
    <cellStyle name="Migliaia 29 5 2" xfId="19397" xr:uid="{00000000-0005-0000-0000-0000167A0000}"/>
    <cellStyle name="Migliaia 29 5 2 2" xfId="37361" xr:uid="{00000000-0005-0000-0000-0000177A0000}"/>
    <cellStyle name="Migliaia 29 5 3" xfId="11471" xr:uid="{00000000-0005-0000-0000-0000187A0000}"/>
    <cellStyle name="Migliaia 29 5 4" xfId="21503" xr:uid="{00000000-0005-0000-0000-0000197A0000}"/>
    <cellStyle name="Migliaia 29 5 5" xfId="38316" xr:uid="{00000000-0005-0000-0000-00001A7A0000}"/>
    <cellStyle name="Migliaia 29 5 6" xfId="39656" xr:uid="{00000000-0005-0000-0000-00001B7A0000}"/>
    <cellStyle name="Migliaia 29 5 7" xfId="40142" xr:uid="{00000000-0005-0000-0000-00001C7A0000}"/>
    <cellStyle name="Migliaia 29 6" xfId="574" xr:uid="{00000000-0005-0000-0000-00001D7A0000}"/>
    <cellStyle name="Migliaia 29 6 2" xfId="11466" xr:uid="{00000000-0005-0000-0000-00001E7A0000}"/>
    <cellStyle name="Migliaia 29 6 3" xfId="21504" xr:uid="{00000000-0005-0000-0000-00001F7A0000}"/>
    <cellStyle name="Migliaia 29 6 4" xfId="39657" xr:uid="{00000000-0005-0000-0000-0000207A0000}"/>
    <cellStyle name="Migliaia 29 6 5" xfId="40143" xr:uid="{00000000-0005-0000-0000-0000217A0000}"/>
    <cellStyle name="Migliaia 29 7" xfId="12107" xr:uid="{00000000-0005-0000-0000-0000227A0000}"/>
    <cellStyle name="Migliaia 29 7 2" xfId="30292" xr:uid="{00000000-0005-0000-0000-0000237A0000}"/>
    <cellStyle name="Migliaia 29 8" xfId="19390" xr:uid="{00000000-0005-0000-0000-0000247A0000}"/>
    <cellStyle name="Migliaia 29 8 2" xfId="37354" xr:uid="{00000000-0005-0000-0000-0000257A0000}"/>
    <cellStyle name="Migliaia 29 9" xfId="3287" xr:uid="{00000000-0005-0000-0000-0000267A0000}"/>
    <cellStyle name="Migliaia 29 9 2" xfId="23287" xr:uid="{00000000-0005-0000-0000-0000277A0000}"/>
    <cellStyle name="Migliaia 3" xfId="575" xr:uid="{00000000-0005-0000-0000-0000287A0000}"/>
    <cellStyle name="Migliaia 3 10" xfId="21505" xr:uid="{00000000-0005-0000-0000-0000297A0000}"/>
    <cellStyle name="Migliaia 3 11" xfId="38317" xr:uid="{00000000-0005-0000-0000-00002A7A0000}"/>
    <cellStyle name="Migliaia 3 12" xfId="39195" xr:uid="{00000000-0005-0000-0000-00002B7A0000}"/>
    <cellStyle name="Migliaia 3 13" xfId="39658" xr:uid="{00000000-0005-0000-0000-00002C7A0000}"/>
    <cellStyle name="Migliaia 3 14" xfId="40144" xr:uid="{00000000-0005-0000-0000-00002D7A0000}"/>
    <cellStyle name="Migliaia 3 2" xfId="576" xr:uid="{00000000-0005-0000-0000-00002E7A0000}"/>
    <cellStyle name="Migliaia 3 2 10" xfId="39659" xr:uid="{00000000-0005-0000-0000-00002F7A0000}"/>
    <cellStyle name="Migliaia 3 2 11" xfId="40145" xr:uid="{00000000-0005-0000-0000-0000307A0000}"/>
    <cellStyle name="Migliaia 3 2 2" xfId="3560" xr:uid="{00000000-0005-0000-0000-0000317A0000}"/>
    <cellStyle name="Migliaia 3 2 2 2" xfId="12321" xr:uid="{00000000-0005-0000-0000-0000327A0000}"/>
    <cellStyle name="Migliaia 3 2 2 2 2" xfId="30491" xr:uid="{00000000-0005-0000-0000-0000337A0000}"/>
    <cellStyle name="Migliaia 3 2 2 3" xfId="20531" xr:uid="{00000000-0005-0000-0000-0000347A0000}"/>
    <cellStyle name="Migliaia 3 2 2 3 2" xfId="37848" xr:uid="{00000000-0005-0000-0000-0000357A0000}"/>
    <cellStyle name="Migliaia 3 2 2 4" xfId="23489" xr:uid="{00000000-0005-0000-0000-0000367A0000}"/>
    <cellStyle name="Migliaia 3 2 2 5" xfId="38803" xr:uid="{00000000-0005-0000-0000-0000377A0000}"/>
    <cellStyle name="Migliaia 3 2 2 6" xfId="39405" xr:uid="{00000000-0005-0000-0000-0000387A0000}"/>
    <cellStyle name="Migliaia 3 2 3" xfId="11473" xr:uid="{00000000-0005-0000-0000-0000397A0000}"/>
    <cellStyle name="Migliaia 3 2 4" xfId="12112" xr:uid="{00000000-0005-0000-0000-00003A7A0000}"/>
    <cellStyle name="Migliaia 3 2 4 2" xfId="30297" xr:uid="{00000000-0005-0000-0000-00003B7A0000}"/>
    <cellStyle name="Migliaia 3 2 5" xfId="19399" xr:uid="{00000000-0005-0000-0000-00003C7A0000}"/>
    <cellStyle name="Migliaia 3 2 5 2" xfId="37363" xr:uid="{00000000-0005-0000-0000-00003D7A0000}"/>
    <cellStyle name="Migliaia 3 2 6" xfId="3292" xr:uid="{00000000-0005-0000-0000-00003E7A0000}"/>
    <cellStyle name="Migliaia 3 2 6 2" xfId="23292" xr:uid="{00000000-0005-0000-0000-00003F7A0000}"/>
    <cellStyle name="Migliaia 3 2 7" xfId="21506" xr:uid="{00000000-0005-0000-0000-0000407A0000}"/>
    <cellStyle name="Migliaia 3 2 8" xfId="38318" xr:uid="{00000000-0005-0000-0000-0000417A0000}"/>
    <cellStyle name="Migliaia 3 2 9" xfId="39196" xr:uid="{00000000-0005-0000-0000-0000427A0000}"/>
    <cellStyle name="Migliaia 3 3" xfId="577" xr:uid="{00000000-0005-0000-0000-0000437A0000}"/>
    <cellStyle name="Migliaia 3 3 10" xfId="39660" xr:uid="{00000000-0005-0000-0000-0000447A0000}"/>
    <cellStyle name="Migliaia 3 3 11" xfId="40146" xr:uid="{00000000-0005-0000-0000-0000457A0000}"/>
    <cellStyle name="Migliaia 3 3 2" xfId="578" xr:uid="{00000000-0005-0000-0000-0000467A0000}"/>
    <cellStyle name="Migliaia 3 3 2 10" xfId="40147" xr:uid="{00000000-0005-0000-0000-0000477A0000}"/>
    <cellStyle name="Migliaia 3 3 2 2" xfId="11475" xr:uid="{00000000-0005-0000-0000-0000487A0000}"/>
    <cellStyle name="Migliaia 3 3 2 3" xfId="12114" xr:uid="{00000000-0005-0000-0000-0000497A0000}"/>
    <cellStyle name="Migliaia 3 3 2 3 2" xfId="30299" xr:uid="{00000000-0005-0000-0000-00004A7A0000}"/>
    <cellStyle name="Migliaia 3 3 2 4" xfId="19401" xr:uid="{00000000-0005-0000-0000-00004B7A0000}"/>
    <cellStyle name="Migliaia 3 3 2 4 2" xfId="37365" xr:uid="{00000000-0005-0000-0000-00004C7A0000}"/>
    <cellStyle name="Migliaia 3 3 2 5" xfId="3294" xr:uid="{00000000-0005-0000-0000-00004D7A0000}"/>
    <cellStyle name="Migliaia 3 3 2 5 2" xfId="23294" xr:uid="{00000000-0005-0000-0000-00004E7A0000}"/>
    <cellStyle name="Migliaia 3 3 2 6" xfId="21508" xr:uid="{00000000-0005-0000-0000-00004F7A0000}"/>
    <cellStyle name="Migliaia 3 3 2 7" xfId="38320" xr:uid="{00000000-0005-0000-0000-0000507A0000}"/>
    <cellStyle name="Migliaia 3 3 2 8" xfId="39198" xr:uid="{00000000-0005-0000-0000-0000517A0000}"/>
    <cellStyle name="Migliaia 3 3 2 9" xfId="39661" xr:uid="{00000000-0005-0000-0000-0000527A0000}"/>
    <cellStyle name="Migliaia 3 3 3" xfId="11474" xr:uid="{00000000-0005-0000-0000-0000537A0000}"/>
    <cellStyle name="Migliaia 3 3 3 2" xfId="20533" xr:uid="{00000000-0005-0000-0000-0000547A0000}"/>
    <cellStyle name="Migliaia 3 3 3 2 2" xfId="37850" xr:uid="{00000000-0005-0000-0000-0000557A0000}"/>
    <cellStyle name="Migliaia 3 3 3 2 3" xfId="38805" xr:uid="{00000000-0005-0000-0000-0000567A0000}"/>
    <cellStyle name="Migliaia 3 3 3 3" xfId="19402" xr:uid="{00000000-0005-0000-0000-0000577A0000}"/>
    <cellStyle name="Migliaia 3 3 3 3 2" xfId="37366" xr:uid="{00000000-0005-0000-0000-0000587A0000}"/>
    <cellStyle name="Migliaia 3 3 3 4" xfId="38321" xr:uid="{00000000-0005-0000-0000-0000597A0000}"/>
    <cellStyle name="Migliaia 3 3 4" xfId="12113" xr:uid="{00000000-0005-0000-0000-00005A7A0000}"/>
    <cellStyle name="Migliaia 3 3 4 2" xfId="20532" xr:uid="{00000000-0005-0000-0000-00005B7A0000}"/>
    <cellStyle name="Migliaia 3 3 4 2 2" xfId="37849" xr:uid="{00000000-0005-0000-0000-00005C7A0000}"/>
    <cellStyle name="Migliaia 3 3 4 3" xfId="30298" xr:uid="{00000000-0005-0000-0000-00005D7A0000}"/>
    <cellStyle name="Migliaia 3 3 4 4" xfId="38804" xr:uid="{00000000-0005-0000-0000-00005E7A0000}"/>
    <cellStyle name="Migliaia 3 3 5" xfId="19400" xr:uid="{00000000-0005-0000-0000-00005F7A0000}"/>
    <cellStyle name="Migliaia 3 3 5 2" xfId="37364" xr:uid="{00000000-0005-0000-0000-0000607A0000}"/>
    <cellStyle name="Migliaia 3 3 6" xfId="3293" xr:uid="{00000000-0005-0000-0000-0000617A0000}"/>
    <cellStyle name="Migliaia 3 3 6 2" xfId="23293" xr:uid="{00000000-0005-0000-0000-0000627A0000}"/>
    <cellStyle name="Migliaia 3 3 7" xfId="21507" xr:uid="{00000000-0005-0000-0000-0000637A0000}"/>
    <cellStyle name="Migliaia 3 3 8" xfId="38319" xr:uid="{00000000-0005-0000-0000-0000647A0000}"/>
    <cellStyle name="Migliaia 3 3 9" xfId="39197" xr:uid="{00000000-0005-0000-0000-0000657A0000}"/>
    <cellStyle name="Migliaia 3 4" xfId="579" xr:uid="{00000000-0005-0000-0000-0000667A0000}"/>
    <cellStyle name="Migliaia 3 4 2" xfId="19404" xr:uid="{00000000-0005-0000-0000-0000677A0000}"/>
    <cellStyle name="Migliaia 3 4 2 2" xfId="20535" xr:uid="{00000000-0005-0000-0000-0000687A0000}"/>
    <cellStyle name="Migliaia 3 4 2 2 2" xfId="37852" xr:uid="{00000000-0005-0000-0000-0000697A0000}"/>
    <cellStyle name="Migliaia 3 4 2 2 3" xfId="38807" xr:uid="{00000000-0005-0000-0000-00006A7A0000}"/>
    <cellStyle name="Migliaia 3 4 2 3" xfId="37368" xr:uid="{00000000-0005-0000-0000-00006B7A0000}"/>
    <cellStyle name="Migliaia 3 4 2 4" xfId="38323" xr:uid="{00000000-0005-0000-0000-00006C7A0000}"/>
    <cellStyle name="Migliaia 3 4 3" xfId="20534" xr:uid="{00000000-0005-0000-0000-00006D7A0000}"/>
    <cellStyle name="Migliaia 3 4 3 2" xfId="37851" xr:uid="{00000000-0005-0000-0000-00006E7A0000}"/>
    <cellStyle name="Migliaia 3 4 3 3" xfId="38806" xr:uid="{00000000-0005-0000-0000-00006F7A0000}"/>
    <cellStyle name="Migliaia 3 4 4" xfId="19403" xr:uid="{00000000-0005-0000-0000-0000707A0000}"/>
    <cellStyle name="Migliaia 3 4 4 2" xfId="37367" xr:uid="{00000000-0005-0000-0000-0000717A0000}"/>
    <cellStyle name="Migliaia 3 4 5" xfId="11476" xr:uid="{00000000-0005-0000-0000-0000727A0000}"/>
    <cellStyle name="Migliaia 3 4 6" xfId="21509" xr:uid="{00000000-0005-0000-0000-0000737A0000}"/>
    <cellStyle name="Migliaia 3 4 7" xfId="38322" xr:uid="{00000000-0005-0000-0000-0000747A0000}"/>
    <cellStyle name="Migliaia 3 4 8" xfId="39662" xr:uid="{00000000-0005-0000-0000-0000757A0000}"/>
    <cellStyle name="Migliaia 3 4 9" xfId="40148" xr:uid="{00000000-0005-0000-0000-0000767A0000}"/>
    <cellStyle name="Migliaia 3 5" xfId="580" xr:uid="{00000000-0005-0000-0000-0000777A0000}"/>
    <cellStyle name="Migliaia 3 5 2" xfId="19405" xr:uid="{00000000-0005-0000-0000-0000787A0000}"/>
    <cellStyle name="Migliaia 3 5 2 2" xfId="37369" xr:uid="{00000000-0005-0000-0000-0000797A0000}"/>
    <cellStyle name="Migliaia 3 5 3" xfId="11477" xr:uid="{00000000-0005-0000-0000-00007A7A0000}"/>
    <cellStyle name="Migliaia 3 5 4" xfId="21510" xr:uid="{00000000-0005-0000-0000-00007B7A0000}"/>
    <cellStyle name="Migliaia 3 5 5" xfId="38324" xr:uid="{00000000-0005-0000-0000-00007C7A0000}"/>
    <cellStyle name="Migliaia 3 5 6" xfId="39663" xr:uid="{00000000-0005-0000-0000-00007D7A0000}"/>
    <cellStyle name="Migliaia 3 5 7" xfId="40149" xr:uid="{00000000-0005-0000-0000-00007E7A0000}"/>
    <cellStyle name="Migliaia 3 6" xfId="581" xr:uid="{00000000-0005-0000-0000-00007F7A0000}"/>
    <cellStyle name="Migliaia 3 6 2" xfId="11472" xr:uid="{00000000-0005-0000-0000-0000807A0000}"/>
    <cellStyle name="Migliaia 3 6 3" xfId="21511" xr:uid="{00000000-0005-0000-0000-0000817A0000}"/>
    <cellStyle name="Migliaia 3 6 4" xfId="39664" xr:uid="{00000000-0005-0000-0000-0000827A0000}"/>
    <cellStyle name="Migliaia 3 6 5" xfId="40150" xr:uid="{00000000-0005-0000-0000-0000837A0000}"/>
    <cellStyle name="Migliaia 3 7" xfId="12111" xr:uid="{00000000-0005-0000-0000-0000847A0000}"/>
    <cellStyle name="Migliaia 3 7 2" xfId="30296" xr:uid="{00000000-0005-0000-0000-0000857A0000}"/>
    <cellStyle name="Migliaia 3 8" xfId="19398" xr:uid="{00000000-0005-0000-0000-0000867A0000}"/>
    <cellStyle name="Migliaia 3 8 2" xfId="37362" xr:uid="{00000000-0005-0000-0000-0000877A0000}"/>
    <cellStyle name="Migliaia 3 9" xfId="3291" xr:uid="{00000000-0005-0000-0000-0000887A0000}"/>
    <cellStyle name="Migliaia 3 9 2" xfId="23291" xr:uid="{00000000-0005-0000-0000-0000897A0000}"/>
    <cellStyle name="Migliaia 30" xfId="582" xr:uid="{00000000-0005-0000-0000-00008A7A0000}"/>
    <cellStyle name="Migliaia 30 10" xfId="21512" xr:uid="{00000000-0005-0000-0000-00008B7A0000}"/>
    <cellStyle name="Migliaia 30 11" xfId="38325" xr:uid="{00000000-0005-0000-0000-00008C7A0000}"/>
    <cellStyle name="Migliaia 30 12" xfId="39199" xr:uid="{00000000-0005-0000-0000-00008D7A0000}"/>
    <cellStyle name="Migliaia 30 13" xfId="39665" xr:uid="{00000000-0005-0000-0000-00008E7A0000}"/>
    <cellStyle name="Migliaia 30 14" xfId="40151" xr:uid="{00000000-0005-0000-0000-00008F7A0000}"/>
    <cellStyle name="Migliaia 30 2" xfId="583" xr:uid="{00000000-0005-0000-0000-0000907A0000}"/>
    <cellStyle name="Migliaia 30 2 10" xfId="39666" xr:uid="{00000000-0005-0000-0000-0000917A0000}"/>
    <cellStyle name="Migliaia 30 2 11" xfId="40152" xr:uid="{00000000-0005-0000-0000-0000927A0000}"/>
    <cellStyle name="Migliaia 30 2 2" xfId="3561" xr:uid="{00000000-0005-0000-0000-0000937A0000}"/>
    <cellStyle name="Migliaia 30 2 2 2" xfId="12322" xr:uid="{00000000-0005-0000-0000-0000947A0000}"/>
    <cellStyle name="Migliaia 30 2 2 2 2" xfId="30492" xr:uid="{00000000-0005-0000-0000-0000957A0000}"/>
    <cellStyle name="Migliaia 30 2 2 3" xfId="20536" xr:uid="{00000000-0005-0000-0000-0000967A0000}"/>
    <cellStyle name="Migliaia 30 2 2 3 2" xfId="37853" xr:uid="{00000000-0005-0000-0000-0000977A0000}"/>
    <cellStyle name="Migliaia 30 2 2 4" xfId="23490" xr:uid="{00000000-0005-0000-0000-0000987A0000}"/>
    <cellStyle name="Migliaia 30 2 2 5" xfId="38808" xr:uid="{00000000-0005-0000-0000-0000997A0000}"/>
    <cellStyle name="Migliaia 30 2 2 6" xfId="39406" xr:uid="{00000000-0005-0000-0000-00009A7A0000}"/>
    <cellStyle name="Migliaia 30 2 3" xfId="11479" xr:uid="{00000000-0005-0000-0000-00009B7A0000}"/>
    <cellStyle name="Migliaia 30 2 4" xfId="12116" xr:uid="{00000000-0005-0000-0000-00009C7A0000}"/>
    <cellStyle name="Migliaia 30 2 4 2" xfId="30301" xr:uid="{00000000-0005-0000-0000-00009D7A0000}"/>
    <cellStyle name="Migliaia 30 2 5" xfId="19407" xr:uid="{00000000-0005-0000-0000-00009E7A0000}"/>
    <cellStyle name="Migliaia 30 2 5 2" xfId="37371" xr:uid="{00000000-0005-0000-0000-00009F7A0000}"/>
    <cellStyle name="Migliaia 30 2 6" xfId="3296" xr:uid="{00000000-0005-0000-0000-0000A07A0000}"/>
    <cellStyle name="Migliaia 30 2 6 2" xfId="23296" xr:uid="{00000000-0005-0000-0000-0000A17A0000}"/>
    <cellStyle name="Migliaia 30 2 7" xfId="21513" xr:uid="{00000000-0005-0000-0000-0000A27A0000}"/>
    <cellStyle name="Migliaia 30 2 8" xfId="38326" xr:uid="{00000000-0005-0000-0000-0000A37A0000}"/>
    <cellStyle name="Migliaia 30 2 9" xfId="39200" xr:uid="{00000000-0005-0000-0000-0000A47A0000}"/>
    <cellStyle name="Migliaia 30 3" xfId="584" xr:uid="{00000000-0005-0000-0000-0000A57A0000}"/>
    <cellStyle name="Migliaia 30 3 10" xfId="39667" xr:uid="{00000000-0005-0000-0000-0000A67A0000}"/>
    <cellStyle name="Migliaia 30 3 11" xfId="40153" xr:uid="{00000000-0005-0000-0000-0000A77A0000}"/>
    <cellStyle name="Migliaia 30 3 2" xfId="585" xr:uid="{00000000-0005-0000-0000-0000A87A0000}"/>
    <cellStyle name="Migliaia 30 3 2 10" xfId="40154" xr:uid="{00000000-0005-0000-0000-0000A97A0000}"/>
    <cellStyle name="Migliaia 30 3 2 2" xfId="11481" xr:uid="{00000000-0005-0000-0000-0000AA7A0000}"/>
    <cellStyle name="Migliaia 30 3 2 3" xfId="12118" xr:uid="{00000000-0005-0000-0000-0000AB7A0000}"/>
    <cellStyle name="Migliaia 30 3 2 3 2" xfId="30303" xr:uid="{00000000-0005-0000-0000-0000AC7A0000}"/>
    <cellStyle name="Migliaia 30 3 2 4" xfId="19409" xr:uid="{00000000-0005-0000-0000-0000AD7A0000}"/>
    <cellStyle name="Migliaia 30 3 2 4 2" xfId="37373" xr:uid="{00000000-0005-0000-0000-0000AE7A0000}"/>
    <cellStyle name="Migliaia 30 3 2 5" xfId="3298" xr:uid="{00000000-0005-0000-0000-0000AF7A0000}"/>
    <cellStyle name="Migliaia 30 3 2 5 2" xfId="23298" xr:uid="{00000000-0005-0000-0000-0000B07A0000}"/>
    <cellStyle name="Migliaia 30 3 2 6" xfId="21515" xr:uid="{00000000-0005-0000-0000-0000B17A0000}"/>
    <cellStyle name="Migliaia 30 3 2 7" xfId="38328" xr:uid="{00000000-0005-0000-0000-0000B27A0000}"/>
    <cellStyle name="Migliaia 30 3 2 8" xfId="39202" xr:uid="{00000000-0005-0000-0000-0000B37A0000}"/>
    <cellStyle name="Migliaia 30 3 2 9" xfId="39668" xr:uid="{00000000-0005-0000-0000-0000B47A0000}"/>
    <cellStyle name="Migliaia 30 3 3" xfId="11480" xr:uid="{00000000-0005-0000-0000-0000B57A0000}"/>
    <cellStyle name="Migliaia 30 3 3 2" xfId="20538" xr:uid="{00000000-0005-0000-0000-0000B67A0000}"/>
    <cellStyle name="Migliaia 30 3 3 2 2" xfId="37855" xr:uid="{00000000-0005-0000-0000-0000B77A0000}"/>
    <cellStyle name="Migliaia 30 3 3 2 3" xfId="38810" xr:uid="{00000000-0005-0000-0000-0000B87A0000}"/>
    <cellStyle name="Migliaia 30 3 3 3" xfId="19410" xr:uid="{00000000-0005-0000-0000-0000B97A0000}"/>
    <cellStyle name="Migliaia 30 3 3 3 2" xfId="37374" xr:uid="{00000000-0005-0000-0000-0000BA7A0000}"/>
    <cellStyle name="Migliaia 30 3 3 4" xfId="38329" xr:uid="{00000000-0005-0000-0000-0000BB7A0000}"/>
    <cellStyle name="Migliaia 30 3 4" xfId="12117" xr:uid="{00000000-0005-0000-0000-0000BC7A0000}"/>
    <cellStyle name="Migliaia 30 3 4 2" xfId="20537" xr:uid="{00000000-0005-0000-0000-0000BD7A0000}"/>
    <cellStyle name="Migliaia 30 3 4 2 2" xfId="37854" xr:uid="{00000000-0005-0000-0000-0000BE7A0000}"/>
    <cellStyle name="Migliaia 30 3 4 3" xfId="30302" xr:uid="{00000000-0005-0000-0000-0000BF7A0000}"/>
    <cellStyle name="Migliaia 30 3 4 4" xfId="38809" xr:uid="{00000000-0005-0000-0000-0000C07A0000}"/>
    <cellStyle name="Migliaia 30 3 5" xfId="19408" xr:uid="{00000000-0005-0000-0000-0000C17A0000}"/>
    <cellStyle name="Migliaia 30 3 5 2" xfId="37372" xr:uid="{00000000-0005-0000-0000-0000C27A0000}"/>
    <cellStyle name="Migliaia 30 3 6" xfId="3297" xr:uid="{00000000-0005-0000-0000-0000C37A0000}"/>
    <cellStyle name="Migliaia 30 3 6 2" xfId="23297" xr:uid="{00000000-0005-0000-0000-0000C47A0000}"/>
    <cellStyle name="Migliaia 30 3 7" xfId="21514" xr:uid="{00000000-0005-0000-0000-0000C57A0000}"/>
    <cellStyle name="Migliaia 30 3 8" xfId="38327" xr:uid="{00000000-0005-0000-0000-0000C67A0000}"/>
    <cellStyle name="Migliaia 30 3 9" xfId="39201" xr:uid="{00000000-0005-0000-0000-0000C77A0000}"/>
    <cellStyle name="Migliaia 30 4" xfId="586" xr:uid="{00000000-0005-0000-0000-0000C87A0000}"/>
    <cellStyle name="Migliaia 30 4 2" xfId="19412" xr:uid="{00000000-0005-0000-0000-0000C97A0000}"/>
    <cellStyle name="Migliaia 30 4 2 2" xfId="20540" xr:uid="{00000000-0005-0000-0000-0000CA7A0000}"/>
    <cellStyle name="Migliaia 30 4 2 2 2" xfId="37857" xr:uid="{00000000-0005-0000-0000-0000CB7A0000}"/>
    <cellStyle name="Migliaia 30 4 2 2 3" xfId="38812" xr:uid="{00000000-0005-0000-0000-0000CC7A0000}"/>
    <cellStyle name="Migliaia 30 4 2 3" xfId="37376" xr:uid="{00000000-0005-0000-0000-0000CD7A0000}"/>
    <cellStyle name="Migliaia 30 4 2 4" xfId="38331" xr:uid="{00000000-0005-0000-0000-0000CE7A0000}"/>
    <cellStyle name="Migliaia 30 4 3" xfId="20539" xr:uid="{00000000-0005-0000-0000-0000CF7A0000}"/>
    <cellStyle name="Migliaia 30 4 3 2" xfId="37856" xr:uid="{00000000-0005-0000-0000-0000D07A0000}"/>
    <cellStyle name="Migliaia 30 4 3 3" xfId="38811" xr:uid="{00000000-0005-0000-0000-0000D17A0000}"/>
    <cellStyle name="Migliaia 30 4 4" xfId="19411" xr:uid="{00000000-0005-0000-0000-0000D27A0000}"/>
    <cellStyle name="Migliaia 30 4 4 2" xfId="37375" xr:uid="{00000000-0005-0000-0000-0000D37A0000}"/>
    <cellStyle name="Migliaia 30 4 5" xfId="11482" xr:uid="{00000000-0005-0000-0000-0000D47A0000}"/>
    <cellStyle name="Migliaia 30 4 6" xfId="21516" xr:uid="{00000000-0005-0000-0000-0000D57A0000}"/>
    <cellStyle name="Migliaia 30 4 7" xfId="38330" xr:uid="{00000000-0005-0000-0000-0000D67A0000}"/>
    <cellStyle name="Migliaia 30 4 8" xfId="39669" xr:uid="{00000000-0005-0000-0000-0000D77A0000}"/>
    <cellStyle name="Migliaia 30 4 9" xfId="40155" xr:uid="{00000000-0005-0000-0000-0000D87A0000}"/>
    <cellStyle name="Migliaia 30 5" xfId="587" xr:uid="{00000000-0005-0000-0000-0000D97A0000}"/>
    <cellStyle name="Migliaia 30 5 2" xfId="19413" xr:uid="{00000000-0005-0000-0000-0000DA7A0000}"/>
    <cellStyle name="Migliaia 30 5 2 2" xfId="37377" xr:uid="{00000000-0005-0000-0000-0000DB7A0000}"/>
    <cellStyle name="Migliaia 30 5 3" xfId="11483" xr:uid="{00000000-0005-0000-0000-0000DC7A0000}"/>
    <cellStyle name="Migliaia 30 5 4" xfId="21517" xr:uid="{00000000-0005-0000-0000-0000DD7A0000}"/>
    <cellStyle name="Migliaia 30 5 5" xfId="38332" xr:uid="{00000000-0005-0000-0000-0000DE7A0000}"/>
    <cellStyle name="Migliaia 30 5 6" xfId="39670" xr:uid="{00000000-0005-0000-0000-0000DF7A0000}"/>
    <cellStyle name="Migliaia 30 5 7" xfId="40156" xr:uid="{00000000-0005-0000-0000-0000E07A0000}"/>
    <cellStyle name="Migliaia 30 6" xfId="588" xr:uid="{00000000-0005-0000-0000-0000E17A0000}"/>
    <cellStyle name="Migliaia 30 6 2" xfId="11478" xr:uid="{00000000-0005-0000-0000-0000E27A0000}"/>
    <cellStyle name="Migliaia 30 6 3" xfId="21518" xr:uid="{00000000-0005-0000-0000-0000E37A0000}"/>
    <cellStyle name="Migliaia 30 6 4" xfId="39671" xr:uid="{00000000-0005-0000-0000-0000E47A0000}"/>
    <cellStyle name="Migliaia 30 6 5" xfId="40157" xr:uid="{00000000-0005-0000-0000-0000E57A0000}"/>
    <cellStyle name="Migliaia 30 7" xfId="12115" xr:uid="{00000000-0005-0000-0000-0000E67A0000}"/>
    <cellStyle name="Migliaia 30 7 2" xfId="30300" xr:uid="{00000000-0005-0000-0000-0000E77A0000}"/>
    <cellStyle name="Migliaia 30 8" xfId="19406" xr:uid="{00000000-0005-0000-0000-0000E87A0000}"/>
    <cellStyle name="Migliaia 30 8 2" xfId="37370" xr:uid="{00000000-0005-0000-0000-0000E97A0000}"/>
    <cellStyle name="Migliaia 30 9" xfId="3295" xr:uid="{00000000-0005-0000-0000-0000EA7A0000}"/>
    <cellStyle name="Migliaia 30 9 2" xfId="23295" xr:uid="{00000000-0005-0000-0000-0000EB7A0000}"/>
    <cellStyle name="Migliaia 31" xfId="589" xr:uid="{00000000-0005-0000-0000-0000EC7A0000}"/>
    <cellStyle name="Migliaia 31 10" xfId="21519" xr:uid="{00000000-0005-0000-0000-0000ED7A0000}"/>
    <cellStyle name="Migliaia 31 11" xfId="38333" xr:uid="{00000000-0005-0000-0000-0000EE7A0000}"/>
    <cellStyle name="Migliaia 31 12" xfId="39203" xr:uid="{00000000-0005-0000-0000-0000EF7A0000}"/>
    <cellStyle name="Migliaia 31 13" xfId="39672" xr:uid="{00000000-0005-0000-0000-0000F07A0000}"/>
    <cellStyle name="Migliaia 31 14" xfId="40158" xr:uid="{00000000-0005-0000-0000-0000F17A0000}"/>
    <cellStyle name="Migliaia 31 2" xfId="590" xr:uid="{00000000-0005-0000-0000-0000F27A0000}"/>
    <cellStyle name="Migliaia 31 2 10" xfId="39673" xr:uid="{00000000-0005-0000-0000-0000F37A0000}"/>
    <cellStyle name="Migliaia 31 2 11" xfId="40159" xr:uid="{00000000-0005-0000-0000-0000F47A0000}"/>
    <cellStyle name="Migliaia 31 2 2" xfId="3562" xr:uid="{00000000-0005-0000-0000-0000F57A0000}"/>
    <cellStyle name="Migliaia 31 2 2 2" xfId="12323" xr:uid="{00000000-0005-0000-0000-0000F67A0000}"/>
    <cellStyle name="Migliaia 31 2 2 2 2" xfId="30493" xr:uid="{00000000-0005-0000-0000-0000F77A0000}"/>
    <cellStyle name="Migliaia 31 2 2 3" xfId="20541" xr:uid="{00000000-0005-0000-0000-0000F87A0000}"/>
    <cellStyle name="Migliaia 31 2 2 3 2" xfId="37858" xr:uid="{00000000-0005-0000-0000-0000F97A0000}"/>
    <cellStyle name="Migliaia 31 2 2 4" xfId="23491" xr:uid="{00000000-0005-0000-0000-0000FA7A0000}"/>
    <cellStyle name="Migliaia 31 2 2 5" xfId="38813" xr:uid="{00000000-0005-0000-0000-0000FB7A0000}"/>
    <cellStyle name="Migliaia 31 2 2 6" xfId="39407" xr:uid="{00000000-0005-0000-0000-0000FC7A0000}"/>
    <cellStyle name="Migliaia 31 2 3" xfId="11485" xr:uid="{00000000-0005-0000-0000-0000FD7A0000}"/>
    <cellStyle name="Migliaia 31 2 4" xfId="12120" xr:uid="{00000000-0005-0000-0000-0000FE7A0000}"/>
    <cellStyle name="Migliaia 31 2 4 2" xfId="30305" xr:uid="{00000000-0005-0000-0000-0000FF7A0000}"/>
    <cellStyle name="Migliaia 31 2 5" xfId="19415" xr:uid="{00000000-0005-0000-0000-0000007B0000}"/>
    <cellStyle name="Migliaia 31 2 5 2" xfId="37379" xr:uid="{00000000-0005-0000-0000-0000017B0000}"/>
    <cellStyle name="Migliaia 31 2 6" xfId="3300" xr:uid="{00000000-0005-0000-0000-0000027B0000}"/>
    <cellStyle name="Migliaia 31 2 6 2" xfId="23300" xr:uid="{00000000-0005-0000-0000-0000037B0000}"/>
    <cellStyle name="Migliaia 31 2 7" xfId="21520" xr:uid="{00000000-0005-0000-0000-0000047B0000}"/>
    <cellStyle name="Migliaia 31 2 8" xfId="38334" xr:uid="{00000000-0005-0000-0000-0000057B0000}"/>
    <cellStyle name="Migliaia 31 2 9" xfId="39204" xr:uid="{00000000-0005-0000-0000-0000067B0000}"/>
    <cellStyle name="Migliaia 31 3" xfId="591" xr:uid="{00000000-0005-0000-0000-0000077B0000}"/>
    <cellStyle name="Migliaia 31 3 10" xfId="39674" xr:uid="{00000000-0005-0000-0000-0000087B0000}"/>
    <cellStyle name="Migliaia 31 3 11" xfId="40160" xr:uid="{00000000-0005-0000-0000-0000097B0000}"/>
    <cellStyle name="Migliaia 31 3 2" xfId="592" xr:uid="{00000000-0005-0000-0000-00000A7B0000}"/>
    <cellStyle name="Migliaia 31 3 2 10" xfId="40161" xr:uid="{00000000-0005-0000-0000-00000B7B0000}"/>
    <cellStyle name="Migliaia 31 3 2 2" xfId="11487" xr:uid="{00000000-0005-0000-0000-00000C7B0000}"/>
    <cellStyle name="Migliaia 31 3 2 3" xfId="12122" xr:uid="{00000000-0005-0000-0000-00000D7B0000}"/>
    <cellStyle name="Migliaia 31 3 2 3 2" xfId="30307" xr:uid="{00000000-0005-0000-0000-00000E7B0000}"/>
    <cellStyle name="Migliaia 31 3 2 4" xfId="19417" xr:uid="{00000000-0005-0000-0000-00000F7B0000}"/>
    <cellStyle name="Migliaia 31 3 2 4 2" xfId="37381" xr:uid="{00000000-0005-0000-0000-0000107B0000}"/>
    <cellStyle name="Migliaia 31 3 2 5" xfId="3302" xr:uid="{00000000-0005-0000-0000-0000117B0000}"/>
    <cellStyle name="Migliaia 31 3 2 5 2" xfId="23302" xr:uid="{00000000-0005-0000-0000-0000127B0000}"/>
    <cellStyle name="Migliaia 31 3 2 6" xfId="21522" xr:uid="{00000000-0005-0000-0000-0000137B0000}"/>
    <cellStyle name="Migliaia 31 3 2 7" xfId="38336" xr:uid="{00000000-0005-0000-0000-0000147B0000}"/>
    <cellStyle name="Migliaia 31 3 2 8" xfId="39206" xr:uid="{00000000-0005-0000-0000-0000157B0000}"/>
    <cellStyle name="Migliaia 31 3 2 9" xfId="39675" xr:uid="{00000000-0005-0000-0000-0000167B0000}"/>
    <cellStyle name="Migliaia 31 3 3" xfId="11486" xr:uid="{00000000-0005-0000-0000-0000177B0000}"/>
    <cellStyle name="Migliaia 31 3 3 2" xfId="20543" xr:uid="{00000000-0005-0000-0000-0000187B0000}"/>
    <cellStyle name="Migliaia 31 3 3 2 2" xfId="37860" xr:uid="{00000000-0005-0000-0000-0000197B0000}"/>
    <cellStyle name="Migliaia 31 3 3 2 3" xfId="38815" xr:uid="{00000000-0005-0000-0000-00001A7B0000}"/>
    <cellStyle name="Migliaia 31 3 3 3" xfId="19418" xr:uid="{00000000-0005-0000-0000-00001B7B0000}"/>
    <cellStyle name="Migliaia 31 3 3 3 2" xfId="37382" xr:uid="{00000000-0005-0000-0000-00001C7B0000}"/>
    <cellStyle name="Migliaia 31 3 3 4" xfId="38337" xr:uid="{00000000-0005-0000-0000-00001D7B0000}"/>
    <cellStyle name="Migliaia 31 3 4" xfId="12121" xr:uid="{00000000-0005-0000-0000-00001E7B0000}"/>
    <cellStyle name="Migliaia 31 3 4 2" xfId="20542" xr:uid="{00000000-0005-0000-0000-00001F7B0000}"/>
    <cellStyle name="Migliaia 31 3 4 2 2" xfId="37859" xr:uid="{00000000-0005-0000-0000-0000207B0000}"/>
    <cellStyle name="Migliaia 31 3 4 3" xfId="30306" xr:uid="{00000000-0005-0000-0000-0000217B0000}"/>
    <cellStyle name="Migliaia 31 3 4 4" xfId="38814" xr:uid="{00000000-0005-0000-0000-0000227B0000}"/>
    <cellStyle name="Migliaia 31 3 5" xfId="19416" xr:uid="{00000000-0005-0000-0000-0000237B0000}"/>
    <cellStyle name="Migliaia 31 3 5 2" xfId="37380" xr:uid="{00000000-0005-0000-0000-0000247B0000}"/>
    <cellStyle name="Migliaia 31 3 6" xfId="3301" xr:uid="{00000000-0005-0000-0000-0000257B0000}"/>
    <cellStyle name="Migliaia 31 3 6 2" xfId="23301" xr:uid="{00000000-0005-0000-0000-0000267B0000}"/>
    <cellStyle name="Migliaia 31 3 7" xfId="21521" xr:uid="{00000000-0005-0000-0000-0000277B0000}"/>
    <cellStyle name="Migliaia 31 3 8" xfId="38335" xr:uid="{00000000-0005-0000-0000-0000287B0000}"/>
    <cellStyle name="Migliaia 31 3 9" xfId="39205" xr:uid="{00000000-0005-0000-0000-0000297B0000}"/>
    <cellStyle name="Migliaia 31 4" xfId="593" xr:uid="{00000000-0005-0000-0000-00002A7B0000}"/>
    <cellStyle name="Migliaia 31 4 2" xfId="19420" xr:uid="{00000000-0005-0000-0000-00002B7B0000}"/>
    <cellStyle name="Migliaia 31 4 2 2" xfId="20545" xr:uid="{00000000-0005-0000-0000-00002C7B0000}"/>
    <cellStyle name="Migliaia 31 4 2 2 2" xfId="37862" xr:uid="{00000000-0005-0000-0000-00002D7B0000}"/>
    <cellStyle name="Migliaia 31 4 2 2 3" xfId="38817" xr:uid="{00000000-0005-0000-0000-00002E7B0000}"/>
    <cellStyle name="Migliaia 31 4 2 3" xfId="37384" xr:uid="{00000000-0005-0000-0000-00002F7B0000}"/>
    <cellStyle name="Migliaia 31 4 2 4" xfId="38339" xr:uid="{00000000-0005-0000-0000-0000307B0000}"/>
    <cellStyle name="Migliaia 31 4 3" xfId="20544" xr:uid="{00000000-0005-0000-0000-0000317B0000}"/>
    <cellStyle name="Migliaia 31 4 3 2" xfId="37861" xr:uid="{00000000-0005-0000-0000-0000327B0000}"/>
    <cellStyle name="Migliaia 31 4 3 3" xfId="38816" xr:uid="{00000000-0005-0000-0000-0000337B0000}"/>
    <cellStyle name="Migliaia 31 4 4" xfId="19419" xr:uid="{00000000-0005-0000-0000-0000347B0000}"/>
    <cellStyle name="Migliaia 31 4 4 2" xfId="37383" xr:uid="{00000000-0005-0000-0000-0000357B0000}"/>
    <cellStyle name="Migliaia 31 4 5" xfId="11488" xr:uid="{00000000-0005-0000-0000-0000367B0000}"/>
    <cellStyle name="Migliaia 31 4 6" xfId="21523" xr:uid="{00000000-0005-0000-0000-0000377B0000}"/>
    <cellStyle name="Migliaia 31 4 7" xfId="38338" xr:uid="{00000000-0005-0000-0000-0000387B0000}"/>
    <cellStyle name="Migliaia 31 4 8" xfId="39676" xr:uid="{00000000-0005-0000-0000-0000397B0000}"/>
    <cellStyle name="Migliaia 31 4 9" xfId="40162" xr:uid="{00000000-0005-0000-0000-00003A7B0000}"/>
    <cellStyle name="Migliaia 31 5" xfId="594" xr:uid="{00000000-0005-0000-0000-00003B7B0000}"/>
    <cellStyle name="Migliaia 31 5 2" xfId="19421" xr:uid="{00000000-0005-0000-0000-00003C7B0000}"/>
    <cellStyle name="Migliaia 31 5 2 2" xfId="37385" xr:uid="{00000000-0005-0000-0000-00003D7B0000}"/>
    <cellStyle name="Migliaia 31 5 3" xfId="11489" xr:uid="{00000000-0005-0000-0000-00003E7B0000}"/>
    <cellStyle name="Migliaia 31 5 4" xfId="21524" xr:uid="{00000000-0005-0000-0000-00003F7B0000}"/>
    <cellStyle name="Migliaia 31 5 5" xfId="38340" xr:uid="{00000000-0005-0000-0000-0000407B0000}"/>
    <cellStyle name="Migliaia 31 5 6" xfId="39677" xr:uid="{00000000-0005-0000-0000-0000417B0000}"/>
    <cellStyle name="Migliaia 31 5 7" xfId="40163" xr:uid="{00000000-0005-0000-0000-0000427B0000}"/>
    <cellStyle name="Migliaia 31 6" xfId="595" xr:uid="{00000000-0005-0000-0000-0000437B0000}"/>
    <cellStyle name="Migliaia 31 6 2" xfId="11484" xr:uid="{00000000-0005-0000-0000-0000447B0000}"/>
    <cellStyle name="Migliaia 31 6 3" xfId="21525" xr:uid="{00000000-0005-0000-0000-0000457B0000}"/>
    <cellStyle name="Migliaia 31 6 4" xfId="39678" xr:uid="{00000000-0005-0000-0000-0000467B0000}"/>
    <cellStyle name="Migliaia 31 6 5" xfId="40164" xr:uid="{00000000-0005-0000-0000-0000477B0000}"/>
    <cellStyle name="Migliaia 31 7" xfId="12119" xr:uid="{00000000-0005-0000-0000-0000487B0000}"/>
    <cellStyle name="Migliaia 31 7 2" xfId="30304" xr:uid="{00000000-0005-0000-0000-0000497B0000}"/>
    <cellStyle name="Migliaia 31 8" xfId="19414" xr:uid="{00000000-0005-0000-0000-00004A7B0000}"/>
    <cellStyle name="Migliaia 31 8 2" xfId="37378" xr:uid="{00000000-0005-0000-0000-00004B7B0000}"/>
    <cellStyle name="Migliaia 31 9" xfId="3299" xr:uid="{00000000-0005-0000-0000-00004C7B0000}"/>
    <cellStyle name="Migliaia 31 9 2" xfId="23299" xr:uid="{00000000-0005-0000-0000-00004D7B0000}"/>
    <cellStyle name="Migliaia 32" xfId="596" xr:uid="{00000000-0005-0000-0000-00004E7B0000}"/>
    <cellStyle name="Migliaia 32 10" xfId="21526" xr:uid="{00000000-0005-0000-0000-00004F7B0000}"/>
    <cellStyle name="Migliaia 32 11" xfId="38341" xr:uid="{00000000-0005-0000-0000-0000507B0000}"/>
    <cellStyle name="Migliaia 32 12" xfId="39207" xr:uid="{00000000-0005-0000-0000-0000517B0000}"/>
    <cellStyle name="Migliaia 32 13" xfId="39679" xr:uid="{00000000-0005-0000-0000-0000527B0000}"/>
    <cellStyle name="Migliaia 32 14" xfId="40165" xr:uid="{00000000-0005-0000-0000-0000537B0000}"/>
    <cellStyle name="Migliaia 32 2" xfId="597" xr:uid="{00000000-0005-0000-0000-0000547B0000}"/>
    <cellStyle name="Migliaia 32 2 10" xfId="39680" xr:uid="{00000000-0005-0000-0000-0000557B0000}"/>
    <cellStyle name="Migliaia 32 2 11" xfId="40166" xr:uid="{00000000-0005-0000-0000-0000567B0000}"/>
    <cellStyle name="Migliaia 32 2 2" xfId="3563" xr:uid="{00000000-0005-0000-0000-0000577B0000}"/>
    <cellStyle name="Migliaia 32 2 2 2" xfId="12324" xr:uid="{00000000-0005-0000-0000-0000587B0000}"/>
    <cellStyle name="Migliaia 32 2 2 2 2" xfId="30494" xr:uid="{00000000-0005-0000-0000-0000597B0000}"/>
    <cellStyle name="Migliaia 32 2 2 3" xfId="20546" xr:uid="{00000000-0005-0000-0000-00005A7B0000}"/>
    <cellStyle name="Migliaia 32 2 2 3 2" xfId="37863" xr:uid="{00000000-0005-0000-0000-00005B7B0000}"/>
    <cellStyle name="Migliaia 32 2 2 4" xfId="23492" xr:uid="{00000000-0005-0000-0000-00005C7B0000}"/>
    <cellStyle name="Migliaia 32 2 2 5" xfId="38818" xr:uid="{00000000-0005-0000-0000-00005D7B0000}"/>
    <cellStyle name="Migliaia 32 2 2 6" xfId="39408" xr:uid="{00000000-0005-0000-0000-00005E7B0000}"/>
    <cellStyle name="Migliaia 32 2 3" xfId="11491" xr:uid="{00000000-0005-0000-0000-00005F7B0000}"/>
    <cellStyle name="Migliaia 32 2 4" xfId="12124" xr:uid="{00000000-0005-0000-0000-0000607B0000}"/>
    <cellStyle name="Migliaia 32 2 4 2" xfId="30309" xr:uid="{00000000-0005-0000-0000-0000617B0000}"/>
    <cellStyle name="Migliaia 32 2 5" xfId="19423" xr:uid="{00000000-0005-0000-0000-0000627B0000}"/>
    <cellStyle name="Migliaia 32 2 5 2" xfId="37387" xr:uid="{00000000-0005-0000-0000-0000637B0000}"/>
    <cellStyle name="Migliaia 32 2 6" xfId="3304" xr:uid="{00000000-0005-0000-0000-0000647B0000}"/>
    <cellStyle name="Migliaia 32 2 6 2" xfId="23304" xr:uid="{00000000-0005-0000-0000-0000657B0000}"/>
    <cellStyle name="Migliaia 32 2 7" xfId="21527" xr:uid="{00000000-0005-0000-0000-0000667B0000}"/>
    <cellStyle name="Migliaia 32 2 8" xfId="38342" xr:uid="{00000000-0005-0000-0000-0000677B0000}"/>
    <cellStyle name="Migliaia 32 2 9" xfId="39208" xr:uid="{00000000-0005-0000-0000-0000687B0000}"/>
    <cellStyle name="Migliaia 32 3" xfId="598" xr:uid="{00000000-0005-0000-0000-0000697B0000}"/>
    <cellStyle name="Migliaia 32 3 10" xfId="39681" xr:uid="{00000000-0005-0000-0000-00006A7B0000}"/>
    <cellStyle name="Migliaia 32 3 11" xfId="40167" xr:uid="{00000000-0005-0000-0000-00006B7B0000}"/>
    <cellStyle name="Migliaia 32 3 2" xfId="599" xr:uid="{00000000-0005-0000-0000-00006C7B0000}"/>
    <cellStyle name="Migliaia 32 3 2 10" xfId="40168" xr:uid="{00000000-0005-0000-0000-00006D7B0000}"/>
    <cellStyle name="Migliaia 32 3 2 2" xfId="11493" xr:uid="{00000000-0005-0000-0000-00006E7B0000}"/>
    <cellStyle name="Migliaia 32 3 2 3" xfId="12126" xr:uid="{00000000-0005-0000-0000-00006F7B0000}"/>
    <cellStyle name="Migliaia 32 3 2 3 2" xfId="30311" xr:uid="{00000000-0005-0000-0000-0000707B0000}"/>
    <cellStyle name="Migliaia 32 3 2 4" xfId="19425" xr:uid="{00000000-0005-0000-0000-0000717B0000}"/>
    <cellStyle name="Migliaia 32 3 2 4 2" xfId="37389" xr:uid="{00000000-0005-0000-0000-0000727B0000}"/>
    <cellStyle name="Migliaia 32 3 2 5" xfId="3306" xr:uid="{00000000-0005-0000-0000-0000737B0000}"/>
    <cellStyle name="Migliaia 32 3 2 5 2" xfId="23306" xr:uid="{00000000-0005-0000-0000-0000747B0000}"/>
    <cellStyle name="Migliaia 32 3 2 6" xfId="21529" xr:uid="{00000000-0005-0000-0000-0000757B0000}"/>
    <cellStyle name="Migliaia 32 3 2 7" xfId="38344" xr:uid="{00000000-0005-0000-0000-0000767B0000}"/>
    <cellStyle name="Migliaia 32 3 2 8" xfId="39210" xr:uid="{00000000-0005-0000-0000-0000777B0000}"/>
    <cellStyle name="Migliaia 32 3 2 9" xfId="39682" xr:uid="{00000000-0005-0000-0000-0000787B0000}"/>
    <cellStyle name="Migliaia 32 3 3" xfId="11492" xr:uid="{00000000-0005-0000-0000-0000797B0000}"/>
    <cellStyle name="Migliaia 32 3 3 2" xfId="20548" xr:uid="{00000000-0005-0000-0000-00007A7B0000}"/>
    <cellStyle name="Migliaia 32 3 3 2 2" xfId="37865" xr:uid="{00000000-0005-0000-0000-00007B7B0000}"/>
    <cellStyle name="Migliaia 32 3 3 2 3" xfId="38820" xr:uid="{00000000-0005-0000-0000-00007C7B0000}"/>
    <cellStyle name="Migliaia 32 3 3 3" xfId="19426" xr:uid="{00000000-0005-0000-0000-00007D7B0000}"/>
    <cellStyle name="Migliaia 32 3 3 3 2" xfId="37390" xr:uid="{00000000-0005-0000-0000-00007E7B0000}"/>
    <cellStyle name="Migliaia 32 3 3 4" xfId="38345" xr:uid="{00000000-0005-0000-0000-00007F7B0000}"/>
    <cellStyle name="Migliaia 32 3 4" xfId="12125" xr:uid="{00000000-0005-0000-0000-0000807B0000}"/>
    <cellStyle name="Migliaia 32 3 4 2" xfId="20547" xr:uid="{00000000-0005-0000-0000-0000817B0000}"/>
    <cellStyle name="Migliaia 32 3 4 2 2" xfId="37864" xr:uid="{00000000-0005-0000-0000-0000827B0000}"/>
    <cellStyle name="Migliaia 32 3 4 3" xfId="30310" xr:uid="{00000000-0005-0000-0000-0000837B0000}"/>
    <cellStyle name="Migliaia 32 3 4 4" xfId="38819" xr:uid="{00000000-0005-0000-0000-0000847B0000}"/>
    <cellStyle name="Migliaia 32 3 5" xfId="19424" xr:uid="{00000000-0005-0000-0000-0000857B0000}"/>
    <cellStyle name="Migliaia 32 3 5 2" xfId="37388" xr:uid="{00000000-0005-0000-0000-0000867B0000}"/>
    <cellStyle name="Migliaia 32 3 6" xfId="3305" xr:uid="{00000000-0005-0000-0000-0000877B0000}"/>
    <cellStyle name="Migliaia 32 3 6 2" xfId="23305" xr:uid="{00000000-0005-0000-0000-0000887B0000}"/>
    <cellStyle name="Migliaia 32 3 7" xfId="21528" xr:uid="{00000000-0005-0000-0000-0000897B0000}"/>
    <cellStyle name="Migliaia 32 3 8" xfId="38343" xr:uid="{00000000-0005-0000-0000-00008A7B0000}"/>
    <cellStyle name="Migliaia 32 3 9" xfId="39209" xr:uid="{00000000-0005-0000-0000-00008B7B0000}"/>
    <cellStyle name="Migliaia 32 4" xfId="600" xr:uid="{00000000-0005-0000-0000-00008C7B0000}"/>
    <cellStyle name="Migliaia 32 4 2" xfId="19428" xr:uid="{00000000-0005-0000-0000-00008D7B0000}"/>
    <cellStyle name="Migliaia 32 4 2 2" xfId="20550" xr:uid="{00000000-0005-0000-0000-00008E7B0000}"/>
    <cellStyle name="Migliaia 32 4 2 2 2" xfId="37867" xr:uid="{00000000-0005-0000-0000-00008F7B0000}"/>
    <cellStyle name="Migliaia 32 4 2 2 3" xfId="38822" xr:uid="{00000000-0005-0000-0000-0000907B0000}"/>
    <cellStyle name="Migliaia 32 4 2 3" xfId="37392" xr:uid="{00000000-0005-0000-0000-0000917B0000}"/>
    <cellStyle name="Migliaia 32 4 2 4" xfId="38347" xr:uid="{00000000-0005-0000-0000-0000927B0000}"/>
    <cellStyle name="Migliaia 32 4 3" xfId="20549" xr:uid="{00000000-0005-0000-0000-0000937B0000}"/>
    <cellStyle name="Migliaia 32 4 3 2" xfId="37866" xr:uid="{00000000-0005-0000-0000-0000947B0000}"/>
    <cellStyle name="Migliaia 32 4 3 3" xfId="38821" xr:uid="{00000000-0005-0000-0000-0000957B0000}"/>
    <cellStyle name="Migliaia 32 4 4" xfId="19427" xr:uid="{00000000-0005-0000-0000-0000967B0000}"/>
    <cellStyle name="Migliaia 32 4 4 2" xfId="37391" xr:uid="{00000000-0005-0000-0000-0000977B0000}"/>
    <cellStyle name="Migliaia 32 4 5" xfId="11494" xr:uid="{00000000-0005-0000-0000-0000987B0000}"/>
    <cellStyle name="Migliaia 32 4 6" xfId="21530" xr:uid="{00000000-0005-0000-0000-0000997B0000}"/>
    <cellStyle name="Migliaia 32 4 7" xfId="38346" xr:uid="{00000000-0005-0000-0000-00009A7B0000}"/>
    <cellStyle name="Migliaia 32 4 8" xfId="39683" xr:uid="{00000000-0005-0000-0000-00009B7B0000}"/>
    <cellStyle name="Migliaia 32 4 9" xfId="40169" xr:uid="{00000000-0005-0000-0000-00009C7B0000}"/>
    <cellStyle name="Migliaia 32 5" xfId="601" xr:uid="{00000000-0005-0000-0000-00009D7B0000}"/>
    <cellStyle name="Migliaia 32 5 2" xfId="19429" xr:uid="{00000000-0005-0000-0000-00009E7B0000}"/>
    <cellStyle name="Migliaia 32 5 2 2" xfId="37393" xr:uid="{00000000-0005-0000-0000-00009F7B0000}"/>
    <cellStyle name="Migliaia 32 5 3" xfId="11495" xr:uid="{00000000-0005-0000-0000-0000A07B0000}"/>
    <cellStyle name="Migliaia 32 5 4" xfId="21531" xr:uid="{00000000-0005-0000-0000-0000A17B0000}"/>
    <cellStyle name="Migliaia 32 5 5" xfId="38348" xr:uid="{00000000-0005-0000-0000-0000A27B0000}"/>
    <cellStyle name="Migliaia 32 5 6" xfId="39684" xr:uid="{00000000-0005-0000-0000-0000A37B0000}"/>
    <cellStyle name="Migliaia 32 5 7" xfId="40170" xr:uid="{00000000-0005-0000-0000-0000A47B0000}"/>
    <cellStyle name="Migliaia 32 6" xfId="602" xr:uid="{00000000-0005-0000-0000-0000A57B0000}"/>
    <cellStyle name="Migliaia 32 6 2" xfId="11490" xr:uid="{00000000-0005-0000-0000-0000A67B0000}"/>
    <cellStyle name="Migliaia 32 6 3" xfId="21532" xr:uid="{00000000-0005-0000-0000-0000A77B0000}"/>
    <cellStyle name="Migliaia 32 6 4" xfId="39685" xr:uid="{00000000-0005-0000-0000-0000A87B0000}"/>
    <cellStyle name="Migliaia 32 6 5" xfId="40171" xr:uid="{00000000-0005-0000-0000-0000A97B0000}"/>
    <cellStyle name="Migliaia 32 7" xfId="12123" xr:uid="{00000000-0005-0000-0000-0000AA7B0000}"/>
    <cellStyle name="Migliaia 32 7 2" xfId="30308" xr:uid="{00000000-0005-0000-0000-0000AB7B0000}"/>
    <cellStyle name="Migliaia 32 8" xfId="19422" xr:uid="{00000000-0005-0000-0000-0000AC7B0000}"/>
    <cellStyle name="Migliaia 32 8 2" xfId="37386" xr:uid="{00000000-0005-0000-0000-0000AD7B0000}"/>
    <cellStyle name="Migliaia 32 9" xfId="3303" xr:uid="{00000000-0005-0000-0000-0000AE7B0000}"/>
    <cellStyle name="Migliaia 32 9 2" xfId="23303" xr:uid="{00000000-0005-0000-0000-0000AF7B0000}"/>
    <cellStyle name="Migliaia 33" xfId="603" xr:uid="{00000000-0005-0000-0000-0000B07B0000}"/>
    <cellStyle name="Migliaia 33 10" xfId="21533" xr:uid="{00000000-0005-0000-0000-0000B17B0000}"/>
    <cellStyle name="Migliaia 33 11" xfId="38349" xr:uid="{00000000-0005-0000-0000-0000B27B0000}"/>
    <cellStyle name="Migliaia 33 12" xfId="39211" xr:uid="{00000000-0005-0000-0000-0000B37B0000}"/>
    <cellStyle name="Migliaia 33 13" xfId="39686" xr:uid="{00000000-0005-0000-0000-0000B47B0000}"/>
    <cellStyle name="Migliaia 33 14" xfId="40172" xr:uid="{00000000-0005-0000-0000-0000B57B0000}"/>
    <cellStyle name="Migliaia 33 2" xfId="604" xr:uid="{00000000-0005-0000-0000-0000B67B0000}"/>
    <cellStyle name="Migliaia 33 2 10" xfId="39687" xr:uid="{00000000-0005-0000-0000-0000B77B0000}"/>
    <cellStyle name="Migliaia 33 2 11" xfId="40173" xr:uid="{00000000-0005-0000-0000-0000B87B0000}"/>
    <cellStyle name="Migliaia 33 2 2" xfId="3564" xr:uid="{00000000-0005-0000-0000-0000B97B0000}"/>
    <cellStyle name="Migliaia 33 2 2 2" xfId="12325" xr:uid="{00000000-0005-0000-0000-0000BA7B0000}"/>
    <cellStyle name="Migliaia 33 2 2 2 2" xfId="30495" xr:uid="{00000000-0005-0000-0000-0000BB7B0000}"/>
    <cellStyle name="Migliaia 33 2 2 3" xfId="20551" xr:uid="{00000000-0005-0000-0000-0000BC7B0000}"/>
    <cellStyle name="Migliaia 33 2 2 3 2" xfId="37868" xr:uid="{00000000-0005-0000-0000-0000BD7B0000}"/>
    <cellStyle name="Migliaia 33 2 2 4" xfId="23493" xr:uid="{00000000-0005-0000-0000-0000BE7B0000}"/>
    <cellStyle name="Migliaia 33 2 2 5" xfId="38823" xr:uid="{00000000-0005-0000-0000-0000BF7B0000}"/>
    <cellStyle name="Migliaia 33 2 2 6" xfId="39409" xr:uid="{00000000-0005-0000-0000-0000C07B0000}"/>
    <cellStyle name="Migliaia 33 2 3" xfId="11497" xr:uid="{00000000-0005-0000-0000-0000C17B0000}"/>
    <cellStyle name="Migliaia 33 2 4" xfId="12128" xr:uid="{00000000-0005-0000-0000-0000C27B0000}"/>
    <cellStyle name="Migliaia 33 2 4 2" xfId="30313" xr:uid="{00000000-0005-0000-0000-0000C37B0000}"/>
    <cellStyle name="Migliaia 33 2 5" xfId="19431" xr:uid="{00000000-0005-0000-0000-0000C47B0000}"/>
    <cellStyle name="Migliaia 33 2 5 2" xfId="37395" xr:uid="{00000000-0005-0000-0000-0000C57B0000}"/>
    <cellStyle name="Migliaia 33 2 6" xfId="3308" xr:uid="{00000000-0005-0000-0000-0000C67B0000}"/>
    <cellStyle name="Migliaia 33 2 6 2" xfId="23308" xr:uid="{00000000-0005-0000-0000-0000C77B0000}"/>
    <cellStyle name="Migliaia 33 2 7" xfId="21534" xr:uid="{00000000-0005-0000-0000-0000C87B0000}"/>
    <cellStyle name="Migliaia 33 2 8" xfId="38350" xr:uid="{00000000-0005-0000-0000-0000C97B0000}"/>
    <cellStyle name="Migliaia 33 2 9" xfId="39212" xr:uid="{00000000-0005-0000-0000-0000CA7B0000}"/>
    <cellStyle name="Migliaia 33 3" xfId="605" xr:uid="{00000000-0005-0000-0000-0000CB7B0000}"/>
    <cellStyle name="Migliaia 33 3 10" xfId="39688" xr:uid="{00000000-0005-0000-0000-0000CC7B0000}"/>
    <cellStyle name="Migliaia 33 3 11" xfId="40174" xr:uid="{00000000-0005-0000-0000-0000CD7B0000}"/>
    <cellStyle name="Migliaia 33 3 2" xfId="606" xr:uid="{00000000-0005-0000-0000-0000CE7B0000}"/>
    <cellStyle name="Migliaia 33 3 2 10" xfId="40175" xr:uid="{00000000-0005-0000-0000-0000CF7B0000}"/>
    <cellStyle name="Migliaia 33 3 2 2" xfId="11499" xr:uid="{00000000-0005-0000-0000-0000D07B0000}"/>
    <cellStyle name="Migliaia 33 3 2 3" xfId="12130" xr:uid="{00000000-0005-0000-0000-0000D17B0000}"/>
    <cellStyle name="Migliaia 33 3 2 3 2" xfId="30315" xr:uid="{00000000-0005-0000-0000-0000D27B0000}"/>
    <cellStyle name="Migliaia 33 3 2 4" xfId="19433" xr:uid="{00000000-0005-0000-0000-0000D37B0000}"/>
    <cellStyle name="Migliaia 33 3 2 4 2" xfId="37397" xr:uid="{00000000-0005-0000-0000-0000D47B0000}"/>
    <cellStyle name="Migliaia 33 3 2 5" xfId="3310" xr:uid="{00000000-0005-0000-0000-0000D57B0000}"/>
    <cellStyle name="Migliaia 33 3 2 5 2" xfId="23310" xr:uid="{00000000-0005-0000-0000-0000D67B0000}"/>
    <cellStyle name="Migliaia 33 3 2 6" xfId="21536" xr:uid="{00000000-0005-0000-0000-0000D77B0000}"/>
    <cellStyle name="Migliaia 33 3 2 7" xfId="38352" xr:uid="{00000000-0005-0000-0000-0000D87B0000}"/>
    <cellStyle name="Migliaia 33 3 2 8" xfId="39214" xr:uid="{00000000-0005-0000-0000-0000D97B0000}"/>
    <cellStyle name="Migliaia 33 3 2 9" xfId="39689" xr:uid="{00000000-0005-0000-0000-0000DA7B0000}"/>
    <cellStyle name="Migliaia 33 3 3" xfId="11498" xr:uid="{00000000-0005-0000-0000-0000DB7B0000}"/>
    <cellStyle name="Migliaia 33 3 3 2" xfId="20553" xr:uid="{00000000-0005-0000-0000-0000DC7B0000}"/>
    <cellStyle name="Migliaia 33 3 3 2 2" xfId="37870" xr:uid="{00000000-0005-0000-0000-0000DD7B0000}"/>
    <cellStyle name="Migliaia 33 3 3 2 3" xfId="38825" xr:uid="{00000000-0005-0000-0000-0000DE7B0000}"/>
    <cellStyle name="Migliaia 33 3 3 3" xfId="19434" xr:uid="{00000000-0005-0000-0000-0000DF7B0000}"/>
    <cellStyle name="Migliaia 33 3 3 3 2" xfId="37398" xr:uid="{00000000-0005-0000-0000-0000E07B0000}"/>
    <cellStyle name="Migliaia 33 3 3 4" xfId="38353" xr:uid="{00000000-0005-0000-0000-0000E17B0000}"/>
    <cellStyle name="Migliaia 33 3 4" xfId="12129" xr:uid="{00000000-0005-0000-0000-0000E27B0000}"/>
    <cellStyle name="Migliaia 33 3 4 2" xfId="20552" xr:uid="{00000000-0005-0000-0000-0000E37B0000}"/>
    <cellStyle name="Migliaia 33 3 4 2 2" xfId="37869" xr:uid="{00000000-0005-0000-0000-0000E47B0000}"/>
    <cellStyle name="Migliaia 33 3 4 3" xfId="30314" xr:uid="{00000000-0005-0000-0000-0000E57B0000}"/>
    <cellStyle name="Migliaia 33 3 4 4" xfId="38824" xr:uid="{00000000-0005-0000-0000-0000E67B0000}"/>
    <cellStyle name="Migliaia 33 3 5" xfId="19432" xr:uid="{00000000-0005-0000-0000-0000E77B0000}"/>
    <cellStyle name="Migliaia 33 3 5 2" xfId="37396" xr:uid="{00000000-0005-0000-0000-0000E87B0000}"/>
    <cellStyle name="Migliaia 33 3 6" xfId="3309" xr:uid="{00000000-0005-0000-0000-0000E97B0000}"/>
    <cellStyle name="Migliaia 33 3 6 2" xfId="23309" xr:uid="{00000000-0005-0000-0000-0000EA7B0000}"/>
    <cellStyle name="Migliaia 33 3 7" xfId="21535" xr:uid="{00000000-0005-0000-0000-0000EB7B0000}"/>
    <cellStyle name="Migliaia 33 3 8" xfId="38351" xr:uid="{00000000-0005-0000-0000-0000EC7B0000}"/>
    <cellStyle name="Migliaia 33 3 9" xfId="39213" xr:uid="{00000000-0005-0000-0000-0000ED7B0000}"/>
    <cellStyle name="Migliaia 33 4" xfId="607" xr:uid="{00000000-0005-0000-0000-0000EE7B0000}"/>
    <cellStyle name="Migliaia 33 4 2" xfId="19436" xr:uid="{00000000-0005-0000-0000-0000EF7B0000}"/>
    <cellStyle name="Migliaia 33 4 2 2" xfId="20555" xr:uid="{00000000-0005-0000-0000-0000F07B0000}"/>
    <cellStyle name="Migliaia 33 4 2 2 2" xfId="37872" xr:uid="{00000000-0005-0000-0000-0000F17B0000}"/>
    <cellStyle name="Migliaia 33 4 2 2 3" xfId="38827" xr:uid="{00000000-0005-0000-0000-0000F27B0000}"/>
    <cellStyle name="Migliaia 33 4 2 3" xfId="37400" xr:uid="{00000000-0005-0000-0000-0000F37B0000}"/>
    <cellStyle name="Migliaia 33 4 2 4" xfId="38355" xr:uid="{00000000-0005-0000-0000-0000F47B0000}"/>
    <cellStyle name="Migliaia 33 4 3" xfId="20554" xr:uid="{00000000-0005-0000-0000-0000F57B0000}"/>
    <cellStyle name="Migliaia 33 4 3 2" xfId="37871" xr:uid="{00000000-0005-0000-0000-0000F67B0000}"/>
    <cellStyle name="Migliaia 33 4 3 3" xfId="38826" xr:uid="{00000000-0005-0000-0000-0000F77B0000}"/>
    <cellStyle name="Migliaia 33 4 4" xfId="19435" xr:uid="{00000000-0005-0000-0000-0000F87B0000}"/>
    <cellStyle name="Migliaia 33 4 4 2" xfId="37399" xr:uid="{00000000-0005-0000-0000-0000F97B0000}"/>
    <cellStyle name="Migliaia 33 4 5" xfId="11500" xr:uid="{00000000-0005-0000-0000-0000FA7B0000}"/>
    <cellStyle name="Migliaia 33 4 6" xfId="21537" xr:uid="{00000000-0005-0000-0000-0000FB7B0000}"/>
    <cellStyle name="Migliaia 33 4 7" xfId="38354" xr:uid="{00000000-0005-0000-0000-0000FC7B0000}"/>
    <cellStyle name="Migliaia 33 4 8" xfId="39690" xr:uid="{00000000-0005-0000-0000-0000FD7B0000}"/>
    <cellStyle name="Migliaia 33 4 9" xfId="40176" xr:uid="{00000000-0005-0000-0000-0000FE7B0000}"/>
    <cellStyle name="Migliaia 33 5" xfId="608" xr:uid="{00000000-0005-0000-0000-0000FF7B0000}"/>
    <cellStyle name="Migliaia 33 5 2" xfId="19437" xr:uid="{00000000-0005-0000-0000-0000007C0000}"/>
    <cellStyle name="Migliaia 33 5 2 2" xfId="37401" xr:uid="{00000000-0005-0000-0000-0000017C0000}"/>
    <cellStyle name="Migliaia 33 5 3" xfId="11501" xr:uid="{00000000-0005-0000-0000-0000027C0000}"/>
    <cellStyle name="Migliaia 33 5 4" xfId="21538" xr:uid="{00000000-0005-0000-0000-0000037C0000}"/>
    <cellStyle name="Migliaia 33 5 5" xfId="38356" xr:uid="{00000000-0005-0000-0000-0000047C0000}"/>
    <cellStyle name="Migliaia 33 5 6" xfId="39691" xr:uid="{00000000-0005-0000-0000-0000057C0000}"/>
    <cellStyle name="Migliaia 33 5 7" xfId="40177" xr:uid="{00000000-0005-0000-0000-0000067C0000}"/>
    <cellStyle name="Migliaia 33 6" xfId="609" xr:uid="{00000000-0005-0000-0000-0000077C0000}"/>
    <cellStyle name="Migliaia 33 6 2" xfId="11496" xr:uid="{00000000-0005-0000-0000-0000087C0000}"/>
    <cellStyle name="Migliaia 33 6 3" xfId="21539" xr:uid="{00000000-0005-0000-0000-0000097C0000}"/>
    <cellStyle name="Migliaia 33 6 4" xfId="39692" xr:uid="{00000000-0005-0000-0000-00000A7C0000}"/>
    <cellStyle name="Migliaia 33 6 5" xfId="40178" xr:uid="{00000000-0005-0000-0000-00000B7C0000}"/>
    <cellStyle name="Migliaia 33 7" xfId="12127" xr:uid="{00000000-0005-0000-0000-00000C7C0000}"/>
    <cellStyle name="Migliaia 33 7 2" xfId="30312" xr:uid="{00000000-0005-0000-0000-00000D7C0000}"/>
    <cellStyle name="Migliaia 33 8" xfId="19430" xr:uid="{00000000-0005-0000-0000-00000E7C0000}"/>
    <cellStyle name="Migliaia 33 8 2" xfId="37394" xr:uid="{00000000-0005-0000-0000-00000F7C0000}"/>
    <cellStyle name="Migliaia 33 9" xfId="3307" xr:uid="{00000000-0005-0000-0000-0000107C0000}"/>
    <cellStyle name="Migliaia 33 9 2" xfId="23307" xr:uid="{00000000-0005-0000-0000-0000117C0000}"/>
    <cellStyle name="Migliaia 34" xfId="610" xr:uid="{00000000-0005-0000-0000-0000127C0000}"/>
    <cellStyle name="Migliaia 34 10" xfId="21540" xr:uid="{00000000-0005-0000-0000-0000137C0000}"/>
    <cellStyle name="Migliaia 34 11" xfId="38357" xr:uid="{00000000-0005-0000-0000-0000147C0000}"/>
    <cellStyle name="Migliaia 34 12" xfId="39215" xr:uid="{00000000-0005-0000-0000-0000157C0000}"/>
    <cellStyle name="Migliaia 34 13" xfId="39693" xr:uid="{00000000-0005-0000-0000-0000167C0000}"/>
    <cellStyle name="Migliaia 34 14" xfId="40179" xr:uid="{00000000-0005-0000-0000-0000177C0000}"/>
    <cellStyle name="Migliaia 34 2" xfId="611" xr:uid="{00000000-0005-0000-0000-0000187C0000}"/>
    <cellStyle name="Migliaia 34 2 10" xfId="39694" xr:uid="{00000000-0005-0000-0000-0000197C0000}"/>
    <cellStyle name="Migliaia 34 2 11" xfId="40180" xr:uid="{00000000-0005-0000-0000-00001A7C0000}"/>
    <cellStyle name="Migliaia 34 2 2" xfId="3565" xr:uid="{00000000-0005-0000-0000-00001B7C0000}"/>
    <cellStyle name="Migliaia 34 2 2 2" xfId="12326" xr:uid="{00000000-0005-0000-0000-00001C7C0000}"/>
    <cellStyle name="Migliaia 34 2 2 2 2" xfId="30496" xr:uid="{00000000-0005-0000-0000-00001D7C0000}"/>
    <cellStyle name="Migliaia 34 2 2 3" xfId="20556" xr:uid="{00000000-0005-0000-0000-00001E7C0000}"/>
    <cellStyle name="Migliaia 34 2 2 3 2" xfId="37873" xr:uid="{00000000-0005-0000-0000-00001F7C0000}"/>
    <cellStyle name="Migliaia 34 2 2 4" xfId="23494" xr:uid="{00000000-0005-0000-0000-0000207C0000}"/>
    <cellStyle name="Migliaia 34 2 2 5" xfId="38828" xr:uid="{00000000-0005-0000-0000-0000217C0000}"/>
    <cellStyle name="Migliaia 34 2 2 6" xfId="39410" xr:uid="{00000000-0005-0000-0000-0000227C0000}"/>
    <cellStyle name="Migliaia 34 2 3" xfId="11503" xr:uid="{00000000-0005-0000-0000-0000237C0000}"/>
    <cellStyle name="Migliaia 34 2 4" xfId="12132" xr:uid="{00000000-0005-0000-0000-0000247C0000}"/>
    <cellStyle name="Migliaia 34 2 4 2" xfId="30317" xr:uid="{00000000-0005-0000-0000-0000257C0000}"/>
    <cellStyle name="Migliaia 34 2 5" xfId="19439" xr:uid="{00000000-0005-0000-0000-0000267C0000}"/>
    <cellStyle name="Migliaia 34 2 5 2" xfId="37403" xr:uid="{00000000-0005-0000-0000-0000277C0000}"/>
    <cellStyle name="Migliaia 34 2 6" xfId="3312" xr:uid="{00000000-0005-0000-0000-0000287C0000}"/>
    <cellStyle name="Migliaia 34 2 6 2" xfId="23312" xr:uid="{00000000-0005-0000-0000-0000297C0000}"/>
    <cellStyle name="Migliaia 34 2 7" xfId="21541" xr:uid="{00000000-0005-0000-0000-00002A7C0000}"/>
    <cellStyle name="Migliaia 34 2 8" xfId="38358" xr:uid="{00000000-0005-0000-0000-00002B7C0000}"/>
    <cellStyle name="Migliaia 34 2 9" xfId="39216" xr:uid="{00000000-0005-0000-0000-00002C7C0000}"/>
    <cellStyle name="Migliaia 34 3" xfId="612" xr:uid="{00000000-0005-0000-0000-00002D7C0000}"/>
    <cellStyle name="Migliaia 34 3 10" xfId="39695" xr:uid="{00000000-0005-0000-0000-00002E7C0000}"/>
    <cellStyle name="Migliaia 34 3 11" xfId="40181" xr:uid="{00000000-0005-0000-0000-00002F7C0000}"/>
    <cellStyle name="Migliaia 34 3 2" xfId="613" xr:uid="{00000000-0005-0000-0000-0000307C0000}"/>
    <cellStyle name="Migliaia 34 3 2 10" xfId="40182" xr:uid="{00000000-0005-0000-0000-0000317C0000}"/>
    <cellStyle name="Migliaia 34 3 2 2" xfId="11505" xr:uid="{00000000-0005-0000-0000-0000327C0000}"/>
    <cellStyle name="Migliaia 34 3 2 3" xfId="12134" xr:uid="{00000000-0005-0000-0000-0000337C0000}"/>
    <cellStyle name="Migliaia 34 3 2 3 2" xfId="30319" xr:uid="{00000000-0005-0000-0000-0000347C0000}"/>
    <cellStyle name="Migliaia 34 3 2 4" xfId="19441" xr:uid="{00000000-0005-0000-0000-0000357C0000}"/>
    <cellStyle name="Migliaia 34 3 2 4 2" xfId="37405" xr:uid="{00000000-0005-0000-0000-0000367C0000}"/>
    <cellStyle name="Migliaia 34 3 2 5" xfId="3314" xr:uid="{00000000-0005-0000-0000-0000377C0000}"/>
    <cellStyle name="Migliaia 34 3 2 5 2" xfId="23314" xr:uid="{00000000-0005-0000-0000-0000387C0000}"/>
    <cellStyle name="Migliaia 34 3 2 6" xfId="21543" xr:uid="{00000000-0005-0000-0000-0000397C0000}"/>
    <cellStyle name="Migliaia 34 3 2 7" xfId="38360" xr:uid="{00000000-0005-0000-0000-00003A7C0000}"/>
    <cellStyle name="Migliaia 34 3 2 8" xfId="39218" xr:uid="{00000000-0005-0000-0000-00003B7C0000}"/>
    <cellStyle name="Migliaia 34 3 2 9" xfId="39696" xr:uid="{00000000-0005-0000-0000-00003C7C0000}"/>
    <cellStyle name="Migliaia 34 3 3" xfId="11504" xr:uid="{00000000-0005-0000-0000-00003D7C0000}"/>
    <cellStyle name="Migliaia 34 3 3 2" xfId="20558" xr:uid="{00000000-0005-0000-0000-00003E7C0000}"/>
    <cellStyle name="Migliaia 34 3 3 2 2" xfId="37875" xr:uid="{00000000-0005-0000-0000-00003F7C0000}"/>
    <cellStyle name="Migliaia 34 3 3 2 3" xfId="38830" xr:uid="{00000000-0005-0000-0000-0000407C0000}"/>
    <cellStyle name="Migliaia 34 3 3 3" xfId="19442" xr:uid="{00000000-0005-0000-0000-0000417C0000}"/>
    <cellStyle name="Migliaia 34 3 3 3 2" xfId="37406" xr:uid="{00000000-0005-0000-0000-0000427C0000}"/>
    <cellStyle name="Migliaia 34 3 3 4" xfId="38361" xr:uid="{00000000-0005-0000-0000-0000437C0000}"/>
    <cellStyle name="Migliaia 34 3 4" xfId="12133" xr:uid="{00000000-0005-0000-0000-0000447C0000}"/>
    <cellStyle name="Migliaia 34 3 4 2" xfId="20557" xr:uid="{00000000-0005-0000-0000-0000457C0000}"/>
    <cellStyle name="Migliaia 34 3 4 2 2" xfId="37874" xr:uid="{00000000-0005-0000-0000-0000467C0000}"/>
    <cellStyle name="Migliaia 34 3 4 3" xfId="30318" xr:uid="{00000000-0005-0000-0000-0000477C0000}"/>
    <cellStyle name="Migliaia 34 3 4 4" xfId="38829" xr:uid="{00000000-0005-0000-0000-0000487C0000}"/>
    <cellStyle name="Migliaia 34 3 5" xfId="19440" xr:uid="{00000000-0005-0000-0000-0000497C0000}"/>
    <cellStyle name="Migliaia 34 3 5 2" xfId="37404" xr:uid="{00000000-0005-0000-0000-00004A7C0000}"/>
    <cellStyle name="Migliaia 34 3 6" xfId="3313" xr:uid="{00000000-0005-0000-0000-00004B7C0000}"/>
    <cellStyle name="Migliaia 34 3 6 2" xfId="23313" xr:uid="{00000000-0005-0000-0000-00004C7C0000}"/>
    <cellStyle name="Migliaia 34 3 7" xfId="21542" xr:uid="{00000000-0005-0000-0000-00004D7C0000}"/>
    <cellStyle name="Migliaia 34 3 8" xfId="38359" xr:uid="{00000000-0005-0000-0000-00004E7C0000}"/>
    <cellStyle name="Migliaia 34 3 9" xfId="39217" xr:uid="{00000000-0005-0000-0000-00004F7C0000}"/>
    <cellStyle name="Migliaia 34 4" xfId="614" xr:uid="{00000000-0005-0000-0000-0000507C0000}"/>
    <cellStyle name="Migliaia 34 4 2" xfId="19444" xr:uid="{00000000-0005-0000-0000-0000517C0000}"/>
    <cellStyle name="Migliaia 34 4 2 2" xfId="20560" xr:uid="{00000000-0005-0000-0000-0000527C0000}"/>
    <cellStyle name="Migliaia 34 4 2 2 2" xfId="37877" xr:uid="{00000000-0005-0000-0000-0000537C0000}"/>
    <cellStyle name="Migliaia 34 4 2 2 3" xfId="38832" xr:uid="{00000000-0005-0000-0000-0000547C0000}"/>
    <cellStyle name="Migliaia 34 4 2 3" xfId="37408" xr:uid="{00000000-0005-0000-0000-0000557C0000}"/>
    <cellStyle name="Migliaia 34 4 2 4" xfId="38363" xr:uid="{00000000-0005-0000-0000-0000567C0000}"/>
    <cellStyle name="Migliaia 34 4 3" xfId="20559" xr:uid="{00000000-0005-0000-0000-0000577C0000}"/>
    <cellStyle name="Migliaia 34 4 3 2" xfId="37876" xr:uid="{00000000-0005-0000-0000-0000587C0000}"/>
    <cellStyle name="Migliaia 34 4 3 3" xfId="38831" xr:uid="{00000000-0005-0000-0000-0000597C0000}"/>
    <cellStyle name="Migliaia 34 4 4" xfId="19443" xr:uid="{00000000-0005-0000-0000-00005A7C0000}"/>
    <cellStyle name="Migliaia 34 4 4 2" xfId="37407" xr:uid="{00000000-0005-0000-0000-00005B7C0000}"/>
    <cellStyle name="Migliaia 34 4 5" xfId="11506" xr:uid="{00000000-0005-0000-0000-00005C7C0000}"/>
    <cellStyle name="Migliaia 34 4 6" xfId="21544" xr:uid="{00000000-0005-0000-0000-00005D7C0000}"/>
    <cellStyle name="Migliaia 34 4 7" xfId="38362" xr:uid="{00000000-0005-0000-0000-00005E7C0000}"/>
    <cellStyle name="Migliaia 34 4 8" xfId="39697" xr:uid="{00000000-0005-0000-0000-00005F7C0000}"/>
    <cellStyle name="Migliaia 34 4 9" xfId="40183" xr:uid="{00000000-0005-0000-0000-0000607C0000}"/>
    <cellStyle name="Migliaia 34 5" xfId="615" xr:uid="{00000000-0005-0000-0000-0000617C0000}"/>
    <cellStyle name="Migliaia 34 5 2" xfId="19445" xr:uid="{00000000-0005-0000-0000-0000627C0000}"/>
    <cellStyle name="Migliaia 34 5 2 2" xfId="37409" xr:uid="{00000000-0005-0000-0000-0000637C0000}"/>
    <cellStyle name="Migliaia 34 5 3" xfId="11507" xr:uid="{00000000-0005-0000-0000-0000647C0000}"/>
    <cellStyle name="Migliaia 34 5 4" xfId="21545" xr:uid="{00000000-0005-0000-0000-0000657C0000}"/>
    <cellStyle name="Migliaia 34 5 5" xfId="38364" xr:uid="{00000000-0005-0000-0000-0000667C0000}"/>
    <cellStyle name="Migliaia 34 5 6" xfId="39698" xr:uid="{00000000-0005-0000-0000-0000677C0000}"/>
    <cellStyle name="Migliaia 34 5 7" xfId="40184" xr:uid="{00000000-0005-0000-0000-0000687C0000}"/>
    <cellStyle name="Migliaia 34 6" xfId="616" xr:uid="{00000000-0005-0000-0000-0000697C0000}"/>
    <cellStyle name="Migliaia 34 6 2" xfId="11502" xr:uid="{00000000-0005-0000-0000-00006A7C0000}"/>
    <cellStyle name="Migliaia 34 6 3" xfId="21546" xr:uid="{00000000-0005-0000-0000-00006B7C0000}"/>
    <cellStyle name="Migliaia 34 6 4" xfId="39699" xr:uid="{00000000-0005-0000-0000-00006C7C0000}"/>
    <cellStyle name="Migliaia 34 6 5" xfId="40185" xr:uid="{00000000-0005-0000-0000-00006D7C0000}"/>
    <cellStyle name="Migliaia 34 7" xfId="12131" xr:uid="{00000000-0005-0000-0000-00006E7C0000}"/>
    <cellStyle name="Migliaia 34 7 2" xfId="30316" xr:uid="{00000000-0005-0000-0000-00006F7C0000}"/>
    <cellStyle name="Migliaia 34 8" xfId="19438" xr:uid="{00000000-0005-0000-0000-0000707C0000}"/>
    <cellStyle name="Migliaia 34 8 2" xfId="37402" xr:uid="{00000000-0005-0000-0000-0000717C0000}"/>
    <cellStyle name="Migliaia 34 9" xfId="3311" xr:uid="{00000000-0005-0000-0000-0000727C0000}"/>
    <cellStyle name="Migliaia 34 9 2" xfId="23311" xr:uid="{00000000-0005-0000-0000-0000737C0000}"/>
    <cellStyle name="Migliaia 35" xfId="617" xr:uid="{00000000-0005-0000-0000-0000747C0000}"/>
    <cellStyle name="Migliaia 35 10" xfId="21547" xr:uid="{00000000-0005-0000-0000-0000757C0000}"/>
    <cellStyle name="Migliaia 35 11" xfId="38365" xr:uid="{00000000-0005-0000-0000-0000767C0000}"/>
    <cellStyle name="Migliaia 35 12" xfId="39219" xr:uid="{00000000-0005-0000-0000-0000777C0000}"/>
    <cellStyle name="Migliaia 35 13" xfId="39700" xr:uid="{00000000-0005-0000-0000-0000787C0000}"/>
    <cellStyle name="Migliaia 35 14" xfId="40186" xr:uid="{00000000-0005-0000-0000-0000797C0000}"/>
    <cellStyle name="Migliaia 35 2" xfId="618" xr:uid="{00000000-0005-0000-0000-00007A7C0000}"/>
    <cellStyle name="Migliaia 35 2 10" xfId="39701" xr:uid="{00000000-0005-0000-0000-00007B7C0000}"/>
    <cellStyle name="Migliaia 35 2 11" xfId="40187" xr:uid="{00000000-0005-0000-0000-00007C7C0000}"/>
    <cellStyle name="Migliaia 35 2 2" xfId="3566" xr:uid="{00000000-0005-0000-0000-00007D7C0000}"/>
    <cellStyle name="Migliaia 35 2 2 2" xfId="12327" xr:uid="{00000000-0005-0000-0000-00007E7C0000}"/>
    <cellStyle name="Migliaia 35 2 2 2 2" xfId="30497" xr:uid="{00000000-0005-0000-0000-00007F7C0000}"/>
    <cellStyle name="Migliaia 35 2 2 3" xfId="20561" xr:uid="{00000000-0005-0000-0000-0000807C0000}"/>
    <cellStyle name="Migliaia 35 2 2 3 2" xfId="37878" xr:uid="{00000000-0005-0000-0000-0000817C0000}"/>
    <cellStyle name="Migliaia 35 2 2 4" xfId="23495" xr:uid="{00000000-0005-0000-0000-0000827C0000}"/>
    <cellStyle name="Migliaia 35 2 2 5" xfId="38833" xr:uid="{00000000-0005-0000-0000-0000837C0000}"/>
    <cellStyle name="Migliaia 35 2 2 6" xfId="39411" xr:uid="{00000000-0005-0000-0000-0000847C0000}"/>
    <cellStyle name="Migliaia 35 2 3" xfId="11509" xr:uid="{00000000-0005-0000-0000-0000857C0000}"/>
    <cellStyle name="Migliaia 35 2 4" xfId="12136" xr:uid="{00000000-0005-0000-0000-0000867C0000}"/>
    <cellStyle name="Migliaia 35 2 4 2" xfId="30321" xr:uid="{00000000-0005-0000-0000-0000877C0000}"/>
    <cellStyle name="Migliaia 35 2 5" xfId="19447" xr:uid="{00000000-0005-0000-0000-0000887C0000}"/>
    <cellStyle name="Migliaia 35 2 5 2" xfId="37411" xr:uid="{00000000-0005-0000-0000-0000897C0000}"/>
    <cellStyle name="Migliaia 35 2 6" xfId="3316" xr:uid="{00000000-0005-0000-0000-00008A7C0000}"/>
    <cellStyle name="Migliaia 35 2 6 2" xfId="23316" xr:uid="{00000000-0005-0000-0000-00008B7C0000}"/>
    <cellStyle name="Migliaia 35 2 7" xfId="21548" xr:uid="{00000000-0005-0000-0000-00008C7C0000}"/>
    <cellStyle name="Migliaia 35 2 8" xfId="38366" xr:uid="{00000000-0005-0000-0000-00008D7C0000}"/>
    <cellStyle name="Migliaia 35 2 9" xfId="39220" xr:uid="{00000000-0005-0000-0000-00008E7C0000}"/>
    <cellStyle name="Migliaia 35 3" xfId="619" xr:uid="{00000000-0005-0000-0000-00008F7C0000}"/>
    <cellStyle name="Migliaia 35 3 10" xfId="39702" xr:uid="{00000000-0005-0000-0000-0000907C0000}"/>
    <cellStyle name="Migliaia 35 3 11" xfId="40188" xr:uid="{00000000-0005-0000-0000-0000917C0000}"/>
    <cellStyle name="Migliaia 35 3 2" xfId="620" xr:uid="{00000000-0005-0000-0000-0000927C0000}"/>
    <cellStyle name="Migliaia 35 3 2 10" xfId="40189" xr:uid="{00000000-0005-0000-0000-0000937C0000}"/>
    <cellStyle name="Migliaia 35 3 2 2" xfId="11511" xr:uid="{00000000-0005-0000-0000-0000947C0000}"/>
    <cellStyle name="Migliaia 35 3 2 3" xfId="12138" xr:uid="{00000000-0005-0000-0000-0000957C0000}"/>
    <cellStyle name="Migliaia 35 3 2 3 2" xfId="30323" xr:uid="{00000000-0005-0000-0000-0000967C0000}"/>
    <cellStyle name="Migliaia 35 3 2 4" xfId="19449" xr:uid="{00000000-0005-0000-0000-0000977C0000}"/>
    <cellStyle name="Migliaia 35 3 2 4 2" xfId="37413" xr:uid="{00000000-0005-0000-0000-0000987C0000}"/>
    <cellStyle name="Migliaia 35 3 2 5" xfId="3318" xr:uid="{00000000-0005-0000-0000-0000997C0000}"/>
    <cellStyle name="Migliaia 35 3 2 5 2" xfId="23318" xr:uid="{00000000-0005-0000-0000-00009A7C0000}"/>
    <cellStyle name="Migliaia 35 3 2 6" xfId="21550" xr:uid="{00000000-0005-0000-0000-00009B7C0000}"/>
    <cellStyle name="Migliaia 35 3 2 7" xfId="38368" xr:uid="{00000000-0005-0000-0000-00009C7C0000}"/>
    <cellStyle name="Migliaia 35 3 2 8" xfId="39222" xr:uid="{00000000-0005-0000-0000-00009D7C0000}"/>
    <cellStyle name="Migliaia 35 3 2 9" xfId="39703" xr:uid="{00000000-0005-0000-0000-00009E7C0000}"/>
    <cellStyle name="Migliaia 35 3 3" xfId="11510" xr:uid="{00000000-0005-0000-0000-00009F7C0000}"/>
    <cellStyle name="Migliaia 35 3 3 2" xfId="20563" xr:uid="{00000000-0005-0000-0000-0000A07C0000}"/>
    <cellStyle name="Migliaia 35 3 3 2 2" xfId="37880" xr:uid="{00000000-0005-0000-0000-0000A17C0000}"/>
    <cellStyle name="Migliaia 35 3 3 2 3" xfId="38835" xr:uid="{00000000-0005-0000-0000-0000A27C0000}"/>
    <cellStyle name="Migliaia 35 3 3 3" xfId="19450" xr:uid="{00000000-0005-0000-0000-0000A37C0000}"/>
    <cellStyle name="Migliaia 35 3 3 3 2" xfId="37414" xr:uid="{00000000-0005-0000-0000-0000A47C0000}"/>
    <cellStyle name="Migliaia 35 3 3 4" xfId="38369" xr:uid="{00000000-0005-0000-0000-0000A57C0000}"/>
    <cellStyle name="Migliaia 35 3 4" xfId="12137" xr:uid="{00000000-0005-0000-0000-0000A67C0000}"/>
    <cellStyle name="Migliaia 35 3 4 2" xfId="20562" xr:uid="{00000000-0005-0000-0000-0000A77C0000}"/>
    <cellStyle name="Migliaia 35 3 4 2 2" xfId="37879" xr:uid="{00000000-0005-0000-0000-0000A87C0000}"/>
    <cellStyle name="Migliaia 35 3 4 3" xfId="30322" xr:uid="{00000000-0005-0000-0000-0000A97C0000}"/>
    <cellStyle name="Migliaia 35 3 4 4" xfId="38834" xr:uid="{00000000-0005-0000-0000-0000AA7C0000}"/>
    <cellStyle name="Migliaia 35 3 5" xfId="19448" xr:uid="{00000000-0005-0000-0000-0000AB7C0000}"/>
    <cellStyle name="Migliaia 35 3 5 2" xfId="37412" xr:uid="{00000000-0005-0000-0000-0000AC7C0000}"/>
    <cellStyle name="Migliaia 35 3 6" xfId="3317" xr:uid="{00000000-0005-0000-0000-0000AD7C0000}"/>
    <cellStyle name="Migliaia 35 3 6 2" xfId="23317" xr:uid="{00000000-0005-0000-0000-0000AE7C0000}"/>
    <cellStyle name="Migliaia 35 3 7" xfId="21549" xr:uid="{00000000-0005-0000-0000-0000AF7C0000}"/>
    <cellStyle name="Migliaia 35 3 8" xfId="38367" xr:uid="{00000000-0005-0000-0000-0000B07C0000}"/>
    <cellStyle name="Migliaia 35 3 9" xfId="39221" xr:uid="{00000000-0005-0000-0000-0000B17C0000}"/>
    <cellStyle name="Migliaia 35 4" xfId="621" xr:uid="{00000000-0005-0000-0000-0000B27C0000}"/>
    <cellStyle name="Migliaia 35 4 2" xfId="19452" xr:uid="{00000000-0005-0000-0000-0000B37C0000}"/>
    <cellStyle name="Migliaia 35 4 2 2" xfId="20565" xr:uid="{00000000-0005-0000-0000-0000B47C0000}"/>
    <cellStyle name="Migliaia 35 4 2 2 2" xfId="37882" xr:uid="{00000000-0005-0000-0000-0000B57C0000}"/>
    <cellStyle name="Migliaia 35 4 2 2 3" xfId="38837" xr:uid="{00000000-0005-0000-0000-0000B67C0000}"/>
    <cellStyle name="Migliaia 35 4 2 3" xfId="37416" xr:uid="{00000000-0005-0000-0000-0000B77C0000}"/>
    <cellStyle name="Migliaia 35 4 2 4" xfId="38371" xr:uid="{00000000-0005-0000-0000-0000B87C0000}"/>
    <cellStyle name="Migliaia 35 4 3" xfId="20564" xr:uid="{00000000-0005-0000-0000-0000B97C0000}"/>
    <cellStyle name="Migliaia 35 4 3 2" xfId="37881" xr:uid="{00000000-0005-0000-0000-0000BA7C0000}"/>
    <cellStyle name="Migliaia 35 4 3 3" xfId="38836" xr:uid="{00000000-0005-0000-0000-0000BB7C0000}"/>
    <cellStyle name="Migliaia 35 4 4" xfId="19451" xr:uid="{00000000-0005-0000-0000-0000BC7C0000}"/>
    <cellStyle name="Migliaia 35 4 4 2" xfId="37415" xr:uid="{00000000-0005-0000-0000-0000BD7C0000}"/>
    <cellStyle name="Migliaia 35 4 5" xfId="11512" xr:uid="{00000000-0005-0000-0000-0000BE7C0000}"/>
    <cellStyle name="Migliaia 35 4 6" xfId="21551" xr:uid="{00000000-0005-0000-0000-0000BF7C0000}"/>
    <cellStyle name="Migliaia 35 4 7" xfId="38370" xr:uid="{00000000-0005-0000-0000-0000C07C0000}"/>
    <cellStyle name="Migliaia 35 4 8" xfId="39704" xr:uid="{00000000-0005-0000-0000-0000C17C0000}"/>
    <cellStyle name="Migliaia 35 4 9" xfId="40190" xr:uid="{00000000-0005-0000-0000-0000C27C0000}"/>
    <cellStyle name="Migliaia 35 5" xfId="622" xr:uid="{00000000-0005-0000-0000-0000C37C0000}"/>
    <cellStyle name="Migliaia 35 5 2" xfId="19453" xr:uid="{00000000-0005-0000-0000-0000C47C0000}"/>
    <cellStyle name="Migliaia 35 5 2 2" xfId="37417" xr:uid="{00000000-0005-0000-0000-0000C57C0000}"/>
    <cellStyle name="Migliaia 35 5 3" xfId="11513" xr:uid="{00000000-0005-0000-0000-0000C67C0000}"/>
    <cellStyle name="Migliaia 35 5 4" xfId="21552" xr:uid="{00000000-0005-0000-0000-0000C77C0000}"/>
    <cellStyle name="Migliaia 35 5 5" xfId="38372" xr:uid="{00000000-0005-0000-0000-0000C87C0000}"/>
    <cellStyle name="Migliaia 35 5 6" xfId="39705" xr:uid="{00000000-0005-0000-0000-0000C97C0000}"/>
    <cellStyle name="Migliaia 35 5 7" xfId="40191" xr:uid="{00000000-0005-0000-0000-0000CA7C0000}"/>
    <cellStyle name="Migliaia 35 6" xfId="623" xr:uid="{00000000-0005-0000-0000-0000CB7C0000}"/>
    <cellStyle name="Migliaia 35 6 2" xfId="11508" xr:uid="{00000000-0005-0000-0000-0000CC7C0000}"/>
    <cellStyle name="Migliaia 35 6 3" xfId="21553" xr:uid="{00000000-0005-0000-0000-0000CD7C0000}"/>
    <cellStyle name="Migliaia 35 6 4" xfId="39706" xr:uid="{00000000-0005-0000-0000-0000CE7C0000}"/>
    <cellStyle name="Migliaia 35 6 5" xfId="40192" xr:uid="{00000000-0005-0000-0000-0000CF7C0000}"/>
    <cellStyle name="Migliaia 35 7" xfId="12135" xr:uid="{00000000-0005-0000-0000-0000D07C0000}"/>
    <cellStyle name="Migliaia 35 7 2" xfId="30320" xr:uid="{00000000-0005-0000-0000-0000D17C0000}"/>
    <cellStyle name="Migliaia 35 8" xfId="19446" xr:uid="{00000000-0005-0000-0000-0000D27C0000}"/>
    <cellStyle name="Migliaia 35 8 2" xfId="37410" xr:uid="{00000000-0005-0000-0000-0000D37C0000}"/>
    <cellStyle name="Migliaia 35 9" xfId="3315" xr:uid="{00000000-0005-0000-0000-0000D47C0000}"/>
    <cellStyle name="Migliaia 35 9 2" xfId="23315" xr:uid="{00000000-0005-0000-0000-0000D57C0000}"/>
    <cellStyle name="Migliaia 36" xfId="624" xr:uid="{00000000-0005-0000-0000-0000D67C0000}"/>
    <cellStyle name="Migliaia 36 10" xfId="21554" xr:uid="{00000000-0005-0000-0000-0000D77C0000}"/>
    <cellStyle name="Migliaia 36 11" xfId="38373" xr:uid="{00000000-0005-0000-0000-0000D87C0000}"/>
    <cellStyle name="Migliaia 36 12" xfId="39223" xr:uid="{00000000-0005-0000-0000-0000D97C0000}"/>
    <cellStyle name="Migliaia 36 13" xfId="39707" xr:uid="{00000000-0005-0000-0000-0000DA7C0000}"/>
    <cellStyle name="Migliaia 36 14" xfId="40193" xr:uid="{00000000-0005-0000-0000-0000DB7C0000}"/>
    <cellStyle name="Migliaia 36 2" xfId="625" xr:uid="{00000000-0005-0000-0000-0000DC7C0000}"/>
    <cellStyle name="Migliaia 36 2 10" xfId="39708" xr:uid="{00000000-0005-0000-0000-0000DD7C0000}"/>
    <cellStyle name="Migliaia 36 2 11" xfId="40194" xr:uid="{00000000-0005-0000-0000-0000DE7C0000}"/>
    <cellStyle name="Migliaia 36 2 2" xfId="3567" xr:uid="{00000000-0005-0000-0000-0000DF7C0000}"/>
    <cellStyle name="Migliaia 36 2 2 2" xfId="12328" xr:uid="{00000000-0005-0000-0000-0000E07C0000}"/>
    <cellStyle name="Migliaia 36 2 2 2 2" xfId="30498" xr:uid="{00000000-0005-0000-0000-0000E17C0000}"/>
    <cellStyle name="Migliaia 36 2 2 3" xfId="20566" xr:uid="{00000000-0005-0000-0000-0000E27C0000}"/>
    <cellStyle name="Migliaia 36 2 2 3 2" xfId="37883" xr:uid="{00000000-0005-0000-0000-0000E37C0000}"/>
    <cellStyle name="Migliaia 36 2 2 4" xfId="23496" xr:uid="{00000000-0005-0000-0000-0000E47C0000}"/>
    <cellStyle name="Migliaia 36 2 2 5" xfId="38838" xr:uid="{00000000-0005-0000-0000-0000E57C0000}"/>
    <cellStyle name="Migliaia 36 2 2 6" xfId="39412" xr:uid="{00000000-0005-0000-0000-0000E67C0000}"/>
    <cellStyle name="Migliaia 36 2 3" xfId="11515" xr:uid="{00000000-0005-0000-0000-0000E77C0000}"/>
    <cellStyle name="Migliaia 36 2 4" xfId="12140" xr:uid="{00000000-0005-0000-0000-0000E87C0000}"/>
    <cellStyle name="Migliaia 36 2 4 2" xfId="30325" xr:uid="{00000000-0005-0000-0000-0000E97C0000}"/>
    <cellStyle name="Migliaia 36 2 5" xfId="19455" xr:uid="{00000000-0005-0000-0000-0000EA7C0000}"/>
    <cellStyle name="Migliaia 36 2 5 2" xfId="37419" xr:uid="{00000000-0005-0000-0000-0000EB7C0000}"/>
    <cellStyle name="Migliaia 36 2 6" xfId="3320" xr:uid="{00000000-0005-0000-0000-0000EC7C0000}"/>
    <cellStyle name="Migliaia 36 2 6 2" xfId="23320" xr:uid="{00000000-0005-0000-0000-0000ED7C0000}"/>
    <cellStyle name="Migliaia 36 2 7" xfId="21555" xr:uid="{00000000-0005-0000-0000-0000EE7C0000}"/>
    <cellStyle name="Migliaia 36 2 8" xfId="38374" xr:uid="{00000000-0005-0000-0000-0000EF7C0000}"/>
    <cellStyle name="Migliaia 36 2 9" xfId="39224" xr:uid="{00000000-0005-0000-0000-0000F07C0000}"/>
    <cellStyle name="Migliaia 36 3" xfId="626" xr:uid="{00000000-0005-0000-0000-0000F17C0000}"/>
    <cellStyle name="Migliaia 36 3 10" xfId="39709" xr:uid="{00000000-0005-0000-0000-0000F27C0000}"/>
    <cellStyle name="Migliaia 36 3 11" xfId="40195" xr:uid="{00000000-0005-0000-0000-0000F37C0000}"/>
    <cellStyle name="Migliaia 36 3 2" xfId="627" xr:uid="{00000000-0005-0000-0000-0000F47C0000}"/>
    <cellStyle name="Migliaia 36 3 2 10" xfId="40196" xr:uid="{00000000-0005-0000-0000-0000F57C0000}"/>
    <cellStyle name="Migliaia 36 3 2 2" xfId="11517" xr:uid="{00000000-0005-0000-0000-0000F67C0000}"/>
    <cellStyle name="Migliaia 36 3 2 3" xfId="12142" xr:uid="{00000000-0005-0000-0000-0000F77C0000}"/>
    <cellStyle name="Migliaia 36 3 2 3 2" xfId="30327" xr:uid="{00000000-0005-0000-0000-0000F87C0000}"/>
    <cellStyle name="Migliaia 36 3 2 4" xfId="19457" xr:uid="{00000000-0005-0000-0000-0000F97C0000}"/>
    <cellStyle name="Migliaia 36 3 2 4 2" xfId="37421" xr:uid="{00000000-0005-0000-0000-0000FA7C0000}"/>
    <cellStyle name="Migliaia 36 3 2 5" xfId="3322" xr:uid="{00000000-0005-0000-0000-0000FB7C0000}"/>
    <cellStyle name="Migliaia 36 3 2 5 2" xfId="23322" xr:uid="{00000000-0005-0000-0000-0000FC7C0000}"/>
    <cellStyle name="Migliaia 36 3 2 6" xfId="21557" xr:uid="{00000000-0005-0000-0000-0000FD7C0000}"/>
    <cellStyle name="Migliaia 36 3 2 7" xfId="38376" xr:uid="{00000000-0005-0000-0000-0000FE7C0000}"/>
    <cellStyle name="Migliaia 36 3 2 8" xfId="39226" xr:uid="{00000000-0005-0000-0000-0000FF7C0000}"/>
    <cellStyle name="Migliaia 36 3 2 9" xfId="39710" xr:uid="{00000000-0005-0000-0000-0000007D0000}"/>
    <cellStyle name="Migliaia 36 3 3" xfId="11516" xr:uid="{00000000-0005-0000-0000-0000017D0000}"/>
    <cellStyle name="Migliaia 36 3 3 2" xfId="20568" xr:uid="{00000000-0005-0000-0000-0000027D0000}"/>
    <cellStyle name="Migliaia 36 3 3 2 2" xfId="37885" xr:uid="{00000000-0005-0000-0000-0000037D0000}"/>
    <cellStyle name="Migliaia 36 3 3 2 3" xfId="38840" xr:uid="{00000000-0005-0000-0000-0000047D0000}"/>
    <cellStyle name="Migliaia 36 3 3 3" xfId="19458" xr:uid="{00000000-0005-0000-0000-0000057D0000}"/>
    <cellStyle name="Migliaia 36 3 3 3 2" xfId="37422" xr:uid="{00000000-0005-0000-0000-0000067D0000}"/>
    <cellStyle name="Migliaia 36 3 3 4" xfId="38377" xr:uid="{00000000-0005-0000-0000-0000077D0000}"/>
    <cellStyle name="Migliaia 36 3 4" xfId="12141" xr:uid="{00000000-0005-0000-0000-0000087D0000}"/>
    <cellStyle name="Migliaia 36 3 4 2" xfId="20567" xr:uid="{00000000-0005-0000-0000-0000097D0000}"/>
    <cellStyle name="Migliaia 36 3 4 2 2" xfId="37884" xr:uid="{00000000-0005-0000-0000-00000A7D0000}"/>
    <cellStyle name="Migliaia 36 3 4 3" xfId="30326" xr:uid="{00000000-0005-0000-0000-00000B7D0000}"/>
    <cellStyle name="Migliaia 36 3 4 4" xfId="38839" xr:uid="{00000000-0005-0000-0000-00000C7D0000}"/>
    <cellStyle name="Migliaia 36 3 5" xfId="19456" xr:uid="{00000000-0005-0000-0000-00000D7D0000}"/>
    <cellStyle name="Migliaia 36 3 5 2" xfId="37420" xr:uid="{00000000-0005-0000-0000-00000E7D0000}"/>
    <cellStyle name="Migliaia 36 3 6" xfId="3321" xr:uid="{00000000-0005-0000-0000-00000F7D0000}"/>
    <cellStyle name="Migliaia 36 3 6 2" xfId="23321" xr:uid="{00000000-0005-0000-0000-0000107D0000}"/>
    <cellStyle name="Migliaia 36 3 7" xfId="21556" xr:uid="{00000000-0005-0000-0000-0000117D0000}"/>
    <cellStyle name="Migliaia 36 3 8" xfId="38375" xr:uid="{00000000-0005-0000-0000-0000127D0000}"/>
    <cellStyle name="Migliaia 36 3 9" xfId="39225" xr:uid="{00000000-0005-0000-0000-0000137D0000}"/>
    <cellStyle name="Migliaia 36 4" xfId="628" xr:uid="{00000000-0005-0000-0000-0000147D0000}"/>
    <cellStyle name="Migliaia 36 4 2" xfId="19460" xr:uid="{00000000-0005-0000-0000-0000157D0000}"/>
    <cellStyle name="Migliaia 36 4 2 2" xfId="20570" xr:uid="{00000000-0005-0000-0000-0000167D0000}"/>
    <cellStyle name="Migliaia 36 4 2 2 2" xfId="37887" xr:uid="{00000000-0005-0000-0000-0000177D0000}"/>
    <cellStyle name="Migliaia 36 4 2 2 3" xfId="38842" xr:uid="{00000000-0005-0000-0000-0000187D0000}"/>
    <cellStyle name="Migliaia 36 4 2 3" xfId="37424" xr:uid="{00000000-0005-0000-0000-0000197D0000}"/>
    <cellStyle name="Migliaia 36 4 2 4" xfId="38379" xr:uid="{00000000-0005-0000-0000-00001A7D0000}"/>
    <cellStyle name="Migliaia 36 4 3" xfId="20569" xr:uid="{00000000-0005-0000-0000-00001B7D0000}"/>
    <cellStyle name="Migliaia 36 4 3 2" xfId="37886" xr:uid="{00000000-0005-0000-0000-00001C7D0000}"/>
    <cellStyle name="Migliaia 36 4 3 3" xfId="38841" xr:uid="{00000000-0005-0000-0000-00001D7D0000}"/>
    <cellStyle name="Migliaia 36 4 4" xfId="19459" xr:uid="{00000000-0005-0000-0000-00001E7D0000}"/>
    <cellStyle name="Migliaia 36 4 4 2" xfId="37423" xr:uid="{00000000-0005-0000-0000-00001F7D0000}"/>
    <cellStyle name="Migliaia 36 4 5" xfId="11518" xr:uid="{00000000-0005-0000-0000-0000207D0000}"/>
    <cellStyle name="Migliaia 36 4 6" xfId="21558" xr:uid="{00000000-0005-0000-0000-0000217D0000}"/>
    <cellStyle name="Migliaia 36 4 7" xfId="38378" xr:uid="{00000000-0005-0000-0000-0000227D0000}"/>
    <cellStyle name="Migliaia 36 4 8" xfId="39711" xr:uid="{00000000-0005-0000-0000-0000237D0000}"/>
    <cellStyle name="Migliaia 36 4 9" xfId="40197" xr:uid="{00000000-0005-0000-0000-0000247D0000}"/>
    <cellStyle name="Migliaia 36 5" xfId="629" xr:uid="{00000000-0005-0000-0000-0000257D0000}"/>
    <cellStyle name="Migliaia 36 5 2" xfId="19461" xr:uid="{00000000-0005-0000-0000-0000267D0000}"/>
    <cellStyle name="Migliaia 36 5 2 2" xfId="37425" xr:uid="{00000000-0005-0000-0000-0000277D0000}"/>
    <cellStyle name="Migliaia 36 5 3" xfId="11519" xr:uid="{00000000-0005-0000-0000-0000287D0000}"/>
    <cellStyle name="Migliaia 36 5 4" xfId="21559" xr:uid="{00000000-0005-0000-0000-0000297D0000}"/>
    <cellStyle name="Migliaia 36 5 5" xfId="38380" xr:uid="{00000000-0005-0000-0000-00002A7D0000}"/>
    <cellStyle name="Migliaia 36 5 6" xfId="39712" xr:uid="{00000000-0005-0000-0000-00002B7D0000}"/>
    <cellStyle name="Migliaia 36 5 7" xfId="40198" xr:uid="{00000000-0005-0000-0000-00002C7D0000}"/>
    <cellStyle name="Migliaia 36 6" xfId="630" xr:uid="{00000000-0005-0000-0000-00002D7D0000}"/>
    <cellStyle name="Migliaia 36 6 2" xfId="11514" xr:uid="{00000000-0005-0000-0000-00002E7D0000}"/>
    <cellStyle name="Migliaia 36 6 3" xfId="21560" xr:uid="{00000000-0005-0000-0000-00002F7D0000}"/>
    <cellStyle name="Migliaia 36 6 4" xfId="39713" xr:uid="{00000000-0005-0000-0000-0000307D0000}"/>
    <cellStyle name="Migliaia 36 6 5" xfId="40199" xr:uid="{00000000-0005-0000-0000-0000317D0000}"/>
    <cellStyle name="Migliaia 36 7" xfId="12139" xr:uid="{00000000-0005-0000-0000-0000327D0000}"/>
    <cellStyle name="Migliaia 36 7 2" xfId="30324" xr:uid="{00000000-0005-0000-0000-0000337D0000}"/>
    <cellStyle name="Migliaia 36 8" xfId="19454" xr:uid="{00000000-0005-0000-0000-0000347D0000}"/>
    <cellStyle name="Migliaia 36 8 2" xfId="37418" xr:uid="{00000000-0005-0000-0000-0000357D0000}"/>
    <cellStyle name="Migliaia 36 9" xfId="3319" xr:uid="{00000000-0005-0000-0000-0000367D0000}"/>
    <cellStyle name="Migliaia 36 9 2" xfId="23319" xr:uid="{00000000-0005-0000-0000-0000377D0000}"/>
    <cellStyle name="Migliaia 37" xfId="631" xr:uid="{00000000-0005-0000-0000-0000387D0000}"/>
    <cellStyle name="Migliaia 37 10" xfId="21561" xr:uid="{00000000-0005-0000-0000-0000397D0000}"/>
    <cellStyle name="Migliaia 37 11" xfId="38381" xr:uid="{00000000-0005-0000-0000-00003A7D0000}"/>
    <cellStyle name="Migliaia 37 12" xfId="39227" xr:uid="{00000000-0005-0000-0000-00003B7D0000}"/>
    <cellStyle name="Migliaia 37 13" xfId="39714" xr:uid="{00000000-0005-0000-0000-00003C7D0000}"/>
    <cellStyle name="Migliaia 37 14" xfId="40200" xr:uid="{00000000-0005-0000-0000-00003D7D0000}"/>
    <cellStyle name="Migliaia 37 2" xfId="632" xr:uid="{00000000-0005-0000-0000-00003E7D0000}"/>
    <cellStyle name="Migliaia 37 2 10" xfId="39715" xr:uid="{00000000-0005-0000-0000-00003F7D0000}"/>
    <cellStyle name="Migliaia 37 2 11" xfId="40201" xr:uid="{00000000-0005-0000-0000-0000407D0000}"/>
    <cellStyle name="Migliaia 37 2 2" xfId="3568" xr:uid="{00000000-0005-0000-0000-0000417D0000}"/>
    <cellStyle name="Migliaia 37 2 2 2" xfId="12329" xr:uid="{00000000-0005-0000-0000-0000427D0000}"/>
    <cellStyle name="Migliaia 37 2 2 2 2" xfId="30499" xr:uid="{00000000-0005-0000-0000-0000437D0000}"/>
    <cellStyle name="Migliaia 37 2 2 3" xfId="20571" xr:uid="{00000000-0005-0000-0000-0000447D0000}"/>
    <cellStyle name="Migliaia 37 2 2 3 2" xfId="37888" xr:uid="{00000000-0005-0000-0000-0000457D0000}"/>
    <cellStyle name="Migliaia 37 2 2 4" xfId="23497" xr:uid="{00000000-0005-0000-0000-0000467D0000}"/>
    <cellStyle name="Migliaia 37 2 2 5" xfId="38843" xr:uid="{00000000-0005-0000-0000-0000477D0000}"/>
    <cellStyle name="Migliaia 37 2 2 6" xfId="39413" xr:uid="{00000000-0005-0000-0000-0000487D0000}"/>
    <cellStyle name="Migliaia 37 2 3" xfId="11521" xr:uid="{00000000-0005-0000-0000-0000497D0000}"/>
    <cellStyle name="Migliaia 37 2 4" xfId="12144" xr:uid="{00000000-0005-0000-0000-00004A7D0000}"/>
    <cellStyle name="Migliaia 37 2 4 2" xfId="30329" xr:uid="{00000000-0005-0000-0000-00004B7D0000}"/>
    <cellStyle name="Migliaia 37 2 5" xfId="19463" xr:uid="{00000000-0005-0000-0000-00004C7D0000}"/>
    <cellStyle name="Migliaia 37 2 5 2" xfId="37427" xr:uid="{00000000-0005-0000-0000-00004D7D0000}"/>
    <cellStyle name="Migliaia 37 2 6" xfId="3324" xr:uid="{00000000-0005-0000-0000-00004E7D0000}"/>
    <cellStyle name="Migliaia 37 2 6 2" xfId="23324" xr:uid="{00000000-0005-0000-0000-00004F7D0000}"/>
    <cellStyle name="Migliaia 37 2 7" xfId="21562" xr:uid="{00000000-0005-0000-0000-0000507D0000}"/>
    <cellStyle name="Migliaia 37 2 8" xfId="38382" xr:uid="{00000000-0005-0000-0000-0000517D0000}"/>
    <cellStyle name="Migliaia 37 2 9" xfId="39228" xr:uid="{00000000-0005-0000-0000-0000527D0000}"/>
    <cellStyle name="Migliaia 37 3" xfId="633" xr:uid="{00000000-0005-0000-0000-0000537D0000}"/>
    <cellStyle name="Migliaia 37 3 10" xfId="39716" xr:uid="{00000000-0005-0000-0000-0000547D0000}"/>
    <cellStyle name="Migliaia 37 3 11" xfId="40202" xr:uid="{00000000-0005-0000-0000-0000557D0000}"/>
    <cellStyle name="Migliaia 37 3 2" xfId="634" xr:uid="{00000000-0005-0000-0000-0000567D0000}"/>
    <cellStyle name="Migliaia 37 3 2 10" xfId="40203" xr:uid="{00000000-0005-0000-0000-0000577D0000}"/>
    <cellStyle name="Migliaia 37 3 2 2" xfId="11523" xr:uid="{00000000-0005-0000-0000-0000587D0000}"/>
    <cellStyle name="Migliaia 37 3 2 3" xfId="12146" xr:uid="{00000000-0005-0000-0000-0000597D0000}"/>
    <cellStyle name="Migliaia 37 3 2 3 2" xfId="30331" xr:uid="{00000000-0005-0000-0000-00005A7D0000}"/>
    <cellStyle name="Migliaia 37 3 2 4" xfId="19465" xr:uid="{00000000-0005-0000-0000-00005B7D0000}"/>
    <cellStyle name="Migliaia 37 3 2 4 2" xfId="37429" xr:uid="{00000000-0005-0000-0000-00005C7D0000}"/>
    <cellStyle name="Migliaia 37 3 2 5" xfId="3326" xr:uid="{00000000-0005-0000-0000-00005D7D0000}"/>
    <cellStyle name="Migliaia 37 3 2 5 2" xfId="23326" xr:uid="{00000000-0005-0000-0000-00005E7D0000}"/>
    <cellStyle name="Migliaia 37 3 2 6" xfId="21564" xr:uid="{00000000-0005-0000-0000-00005F7D0000}"/>
    <cellStyle name="Migliaia 37 3 2 7" xfId="38384" xr:uid="{00000000-0005-0000-0000-0000607D0000}"/>
    <cellStyle name="Migliaia 37 3 2 8" xfId="39230" xr:uid="{00000000-0005-0000-0000-0000617D0000}"/>
    <cellStyle name="Migliaia 37 3 2 9" xfId="39717" xr:uid="{00000000-0005-0000-0000-0000627D0000}"/>
    <cellStyle name="Migliaia 37 3 3" xfId="11522" xr:uid="{00000000-0005-0000-0000-0000637D0000}"/>
    <cellStyle name="Migliaia 37 3 3 2" xfId="20573" xr:uid="{00000000-0005-0000-0000-0000647D0000}"/>
    <cellStyle name="Migliaia 37 3 3 2 2" xfId="37890" xr:uid="{00000000-0005-0000-0000-0000657D0000}"/>
    <cellStyle name="Migliaia 37 3 3 2 3" xfId="38845" xr:uid="{00000000-0005-0000-0000-0000667D0000}"/>
    <cellStyle name="Migliaia 37 3 3 3" xfId="19466" xr:uid="{00000000-0005-0000-0000-0000677D0000}"/>
    <cellStyle name="Migliaia 37 3 3 3 2" xfId="37430" xr:uid="{00000000-0005-0000-0000-0000687D0000}"/>
    <cellStyle name="Migliaia 37 3 3 4" xfId="38385" xr:uid="{00000000-0005-0000-0000-0000697D0000}"/>
    <cellStyle name="Migliaia 37 3 4" xfId="12145" xr:uid="{00000000-0005-0000-0000-00006A7D0000}"/>
    <cellStyle name="Migliaia 37 3 4 2" xfId="20572" xr:uid="{00000000-0005-0000-0000-00006B7D0000}"/>
    <cellStyle name="Migliaia 37 3 4 2 2" xfId="37889" xr:uid="{00000000-0005-0000-0000-00006C7D0000}"/>
    <cellStyle name="Migliaia 37 3 4 3" xfId="30330" xr:uid="{00000000-0005-0000-0000-00006D7D0000}"/>
    <cellStyle name="Migliaia 37 3 4 4" xfId="38844" xr:uid="{00000000-0005-0000-0000-00006E7D0000}"/>
    <cellStyle name="Migliaia 37 3 5" xfId="19464" xr:uid="{00000000-0005-0000-0000-00006F7D0000}"/>
    <cellStyle name="Migliaia 37 3 5 2" xfId="37428" xr:uid="{00000000-0005-0000-0000-0000707D0000}"/>
    <cellStyle name="Migliaia 37 3 6" xfId="3325" xr:uid="{00000000-0005-0000-0000-0000717D0000}"/>
    <cellStyle name="Migliaia 37 3 6 2" xfId="23325" xr:uid="{00000000-0005-0000-0000-0000727D0000}"/>
    <cellStyle name="Migliaia 37 3 7" xfId="21563" xr:uid="{00000000-0005-0000-0000-0000737D0000}"/>
    <cellStyle name="Migliaia 37 3 8" xfId="38383" xr:uid="{00000000-0005-0000-0000-0000747D0000}"/>
    <cellStyle name="Migliaia 37 3 9" xfId="39229" xr:uid="{00000000-0005-0000-0000-0000757D0000}"/>
    <cellStyle name="Migliaia 37 4" xfId="635" xr:uid="{00000000-0005-0000-0000-0000767D0000}"/>
    <cellStyle name="Migliaia 37 4 2" xfId="19468" xr:uid="{00000000-0005-0000-0000-0000777D0000}"/>
    <cellStyle name="Migliaia 37 4 2 2" xfId="20575" xr:uid="{00000000-0005-0000-0000-0000787D0000}"/>
    <cellStyle name="Migliaia 37 4 2 2 2" xfId="37892" xr:uid="{00000000-0005-0000-0000-0000797D0000}"/>
    <cellStyle name="Migliaia 37 4 2 2 3" xfId="38847" xr:uid="{00000000-0005-0000-0000-00007A7D0000}"/>
    <cellStyle name="Migliaia 37 4 2 3" xfId="37432" xr:uid="{00000000-0005-0000-0000-00007B7D0000}"/>
    <cellStyle name="Migliaia 37 4 2 4" xfId="38387" xr:uid="{00000000-0005-0000-0000-00007C7D0000}"/>
    <cellStyle name="Migliaia 37 4 3" xfId="20574" xr:uid="{00000000-0005-0000-0000-00007D7D0000}"/>
    <cellStyle name="Migliaia 37 4 3 2" xfId="37891" xr:uid="{00000000-0005-0000-0000-00007E7D0000}"/>
    <cellStyle name="Migliaia 37 4 3 3" xfId="38846" xr:uid="{00000000-0005-0000-0000-00007F7D0000}"/>
    <cellStyle name="Migliaia 37 4 4" xfId="19467" xr:uid="{00000000-0005-0000-0000-0000807D0000}"/>
    <cellStyle name="Migliaia 37 4 4 2" xfId="37431" xr:uid="{00000000-0005-0000-0000-0000817D0000}"/>
    <cellStyle name="Migliaia 37 4 5" xfId="11524" xr:uid="{00000000-0005-0000-0000-0000827D0000}"/>
    <cellStyle name="Migliaia 37 4 6" xfId="21565" xr:uid="{00000000-0005-0000-0000-0000837D0000}"/>
    <cellStyle name="Migliaia 37 4 7" xfId="38386" xr:uid="{00000000-0005-0000-0000-0000847D0000}"/>
    <cellStyle name="Migliaia 37 4 8" xfId="39718" xr:uid="{00000000-0005-0000-0000-0000857D0000}"/>
    <cellStyle name="Migliaia 37 4 9" xfId="40204" xr:uid="{00000000-0005-0000-0000-0000867D0000}"/>
    <cellStyle name="Migliaia 37 5" xfId="636" xr:uid="{00000000-0005-0000-0000-0000877D0000}"/>
    <cellStyle name="Migliaia 37 5 2" xfId="19469" xr:uid="{00000000-0005-0000-0000-0000887D0000}"/>
    <cellStyle name="Migliaia 37 5 2 2" xfId="37433" xr:uid="{00000000-0005-0000-0000-0000897D0000}"/>
    <cellStyle name="Migliaia 37 5 3" xfId="11525" xr:uid="{00000000-0005-0000-0000-00008A7D0000}"/>
    <cellStyle name="Migliaia 37 5 4" xfId="21566" xr:uid="{00000000-0005-0000-0000-00008B7D0000}"/>
    <cellStyle name="Migliaia 37 5 5" xfId="38388" xr:uid="{00000000-0005-0000-0000-00008C7D0000}"/>
    <cellStyle name="Migliaia 37 5 6" xfId="39719" xr:uid="{00000000-0005-0000-0000-00008D7D0000}"/>
    <cellStyle name="Migliaia 37 5 7" xfId="40205" xr:uid="{00000000-0005-0000-0000-00008E7D0000}"/>
    <cellStyle name="Migliaia 37 6" xfId="637" xr:uid="{00000000-0005-0000-0000-00008F7D0000}"/>
    <cellStyle name="Migliaia 37 6 2" xfId="11520" xr:uid="{00000000-0005-0000-0000-0000907D0000}"/>
    <cellStyle name="Migliaia 37 6 3" xfId="21567" xr:uid="{00000000-0005-0000-0000-0000917D0000}"/>
    <cellStyle name="Migliaia 37 6 4" xfId="39720" xr:uid="{00000000-0005-0000-0000-0000927D0000}"/>
    <cellStyle name="Migliaia 37 6 5" xfId="40206" xr:uid="{00000000-0005-0000-0000-0000937D0000}"/>
    <cellStyle name="Migliaia 37 7" xfId="12143" xr:uid="{00000000-0005-0000-0000-0000947D0000}"/>
    <cellStyle name="Migliaia 37 7 2" xfId="30328" xr:uid="{00000000-0005-0000-0000-0000957D0000}"/>
    <cellStyle name="Migliaia 37 8" xfId="19462" xr:uid="{00000000-0005-0000-0000-0000967D0000}"/>
    <cellStyle name="Migliaia 37 8 2" xfId="37426" xr:uid="{00000000-0005-0000-0000-0000977D0000}"/>
    <cellStyle name="Migliaia 37 9" xfId="3323" xr:uid="{00000000-0005-0000-0000-0000987D0000}"/>
    <cellStyle name="Migliaia 37 9 2" xfId="23323" xr:uid="{00000000-0005-0000-0000-0000997D0000}"/>
    <cellStyle name="Migliaia 38" xfId="638" xr:uid="{00000000-0005-0000-0000-00009A7D0000}"/>
    <cellStyle name="Migliaia 38 10" xfId="21568" xr:uid="{00000000-0005-0000-0000-00009B7D0000}"/>
    <cellStyle name="Migliaia 38 11" xfId="38389" xr:uid="{00000000-0005-0000-0000-00009C7D0000}"/>
    <cellStyle name="Migliaia 38 12" xfId="39231" xr:uid="{00000000-0005-0000-0000-00009D7D0000}"/>
    <cellStyle name="Migliaia 38 13" xfId="39721" xr:uid="{00000000-0005-0000-0000-00009E7D0000}"/>
    <cellStyle name="Migliaia 38 14" xfId="40207" xr:uid="{00000000-0005-0000-0000-00009F7D0000}"/>
    <cellStyle name="Migliaia 38 2" xfId="639" xr:uid="{00000000-0005-0000-0000-0000A07D0000}"/>
    <cellStyle name="Migliaia 38 2 10" xfId="39722" xr:uid="{00000000-0005-0000-0000-0000A17D0000}"/>
    <cellStyle name="Migliaia 38 2 11" xfId="40208" xr:uid="{00000000-0005-0000-0000-0000A27D0000}"/>
    <cellStyle name="Migliaia 38 2 2" xfId="3569" xr:uid="{00000000-0005-0000-0000-0000A37D0000}"/>
    <cellStyle name="Migliaia 38 2 2 2" xfId="12330" xr:uid="{00000000-0005-0000-0000-0000A47D0000}"/>
    <cellStyle name="Migliaia 38 2 2 2 2" xfId="30500" xr:uid="{00000000-0005-0000-0000-0000A57D0000}"/>
    <cellStyle name="Migliaia 38 2 2 3" xfId="20576" xr:uid="{00000000-0005-0000-0000-0000A67D0000}"/>
    <cellStyle name="Migliaia 38 2 2 3 2" xfId="37893" xr:uid="{00000000-0005-0000-0000-0000A77D0000}"/>
    <cellStyle name="Migliaia 38 2 2 4" xfId="23498" xr:uid="{00000000-0005-0000-0000-0000A87D0000}"/>
    <cellStyle name="Migliaia 38 2 2 5" xfId="38848" xr:uid="{00000000-0005-0000-0000-0000A97D0000}"/>
    <cellStyle name="Migliaia 38 2 2 6" xfId="39414" xr:uid="{00000000-0005-0000-0000-0000AA7D0000}"/>
    <cellStyle name="Migliaia 38 2 3" xfId="11527" xr:uid="{00000000-0005-0000-0000-0000AB7D0000}"/>
    <cellStyle name="Migliaia 38 2 4" xfId="12148" xr:uid="{00000000-0005-0000-0000-0000AC7D0000}"/>
    <cellStyle name="Migliaia 38 2 4 2" xfId="30333" xr:uid="{00000000-0005-0000-0000-0000AD7D0000}"/>
    <cellStyle name="Migliaia 38 2 5" xfId="19471" xr:uid="{00000000-0005-0000-0000-0000AE7D0000}"/>
    <cellStyle name="Migliaia 38 2 5 2" xfId="37435" xr:uid="{00000000-0005-0000-0000-0000AF7D0000}"/>
    <cellStyle name="Migliaia 38 2 6" xfId="3328" xr:uid="{00000000-0005-0000-0000-0000B07D0000}"/>
    <cellStyle name="Migliaia 38 2 6 2" xfId="23328" xr:uid="{00000000-0005-0000-0000-0000B17D0000}"/>
    <cellStyle name="Migliaia 38 2 7" xfId="21569" xr:uid="{00000000-0005-0000-0000-0000B27D0000}"/>
    <cellStyle name="Migliaia 38 2 8" xfId="38390" xr:uid="{00000000-0005-0000-0000-0000B37D0000}"/>
    <cellStyle name="Migliaia 38 2 9" xfId="39232" xr:uid="{00000000-0005-0000-0000-0000B47D0000}"/>
    <cellStyle name="Migliaia 38 3" xfId="640" xr:uid="{00000000-0005-0000-0000-0000B57D0000}"/>
    <cellStyle name="Migliaia 38 3 10" xfId="39723" xr:uid="{00000000-0005-0000-0000-0000B67D0000}"/>
    <cellStyle name="Migliaia 38 3 11" xfId="40209" xr:uid="{00000000-0005-0000-0000-0000B77D0000}"/>
    <cellStyle name="Migliaia 38 3 2" xfId="641" xr:uid="{00000000-0005-0000-0000-0000B87D0000}"/>
    <cellStyle name="Migliaia 38 3 2 10" xfId="40210" xr:uid="{00000000-0005-0000-0000-0000B97D0000}"/>
    <cellStyle name="Migliaia 38 3 2 2" xfId="11529" xr:uid="{00000000-0005-0000-0000-0000BA7D0000}"/>
    <cellStyle name="Migliaia 38 3 2 3" xfId="12150" xr:uid="{00000000-0005-0000-0000-0000BB7D0000}"/>
    <cellStyle name="Migliaia 38 3 2 3 2" xfId="30335" xr:uid="{00000000-0005-0000-0000-0000BC7D0000}"/>
    <cellStyle name="Migliaia 38 3 2 4" xfId="19473" xr:uid="{00000000-0005-0000-0000-0000BD7D0000}"/>
    <cellStyle name="Migliaia 38 3 2 4 2" xfId="37437" xr:uid="{00000000-0005-0000-0000-0000BE7D0000}"/>
    <cellStyle name="Migliaia 38 3 2 5" xfId="3330" xr:uid="{00000000-0005-0000-0000-0000BF7D0000}"/>
    <cellStyle name="Migliaia 38 3 2 5 2" xfId="23330" xr:uid="{00000000-0005-0000-0000-0000C07D0000}"/>
    <cellStyle name="Migliaia 38 3 2 6" xfId="21571" xr:uid="{00000000-0005-0000-0000-0000C17D0000}"/>
    <cellStyle name="Migliaia 38 3 2 7" xfId="38392" xr:uid="{00000000-0005-0000-0000-0000C27D0000}"/>
    <cellStyle name="Migliaia 38 3 2 8" xfId="39234" xr:uid="{00000000-0005-0000-0000-0000C37D0000}"/>
    <cellStyle name="Migliaia 38 3 2 9" xfId="39724" xr:uid="{00000000-0005-0000-0000-0000C47D0000}"/>
    <cellStyle name="Migliaia 38 3 3" xfId="11528" xr:uid="{00000000-0005-0000-0000-0000C57D0000}"/>
    <cellStyle name="Migliaia 38 3 3 2" xfId="20578" xr:uid="{00000000-0005-0000-0000-0000C67D0000}"/>
    <cellStyle name="Migliaia 38 3 3 2 2" xfId="37895" xr:uid="{00000000-0005-0000-0000-0000C77D0000}"/>
    <cellStyle name="Migliaia 38 3 3 2 3" xfId="38850" xr:uid="{00000000-0005-0000-0000-0000C87D0000}"/>
    <cellStyle name="Migliaia 38 3 3 3" xfId="19474" xr:uid="{00000000-0005-0000-0000-0000C97D0000}"/>
    <cellStyle name="Migliaia 38 3 3 3 2" xfId="37438" xr:uid="{00000000-0005-0000-0000-0000CA7D0000}"/>
    <cellStyle name="Migliaia 38 3 3 4" xfId="38393" xr:uid="{00000000-0005-0000-0000-0000CB7D0000}"/>
    <cellStyle name="Migliaia 38 3 4" xfId="12149" xr:uid="{00000000-0005-0000-0000-0000CC7D0000}"/>
    <cellStyle name="Migliaia 38 3 4 2" xfId="20577" xr:uid="{00000000-0005-0000-0000-0000CD7D0000}"/>
    <cellStyle name="Migliaia 38 3 4 2 2" xfId="37894" xr:uid="{00000000-0005-0000-0000-0000CE7D0000}"/>
    <cellStyle name="Migliaia 38 3 4 3" xfId="30334" xr:uid="{00000000-0005-0000-0000-0000CF7D0000}"/>
    <cellStyle name="Migliaia 38 3 4 4" xfId="38849" xr:uid="{00000000-0005-0000-0000-0000D07D0000}"/>
    <cellStyle name="Migliaia 38 3 5" xfId="19472" xr:uid="{00000000-0005-0000-0000-0000D17D0000}"/>
    <cellStyle name="Migliaia 38 3 5 2" xfId="37436" xr:uid="{00000000-0005-0000-0000-0000D27D0000}"/>
    <cellStyle name="Migliaia 38 3 6" xfId="3329" xr:uid="{00000000-0005-0000-0000-0000D37D0000}"/>
    <cellStyle name="Migliaia 38 3 6 2" xfId="23329" xr:uid="{00000000-0005-0000-0000-0000D47D0000}"/>
    <cellStyle name="Migliaia 38 3 7" xfId="21570" xr:uid="{00000000-0005-0000-0000-0000D57D0000}"/>
    <cellStyle name="Migliaia 38 3 8" xfId="38391" xr:uid="{00000000-0005-0000-0000-0000D67D0000}"/>
    <cellStyle name="Migliaia 38 3 9" xfId="39233" xr:uid="{00000000-0005-0000-0000-0000D77D0000}"/>
    <cellStyle name="Migliaia 38 4" xfId="642" xr:uid="{00000000-0005-0000-0000-0000D87D0000}"/>
    <cellStyle name="Migliaia 38 4 2" xfId="19476" xr:uid="{00000000-0005-0000-0000-0000D97D0000}"/>
    <cellStyle name="Migliaia 38 4 2 2" xfId="20580" xr:uid="{00000000-0005-0000-0000-0000DA7D0000}"/>
    <cellStyle name="Migliaia 38 4 2 2 2" xfId="37897" xr:uid="{00000000-0005-0000-0000-0000DB7D0000}"/>
    <cellStyle name="Migliaia 38 4 2 2 3" xfId="38852" xr:uid="{00000000-0005-0000-0000-0000DC7D0000}"/>
    <cellStyle name="Migliaia 38 4 2 3" xfId="37440" xr:uid="{00000000-0005-0000-0000-0000DD7D0000}"/>
    <cellStyle name="Migliaia 38 4 2 4" xfId="38395" xr:uid="{00000000-0005-0000-0000-0000DE7D0000}"/>
    <cellStyle name="Migliaia 38 4 3" xfId="20579" xr:uid="{00000000-0005-0000-0000-0000DF7D0000}"/>
    <cellStyle name="Migliaia 38 4 3 2" xfId="37896" xr:uid="{00000000-0005-0000-0000-0000E07D0000}"/>
    <cellStyle name="Migliaia 38 4 3 3" xfId="38851" xr:uid="{00000000-0005-0000-0000-0000E17D0000}"/>
    <cellStyle name="Migliaia 38 4 4" xfId="19475" xr:uid="{00000000-0005-0000-0000-0000E27D0000}"/>
    <cellStyle name="Migliaia 38 4 4 2" xfId="37439" xr:uid="{00000000-0005-0000-0000-0000E37D0000}"/>
    <cellStyle name="Migliaia 38 4 5" xfId="11530" xr:uid="{00000000-0005-0000-0000-0000E47D0000}"/>
    <cellStyle name="Migliaia 38 4 6" xfId="21572" xr:uid="{00000000-0005-0000-0000-0000E57D0000}"/>
    <cellStyle name="Migliaia 38 4 7" xfId="38394" xr:uid="{00000000-0005-0000-0000-0000E67D0000}"/>
    <cellStyle name="Migliaia 38 4 8" xfId="39725" xr:uid="{00000000-0005-0000-0000-0000E77D0000}"/>
    <cellStyle name="Migliaia 38 4 9" xfId="40211" xr:uid="{00000000-0005-0000-0000-0000E87D0000}"/>
    <cellStyle name="Migliaia 38 5" xfId="643" xr:uid="{00000000-0005-0000-0000-0000E97D0000}"/>
    <cellStyle name="Migliaia 38 5 2" xfId="19477" xr:uid="{00000000-0005-0000-0000-0000EA7D0000}"/>
    <cellStyle name="Migliaia 38 5 2 2" xfId="37441" xr:uid="{00000000-0005-0000-0000-0000EB7D0000}"/>
    <cellStyle name="Migliaia 38 5 3" xfId="11531" xr:uid="{00000000-0005-0000-0000-0000EC7D0000}"/>
    <cellStyle name="Migliaia 38 5 4" xfId="21573" xr:uid="{00000000-0005-0000-0000-0000ED7D0000}"/>
    <cellStyle name="Migliaia 38 5 5" xfId="38396" xr:uid="{00000000-0005-0000-0000-0000EE7D0000}"/>
    <cellStyle name="Migliaia 38 5 6" xfId="39726" xr:uid="{00000000-0005-0000-0000-0000EF7D0000}"/>
    <cellStyle name="Migliaia 38 5 7" xfId="40212" xr:uid="{00000000-0005-0000-0000-0000F07D0000}"/>
    <cellStyle name="Migliaia 38 6" xfId="644" xr:uid="{00000000-0005-0000-0000-0000F17D0000}"/>
    <cellStyle name="Migliaia 38 6 2" xfId="11526" xr:uid="{00000000-0005-0000-0000-0000F27D0000}"/>
    <cellStyle name="Migliaia 38 6 3" xfId="21574" xr:uid="{00000000-0005-0000-0000-0000F37D0000}"/>
    <cellStyle name="Migliaia 38 6 4" xfId="39727" xr:uid="{00000000-0005-0000-0000-0000F47D0000}"/>
    <cellStyle name="Migliaia 38 6 5" xfId="40213" xr:uid="{00000000-0005-0000-0000-0000F57D0000}"/>
    <cellStyle name="Migliaia 38 7" xfId="12147" xr:uid="{00000000-0005-0000-0000-0000F67D0000}"/>
    <cellStyle name="Migliaia 38 7 2" xfId="30332" xr:uid="{00000000-0005-0000-0000-0000F77D0000}"/>
    <cellStyle name="Migliaia 38 8" xfId="19470" xr:uid="{00000000-0005-0000-0000-0000F87D0000}"/>
    <cellStyle name="Migliaia 38 8 2" xfId="37434" xr:uid="{00000000-0005-0000-0000-0000F97D0000}"/>
    <cellStyle name="Migliaia 38 9" xfId="3327" xr:uid="{00000000-0005-0000-0000-0000FA7D0000}"/>
    <cellStyle name="Migliaia 38 9 2" xfId="23327" xr:uid="{00000000-0005-0000-0000-0000FB7D0000}"/>
    <cellStyle name="Migliaia 39" xfId="645" xr:uid="{00000000-0005-0000-0000-0000FC7D0000}"/>
    <cellStyle name="Migliaia 39 10" xfId="21575" xr:uid="{00000000-0005-0000-0000-0000FD7D0000}"/>
    <cellStyle name="Migliaia 39 11" xfId="38397" xr:uid="{00000000-0005-0000-0000-0000FE7D0000}"/>
    <cellStyle name="Migliaia 39 12" xfId="39235" xr:uid="{00000000-0005-0000-0000-0000FF7D0000}"/>
    <cellStyle name="Migliaia 39 13" xfId="39728" xr:uid="{00000000-0005-0000-0000-0000007E0000}"/>
    <cellStyle name="Migliaia 39 14" xfId="40214" xr:uid="{00000000-0005-0000-0000-0000017E0000}"/>
    <cellStyle name="Migliaia 39 2" xfId="646" xr:uid="{00000000-0005-0000-0000-0000027E0000}"/>
    <cellStyle name="Migliaia 39 2 10" xfId="39729" xr:uid="{00000000-0005-0000-0000-0000037E0000}"/>
    <cellStyle name="Migliaia 39 2 11" xfId="40215" xr:uid="{00000000-0005-0000-0000-0000047E0000}"/>
    <cellStyle name="Migliaia 39 2 2" xfId="3570" xr:uid="{00000000-0005-0000-0000-0000057E0000}"/>
    <cellStyle name="Migliaia 39 2 2 2" xfId="12331" xr:uid="{00000000-0005-0000-0000-0000067E0000}"/>
    <cellStyle name="Migliaia 39 2 2 2 2" xfId="30501" xr:uid="{00000000-0005-0000-0000-0000077E0000}"/>
    <cellStyle name="Migliaia 39 2 2 3" xfId="20581" xr:uid="{00000000-0005-0000-0000-0000087E0000}"/>
    <cellStyle name="Migliaia 39 2 2 3 2" xfId="37898" xr:uid="{00000000-0005-0000-0000-0000097E0000}"/>
    <cellStyle name="Migliaia 39 2 2 4" xfId="23499" xr:uid="{00000000-0005-0000-0000-00000A7E0000}"/>
    <cellStyle name="Migliaia 39 2 2 5" xfId="38853" xr:uid="{00000000-0005-0000-0000-00000B7E0000}"/>
    <cellStyle name="Migliaia 39 2 2 6" xfId="39415" xr:uid="{00000000-0005-0000-0000-00000C7E0000}"/>
    <cellStyle name="Migliaia 39 2 3" xfId="11533" xr:uid="{00000000-0005-0000-0000-00000D7E0000}"/>
    <cellStyle name="Migliaia 39 2 4" xfId="12152" xr:uid="{00000000-0005-0000-0000-00000E7E0000}"/>
    <cellStyle name="Migliaia 39 2 4 2" xfId="30337" xr:uid="{00000000-0005-0000-0000-00000F7E0000}"/>
    <cellStyle name="Migliaia 39 2 5" xfId="19479" xr:uid="{00000000-0005-0000-0000-0000107E0000}"/>
    <cellStyle name="Migliaia 39 2 5 2" xfId="37443" xr:uid="{00000000-0005-0000-0000-0000117E0000}"/>
    <cellStyle name="Migliaia 39 2 6" xfId="3332" xr:uid="{00000000-0005-0000-0000-0000127E0000}"/>
    <cellStyle name="Migliaia 39 2 6 2" xfId="23332" xr:uid="{00000000-0005-0000-0000-0000137E0000}"/>
    <cellStyle name="Migliaia 39 2 7" xfId="21576" xr:uid="{00000000-0005-0000-0000-0000147E0000}"/>
    <cellStyle name="Migliaia 39 2 8" xfId="38398" xr:uid="{00000000-0005-0000-0000-0000157E0000}"/>
    <cellStyle name="Migliaia 39 2 9" xfId="39236" xr:uid="{00000000-0005-0000-0000-0000167E0000}"/>
    <cellStyle name="Migliaia 39 3" xfId="647" xr:uid="{00000000-0005-0000-0000-0000177E0000}"/>
    <cellStyle name="Migliaia 39 3 10" xfId="39730" xr:uid="{00000000-0005-0000-0000-0000187E0000}"/>
    <cellStyle name="Migliaia 39 3 11" xfId="40216" xr:uid="{00000000-0005-0000-0000-0000197E0000}"/>
    <cellStyle name="Migliaia 39 3 2" xfId="648" xr:uid="{00000000-0005-0000-0000-00001A7E0000}"/>
    <cellStyle name="Migliaia 39 3 2 10" xfId="40217" xr:uid="{00000000-0005-0000-0000-00001B7E0000}"/>
    <cellStyle name="Migliaia 39 3 2 2" xfId="11535" xr:uid="{00000000-0005-0000-0000-00001C7E0000}"/>
    <cellStyle name="Migliaia 39 3 2 3" xfId="12154" xr:uid="{00000000-0005-0000-0000-00001D7E0000}"/>
    <cellStyle name="Migliaia 39 3 2 3 2" xfId="30339" xr:uid="{00000000-0005-0000-0000-00001E7E0000}"/>
    <cellStyle name="Migliaia 39 3 2 4" xfId="19481" xr:uid="{00000000-0005-0000-0000-00001F7E0000}"/>
    <cellStyle name="Migliaia 39 3 2 4 2" xfId="37445" xr:uid="{00000000-0005-0000-0000-0000207E0000}"/>
    <cellStyle name="Migliaia 39 3 2 5" xfId="3334" xr:uid="{00000000-0005-0000-0000-0000217E0000}"/>
    <cellStyle name="Migliaia 39 3 2 5 2" xfId="23334" xr:uid="{00000000-0005-0000-0000-0000227E0000}"/>
    <cellStyle name="Migliaia 39 3 2 6" xfId="21578" xr:uid="{00000000-0005-0000-0000-0000237E0000}"/>
    <cellStyle name="Migliaia 39 3 2 7" xfId="38400" xr:uid="{00000000-0005-0000-0000-0000247E0000}"/>
    <cellStyle name="Migliaia 39 3 2 8" xfId="39238" xr:uid="{00000000-0005-0000-0000-0000257E0000}"/>
    <cellStyle name="Migliaia 39 3 2 9" xfId="39731" xr:uid="{00000000-0005-0000-0000-0000267E0000}"/>
    <cellStyle name="Migliaia 39 3 3" xfId="11534" xr:uid="{00000000-0005-0000-0000-0000277E0000}"/>
    <cellStyle name="Migliaia 39 3 3 2" xfId="20583" xr:uid="{00000000-0005-0000-0000-0000287E0000}"/>
    <cellStyle name="Migliaia 39 3 3 2 2" xfId="37900" xr:uid="{00000000-0005-0000-0000-0000297E0000}"/>
    <cellStyle name="Migliaia 39 3 3 2 3" xfId="38855" xr:uid="{00000000-0005-0000-0000-00002A7E0000}"/>
    <cellStyle name="Migliaia 39 3 3 3" xfId="19482" xr:uid="{00000000-0005-0000-0000-00002B7E0000}"/>
    <cellStyle name="Migliaia 39 3 3 3 2" xfId="37446" xr:uid="{00000000-0005-0000-0000-00002C7E0000}"/>
    <cellStyle name="Migliaia 39 3 3 4" xfId="38401" xr:uid="{00000000-0005-0000-0000-00002D7E0000}"/>
    <cellStyle name="Migliaia 39 3 4" xfId="12153" xr:uid="{00000000-0005-0000-0000-00002E7E0000}"/>
    <cellStyle name="Migliaia 39 3 4 2" xfId="20582" xr:uid="{00000000-0005-0000-0000-00002F7E0000}"/>
    <cellStyle name="Migliaia 39 3 4 2 2" xfId="37899" xr:uid="{00000000-0005-0000-0000-0000307E0000}"/>
    <cellStyle name="Migliaia 39 3 4 3" xfId="30338" xr:uid="{00000000-0005-0000-0000-0000317E0000}"/>
    <cellStyle name="Migliaia 39 3 4 4" xfId="38854" xr:uid="{00000000-0005-0000-0000-0000327E0000}"/>
    <cellStyle name="Migliaia 39 3 5" xfId="19480" xr:uid="{00000000-0005-0000-0000-0000337E0000}"/>
    <cellStyle name="Migliaia 39 3 5 2" xfId="37444" xr:uid="{00000000-0005-0000-0000-0000347E0000}"/>
    <cellStyle name="Migliaia 39 3 6" xfId="3333" xr:uid="{00000000-0005-0000-0000-0000357E0000}"/>
    <cellStyle name="Migliaia 39 3 6 2" xfId="23333" xr:uid="{00000000-0005-0000-0000-0000367E0000}"/>
    <cellStyle name="Migliaia 39 3 7" xfId="21577" xr:uid="{00000000-0005-0000-0000-0000377E0000}"/>
    <cellStyle name="Migliaia 39 3 8" xfId="38399" xr:uid="{00000000-0005-0000-0000-0000387E0000}"/>
    <cellStyle name="Migliaia 39 3 9" xfId="39237" xr:uid="{00000000-0005-0000-0000-0000397E0000}"/>
    <cellStyle name="Migliaia 39 4" xfId="649" xr:uid="{00000000-0005-0000-0000-00003A7E0000}"/>
    <cellStyle name="Migliaia 39 4 2" xfId="19484" xr:uid="{00000000-0005-0000-0000-00003B7E0000}"/>
    <cellStyle name="Migliaia 39 4 2 2" xfId="20585" xr:uid="{00000000-0005-0000-0000-00003C7E0000}"/>
    <cellStyle name="Migliaia 39 4 2 2 2" xfId="37902" xr:uid="{00000000-0005-0000-0000-00003D7E0000}"/>
    <cellStyle name="Migliaia 39 4 2 2 3" xfId="38857" xr:uid="{00000000-0005-0000-0000-00003E7E0000}"/>
    <cellStyle name="Migliaia 39 4 2 3" xfId="37448" xr:uid="{00000000-0005-0000-0000-00003F7E0000}"/>
    <cellStyle name="Migliaia 39 4 2 4" xfId="38403" xr:uid="{00000000-0005-0000-0000-0000407E0000}"/>
    <cellStyle name="Migliaia 39 4 3" xfId="20584" xr:uid="{00000000-0005-0000-0000-0000417E0000}"/>
    <cellStyle name="Migliaia 39 4 3 2" xfId="37901" xr:uid="{00000000-0005-0000-0000-0000427E0000}"/>
    <cellStyle name="Migliaia 39 4 3 3" xfId="38856" xr:uid="{00000000-0005-0000-0000-0000437E0000}"/>
    <cellStyle name="Migliaia 39 4 4" xfId="19483" xr:uid="{00000000-0005-0000-0000-0000447E0000}"/>
    <cellStyle name="Migliaia 39 4 4 2" xfId="37447" xr:uid="{00000000-0005-0000-0000-0000457E0000}"/>
    <cellStyle name="Migliaia 39 4 5" xfId="11536" xr:uid="{00000000-0005-0000-0000-0000467E0000}"/>
    <cellStyle name="Migliaia 39 4 6" xfId="21579" xr:uid="{00000000-0005-0000-0000-0000477E0000}"/>
    <cellStyle name="Migliaia 39 4 7" xfId="38402" xr:uid="{00000000-0005-0000-0000-0000487E0000}"/>
    <cellStyle name="Migliaia 39 4 8" xfId="39732" xr:uid="{00000000-0005-0000-0000-0000497E0000}"/>
    <cellStyle name="Migliaia 39 4 9" xfId="40218" xr:uid="{00000000-0005-0000-0000-00004A7E0000}"/>
    <cellStyle name="Migliaia 39 5" xfId="650" xr:uid="{00000000-0005-0000-0000-00004B7E0000}"/>
    <cellStyle name="Migliaia 39 5 2" xfId="19485" xr:uid="{00000000-0005-0000-0000-00004C7E0000}"/>
    <cellStyle name="Migliaia 39 5 2 2" xfId="37449" xr:uid="{00000000-0005-0000-0000-00004D7E0000}"/>
    <cellStyle name="Migliaia 39 5 3" xfId="11537" xr:uid="{00000000-0005-0000-0000-00004E7E0000}"/>
    <cellStyle name="Migliaia 39 5 4" xfId="21580" xr:uid="{00000000-0005-0000-0000-00004F7E0000}"/>
    <cellStyle name="Migliaia 39 5 5" xfId="38404" xr:uid="{00000000-0005-0000-0000-0000507E0000}"/>
    <cellStyle name="Migliaia 39 5 6" xfId="39733" xr:uid="{00000000-0005-0000-0000-0000517E0000}"/>
    <cellStyle name="Migliaia 39 5 7" xfId="40219" xr:uid="{00000000-0005-0000-0000-0000527E0000}"/>
    <cellStyle name="Migliaia 39 6" xfId="651" xr:uid="{00000000-0005-0000-0000-0000537E0000}"/>
    <cellStyle name="Migliaia 39 6 2" xfId="11532" xr:uid="{00000000-0005-0000-0000-0000547E0000}"/>
    <cellStyle name="Migliaia 39 6 3" xfId="21581" xr:uid="{00000000-0005-0000-0000-0000557E0000}"/>
    <cellStyle name="Migliaia 39 6 4" xfId="39734" xr:uid="{00000000-0005-0000-0000-0000567E0000}"/>
    <cellStyle name="Migliaia 39 6 5" xfId="40220" xr:uid="{00000000-0005-0000-0000-0000577E0000}"/>
    <cellStyle name="Migliaia 39 7" xfId="12151" xr:uid="{00000000-0005-0000-0000-0000587E0000}"/>
    <cellStyle name="Migliaia 39 7 2" xfId="30336" xr:uid="{00000000-0005-0000-0000-0000597E0000}"/>
    <cellStyle name="Migliaia 39 8" xfId="19478" xr:uid="{00000000-0005-0000-0000-00005A7E0000}"/>
    <cellStyle name="Migliaia 39 8 2" xfId="37442" xr:uid="{00000000-0005-0000-0000-00005B7E0000}"/>
    <cellStyle name="Migliaia 39 9" xfId="3331" xr:uid="{00000000-0005-0000-0000-00005C7E0000}"/>
    <cellStyle name="Migliaia 39 9 2" xfId="23331" xr:uid="{00000000-0005-0000-0000-00005D7E0000}"/>
    <cellStyle name="Migliaia 4" xfId="652" xr:uid="{00000000-0005-0000-0000-00005E7E0000}"/>
    <cellStyle name="Migliaia 4 10" xfId="21582" xr:uid="{00000000-0005-0000-0000-00005F7E0000}"/>
    <cellStyle name="Migliaia 4 11" xfId="38405" xr:uid="{00000000-0005-0000-0000-0000607E0000}"/>
    <cellStyle name="Migliaia 4 12" xfId="39239" xr:uid="{00000000-0005-0000-0000-0000617E0000}"/>
    <cellStyle name="Migliaia 4 13" xfId="39735" xr:uid="{00000000-0005-0000-0000-0000627E0000}"/>
    <cellStyle name="Migliaia 4 14" xfId="40221" xr:uid="{00000000-0005-0000-0000-0000637E0000}"/>
    <cellStyle name="Migliaia 4 2" xfId="653" xr:uid="{00000000-0005-0000-0000-0000647E0000}"/>
    <cellStyle name="Migliaia 4 2 10" xfId="39736" xr:uid="{00000000-0005-0000-0000-0000657E0000}"/>
    <cellStyle name="Migliaia 4 2 11" xfId="40222" xr:uid="{00000000-0005-0000-0000-0000667E0000}"/>
    <cellStyle name="Migliaia 4 2 2" xfId="3571" xr:uid="{00000000-0005-0000-0000-0000677E0000}"/>
    <cellStyle name="Migliaia 4 2 2 2" xfId="12332" xr:uid="{00000000-0005-0000-0000-0000687E0000}"/>
    <cellStyle name="Migliaia 4 2 2 2 2" xfId="30502" xr:uid="{00000000-0005-0000-0000-0000697E0000}"/>
    <cellStyle name="Migliaia 4 2 2 3" xfId="20586" xr:uid="{00000000-0005-0000-0000-00006A7E0000}"/>
    <cellStyle name="Migliaia 4 2 2 3 2" xfId="37903" xr:uid="{00000000-0005-0000-0000-00006B7E0000}"/>
    <cellStyle name="Migliaia 4 2 2 4" xfId="23500" xr:uid="{00000000-0005-0000-0000-00006C7E0000}"/>
    <cellStyle name="Migliaia 4 2 2 5" xfId="38858" xr:uid="{00000000-0005-0000-0000-00006D7E0000}"/>
    <cellStyle name="Migliaia 4 2 2 6" xfId="39416" xr:uid="{00000000-0005-0000-0000-00006E7E0000}"/>
    <cellStyle name="Migliaia 4 2 3" xfId="11539" xr:uid="{00000000-0005-0000-0000-00006F7E0000}"/>
    <cellStyle name="Migliaia 4 2 4" xfId="12156" xr:uid="{00000000-0005-0000-0000-0000707E0000}"/>
    <cellStyle name="Migliaia 4 2 4 2" xfId="30341" xr:uid="{00000000-0005-0000-0000-0000717E0000}"/>
    <cellStyle name="Migliaia 4 2 5" xfId="19487" xr:uid="{00000000-0005-0000-0000-0000727E0000}"/>
    <cellStyle name="Migliaia 4 2 5 2" xfId="37451" xr:uid="{00000000-0005-0000-0000-0000737E0000}"/>
    <cellStyle name="Migliaia 4 2 6" xfId="3336" xr:uid="{00000000-0005-0000-0000-0000747E0000}"/>
    <cellStyle name="Migliaia 4 2 6 2" xfId="23336" xr:uid="{00000000-0005-0000-0000-0000757E0000}"/>
    <cellStyle name="Migliaia 4 2 7" xfId="21583" xr:uid="{00000000-0005-0000-0000-0000767E0000}"/>
    <cellStyle name="Migliaia 4 2 8" xfId="38406" xr:uid="{00000000-0005-0000-0000-0000777E0000}"/>
    <cellStyle name="Migliaia 4 2 9" xfId="39240" xr:uid="{00000000-0005-0000-0000-0000787E0000}"/>
    <cellStyle name="Migliaia 4 3" xfId="654" xr:uid="{00000000-0005-0000-0000-0000797E0000}"/>
    <cellStyle name="Migliaia 4 3 10" xfId="39737" xr:uid="{00000000-0005-0000-0000-00007A7E0000}"/>
    <cellStyle name="Migliaia 4 3 11" xfId="40223" xr:uid="{00000000-0005-0000-0000-00007B7E0000}"/>
    <cellStyle name="Migliaia 4 3 2" xfId="655" xr:uid="{00000000-0005-0000-0000-00007C7E0000}"/>
    <cellStyle name="Migliaia 4 3 2 10" xfId="40224" xr:uid="{00000000-0005-0000-0000-00007D7E0000}"/>
    <cellStyle name="Migliaia 4 3 2 2" xfId="11541" xr:uid="{00000000-0005-0000-0000-00007E7E0000}"/>
    <cellStyle name="Migliaia 4 3 2 3" xfId="12158" xr:uid="{00000000-0005-0000-0000-00007F7E0000}"/>
    <cellStyle name="Migliaia 4 3 2 3 2" xfId="30343" xr:uid="{00000000-0005-0000-0000-0000807E0000}"/>
    <cellStyle name="Migliaia 4 3 2 4" xfId="19489" xr:uid="{00000000-0005-0000-0000-0000817E0000}"/>
    <cellStyle name="Migliaia 4 3 2 4 2" xfId="37453" xr:uid="{00000000-0005-0000-0000-0000827E0000}"/>
    <cellStyle name="Migliaia 4 3 2 5" xfId="3338" xr:uid="{00000000-0005-0000-0000-0000837E0000}"/>
    <cellStyle name="Migliaia 4 3 2 5 2" xfId="23338" xr:uid="{00000000-0005-0000-0000-0000847E0000}"/>
    <cellStyle name="Migliaia 4 3 2 6" xfId="21585" xr:uid="{00000000-0005-0000-0000-0000857E0000}"/>
    <cellStyle name="Migliaia 4 3 2 7" xfId="38408" xr:uid="{00000000-0005-0000-0000-0000867E0000}"/>
    <cellStyle name="Migliaia 4 3 2 8" xfId="39242" xr:uid="{00000000-0005-0000-0000-0000877E0000}"/>
    <cellStyle name="Migliaia 4 3 2 9" xfId="39738" xr:uid="{00000000-0005-0000-0000-0000887E0000}"/>
    <cellStyle name="Migliaia 4 3 3" xfId="11540" xr:uid="{00000000-0005-0000-0000-0000897E0000}"/>
    <cellStyle name="Migliaia 4 3 3 2" xfId="20588" xr:uid="{00000000-0005-0000-0000-00008A7E0000}"/>
    <cellStyle name="Migliaia 4 3 3 2 2" xfId="37905" xr:uid="{00000000-0005-0000-0000-00008B7E0000}"/>
    <cellStyle name="Migliaia 4 3 3 2 3" xfId="38860" xr:uid="{00000000-0005-0000-0000-00008C7E0000}"/>
    <cellStyle name="Migliaia 4 3 3 3" xfId="19490" xr:uid="{00000000-0005-0000-0000-00008D7E0000}"/>
    <cellStyle name="Migliaia 4 3 3 3 2" xfId="37454" xr:uid="{00000000-0005-0000-0000-00008E7E0000}"/>
    <cellStyle name="Migliaia 4 3 3 4" xfId="38409" xr:uid="{00000000-0005-0000-0000-00008F7E0000}"/>
    <cellStyle name="Migliaia 4 3 4" xfId="12157" xr:uid="{00000000-0005-0000-0000-0000907E0000}"/>
    <cellStyle name="Migliaia 4 3 4 2" xfId="20587" xr:uid="{00000000-0005-0000-0000-0000917E0000}"/>
    <cellStyle name="Migliaia 4 3 4 2 2" xfId="37904" xr:uid="{00000000-0005-0000-0000-0000927E0000}"/>
    <cellStyle name="Migliaia 4 3 4 3" xfId="30342" xr:uid="{00000000-0005-0000-0000-0000937E0000}"/>
    <cellStyle name="Migliaia 4 3 4 4" xfId="38859" xr:uid="{00000000-0005-0000-0000-0000947E0000}"/>
    <cellStyle name="Migliaia 4 3 5" xfId="19488" xr:uid="{00000000-0005-0000-0000-0000957E0000}"/>
    <cellStyle name="Migliaia 4 3 5 2" xfId="37452" xr:uid="{00000000-0005-0000-0000-0000967E0000}"/>
    <cellStyle name="Migliaia 4 3 6" xfId="3337" xr:uid="{00000000-0005-0000-0000-0000977E0000}"/>
    <cellStyle name="Migliaia 4 3 6 2" xfId="23337" xr:uid="{00000000-0005-0000-0000-0000987E0000}"/>
    <cellStyle name="Migliaia 4 3 7" xfId="21584" xr:uid="{00000000-0005-0000-0000-0000997E0000}"/>
    <cellStyle name="Migliaia 4 3 8" xfId="38407" xr:uid="{00000000-0005-0000-0000-00009A7E0000}"/>
    <cellStyle name="Migliaia 4 3 9" xfId="39241" xr:uid="{00000000-0005-0000-0000-00009B7E0000}"/>
    <cellStyle name="Migliaia 4 4" xfId="656" xr:uid="{00000000-0005-0000-0000-00009C7E0000}"/>
    <cellStyle name="Migliaia 4 4 2" xfId="19492" xr:uid="{00000000-0005-0000-0000-00009D7E0000}"/>
    <cellStyle name="Migliaia 4 4 2 2" xfId="20590" xr:uid="{00000000-0005-0000-0000-00009E7E0000}"/>
    <cellStyle name="Migliaia 4 4 2 2 2" xfId="37907" xr:uid="{00000000-0005-0000-0000-00009F7E0000}"/>
    <cellStyle name="Migliaia 4 4 2 2 3" xfId="38862" xr:uid="{00000000-0005-0000-0000-0000A07E0000}"/>
    <cellStyle name="Migliaia 4 4 2 3" xfId="37456" xr:uid="{00000000-0005-0000-0000-0000A17E0000}"/>
    <cellStyle name="Migliaia 4 4 2 4" xfId="38411" xr:uid="{00000000-0005-0000-0000-0000A27E0000}"/>
    <cellStyle name="Migliaia 4 4 3" xfId="20589" xr:uid="{00000000-0005-0000-0000-0000A37E0000}"/>
    <cellStyle name="Migliaia 4 4 3 2" xfId="37906" xr:uid="{00000000-0005-0000-0000-0000A47E0000}"/>
    <cellStyle name="Migliaia 4 4 3 3" xfId="38861" xr:uid="{00000000-0005-0000-0000-0000A57E0000}"/>
    <cellStyle name="Migliaia 4 4 4" xfId="19491" xr:uid="{00000000-0005-0000-0000-0000A67E0000}"/>
    <cellStyle name="Migliaia 4 4 4 2" xfId="37455" xr:uid="{00000000-0005-0000-0000-0000A77E0000}"/>
    <cellStyle name="Migliaia 4 4 5" xfId="11542" xr:uid="{00000000-0005-0000-0000-0000A87E0000}"/>
    <cellStyle name="Migliaia 4 4 6" xfId="21586" xr:uid="{00000000-0005-0000-0000-0000A97E0000}"/>
    <cellStyle name="Migliaia 4 4 7" xfId="38410" xr:uid="{00000000-0005-0000-0000-0000AA7E0000}"/>
    <cellStyle name="Migliaia 4 4 8" xfId="39739" xr:uid="{00000000-0005-0000-0000-0000AB7E0000}"/>
    <cellStyle name="Migliaia 4 4 9" xfId="40225" xr:uid="{00000000-0005-0000-0000-0000AC7E0000}"/>
    <cellStyle name="Migliaia 4 5" xfId="657" xr:uid="{00000000-0005-0000-0000-0000AD7E0000}"/>
    <cellStyle name="Migliaia 4 5 2" xfId="19493" xr:uid="{00000000-0005-0000-0000-0000AE7E0000}"/>
    <cellStyle name="Migliaia 4 5 2 2" xfId="37457" xr:uid="{00000000-0005-0000-0000-0000AF7E0000}"/>
    <cellStyle name="Migliaia 4 5 3" xfId="11543" xr:uid="{00000000-0005-0000-0000-0000B07E0000}"/>
    <cellStyle name="Migliaia 4 5 4" xfId="21587" xr:uid="{00000000-0005-0000-0000-0000B17E0000}"/>
    <cellStyle name="Migliaia 4 5 5" xfId="38412" xr:uid="{00000000-0005-0000-0000-0000B27E0000}"/>
    <cellStyle name="Migliaia 4 5 6" xfId="39740" xr:uid="{00000000-0005-0000-0000-0000B37E0000}"/>
    <cellStyle name="Migliaia 4 5 7" xfId="40226" xr:uid="{00000000-0005-0000-0000-0000B47E0000}"/>
    <cellStyle name="Migliaia 4 6" xfId="658" xr:uid="{00000000-0005-0000-0000-0000B57E0000}"/>
    <cellStyle name="Migliaia 4 6 2" xfId="11538" xr:uid="{00000000-0005-0000-0000-0000B67E0000}"/>
    <cellStyle name="Migliaia 4 6 3" xfId="21588" xr:uid="{00000000-0005-0000-0000-0000B77E0000}"/>
    <cellStyle name="Migliaia 4 6 4" xfId="39741" xr:uid="{00000000-0005-0000-0000-0000B87E0000}"/>
    <cellStyle name="Migliaia 4 6 5" xfId="40227" xr:uid="{00000000-0005-0000-0000-0000B97E0000}"/>
    <cellStyle name="Migliaia 4 7" xfId="12155" xr:uid="{00000000-0005-0000-0000-0000BA7E0000}"/>
    <cellStyle name="Migliaia 4 7 2" xfId="30340" xr:uid="{00000000-0005-0000-0000-0000BB7E0000}"/>
    <cellStyle name="Migliaia 4 8" xfId="19486" xr:uid="{00000000-0005-0000-0000-0000BC7E0000}"/>
    <cellStyle name="Migliaia 4 8 2" xfId="37450" xr:uid="{00000000-0005-0000-0000-0000BD7E0000}"/>
    <cellStyle name="Migliaia 4 9" xfId="3335" xr:uid="{00000000-0005-0000-0000-0000BE7E0000}"/>
    <cellStyle name="Migliaia 4 9 2" xfId="23335" xr:uid="{00000000-0005-0000-0000-0000BF7E0000}"/>
    <cellStyle name="Migliaia 40" xfId="659" xr:uid="{00000000-0005-0000-0000-0000C07E0000}"/>
    <cellStyle name="Migliaia 40 10" xfId="21589" xr:uid="{00000000-0005-0000-0000-0000C17E0000}"/>
    <cellStyle name="Migliaia 40 11" xfId="38413" xr:uid="{00000000-0005-0000-0000-0000C27E0000}"/>
    <cellStyle name="Migliaia 40 12" xfId="39243" xr:uid="{00000000-0005-0000-0000-0000C37E0000}"/>
    <cellStyle name="Migliaia 40 13" xfId="39742" xr:uid="{00000000-0005-0000-0000-0000C47E0000}"/>
    <cellStyle name="Migliaia 40 14" xfId="40228" xr:uid="{00000000-0005-0000-0000-0000C57E0000}"/>
    <cellStyle name="Migliaia 40 2" xfId="660" xr:uid="{00000000-0005-0000-0000-0000C67E0000}"/>
    <cellStyle name="Migliaia 40 2 10" xfId="39743" xr:uid="{00000000-0005-0000-0000-0000C77E0000}"/>
    <cellStyle name="Migliaia 40 2 11" xfId="40229" xr:uid="{00000000-0005-0000-0000-0000C87E0000}"/>
    <cellStyle name="Migliaia 40 2 2" xfId="3572" xr:uid="{00000000-0005-0000-0000-0000C97E0000}"/>
    <cellStyle name="Migliaia 40 2 2 2" xfId="12333" xr:uid="{00000000-0005-0000-0000-0000CA7E0000}"/>
    <cellStyle name="Migliaia 40 2 2 2 2" xfId="30503" xr:uid="{00000000-0005-0000-0000-0000CB7E0000}"/>
    <cellStyle name="Migliaia 40 2 2 3" xfId="20591" xr:uid="{00000000-0005-0000-0000-0000CC7E0000}"/>
    <cellStyle name="Migliaia 40 2 2 3 2" xfId="37908" xr:uid="{00000000-0005-0000-0000-0000CD7E0000}"/>
    <cellStyle name="Migliaia 40 2 2 4" xfId="23501" xr:uid="{00000000-0005-0000-0000-0000CE7E0000}"/>
    <cellStyle name="Migliaia 40 2 2 5" xfId="38863" xr:uid="{00000000-0005-0000-0000-0000CF7E0000}"/>
    <cellStyle name="Migliaia 40 2 2 6" xfId="39417" xr:uid="{00000000-0005-0000-0000-0000D07E0000}"/>
    <cellStyle name="Migliaia 40 2 3" xfId="11545" xr:uid="{00000000-0005-0000-0000-0000D17E0000}"/>
    <cellStyle name="Migliaia 40 2 4" xfId="12160" xr:uid="{00000000-0005-0000-0000-0000D27E0000}"/>
    <cellStyle name="Migliaia 40 2 4 2" xfId="30345" xr:uid="{00000000-0005-0000-0000-0000D37E0000}"/>
    <cellStyle name="Migliaia 40 2 5" xfId="19495" xr:uid="{00000000-0005-0000-0000-0000D47E0000}"/>
    <cellStyle name="Migliaia 40 2 5 2" xfId="37459" xr:uid="{00000000-0005-0000-0000-0000D57E0000}"/>
    <cellStyle name="Migliaia 40 2 6" xfId="3340" xr:uid="{00000000-0005-0000-0000-0000D67E0000}"/>
    <cellStyle name="Migliaia 40 2 6 2" xfId="23340" xr:uid="{00000000-0005-0000-0000-0000D77E0000}"/>
    <cellStyle name="Migliaia 40 2 7" xfId="21590" xr:uid="{00000000-0005-0000-0000-0000D87E0000}"/>
    <cellStyle name="Migliaia 40 2 8" xfId="38414" xr:uid="{00000000-0005-0000-0000-0000D97E0000}"/>
    <cellStyle name="Migliaia 40 2 9" xfId="39244" xr:uid="{00000000-0005-0000-0000-0000DA7E0000}"/>
    <cellStyle name="Migliaia 40 3" xfId="661" xr:uid="{00000000-0005-0000-0000-0000DB7E0000}"/>
    <cellStyle name="Migliaia 40 3 10" xfId="39744" xr:uid="{00000000-0005-0000-0000-0000DC7E0000}"/>
    <cellStyle name="Migliaia 40 3 11" xfId="40230" xr:uid="{00000000-0005-0000-0000-0000DD7E0000}"/>
    <cellStyle name="Migliaia 40 3 2" xfId="662" xr:uid="{00000000-0005-0000-0000-0000DE7E0000}"/>
    <cellStyle name="Migliaia 40 3 2 10" xfId="40231" xr:uid="{00000000-0005-0000-0000-0000DF7E0000}"/>
    <cellStyle name="Migliaia 40 3 2 2" xfId="11547" xr:uid="{00000000-0005-0000-0000-0000E07E0000}"/>
    <cellStyle name="Migliaia 40 3 2 3" xfId="12162" xr:uid="{00000000-0005-0000-0000-0000E17E0000}"/>
    <cellStyle name="Migliaia 40 3 2 3 2" xfId="30347" xr:uid="{00000000-0005-0000-0000-0000E27E0000}"/>
    <cellStyle name="Migliaia 40 3 2 4" xfId="19497" xr:uid="{00000000-0005-0000-0000-0000E37E0000}"/>
    <cellStyle name="Migliaia 40 3 2 4 2" xfId="37461" xr:uid="{00000000-0005-0000-0000-0000E47E0000}"/>
    <cellStyle name="Migliaia 40 3 2 5" xfId="3342" xr:uid="{00000000-0005-0000-0000-0000E57E0000}"/>
    <cellStyle name="Migliaia 40 3 2 5 2" xfId="23342" xr:uid="{00000000-0005-0000-0000-0000E67E0000}"/>
    <cellStyle name="Migliaia 40 3 2 6" xfId="21592" xr:uid="{00000000-0005-0000-0000-0000E77E0000}"/>
    <cellStyle name="Migliaia 40 3 2 7" xfId="38416" xr:uid="{00000000-0005-0000-0000-0000E87E0000}"/>
    <cellStyle name="Migliaia 40 3 2 8" xfId="39246" xr:uid="{00000000-0005-0000-0000-0000E97E0000}"/>
    <cellStyle name="Migliaia 40 3 2 9" xfId="39745" xr:uid="{00000000-0005-0000-0000-0000EA7E0000}"/>
    <cellStyle name="Migliaia 40 3 3" xfId="11546" xr:uid="{00000000-0005-0000-0000-0000EB7E0000}"/>
    <cellStyle name="Migliaia 40 3 3 2" xfId="20593" xr:uid="{00000000-0005-0000-0000-0000EC7E0000}"/>
    <cellStyle name="Migliaia 40 3 3 2 2" xfId="37910" xr:uid="{00000000-0005-0000-0000-0000ED7E0000}"/>
    <cellStyle name="Migliaia 40 3 3 2 3" xfId="38865" xr:uid="{00000000-0005-0000-0000-0000EE7E0000}"/>
    <cellStyle name="Migliaia 40 3 3 3" xfId="19498" xr:uid="{00000000-0005-0000-0000-0000EF7E0000}"/>
    <cellStyle name="Migliaia 40 3 3 3 2" xfId="37462" xr:uid="{00000000-0005-0000-0000-0000F07E0000}"/>
    <cellStyle name="Migliaia 40 3 3 4" xfId="38417" xr:uid="{00000000-0005-0000-0000-0000F17E0000}"/>
    <cellStyle name="Migliaia 40 3 4" xfId="12161" xr:uid="{00000000-0005-0000-0000-0000F27E0000}"/>
    <cellStyle name="Migliaia 40 3 4 2" xfId="20592" xr:uid="{00000000-0005-0000-0000-0000F37E0000}"/>
    <cellStyle name="Migliaia 40 3 4 2 2" xfId="37909" xr:uid="{00000000-0005-0000-0000-0000F47E0000}"/>
    <cellStyle name="Migliaia 40 3 4 3" xfId="30346" xr:uid="{00000000-0005-0000-0000-0000F57E0000}"/>
    <cellStyle name="Migliaia 40 3 4 4" xfId="38864" xr:uid="{00000000-0005-0000-0000-0000F67E0000}"/>
    <cellStyle name="Migliaia 40 3 5" xfId="19496" xr:uid="{00000000-0005-0000-0000-0000F77E0000}"/>
    <cellStyle name="Migliaia 40 3 5 2" xfId="37460" xr:uid="{00000000-0005-0000-0000-0000F87E0000}"/>
    <cellStyle name="Migliaia 40 3 6" xfId="3341" xr:uid="{00000000-0005-0000-0000-0000F97E0000}"/>
    <cellStyle name="Migliaia 40 3 6 2" xfId="23341" xr:uid="{00000000-0005-0000-0000-0000FA7E0000}"/>
    <cellStyle name="Migliaia 40 3 7" xfId="21591" xr:uid="{00000000-0005-0000-0000-0000FB7E0000}"/>
    <cellStyle name="Migliaia 40 3 8" xfId="38415" xr:uid="{00000000-0005-0000-0000-0000FC7E0000}"/>
    <cellStyle name="Migliaia 40 3 9" xfId="39245" xr:uid="{00000000-0005-0000-0000-0000FD7E0000}"/>
    <cellStyle name="Migliaia 40 4" xfId="663" xr:uid="{00000000-0005-0000-0000-0000FE7E0000}"/>
    <cellStyle name="Migliaia 40 4 2" xfId="19500" xr:uid="{00000000-0005-0000-0000-0000FF7E0000}"/>
    <cellStyle name="Migliaia 40 4 2 2" xfId="20595" xr:uid="{00000000-0005-0000-0000-0000007F0000}"/>
    <cellStyle name="Migliaia 40 4 2 2 2" xfId="37912" xr:uid="{00000000-0005-0000-0000-0000017F0000}"/>
    <cellStyle name="Migliaia 40 4 2 2 3" xfId="38867" xr:uid="{00000000-0005-0000-0000-0000027F0000}"/>
    <cellStyle name="Migliaia 40 4 2 3" xfId="37464" xr:uid="{00000000-0005-0000-0000-0000037F0000}"/>
    <cellStyle name="Migliaia 40 4 2 4" xfId="38419" xr:uid="{00000000-0005-0000-0000-0000047F0000}"/>
    <cellStyle name="Migliaia 40 4 3" xfId="20594" xr:uid="{00000000-0005-0000-0000-0000057F0000}"/>
    <cellStyle name="Migliaia 40 4 3 2" xfId="37911" xr:uid="{00000000-0005-0000-0000-0000067F0000}"/>
    <cellStyle name="Migliaia 40 4 3 3" xfId="38866" xr:uid="{00000000-0005-0000-0000-0000077F0000}"/>
    <cellStyle name="Migliaia 40 4 4" xfId="19499" xr:uid="{00000000-0005-0000-0000-0000087F0000}"/>
    <cellStyle name="Migliaia 40 4 4 2" xfId="37463" xr:uid="{00000000-0005-0000-0000-0000097F0000}"/>
    <cellStyle name="Migliaia 40 4 5" xfId="11548" xr:uid="{00000000-0005-0000-0000-00000A7F0000}"/>
    <cellStyle name="Migliaia 40 4 6" xfId="21593" xr:uid="{00000000-0005-0000-0000-00000B7F0000}"/>
    <cellStyle name="Migliaia 40 4 7" xfId="38418" xr:uid="{00000000-0005-0000-0000-00000C7F0000}"/>
    <cellStyle name="Migliaia 40 4 8" xfId="39746" xr:uid="{00000000-0005-0000-0000-00000D7F0000}"/>
    <cellStyle name="Migliaia 40 4 9" xfId="40232" xr:uid="{00000000-0005-0000-0000-00000E7F0000}"/>
    <cellStyle name="Migliaia 40 5" xfId="664" xr:uid="{00000000-0005-0000-0000-00000F7F0000}"/>
    <cellStyle name="Migliaia 40 5 2" xfId="19501" xr:uid="{00000000-0005-0000-0000-0000107F0000}"/>
    <cellStyle name="Migliaia 40 5 2 2" xfId="37465" xr:uid="{00000000-0005-0000-0000-0000117F0000}"/>
    <cellStyle name="Migliaia 40 5 3" xfId="11549" xr:uid="{00000000-0005-0000-0000-0000127F0000}"/>
    <cellStyle name="Migliaia 40 5 4" xfId="21594" xr:uid="{00000000-0005-0000-0000-0000137F0000}"/>
    <cellStyle name="Migliaia 40 5 5" xfId="38420" xr:uid="{00000000-0005-0000-0000-0000147F0000}"/>
    <cellStyle name="Migliaia 40 5 6" xfId="39747" xr:uid="{00000000-0005-0000-0000-0000157F0000}"/>
    <cellStyle name="Migliaia 40 5 7" xfId="40233" xr:uid="{00000000-0005-0000-0000-0000167F0000}"/>
    <cellStyle name="Migliaia 40 6" xfId="665" xr:uid="{00000000-0005-0000-0000-0000177F0000}"/>
    <cellStyle name="Migliaia 40 6 2" xfId="11544" xr:uid="{00000000-0005-0000-0000-0000187F0000}"/>
    <cellStyle name="Migliaia 40 6 3" xfId="21595" xr:uid="{00000000-0005-0000-0000-0000197F0000}"/>
    <cellStyle name="Migliaia 40 6 4" xfId="39748" xr:uid="{00000000-0005-0000-0000-00001A7F0000}"/>
    <cellStyle name="Migliaia 40 6 5" xfId="40234" xr:uid="{00000000-0005-0000-0000-00001B7F0000}"/>
    <cellStyle name="Migliaia 40 7" xfId="12159" xr:uid="{00000000-0005-0000-0000-00001C7F0000}"/>
    <cellStyle name="Migliaia 40 7 2" xfId="30344" xr:uid="{00000000-0005-0000-0000-00001D7F0000}"/>
    <cellStyle name="Migliaia 40 8" xfId="19494" xr:uid="{00000000-0005-0000-0000-00001E7F0000}"/>
    <cellStyle name="Migliaia 40 8 2" xfId="37458" xr:uid="{00000000-0005-0000-0000-00001F7F0000}"/>
    <cellStyle name="Migliaia 40 9" xfId="3339" xr:uid="{00000000-0005-0000-0000-0000207F0000}"/>
    <cellStyle name="Migliaia 40 9 2" xfId="23339" xr:uid="{00000000-0005-0000-0000-0000217F0000}"/>
    <cellStyle name="Migliaia 41" xfId="666" xr:uid="{00000000-0005-0000-0000-0000227F0000}"/>
    <cellStyle name="Migliaia 41 10" xfId="21596" xr:uid="{00000000-0005-0000-0000-0000237F0000}"/>
    <cellStyle name="Migliaia 41 11" xfId="38421" xr:uid="{00000000-0005-0000-0000-0000247F0000}"/>
    <cellStyle name="Migliaia 41 12" xfId="39247" xr:uid="{00000000-0005-0000-0000-0000257F0000}"/>
    <cellStyle name="Migliaia 41 13" xfId="39749" xr:uid="{00000000-0005-0000-0000-0000267F0000}"/>
    <cellStyle name="Migliaia 41 14" xfId="40235" xr:uid="{00000000-0005-0000-0000-0000277F0000}"/>
    <cellStyle name="Migliaia 41 2" xfId="667" xr:uid="{00000000-0005-0000-0000-0000287F0000}"/>
    <cellStyle name="Migliaia 41 2 10" xfId="39750" xr:uid="{00000000-0005-0000-0000-0000297F0000}"/>
    <cellStyle name="Migliaia 41 2 11" xfId="40236" xr:uid="{00000000-0005-0000-0000-00002A7F0000}"/>
    <cellStyle name="Migliaia 41 2 2" xfId="3573" xr:uid="{00000000-0005-0000-0000-00002B7F0000}"/>
    <cellStyle name="Migliaia 41 2 2 2" xfId="12334" xr:uid="{00000000-0005-0000-0000-00002C7F0000}"/>
    <cellStyle name="Migliaia 41 2 2 2 2" xfId="30504" xr:uid="{00000000-0005-0000-0000-00002D7F0000}"/>
    <cellStyle name="Migliaia 41 2 2 3" xfId="20596" xr:uid="{00000000-0005-0000-0000-00002E7F0000}"/>
    <cellStyle name="Migliaia 41 2 2 3 2" xfId="37913" xr:uid="{00000000-0005-0000-0000-00002F7F0000}"/>
    <cellStyle name="Migliaia 41 2 2 4" xfId="23502" xr:uid="{00000000-0005-0000-0000-0000307F0000}"/>
    <cellStyle name="Migliaia 41 2 2 5" xfId="38868" xr:uid="{00000000-0005-0000-0000-0000317F0000}"/>
    <cellStyle name="Migliaia 41 2 2 6" xfId="39418" xr:uid="{00000000-0005-0000-0000-0000327F0000}"/>
    <cellStyle name="Migliaia 41 2 3" xfId="11551" xr:uid="{00000000-0005-0000-0000-0000337F0000}"/>
    <cellStyle name="Migliaia 41 2 4" xfId="12164" xr:uid="{00000000-0005-0000-0000-0000347F0000}"/>
    <cellStyle name="Migliaia 41 2 4 2" xfId="30349" xr:uid="{00000000-0005-0000-0000-0000357F0000}"/>
    <cellStyle name="Migliaia 41 2 5" xfId="19503" xr:uid="{00000000-0005-0000-0000-0000367F0000}"/>
    <cellStyle name="Migliaia 41 2 5 2" xfId="37467" xr:uid="{00000000-0005-0000-0000-0000377F0000}"/>
    <cellStyle name="Migliaia 41 2 6" xfId="3344" xr:uid="{00000000-0005-0000-0000-0000387F0000}"/>
    <cellStyle name="Migliaia 41 2 6 2" xfId="23344" xr:uid="{00000000-0005-0000-0000-0000397F0000}"/>
    <cellStyle name="Migliaia 41 2 7" xfId="21597" xr:uid="{00000000-0005-0000-0000-00003A7F0000}"/>
    <cellStyle name="Migliaia 41 2 8" xfId="38422" xr:uid="{00000000-0005-0000-0000-00003B7F0000}"/>
    <cellStyle name="Migliaia 41 2 9" xfId="39248" xr:uid="{00000000-0005-0000-0000-00003C7F0000}"/>
    <cellStyle name="Migliaia 41 3" xfId="668" xr:uid="{00000000-0005-0000-0000-00003D7F0000}"/>
    <cellStyle name="Migliaia 41 3 10" xfId="39751" xr:uid="{00000000-0005-0000-0000-00003E7F0000}"/>
    <cellStyle name="Migliaia 41 3 11" xfId="40237" xr:uid="{00000000-0005-0000-0000-00003F7F0000}"/>
    <cellStyle name="Migliaia 41 3 2" xfId="669" xr:uid="{00000000-0005-0000-0000-0000407F0000}"/>
    <cellStyle name="Migliaia 41 3 2 10" xfId="40238" xr:uid="{00000000-0005-0000-0000-0000417F0000}"/>
    <cellStyle name="Migliaia 41 3 2 2" xfId="11553" xr:uid="{00000000-0005-0000-0000-0000427F0000}"/>
    <cellStyle name="Migliaia 41 3 2 3" xfId="12166" xr:uid="{00000000-0005-0000-0000-0000437F0000}"/>
    <cellStyle name="Migliaia 41 3 2 3 2" xfId="30351" xr:uid="{00000000-0005-0000-0000-0000447F0000}"/>
    <cellStyle name="Migliaia 41 3 2 4" xfId="19505" xr:uid="{00000000-0005-0000-0000-0000457F0000}"/>
    <cellStyle name="Migliaia 41 3 2 4 2" xfId="37469" xr:uid="{00000000-0005-0000-0000-0000467F0000}"/>
    <cellStyle name="Migliaia 41 3 2 5" xfId="3346" xr:uid="{00000000-0005-0000-0000-0000477F0000}"/>
    <cellStyle name="Migliaia 41 3 2 5 2" xfId="23346" xr:uid="{00000000-0005-0000-0000-0000487F0000}"/>
    <cellStyle name="Migliaia 41 3 2 6" xfId="21599" xr:uid="{00000000-0005-0000-0000-0000497F0000}"/>
    <cellStyle name="Migliaia 41 3 2 7" xfId="38424" xr:uid="{00000000-0005-0000-0000-00004A7F0000}"/>
    <cellStyle name="Migliaia 41 3 2 8" xfId="39250" xr:uid="{00000000-0005-0000-0000-00004B7F0000}"/>
    <cellStyle name="Migliaia 41 3 2 9" xfId="39752" xr:uid="{00000000-0005-0000-0000-00004C7F0000}"/>
    <cellStyle name="Migliaia 41 3 3" xfId="11552" xr:uid="{00000000-0005-0000-0000-00004D7F0000}"/>
    <cellStyle name="Migliaia 41 3 3 2" xfId="20598" xr:uid="{00000000-0005-0000-0000-00004E7F0000}"/>
    <cellStyle name="Migliaia 41 3 3 2 2" xfId="37915" xr:uid="{00000000-0005-0000-0000-00004F7F0000}"/>
    <cellStyle name="Migliaia 41 3 3 2 3" xfId="38870" xr:uid="{00000000-0005-0000-0000-0000507F0000}"/>
    <cellStyle name="Migliaia 41 3 3 3" xfId="19506" xr:uid="{00000000-0005-0000-0000-0000517F0000}"/>
    <cellStyle name="Migliaia 41 3 3 3 2" xfId="37470" xr:uid="{00000000-0005-0000-0000-0000527F0000}"/>
    <cellStyle name="Migliaia 41 3 3 4" xfId="38425" xr:uid="{00000000-0005-0000-0000-0000537F0000}"/>
    <cellStyle name="Migliaia 41 3 4" xfId="12165" xr:uid="{00000000-0005-0000-0000-0000547F0000}"/>
    <cellStyle name="Migliaia 41 3 4 2" xfId="20597" xr:uid="{00000000-0005-0000-0000-0000557F0000}"/>
    <cellStyle name="Migliaia 41 3 4 2 2" xfId="37914" xr:uid="{00000000-0005-0000-0000-0000567F0000}"/>
    <cellStyle name="Migliaia 41 3 4 3" xfId="30350" xr:uid="{00000000-0005-0000-0000-0000577F0000}"/>
    <cellStyle name="Migliaia 41 3 4 4" xfId="38869" xr:uid="{00000000-0005-0000-0000-0000587F0000}"/>
    <cellStyle name="Migliaia 41 3 5" xfId="19504" xr:uid="{00000000-0005-0000-0000-0000597F0000}"/>
    <cellStyle name="Migliaia 41 3 5 2" xfId="37468" xr:uid="{00000000-0005-0000-0000-00005A7F0000}"/>
    <cellStyle name="Migliaia 41 3 6" xfId="3345" xr:uid="{00000000-0005-0000-0000-00005B7F0000}"/>
    <cellStyle name="Migliaia 41 3 6 2" xfId="23345" xr:uid="{00000000-0005-0000-0000-00005C7F0000}"/>
    <cellStyle name="Migliaia 41 3 7" xfId="21598" xr:uid="{00000000-0005-0000-0000-00005D7F0000}"/>
    <cellStyle name="Migliaia 41 3 8" xfId="38423" xr:uid="{00000000-0005-0000-0000-00005E7F0000}"/>
    <cellStyle name="Migliaia 41 3 9" xfId="39249" xr:uid="{00000000-0005-0000-0000-00005F7F0000}"/>
    <cellStyle name="Migliaia 41 4" xfId="670" xr:uid="{00000000-0005-0000-0000-0000607F0000}"/>
    <cellStyle name="Migliaia 41 4 2" xfId="19508" xr:uid="{00000000-0005-0000-0000-0000617F0000}"/>
    <cellStyle name="Migliaia 41 4 2 2" xfId="20600" xr:uid="{00000000-0005-0000-0000-0000627F0000}"/>
    <cellStyle name="Migliaia 41 4 2 2 2" xfId="37917" xr:uid="{00000000-0005-0000-0000-0000637F0000}"/>
    <cellStyle name="Migliaia 41 4 2 2 3" xfId="38872" xr:uid="{00000000-0005-0000-0000-0000647F0000}"/>
    <cellStyle name="Migliaia 41 4 2 3" xfId="37472" xr:uid="{00000000-0005-0000-0000-0000657F0000}"/>
    <cellStyle name="Migliaia 41 4 2 4" xfId="38427" xr:uid="{00000000-0005-0000-0000-0000667F0000}"/>
    <cellStyle name="Migliaia 41 4 3" xfId="20599" xr:uid="{00000000-0005-0000-0000-0000677F0000}"/>
    <cellStyle name="Migliaia 41 4 3 2" xfId="37916" xr:uid="{00000000-0005-0000-0000-0000687F0000}"/>
    <cellStyle name="Migliaia 41 4 3 3" xfId="38871" xr:uid="{00000000-0005-0000-0000-0000697F0000}"/>
    <cellStyle name="Migliaia 41 4 4" xfId="19507" xr:uid="{00000000-0005-0000-0000-00006A7F0000}"/>
    <cellStyle name="Migliaia 41 4 4 2" xfId="37471" xr:uid="{00000000-0005-0000-0000-00006B7F0000}"/>
    <cellStyle name="Migliaia 41 4 5" xfId="11554" xr:uid="{00000000-0005-0000-0000-00006C7F0000}"/>
    <cellStyle name="Migliaia 41 4 6" xfId="21600" xr:uid="{00000000-0005-0000-0000-00006D7F0000}"/>
    <cellStyle name="Migliaia 41 4 7" xfId="38426" xr:uid="{00000000-0005-0000-0000-00006E7F0000}"/>
    <cellStyle name="Migliaia 41 4 8" xfId="39753" xr:uid="{00000000-0005-0000-0000-00006F7F0000}"/>
    <cellStyle name="Migliaia 41 4 9" xfId="40239" xr:uid="{00000000-0005-0000-0000-0000707F0000}"/>
    <cellStyle name="Migliaia 41 5" xfId="671" xr:uid="{00000000-0005-0000-0000-0000717F0000}"/>
    <cellStyle name="Migliaia 41 5 2" xfId="19509" xr:uid="{00000000-0005-0000-0000-0000727F0000}"/>
    <cellStyle name="Migliaia 41 5 2 2" xfId="37473" xr:uid="{00000000-0005-0000-0000-0000737F0000}"/>
    <cellStyle name="Migliaia 41 5 3" xfId="11555" xr:uid="{00000000-0005-0000-0000-0000747F0000}"/>
    <cellStyle name="Migliaia 41 5 4" xfId="21601" xr:uid="{00000000-0005-0000-0000-0000757F0000}"/>
    <cellStyle name="Migliaia 41 5 5" xfId="38428" xr:uid="{00000000-0005-0000-0000-0000767F0000}"/>
    <cellStyle name="Migliaia 41 5 6" xfId="39754" xr:uid="{00000000-0005-0000-0000-0000777F0000}"/>
    <cellStyle name="Migliaia 41 5 7" xfId="40240" xr:uid="{00000000-0005-0000-0000-0000787F0000}"/>
    <cellStyle name="Migliaia 41 6" xfId="672" xr:uid="{00000000-0005-0000-0000-0000797F0000}"/>
    <cellStyle name="Migliaia 41 6 2" xfId="11550" xr:uid="{00000000-0005-0000-0000-00007A7F0000}"/>
    <cellStyle name="Migliaia 41 6 3" xfId="21602" xr:uid="{00000000-0005-0000-0000-00007B7F0000}"/>
    <cellStyle name="Migliaia 41 6 4" xfId="39755" xr:uid="{00000000-0005-0000-0000-00007C7F0000}"/>
    <cellStyle name="Migliaia 41 6 5" xfId="40241" xr:uid="{00000000-0005-0000-0000-00007D7F0000}"/>
    <cellStyle name="Migliaia 41 7" xfId="12163" xr:uid="{00000000-0005-0000-0000-00007E7F0000}"/>
    <cellStyle name="Migliaia 41 7 2" xfId="30348" xr:uid="{00000000-0005-0000-0000-00007F7F0000}"/>
    <cellStyle name="Migliaia 41 8" xfId="19502" xr:uid="{00000000-0005-0000-0000-0000807F0000}"/>
    <cellStyle name="Migliaia 41 8 2" xfId="37466" xr:uid="{00000000-0005-0000-0000-0000817F0000}"/>
    <cellStyle name="Migliaia 41 9" xfId="3343" xr:uid="{00000000-0005-0000-0000-0000827F0000}"/>
    <cellStyle name="Migliaia 41 9 2" xfId="23343" xr:uid="{00000000-0005-0000-0000-0000837F0000}"/>
    <cellStyle name="Migliaia 42" xfId="673" xr:uid="{00000000-0005-0000-0000-0000847F0000}"/>
    <cellStyle name="Migliaia 42 10" xfId="21603" xr:uid="{00000000-0005-0000-0000-0000857F0000}"/>
    <cellStyle name="Migliaia 42 11" xfId="38429" xr:uid="{00000000-0005-0000-0000-0000867F0000}"/>
    <cellStyle name="Migliaia 42 12" xfId="39251" xr:uid="{00000000-0005-0000-0000-0000877F0000}"/>
    <cellStyle name="Migliaia 42 13" xfId="39756" xr:uid="{00000000-0005-0000-0000-0000887F0000}"/>
    <cellStyle name="Migliaia 42 14" xfId="40242" xr:uid="{00000000-0005-0000-0000-0000897F0000}"/>
    <cellStyle name="Migliaia 42 2" xfId="674" xr:uid="{00000000-0005-0000-0000-00008A7F0000}"/>
    <cellStyle name="Migliaia 42 2 10" xfId="39757" xr:uid="{00000000-0005-0000-0000-00008B7F0000}"/>
    <cellStyle name="Migliaia 42 2 11" xfId="40243" xr:uid="{00000000-0005-0000-0000-00008C7F0000}"/>
    <cellStyle name="Migliaia 42 2 2" xfId="3574" xr:uid="{00000000-0005-0000-0000-00008D7F0000}"/>
    <cellStyle name="Migliaia 42 2 2 2" xfId="12335" xr:uid="{00000000-0005-0000-0000-00008E7F0000}"/>
    <cellStyle name="Migliaia 42 2 2 2 2" xfId="30505" xr:uid="{00000000-0005-0000-0000-00008F7F0000}"/>
    <cellStyle name="Migliaia 42 2 2 3" xfId="20601" xr:uid="{00000000-0005-0000-0000-0000907F0000}"/>
    <cellStyle name="Migliaia 42 2 2 3 2" xfId="37918" xr:uid="{00000000-0005-0000-0000-0000917F0000}"/>
    <cellStyle name="Migliaia 42 2 2 4" xfId="23503" xr:uid="{00000000-0005-0000-0000-0000927F0000}"/>
    <cellStyle name="Migliaia 42 2 2 5" xfId="38873" xr:uid="{00000000-0005-0000-0000-0000937F0000}"/>
    <cellStyle name="Migliaia 42 2 2 6" xfId="39419" xr:uid="{00000000-0005-0000-0000-0000947F0000}"/>
    <cellStyle name="Migliaia 42 2 3" xfId="11557" xr:uid="{00000000-0005-0000-0000-0000957F0000}"/>
    <cellStyle name="Migliaia 42 2 4" xfId="12168" xr:uid="{00000000-0005-0000-0000-0000967F0000}"/>
    <cellStyle name="Migliaia 42 2 4 2" xfId="30353" xr:uid="{00000000-0005-0000-0000-0000977F0000}"/>
    <cellStyle name="Migliaia 42 2 5" xfId="19511" xr:uid="{00000000-0005-0000-0000-0000987F0000}"/>
    <cellStyle name="Migliaia 42 2 5 2" xfId="37475" xr:uid="{00000000-0005-0000-0000-0000997F0000}"/>
    <cellStyle name="Migliaia 42 2 6" xfId="3348" xr:uid="{00000000-0005-0000-0000-00009A7F0000}"/>
    <cellStyle name="Migliaia 42 2 6 2" xfId="23348" xr:uid="{00000000-0005-0000-0000-00009B7F0000}"/>
    <cellStyle name="Migliaia 42 2 7" xfId="21604" xr:uid="{00000000-0005-0000-0000-00009C7F0000}"/>
    <cellStyle name="Migliaia 42 2 8" xfId="38430" xr:uid="{00000000-0005-0000-0000-00009D7F0000}"/>
    <cellStyle name="Migliaia 42 2 9" xfId="39252" xr:uid="{00000000-0005-0000-0000-00009E7F0000}"/>
    <cellStyle name="Migliaia 42 3" xfId="675" xr:uid="{00000000-0005-0000-0000-00009F7F0000}"/>
    <cellStyle name="Migliaia 42 3 10" xfId="39758" xr:uid="{00000000-0005-0000-0000-0000A07F0000}"/>
    <cellStyle name="Migliaia 42 3 11" xfId="40244" xr:uid="{00000000-0005-0000-0000-0000A17F0000}"/>
    <cellStyle name="Migliaia 42 3 2" xfId="676" xr:uid="{00000000-0005-0000-0000-0000A27F0000}"/>
    <cellStyle name="Migliaia 42 3 2 10" xfId="40245" xr:uid="{00000000-0005-0000-0000-0000A37F0000}"/>
    <cellStyle name="Migliaia 42 3 2 2" xfId="11559" xr:uid="{00000000-0005-0000-0000-0000A47F0000}"/>
    <cellStyle name="Migliaia 42 3 2 3" xfId="12170" xr:uid="{00000000-0005-0000-0000-0000A57F0000}"/>
    <cellStyle name="Migliaia 42 3 2 3 2" xfId="30355" xr:uid="{00000000-0005-0000-0000-0000A67F0000}"/>
    <cellStyle name="Migliaia 42 3 2 4" xfId="19513" xr:uid="{00000000-0005-0000-0000-0000A77F0000}"/>
    <cellStyle name="Migliaia 42 3 2 4 2" xfId="37477" xr:uid="{00000000-0005-0000-0000-0000A87F0000}"/>
    <cellStyle name="Migliaia 42 3 2 5" xfId="3350" xr:uid="{00000000-0005-0000-0000-0000A97F0000}"/>
    <cellStyle name="Migliaia 42 3 2 5 2" xfId="23350" xr:uid="{00000000-0005-0000-0000-0000AA7F0000}"/>
    <cellStyle name="Migliaia 42 3 2 6" xfId="21606" xr:uid="{00000000-0005-0000-0000-0000AB7F0000}"/>
    <cellStyle name="Migliaia 42 3 2 7" xfId="38432" xr:uid="{00000000-0005-0000-0000-0000AC7F0000}"/>
    <cellStyle name="Migliaia 42 3 2 8" xfId="39254" xr:uid="{00000000-0005-0000-0000-0000AD7F0000}"/>
    <cellStyle name="Migliaia 42 3 2 9" xfId="39759" xr:uid="{00000000-0005-0000-0000-0000AE7F0000}"/>
    <cellStyle name="Migliaia 42 3 3" xfId="11558" xr:uid="{00000000-0005-0000-0000-0000AF7F0000}"/>
    <cellStyle name="Migliaia 42 3 3 2" xfId="20603" xr:uid="{00000000-0005-0000-0000-0000B07F0000}"/>
    <cellStyle name="Migliaia 42 3 3 2 2" xfId="37920" xr:uid="{00000000-0005-0000-0000-0000B17F0000}"/>
    <cellStyle name="Migliaia 42 3 3 2 3" xfId="38875" xr:uid="{00000000-0005-0000-0000-0000B27F0000}"/>
    <cellStyle name="Migliaia 42 3 3 3" xfId="19514" xr:uid="{00000000-0005-0000-0000-0000B37F0000}"/>
    <cellStyle name="Migliaia 42 3 3 3 2" xfId="37478" xr:uid="{00000000-0005-0000-0000-0000B47F0000}"/>
    <cellStyle name="Migliaia 42 3 3 4" xfId="38433" xr:uid="{00000000-0005-0000-0000-0000B57F0000}"/>
    <cellStyle name="Migliaia 42 3 4" xfId="12169" xr:uid="{00000000-0005-0000-0000-0000B67F0000}"/>
    <cellStyle name="Migliaia 42 3 4 2" xfId="20602" xr:uid="{00000000-0005-0000-0000-0000B77F0000}"/>
    <cellStyle name="Migliaia 42 3 4 2 2" xfId="37919" xr:uid="{00000000-0005-0000-0000-0000B87F0000}"/>
    <cellStyle name="Migliaia 42 3 4 3" xfId="30354" xr:uid="{00000000-0005-0000-0000-0000B97F0000}"/>
    <cellStyle name="Migliaia 42 3 4 4" xfId="38874" xr:uid="{00000000-0005-0000-0000-0000BA7F0000}"/>
    <cellStyle name="Migliaia 42 3 5" xfId="19512" xr:uid="{00000000-0005-0000-0000-0000BB7F0000}"/>
    <cellStyle name="Migliaia 42 3 5 2" xfId="37476" xr:uid="{00000000-0005-0000-0000-0000BC7F0000}"/>
    <cellStyle name="Migliaia 42 3 6" xfId="3349" xr:uid="{00000000-0005-0000-0000-0000BD7F0000}"/>
    <cellStyle name="Migliaia 42 3 6 2" xfId="23349" xr:uid="{00000000-0005-0000-0000-0000BE7F0000}"/>
    <cellStyle name="Migliaia 42 3 7" xfId="21605" xr:uid="{00000000-0005-0000-0000-0000BF7F0000}"/>
    <cellStyle name="Migliaia 42 3 8" xfId="38431" xr:uid="{00000000-0005-0000-0000-0000C07F0000}"/>
    <cellStyle name="Migliaia 42 3 9" xfId="39253" xr:uid="{00000000-0005-0000-0000-0000C17F0000}"/>
    <cellStyle name="Migliaia 42 4" xfId="677" xr:uid="{00000000-0005-0000-0000-0000C27F0000}"/>
    <cellStyle name="Migliaia 42 4 2" xfId="19516" xr:uid="{00000000-0005-0000-0000-0000C37F0000}"/>
    <cellStyle name="Migliaia 42 4 2 2" xfId="20605" xr:uid="{00000000-0005-0000-0000-0000C47F0000}"/>
    <cellStyle name="Migliaia 42 4 2 2 2" xfId="37922" xr:uid="{00000000-0005-0000-0000-0000C57F0000}"/>
    <cellStyle name="Migliaia 42 4 2 2 3" xfId="38877" xr:uid="{00000000-0005-0000-0000-0000C67F0000}"/>
    <cellStyle name="Migliaia 42 4 2 3" xfId="37480" xr:uid="{00000000-0005-0000-0000-0000C77F0000}"/>
    <cellStyle name="Migliaia 42 4 2 4" xfId="38435" xr:uid="{00000000-0005-0000-0000-0000C87F0000}"/>
    <cellStyle name="Migliaia 42 4 3" xfId="20604" xr:uid="{00000000-0005-0000-0000-0000C97F0000}"/>
    <cellStyle name="Migliaia 42 4 3 2" xfId="37921" xr:uid="{00000000-0005-0000-0000-0000CA7F0000}"/>
    <cellStyle name="Migliaia 42 4 3 3" xfId="38876" xr:uid="{00000000-0005-0000-0000-0000CB7F0000}"/>
    <cellStyle name="Migliaia 42 4 4" xfId="19515" xr:uid="{00000000-0005-0000-0000-0000CC7F0000}"/>
    <cellStyle name="Migliaia 42 4 4 2" xfId="37479" xr:uid="{00000000-0005-0000-0000-0000CD7F0000}"/>
    <cellStyle name="Migliaia 42 4 5" xfId="11560" xr:uid="{00000000-0005-0000-0000-0000CE7F0000}"/>
    <cellStyle name="Migliaia 42 4 6" xfId="21607" xr:uid="{00000000-0005-0000-0000-0000CF7F0000}"/>
    <cellStyle name="Migliaia 42 4 7" xfId="38434" xr:uid="{00000000-0005-0000-0000-0000D07F0000}"/>
    <cellStyle name="Migliaia 42 4 8" xfId="39760" xr:uid="{00000000-0005-0000-0000-0000D17F0000}"/>
    <cellStyle name="Migliaia 42 4 9" xfId="40246" xr:uid="{00000000-0005-0000-0000-0000D27F0000}"/>
    <cellStyle name="Migliaia 42 5" xfId="678" xr:uid="{00000000-0005-0000-0000-0000D37F0000}"/>
    <cellStyle name="Migliaia 42 5 2" xfId="19517" xr:uid="{00000000-0005-0000-0000-0000D47F0000}"/>
    <cellStyle name="Migliaia 42 5 2 2" xfId="37481" xr:uid="{00000000-0005-0000-0000-0000D57F0000}"/>
    <cellStyle name="Migliaia 42 5 3" xfId="11561" xr:uid="{00000000-0005-0000-0000-0000D67F0000}"/>
    <cellStyle name="Migliaia 42 5 4" xfId="21608" xr:uid="{00000000-0005-0000-0000-0000D77F0000}"/>
    <cellStyle name="Migliaia 42 5 5" xfId="38436" xr:uid="{00000000-0005-0000-0000-0000D87F0000}"/>
    <cellStyle name="Migliaia 42 5 6" xfId="39761" xr:uid="{00000000-0005-0000-0000-0000D97F0000}"/>
    <cellStyle name="Migliaia 42 5 7" xfId="40247" xr:uid="{00000000-0005-0000-0000-0000DA7F0000}"/>
    <cellStyle name="Migliaia 42 6" xfId="679" xr:uid="{00000000-0005-0000-0000-0000DB7F0000}"/>
    <cellStyle name="Migliaia 42 6 2" xfId="11556" xr:uid="{00000000-0005-0000-0000-0000DC7F0000}"/>
    <cellStyle name="Migliaia 42 6 3" xfId="21609" xr:uid="{00000000-0005-0000-0000-0000DD7F0000}"/>
    <cellStyle name="Migliaia 42 6 4" xfId="39762" xr:uid="{00000000-0005-0000-0000-0000DE7F0000}"/>
    <cellStyle name="Migliaia 42 6 5" xfId="40248" xr:uid="{00000000-0005-0000-0000-0000DF7F0000}"/>
    <cellStyle name="Migliaia 42 7" xfId="12167" xr:uid="{00000000-0005-0000-0000-0000E07F0000}"/>
    <cellStyle name="Migliaia 42 7 2" xfId="30352" xr:uid="{00000000-0005-0000-0000-0000E17F0000}"/>
    <cellStyle name="Migliaia 42 8" xfId="19510" xr:uid="{00000000-0005-0000-0000-0000E27F0000}"/>
    <cellStyle name="Migliaia 42 8 2" xfId="37474" xr:uid="{00000000-0005-0000-0000-0000E37F0000}"/>
    <cellStyle name="Migliaia 42 9" xfId="3347" xr:uid="{00000000-0005-0000-0000-0000E47F0000}"/>
    <cellStyle name="Migliaia 42 9 2" xfId="23347" xr:uid="{00000000-0005-0000-0000-0000E57F0000}"/>
    <cellStyle name="Migliaia 43" xfId="680" xr:uid="{00000000-0005-0000-0000-0000E67F0000}"/>
    <cellStyle name="Migliaia 43 10" xfId="21610" xr:uid="{00000000-0005-0000-0000-0000E77F0000}"/>
    <cellStyle name="Migliaia 43 11" xfId="38437" xr:uid="{00000000-0005-0000-0000-0000E87F0000}"/>
    <cellStyle name="Migliaia 43 12" xfId="39255" xr:uid="{00000000-0005-0000-0000-0000E97F0000}"/>
    <cellStyle name="Migliaia 43 13" xfId="39763" xr:uid="{00000000-0005-0000-0000-0000EA7F0000}"/>
    <cellStyle name="Migliaia 43 14" xfId="40249" xr:uid="{00000000-0005-0000-0000-0000EB7F0000}"/>
    <cellStyle name="Migliaia 43 2" xfId="681" xr:uid="{00000000-0005-0000-0000-0000EC7F0000}"/>
    <cellStyle name="Migliaia 43 2 10" xfId="39764" xr:uid="{00000000-0005-0000-0000-0000ED7F0000}"/>
    <cellStyle name="Migliaia 43 2 11" xfId="40250" xr:uid="{00000000-0005-0000-0000-0000EE7F0000}"/>
    <cellStyle name="Migliaia 43 2 2" xfId="3575" xr:uid="{00000000-0005-0000-0000-0000EF7F0000}"/>
    <cellStyle name="Migliaia 43 2 2 2" xfId="12336" xr:uid="{00000000-0005-0000-0000-0000F07F0000}"/>
    <cellStyle name="Migliaia 43 2 2 2 2" xfId="30506" xr:uid="{00000000-0005-0000-0000-0000F17F0000}"/>
    <cellStyle name="Migliaia 43 2 2 3" xfId="20606" xr:uid="{00000000-0005-0000-0000-0000F27F0000}"/>
    <cellStyle name="Migliaia 43 2 2 3 2" xfId="37923" xr:uid="{00000000-0005-0000-0000-0000F37F0000}"/>
    <cellStyle name="Migliaia 43 2 2 4" xfId="23504" xr:uid="{00000000-0005-0000-0000-0000F47F0000}"/>
    <cellStyle name="Migliaia 43 2 2 5" xfId="38878" xr:uid="{00000000-0005-0000-0000-0000F57F0000}"/>
    <cellStyle name="Migliaia 43 2 2 6" xfId="39420" xr:uid="{00000000-0005-0000-0000-0000F67F0000}"/>
    <cellStyle name="Migliaia 43 2 3" xfId="11563" xr:uid="{00000000-0005-0000-0000-0000F77F0000}"/>
    <cellStyle name="Migliaia 43 2 4" xfId="12172" xr:uid="{00000000-0005-0000-0000-0000F87F0000}"/>
    <cellStyle name="Migliaia 43 2 4 2" xfId="30357" xr:uid="{00000000-0005-0000-0000-0000F97F0000}"/>
    <cellStyle name="Migliaia 43 2 5" xfId="19519" xr:uid="{00000000-0005-0000-0000-0000FA7F0000}"/>
    <cellStyle name="Migliaia 43 2 5 2" xfId="37483" xr:uid="{00000000-0005-0000-0000-0000FB7F0000}"/>
    <cellStyle name="Migliaia 43 2 6" xfId="3352" xr:uid="{00000000-0005-0000-0000-0000FC7F0000}"/>
    <cellStyle name="Migliaia 43 2 6 2" xfId="23352" xr:uid="{00000000-0005-0000-0000-0000FD7F0000}"/>
    <cellStyle name="Migliaia 43 2 7" xfId="21611" xr:uid="{00000000-0005-0000-0000-0000FE7F0000}"/>
    <cellStyle name="Migliaia 43 2 8" xfId="38438" xr:uid="{00000000-0005-0000-0000-0000FF7F0000}"/>
    <cellStyle name="Migliaia 43 2 9" xfId="39256" xr:uid="{00000000-0005-0000-0000-000000800000}"/>
    <cellStyle name="Migliaia 43 3" xfId="682" xr:uid="{00000000-0005-0000-0000-000001800000}"/>
    <cellStyle name="Migliaia 43 3 10" xfId="39765" xr:uid="{00000000-0005-0000-0000-000002800000}"/>
    <cellStyle name="Migliaia 43 3 11" xfId="40251" xr:uid="{00000000-0005-0000-0000-000003800000}"/>
    <cellStyle name="Migliaia 43 3 2" xfId="683" xr:uid="{00000000-0005-0000-0000-000004800000}"/>
    <cellStyle name="Migliaia 43 3 2 10" xfId="40252" xr:uid="{00000000-0005-0000-0000-000005800000}"/>
    <cellStyle name="Migliaia 43 3 2 2" xfId="11565" xr:uid="{00000000-0005-0000-0000-000006800000}"/>
    <cellStyle name="Migliaia 43 3 2 3" xfId="12174" xr:uid="{00000000-0005-0000-0000-000007800000}"/>
    <cellStyle name="Migliaia 43 3 2 3 2" xfId="30359" xr:uid="{00000000-0005-0000-0000-000008800000}"/>
    <cellStyle name="Migliaia 43 3 2 4" xfId="19521" xr:uid="{00000000-0005-0000-0000-000009800000}"/>
    <cellStyle name="Migliaia 43 3 2 4 2" xfId="37485" xr:uid="{00000000-0005-0000-0000-00000A800000}"/>
    <cellStyle name="Migliaia 43 3 2 5" xfId="3354" xr:uid="{00000000-0005-0000-0000-00000B800000}"/>
    <cellStyle name="Migliaia 43 3 2 5 2" xfId="23354" xr:uid="{00000000-0005-0000-0000-00000C800000}"/>
    <cellStyle name="Migliaia 43 3 2 6" xfId="21613" xr:uid="{00000000-0005-0000-0000-00000D800000}"/>
    <cellStyle name="Migliaia 43 3 2 7" xfId="38440" xr:uid="{00000000-0005-0000-0000-00000E800000}"/>
    <cellStyle name="Migliaia 43 3 2 8" xfId="39258" xr:uid="{00000000-0005-0000-0000-00000F800000}"/>
    <cellStyle name="Migliaia 43 3 2 9" xfId="39766" xr:uid="{00000000-0005-0000-0000-000010800000}"/>
    <cellStyle name="Migliaia 43 3 3" xfId="11564" xr:uid="{00000000-0005-0000-0000-000011800000}"/>
    <cellStyle name="Migliaia 43 3 3 2" xfId="20608" xr:uid="{00000000-0005-0000-0000-000012800000}"/>
    <cellStyle name="Migliaia 43 3 3 2 2" xfId="37925" xr:uid="{00000000-0005-0000-0000-000013800000}"/>
    <cellStyle name="Migliaia 43 3 3 2 3" xfId="38880" xr:uid="{00000000-0005-0000-0000-000014800000}"/>
    <cellStyle name="Migliaia 43 3 3 3" xfId="19522" xr:uid="{00000000-0005-0000-0000-000015800000}"/>
    <cellStyle name="Migliaia 43 3 3 3 2" xfId="37486" xr:uid="{00000000-0005-0000-0000-000016800000}"/>
    <cellStyle name="Migliaia 43 3 3 4" xfId="38441" xr:uid="{00000000-0005-0000-0000-000017800000}"/>
    <cellStyle name="Migliaia 43 3 4" xfId="12173" xr:uid="{00000000-0005-0000-0000-000018800000}"/>
    <cellStyle name="Migliaia 43 3 4 2" xfId="20607" xr:uid="{00000000-0005-0000-0000-000019800000}"/>
    <cellStyle name="Migliaia 43 3 4 2 2" xfId="37924" xr:uid="{00000000-0005-0000-0000-00001A800000}"/>
    <cellStyle name="Migliaia 43 3 4 3" xfId="30358" xr:uid="{00000000-0005-0000-0000-00001B800000}"/>
    <cellStyle name="Migliaia 43 3 4 4" xfId="38879" xr:uid="{00000000-0005-0000-0000-00001C800000}"/>
    <cellStyle name="Migliaia 43 3 5" xfId="19520" xr:uid="{00000000-0005-0000-0000-00001D800000}"/>
    <cellStyle name="Migliaia 43 3 5 2" xfId="37484" xr:uid="{00000000-0005-0000-0000-00001E800000}"/>
    <cellStyle name="Migliaia 43 3 6" xfId="3353" xr:uid="{00000000-0005-0000-0000-00001F800000}"/>
    <cellStyle name="Migliaia 43 3 6 2" xfId="23353" xr:uid="{00000000-0005-0000-0000-000020800000}"/>
    <cellStyle name="Migliaia 43 3 7" xfId="21612" xr:uid="{00000000-0005-0000-0000-000021800000}"/>
    <cellStyle name="Migliaia 43 3 8" xfId="38439" xr:uid="{00000000-0005-0000-0000-000022800000}"/>
    <cellStyle name="Migliaia 43 3 9" xfId="39257" xr:uid="{00000000-0005-0000-0000-000023800000}"/>
    <cellStyle name="Migliaia 43 4" xfId="684" xr:uid="{00000000-0005-0000-0000-000024800000}"/>
    <cellStyle name="Migliaia 43 4 2" xfId="19524" xr:uid="{00000000-0005-0000-0000-000025800000}"/>
    <cellStyle name="Migliaia 43 4 2 2" xfId="20610" xr:uid="{00000000-0005-0000-0000-000026800000}"/>
    <cellStyle name="Migliaia 43 4 2 2 2" xfId="37927" xr:uid="{00000000-0005-0000-0000-000027800000}"/>
    <cellStyle name="Migliaia 43 4 2 2 3" xfId="38882" xr:uid="{00000000-0005-0000-0000-000028800000}"/>
    <cellStyle name="Migliaia 43 4 2 3" xfId="37488" xr:uid="{00000000-0005-0000-0000-000029800000}"/>
    <cellStyle name="Migliaia 43 4 2 4" xfId="38443" xr:uid="{00000000-0005-0000-0000-00002A800000}"/>
    <cellStyle name="Migliaia 43 4 3" xfId="20609" xr:uid="{00000000-0005-0000-0000-00002B800000}"/>
    <cellStyle name="Migliaia 43 4 3 2" xfId="37926" xr:uid="{00000000-0005-0000-0000-00002C800000}"/>
    <cellStyle name="Migliaia 43 4 3 3" xfId="38881" xr:uid="{00000000-0005-0000-0000-00002D800000}"/>
    <cellStyle name="Migliaia 43 4 4" xfId="19523" xr:uid="{00000000-0005-0000-0000-00002E800000}"/>
    <cellStyle name="Migliaia 43 4 4 2" xfId="37487" xr:uid="{00000000-0005-0000-0000-00002F800000}"/>
    <cellStyle name="Migliaia 43 4 5" xfId="11566" xr:uid="{00000000-0005-0000-0000-000030800000}"/>
    <cellStyle name="Migliaia 43 4 6" xfId="21614" xr:uid="{00000000-0005-0000-0000-000031800000}"/>
    <cellStyle name="Migliaia 43 4 7" xfId="38442" xr:uid="{00000000-0005-0000-0000-000032800000}"/>
    <cellStyle name="Migliaia 43 4 8" xfId="39767" xr:uid="{00000000-0005-0000-0000-000033800000}"/>
    <cellStyle name="Migliaia 43 4 9" xfId="40253" xr:uid="{00000000-0005-0000-0000-000034800000}"/>
    <cellStyle name="Migliaia 43 5" xfId="685" xr:uid="{00000000-0005-0000-0000-000035800000}"/>
    <cellStyle name="Migliaia 43 5 2" xfId="19525" xr:uid="{00000000-0005-0000-0000-000036800000}"/>
    <cellStyle name="Migliaia 43 5 2 2" xfId="37489" xr:uid="{00000000-0005-0000-0000-000037800000}"/>
    <cellStyle name="Migliaia 43 5 3" xfId="11567" xr:uid="{00000000-0005-0000-0000-000038800000}"/>
    <cellStyle name="Migliaia 43 5 4" xfId="21615" xr:uid="{00000000-0005-0000-0000-000039800000}"/>
    <cellStyle name="Migliaia 43 5 5" xfId="38444" xr:uid="{00000000-0005-0000-0000-00003A800000}"/>
    <cellStyle name="Migliaia 43 5 6" xfId="39768" xr:uid="{00000000-0005-0000-0000-00003B800000}"/>
    <cellStyle name="Migliaia 43 5 7" xfId="40254" xr:uid="{00000000-0005-0000-0000-00003C800000}"/>
    <cellStyle name="Migliaia 43 6" xfId="686" xr:uid="{00000000-0005-0000-0000-00003D800000}"/>
    <cellStyle name="Migliaia 43 6 2" xfId="11562" xr:uid="{00000000-0005-0000-0000-00003E800000}"/>
    <cellStyle name="Migliaia 43 6 3" xfId="21616" xr:uid="{00000000-0005-0000-0000-00003F800000}"/>
    <cellStyle name="Migliaia 43 6 4" xfId="39769" xr:uid="{00000000-0005-0000-0000-000040800000}"/>
    <cellStyle name="Migliaia 43 6 5" xfId="40255" xr:uid="{00000000-0005-0000-0000-000041800000}"/>
    <cellStyle name="Migliaia 43 7" xfId="12171" xr:uid="{00000000-0005-0000-0000-000042800000}"/>
    <cellStyle name="Migliaia 43 7 2" xfId="30356" xr:uid="{00000000-0005-0000-0000-000043800000}"/>
    <cellStyle name="Migliaia 43 8" xfId="19518" xr:uid="{00000000-0005-0000-0000-000044800000}"/>
    <cellStyle name="Migliaia 43 8 2" xfId="37482" xr:uid="{00000000-0005-0000-0000-000045800000}"/>
    <cellStyle name="Migliaia 43 9" xfId="3351" xr:uid="{00000000-0005-0000-0000-000046800000}"/>
    <cellStyle name="Migliaia 43 9 2" xfId="23351" xr:uid="{00000000-0005-0000-0000-000047800000}"/>
    <cellStyle name="Migliaia 44" xfId="687" xr:uid="{00000000-0005-0000-0000-000048800000}"/>
    <cellStyle name="Migliaia 44 10" xfId="21617" xr:uid="{00000000-0005-0000-0000-000049800000}"/>
    <cellStyle name="Migliaia 44 11" xfId="38445" xr:uid="{00000000-0005-0000-0000-00004A800000}"/>
    <cellStyle name="Migliaia 44 12" xfId="39259" xr:uid="{00000000-0005-0000-0000-00004B800000}"/>
    <cellStyle name="Migliaia 44 13" xfId="39770" xr:uid="{00000000-0005-0000-0000-00004C800000}"/>
    <cellStyle name="Migliaia 44 14" xfId="40256" xr:uid="{00000000-0005-0000-0000-00004D800000}"/>
    <cellStyle name="Migliaia 44 2" xfId="688" xr:uid="{00000000-0005-0000-0000-00004E800000}"/>
    <cellStyle name="Migliaia 44 2 10" xfId="39771" xr:uid="{00000000-0005-0000-0000-00004F800000}"/>
    <cellStyle name="Migliaia 44 2 11" xfId="40257" xr:uid="{00000000-0005-0000-0000-000050800000}"/>
    <cellStyle name="Migliaia 44 2 2" xfId="3576" xr:uid="{00000000-0005-0000-0000-000051800000}"/>
    <cellStyle name="Migliaia 44 2 2 2" xfId="12337" xr:uid="{00000000-0005-0000-0000-000052800000}"/>
    <cellStyle name="Migliaia 44 2 2 2 2" xfId="30507" xr:uid="{00000000-0005-0000-0000-000053800000}"/>
    <cellStyle name="Migliaia 44 2 2 3" xfId="20611" xr:uid="{00000000-0005-0000-0000-000054800000}"/>
    <cellStyle name="Migliaia 44 2 2 3 2" xfId="37928" xr:uid="{00000000-0005-0000-0000-000055800000}"/>
    <cellStyle name="Migliaia 44 2 2 4" xfId="23505" xr:uid="{00000000-0005-0000-0000-000056800000}"/>
    <cellStyle name="Migliaia 44 2 2 5" xfId="38883" xr:uid="{00000000-0005-0000-0000-000057800000}"/>
    <cellStyle name="Migliaia 44 2 2 6" xfId="39421" xr:uid="{00000000-0005-0000-0000-000058800000}"/>
    <cellStyle name="Migliaia 44 2 3" xfId="11569" xr:uid="{00000000-0005-0000-0000-000059800000}"/>
    <cellStyle name="Migliaia 44 2 4" xfId="12176" xr:uid="{00000000-0005-0000-0000-00005A800000}"/>
    <cellStyle name="Migliaia 44 2 4 2" xfId="30361" xr:uid="{00000000-0005-0000-0000-00005B800000}"/>
    <cellStyle name="Migliaia 44 2 5" xfId="19527" xr:uid="{00000000-0005-0000-0000-00005C800000}"/>
    <cellStyle name="Migliaia 44 2 5 2" xfId="37491" xr:uid="{00000000-0005-0000-0000-00005D800000}"/>
    <cellStyle name="Migliaia 44 2 6" xfId="3356" xr:uid="{00000000-0005-0000-0000-00005E800000}"/>
    <cellStyle name="Migliaia 44 2 6 2" xfId="23356" xr:uid="{00000000-0005-0000-0000-00005F800000}"/>
    <cellStyle name="Migliaia 44 2 7" xfId="21618" xr:uid="{00000000-0005-0000-0000-000060800000}"/>
    <cellStyle name="Migliaia 44 2 8" xfId="38446" xr:uid="{00000000-0005-0000-0000-000061800000}"/>
    <cellStyle name="Migliaia 44 2 9" xfId="39260" xr:uid="{00000000-0005-0000-0000-000062800000}"/>
    <cellStyle name="Migliaia 44 3" xfId="689" xr:uid="{00000000-0005-0000-0000-000063800000}"/>
    <cellStyle name="Migliaia 44 3 10" xfId="39772" xr:uid="{00000000-0005-0000-0000-000064800000}"/>
    <cellStyle name="Migliaia 44 3 11" xfId="40258" xr:uid="{00000000-0005-0000-0000-000065800000}"/>
    <cellStyle name="Migliaia 44 3 2" xfId="690" xr:uid="{00000000-0005-0000-0000-000066800000}"/>
    <cellStyle name="Migliaia 44 3 2 10" xfId="40259" xr:uid="{00000000-0005-0000-0000-000067800000}"/>
    <cellStyle name="Migliaia 44 3 2 2" xfId="11571" xr:uid="{00000000-0005-0000-0000-000068800000}"/>
    <cellStyle name="Migliaia 44 3 2 3" xfId="12178" xr:uid="{00000000-0005-0000-0000-000069800000}"/>
    <cellStyle name="Migliaia 44 3 2 3 2" xfId="30363" xr:uid="{00000000-0005-0000-0000-00006A800000}"/>
    <cellStyle name="Migliaia 44 3 2 4" xfId="19529" xr:uid="{00000000-0005-0000-0000-00006B800000}"/>
    <cellStyle name="Migliaia 44 3 2 4 2" xfId="37493" xr:uid="{00000000-0005-0000-0000-00006C800000}"/>
    <cellStyle name="Migliaia 44 3 2 5" xfId="3358" xr:uid="{00000000-0005-0000-0000-00006D800000}"/>
    <cellStyle name="Migliaia 44 3 2 5 2" xfId="23358" xr:uid="{00000000-0005-0000-0000-00006E800000}"/>
    <cellStyle name="Migliaia 44 3 2 6" xfId="21620" xr:uid="{00000000-0005-0000-0000-00006F800000}"/>
    <cellStyle name="Migliaia 44 3 2 7" xfId="38448" xr:uid="{00000000-0005-0000-0000-000070800000}"/>
    <cellStyle name="Migliaia 44 3 2 8" xfId="39262" xr:uid="{00000000-0005-0000-0000-000071800000}"/>
    <cellStyle name="Migliaia 44 3 2 9" xfId="39773" xr:uid="{00000000-0005-0000-0000-000072800000}"/>
    <cellStyle name="Migliaia 44 3 3" xfId="11570" xr:uid="{00000000-0005-0000-0000-000073800000}"/>
    <cellStyle name="Migliaia 44 3 3 2" xfId="20613" xr:uid="{00000000-0005-0000-0000-000074800000}"/>
    <cellStyle name="Migliaia 44 3 3 2 2" xfId="37930" xr:uid="{00000000-0005-0000-0000-000075800000}"/>
    <cellStyle name="Migliaia 44 3 3 2 3" xfId="38885" xr:uid="{00000000-0005-0000-0000-000076800000}"/>
    <cellStyle name="Migliaia 44 3 3 3" xfId="19530" xr:uid="{00000000-0005-0000-0000-000077800000}"/>
    <cellStyle name="Migliaia 44 3 3 3 2" xfId="37494" xr:uid="{00000000-0005-0000-0000-000078800000}"/>
    <cellStyle name="Migliaia 44 3 3 4" xfId="38449" xr:uid="{00000000-0005-0000-0000-000079800000}"/>
    <cellStyle name="Migliaia 44 3 4" xfId="12177" xr:uid="{00000000-0005-0000-0000-00007A800000}"/>
    <cellStyle name="Migliaia 44 3 4 2" xfId="20612" xr:uid="{00000000-0005-0000-0000-00007B800000}"/>
    <cellStyle name="Migliaia 44 3 4 2 2" xfId="37929" xr:uid="{00000000-0005-0000-0000-00007C800000}"/>
    <cellStyle name="Migliaia 44 3 4 3" xfId="30362" xr:uid="{00000000-0005-0000-0000-00007D800000}"/>
    <cellStyle name="Migliaia 44 3 4 4" xfId="38884" xr:uid="{00000000-0005-0000-0000-00007E800000}"/>
    <cellStyle name="Migliaia 44 3 5" xfId="19528" xr:uid="{00000000-0005-0000-0000-00007F800000}"/>
    <cellStyle name="Migliaia 44 3 5 2" xfId="37492" xr:uid="{00000000-0005-0000-0000-000080800000}"/>
    <cellStyle name="Migliaia 44 3 6" xfId="3357" xr:uid="{00000000-0005-0000-0000-000081800000}"/>
    <cellStyle name="Migliaia 44 3 6 2" xfId="23357" xr:uid="{00000000-0005-0000-0000-000082800000}"/>
    <cellStyle name="Migliaia 44 3 7" xfId="21619" xr:uid="{00000000-0005-0000-0000-000083800000}"/>
    <cellStyle name="Migliaia 44 3 8" xfId="38447" xr:uid="{00000000-0005-0000-0000-000084800000}"/>
    <cellStyle name="Migliaia 44 3 9" xfId="39261" xr:uid="{00000000-0005-0000-0000-000085800000}"/>
    <cellStyle name="Migliaia 44 4" xfId="691" xr:uid="{00000000-0005-0000-0000-000086800000}"/>
    <cellStyle name="Migliaia 44 4 2" xfId="19532" xr:uid="{00000000-0005-0000-0000-000087800000}"/>
    <cellStyle name="Migliaia 44 4 2 2" xfId="20615" xr:uid="{00000000-0005-0000-0000-000088800000}"/>
    <cellStyle name="Migliaia 44 4 2 2 2" xfId="37932" xr:uid="{00000000-0005-0000-0000-000089800000}"/>
    <cellStyle name="Migliaia 44 4 2 2 3" xfId="38887" xr:uid="{00000000-0005-0000-0000-00008A800000}"/>
    <cellStyle name="Migliaia 44 4 2 3" xfId="37496" xr:uid="{00000000-0005-0000-0000-00008B800000}"/>
    <cellStyle name="Migliaia 44 4 2 4" xfId="38451" xr:uid="{00000000-0005-0000-0000-00008C800000}"/>
    <cellStyle name="Migliaia 44 4 3" xfId="20614" xr:uid="{00000000-0005-0000-0000-00008D800000}"/>
    <cellStyle name="Migliaia 44 4 3 2" xfId="37931" xr:uid="{00000000-0005-0000-0000-00008E800000}"/>
    <cellStyle name="Migliaia 44 4 3 3" xfId="38886" xr:uid="{00000000-0005-0000-0000-00008F800000}"/>
    <cellStyle name="Migliaia 44 4 4" xfId="19531" xr:uid="{00000000-0005-0000-0000-000090800000}"/>
    <cellStyle name="Migliaia 44 4 4 2" xfId="37495" xr:uid="{00000000-0005-0000-0000-000091800000}"/>
    <cellStyle name="Migliaia 44 4 5" xfId="11572" xr:uid="{00000000-0005-0000-0000-000092800000}"/>
    <cellStyle name="Migliaia 44 4 6" xfId="21621" xr:uid="{00000000-0005-0000-0000-000093800000}"/>
    <cellStyle name="Migliaia 44 4 7" xfId="38450" xr:uid="{00000000-0005-0000-0000-000094800000}"/>
    <cellStyle name="Migliaia 44 4 8" xfId="39774" xr:uid="{00000000-0005-0000-0000-000095800000}"/>
    <cellStyle name="Migliaia 44 4 9" xfId="40260" xr:uid="{00000000-0005-0000-0000-000096800000}"/>
    <cellStyle name="Migliaia 44 5" xfId="692" xr:uid="{00000000-0005-0000-0000-000097800000}"/>
    <cellStyle name="Migliaia 44 5 2" xfId="19533" xr:uid="{00000000-0005-0000-0000-000098800000}"/>
    <cellStyle name="Migliaia 44 5 2 2" xfId="37497" xr:uid="{00000000-0005-0000-0000-000099800000}"/>
    <cellStyle name="Migliaia 44 5 3" xfId="11573" xr:uid="{00000000-0005-0000-0000-00009A800000}"/>
    <cellStyle name="Migliaia 44 5 4" xfId="21622" xr:uid="{00000000-0005-0000-0000-00009B800000}"/>
    <cellStyle name="Migliaia 44 5 5" xfId="38452" xr:uid="{00000000-0005-0000-0000-00009C800000}"/>
    <cellStyle name="Migliaia 44 5 6" xfId="39775" xr:uid="{00000000-0005-0000-0000-00009D800000}"/>
    <cellStyle name="Migliaia 44 5 7" xfId="40261" xr:uid="{00000000-0005-0000-0000-00009E800000}"/>
    <cellStyle name="Migliaia 44 6" xfId="693" xr:uid="{00000000-0005-0000-0000-00009F800000}"/>
    <cellStyle name="Migliaia 44 6 2" xfId="11568" xr:uid="{00000000-0005-0000-0000-0000A0800000}"/>
    <cellStyle name="Migliaia 44 6 3" xfId="21623" xr:uid="{00000000-0005-0000-0000-0000A1800000}"/>
    <cellStyle name="Migliaia 44 6 4" xfId="39776" xr:uid="{00000000-0005-0000-0000-0000A2800000}"/>
    <cellStyle name="Migliaia 44 6 5" xfId="40262" xr:uid="{00000000-0005-0000-0000-0000A3800000}"/>
    <cellStyle name="Migliaia 44 7" xfId="12175" xr:uid="{00000000-0005-0000-0000-0000A4800000}"/>
    <cellStyle name="Migliaia 44 7 2" xfId="30360" xr:uid="{00000000-0005-0000-0000-0000A5800000}"/>
    <cellStyle name="Migliaia 44 8" xfId="19526" xr:uid="{00000000-0005-0000-0000-0000A6800000}"/>
    <cellStyle name="Migliaia 44 8 2" xfId="37490" xr:uid="{00000000-0005-0000-0000-0000A7800000}"/>
    <cellStyle name="Migliaia 44 9" xfId="3355" xr:uid="{00000000-0005-0000-0000-0000A8800000}"/>
    <cellStyle name="Migliaia 44 9 2" xfId="23355" xr:uid="{00000000-0005-0000-0000-0000A9800000}"/>
    <cellStyle name="Migliaia 45" xfId="694" xr:uid="{00000000-0005-0000-0000-0000AA800000}"/>
    <cellStyle name="Migliaia 45 10" xfId="21624" xr:uid="{00000000-0005-0000-0000-0000AB800000}"/>
    <cellStyle name="Migliaia 45 11" xfId="38453" xr:uid="{00000000-0005-0000-0000-0000AC800000}"/>
    <cellStyle name="Migliaia 45 12" xfId="39263" xr:uid="{00000000-0005-0000-0000-0000AD800000}"/>
    <cellStyle name="Migliaia 45 13" xfId="39777" xr:uid="{00000000-0005-0000-0000-0000AE800000}"/>
    <cellStyle name="Migliaia 45 14" xfId="40263" xr:uid="{00000000-0005-0000-0000-0000AF800000}"/>
    <cellStyle name="Migliaia 45 2" xfId="695" xr:uid="{00000000-0005-0000-0000-0000B0800000}"/>
    <cellStyle name="Migliaia 45 2 10" xfId="39778" xr:uid="{00000000-0005-0000-0000-0000B1800000}"/>
    <cellStyle name="Migliaia 45 2 11" xfId="40264" xr:uid="{00000000-0005-0000-0000-0000B2800000}"/>
    <cellStyle name="Migliaia 45 2 2" xfId="3577" xr:uid="{00000000-0005-0000-0000-0000B3800000}"/>
    <cellStyle name="Migliaia 45 2 2 2" xfId="12338" xr:uid="{00000000-0005-0000-0000-0000B4800000}"/>
    <cellStyle name="Migliaia 45 2 2 2 2" xfId="30508" xr:uid="{00000000-0005-0000-0000-0000B5800000}"/>
    <cellStyle name="Migliaia 45 2 2 3" xfId="20616" xr:uid="{00000000-0005-0000-0000-0000B6800000}"/>
    <cellStyle name="Migliaia 45 2 2 3 2" xfId="37933" xr:uid="{00000000-0005-0000-0000-0000B7800000}"/>
    <cellStyle name="Migliaia 45 2 2 4" xfId="23506" xr:uid="{00000000-0005-0000-0000-0000B8800000}"/>
    <cellStyle name="Migliaia 45 2 2 5" xfId="38888" xr:uid="{00000000-0005-0000-0000-0000B9800000}"/>
    <cellStyle name="Migliaia 45 2 2 6" xfId="39422" xr:uid="{00000000-0005-0000-0000-0000BA800000}"/>
    <cellStyle name="Migliaia 45 2 3" xfId="11575" xr:uid="{00000000-0005-0000-0000-0000BB800000}"/>
    <cellStyle name="Migliaia 45 2 4" xfId="12180" xr:uid="{00000000-0005-0000-0000-0000BC800000}"/>
    <cellStyle name="Migliaia 45 2 4 2" xfId="30365" xr:uid="{00000000-0005-0000-0000-0000BD800000}"/>
    <cellStyle name="Migliaia 45 2 5" xfId="19535" xr:uid="{00000000-0005-0000-0000-0000BE800000}"/>
    <cellStyle name="Migliaia 45 2 5 2" xfId="37499" xr:uid="{00000000-0005-0000-0000-0000BF800000}"/>
    <cellStyle name="Migliaia 45 2 6" xfId="3360" xr:uid="{00000000-0005-0000-0000-0000C0800000}"/>
    <cellStyle name="Migliaia 45 2 6 2" xfId="23360" xr:uid="{00000000-0005-0000-0000-0000C1800000}"/>
    <cellStyle name="Migliaia 45 2 7" xfId="21625" xr:uid="{00000000-0005-0000-0000-0000C2800000}"/>
    <cellStyle name="Migliaia 45 2 8" xfId="38454" xr:uid="{00000000-0005-0000-0000-0000C3800000}"/>
    <cellStyle name="Migliaia 45 2 9" xfId="39264" xr:uid="{00000000-0005-0000-0000-0000C4800000}"/>
    <cellStyle name="Migliaia 45 3" xfId="696" xr:uid="{00000000-0005-0000-0000-0000C5800000}"/>
    <cellStyle name="Migliaia 45 3 10" xfId="39779" xr:uid="{00000000-0005-0000-0000-0000C6800000}"/>
    <cellStyle name="Migliaia 45 3 11" xfId="40265" xr:uid="{00000000-0005-0000-0000-0000C7800000}"/>
    <cellStyle name="Migliaia 45 3 2" xfId="697" xr:uid="{00000000-0005-0000-0000-0000C8800000}"/>
    <cellStyle name="Migliaia 45 3 2 10" xfId="40266" xr:uid="{00000000-0005-0000-0000-0000C9800000}"/>
    <cellStyle name="Migliaia 45 3 2 2" xfId="11577" xr:uid="{00000000-0005-0000-0000-0000CA800000}"/>
    <cellStyle name="Migliaia 45 3 2 3" xfId="12182" xr:uid="{00000000-0005-0000-0000-0000CB800000}"/>
    <cellStyle name="Migliaia 45 3 2 3 2" xfId="30367" xr:uid="{00000000-0005-0000-0000-0000CC800000}"/>
    <cellStyle name="Migliaia 45 3 2 4" xfId="19537" xr:uid="{00000000-0005-0000-0000-0000CD800000}"/>
    <cellStyle name="Migliaia 45 3 2 4 2" xfId="37501" xr:uid="{00000000-0005-0000-0000-0000CE800000}"/>
    <cellStyle name="Migliaia 45 3 2 5" xfId="3362" xr:uid="{00000000-0005-0000-0000-0000CF800000}"/>
    <cellStyle name="Migliaia 45 3 2 5 2" xfId="23362" xr:uid="{00000000-0005-0000-0000-0000D0800000}"/>
    <cellStyle name="Migliaia 45 3 2 6" xfId="21627" xr:uid="{00000000-0005-0000-0000-0000D1800000}"/>
    <cellStyle name="Migliaia 45 3 2 7" xfId="38456" xr:uid="{00000000-0005-0000-0000-0000D2800000}"/>
    <cellStyle name="Migliaia 45 3 2 8" xfId="39266" xr:uid="{00000000-0005-0000-0000-0000D3800000}"/>
    <cellStyle name="Migliaia 45 3 2 9" xfId="39780" xr:uid="{00000000-0005-0000-0000-0000D4800000}"/>
    <cellStyle name="Migliaia 45 3 3" xfId="11576" xr:uid="{00000000-0005-0000-0000-0000D5800000}"/>
    <cellStyle name="Migliaia 45 3 3 2" xfId="20618" xr:uid="{00000000-0005-0000-0000-0000D6800000}"/>
    <cellStyle name="Migliaia 45 3 3 2 2" xfId="37935" xr:uid="{00000000-0005-0000-0000-0000D7800000}"/>
    <cellStyle name="Migliaia 45 3 3 2 3" xfId="38890" xr:uid="{00000000-0005-0000-0000-0000D8800000}"/>
    <cellStyle name="Migliaia 45 3 3 3" xfId="19538" xr:uid="{00000000-0005-0000-0000-0000D9800000}"/>
    <cellStyle name="Migliaia 45 3 3 3 2" xfId="37502" xr:uid="{00000000-0005-0000-0000-0000DA800000}"/>
    <cellStyle name="Migliaia 45 3 3 4" xfId="38457" xr:uid="{00000000-0005-0000-0000-0000DB800000}"/>
    <cellStyle name="Migliaia 45 3 4" xfId="12181" xr:uid="{00000000-0005-0000-0000-0000DC800000}"/>
    <cellStyle name="Migliaia 45 3 4 2" xfId="20617" xr:uid="{00000000-0005-0000-0000-0000DD800000}"/>
    <cellStyle name="Migliaia 45 3 4 2 2" xfId="37934" xr:uid="{00000000-0005-0000-0000-0000DE800000}"/>
    <cellStyle name="Migliaia 45 3 4 3" xfId="30366" xr:uid="{00000000-0005-0000-0000-0000DF800000}"/>
    <cellStyle name="Migliaia 45 3 4 4" xfId="38889" xr:uid="{00000000-0005-0000-0000-0000E0800000}"/>
    <cellStyle name="Migliaia 45 3 5" xfId="19536" xr:uid="{00000000-0005-0000-0000-0000E1800000}"/>
    <cellStyle name="Migliaia 45 3 5 2" xfId="37500" xr:uid="{00000000-0005-0000-0000-0000E2800000}"/>
    <cellStyle name="Migliaia 45 3 6" xfId="3361" xr:uid="{00000000-0005-0000-0000-0000E3800000}"/>
    <cellStyle name="Migliaia 45 3 6 2" xfId="23361" xr:uid="{00000000-0005-0000-0000-0000E4800000}"/>
    <cellStyle name="Migliaia 45 3 7" xfId="21626" xr:uid="{00000000-0005-0000-0000-0000E5800000}"/>
    <cellStyle name="Migliaia 45 3 8" xfId="38455" xr:uid="{00000000-0005-0000-0000-0000E6800000}"/>
    <cellStyle name="Migliaia 45 3 9" xfId="39265" xr:uid="{00000000-0005-0000-0000-0000E7800000}"/>
    <cellStyle name="Migliaia 45 4" xfId="698" xr:uid="{00000000-0005-0000-0000-0000E8800000}"/>
    <cellStyle name="Migliaia 45 4 2" xfId="19540" xr:uid="{00000000-0005-0000-0000-0000E9800000}"/>
    <cellStyle name="Migliaia 45 4 2 2" xfId="20620" xr:uid="{00000000-0005-0000-0000-0000EA800000}"/>
    <cellStyle name="Migliaia 45 4 2 2 2" xfId="37937" xr:uid="{00000000-0005-0000-0000-0000EB800000}"/>
    <cellStyle name="Migliaia 45 4 2 2 3" xfId="38892" xr:uid="{00000000-0005-0000-0000-0000EC800000}"/>
    <cellStyle name="Migliaia 45 4 2 3" xfId="37504" xr:uid="{00000000-0005-0000-0000-0000ED800000}"/>
    <cellStyle name="Migliaia 45 4 2 4" xfId="38459" xr:uid="{00000000-0005-0000-0000-0000EE800000}"/>
    <cellStyle name="Migliaia 45 4 3" xfId="20619" xr:uid="{00000000-0005-0000-0000-0000EF800000}"/>
    <cellStyle name="Migliaia 45 4 3 2" xfId="37936" xr:uid="{00000000-0005-0000-0000-0000F0800000}"/>
    <cellStyle name="Migliaia 45 4 3 3" xfId="38891" xr:uid="{00000000-0005-0000-0000-0000F1800000}"/>
    <cellStyle name="Migliaia 45 4 4" xfId="19539" xr:uid="{00000000-0005-0000-0000-0000F2800000}"/>
    <cellStyle name="Migliaia 45 4 4 2" xfId="37503" xr:uid="{00000000-0005-0000-0000-0000F3800000}"/>
    <cellStyle name="Migliaia 45 4 5" xfId="11578" xr:uid="{00000000-0005-0000-0000-0000F4800000}"/>
    <cellStyle name="Migliaia 45 4 6" xfId="21628" xr:uid="{00000000-0005-0000-0000-0000F5800000}"/>
    <cellStyle name="Migliaia 45 4 7" xfId="38458" xr:uid="{00000000-0005-0000-0000-0000F6800000}"/>
    <cellStyle name="Migliaia 45 4 8" xfId="39781" xr:uid="{00000000-0005-0000-0000-0000F7800000}"/>
    <cellStyle name="Migliaia 45 4 9" xfId="40267" xr:uid="{00000000-0005-0000-0000-0000F8800000}"/>
    <cellStyle name="Migliaia 45 5" xfId="699" xr:uid="{00000000-0005-0000-0000-0000F9800000}"/>
    <cellStyle name="Migliaia 45 5 2" xfId="19541" xr:uid="{00000000-0005-0000-0000-0000FA800000}"/>
    <cellStyle name="Migliaia 45 5 2 2" xfId="37505" xr:uid="{00000000-0005-0000-0000-0000FB800000}"/>
    <cellStyle name="Migliaia 45 5 3" xfId="11579" xr:uid="{00000000-0005-0000-0000-0000FC800000}"/>
    <cellStyle name="Migliaia 45 5 4" xfId="21629" xr:uid="{00000000-0005-0000-0000-0000FD800000}"/>
    <cellStyle name="Migliaia 45 5 5" xfId="38460" xr:uid="{00000000-0005-0000-0000-0000FE800000}"/>
    <cellStyle name="Migliaia 45 5 6" xfId="39782" xr:uid="{00000000-0005-0000-0000-0000FF800000}"/>
    <cellStyle name="Migliaia 45 5 7" xfId="40268" xr:uid="{00000000-0005-0000-0000-000000810000}"/>
    <cellStyle name="Migliaia 45 6" xfId="700" xr:uid="{00000000-0005-0000-0000-000001810000}"/>
    <cellStyle name="Migliaia 45 6 2" xfId="11574" xr:uid="{00000000-0005-0000-0000-000002810000}"/>
    <cellStyle name="Migliaia 45 6 3" xfId="21630" xr:uid="{00000000-0005-0000-0000-000003810000}"/>
    <cellStyle name="Migliaia 45 6 4" xfId="39783" xr:uid="{00000000-0005-0000-0000-000004810000}"/>
    <cellStyle name="Migliaia 45 6 5" xfId="40269" xr:uid="{00000000-0005-0000-0000-000005810000}"/>
    <cellStyle name="Migliaia 45 7" xfId="12179" xr:uid="{00000000-0005-0000-0000-000006810000}"/>
    <cellStyle name="Migliaia 45 7 2" xfId="30364" xr:uid="{00000000-0005-0000-0000-000007810000}"/>
    <cellStyle name="Migliaia 45 8" xfId="19534" xr:uid="{00000000-0005-0000-0000-000008810000}"/>
    <cellStyle name="Migliaia 45 8 2" xfId="37498" xr:uid="{00000000-0005-0000-0000-000009810000}"/>
    <cellStyle name="Migliaia 45 9" xfId="3359" xr:uid="{00000000-0005-0000-0000-00000A810000}"/>
    <cellStyle name="Migliaia 45 9 2" xfId="23359" xr:uid="{00000000-0005-0000-0000-00000B810000}"/>
    <cellStyle name="Migliaia 46" xfId="701" xr:uid="{00000000-0005-0000-0000-00000C810000}"/>
    <cellStyle name="Migliaia 46 10" xfId="21631" xr:uid="{00000000-0005-0000-0000-00000D810000}"/>
    <cellStyle name="Migliaia 46 11" xfId="38461" xr:uid="{00000000-0005-0000-0000-00000E810000}"/>
    <cellStyle name="Migliaia 46 12" xfId="39267" xr:uid="{00000000-0005-0000-0000-00000F810000}"/>
    <cellStyle name="Migliaia 46 13" xfId="39784" xr:uid="{00000000-0005-0000-0000-000010810000}"/>
    <cellStyle name="Migliaia 46 14" xfId="40270" xr:uid="{00000000-0005-0000-0000-000011810000}"/>
    <cellStyle name="Migliaia 46 2" xfId="702" xr:uid="{00000000-0005-0000-0000-000012810000}"/>
    <cellStyle name="Migliaia 46 2 10" xfId="39785" xr:uid="{00000000-0005-0000-0000-000013810000}"/>
    <cellStyle name="Migliaia 46 2 11" xfId="40271" xr:uid="{00000000-0005-0000-0000-000014810000}"/>
    <cellStyle name="Migliaia 46 2 2" xfId="3578" xr:uid="{00000000-0005-0000-0000-000015810000}"/>
    <cellStyle name="Migliaia 46 2 2 2" xfId="12339" xr:uid="{00000000-0005-0000-0000-000016810000}"/>
    <cellStyle name="Migliaia 46 2 2 2 2" xfId="30509" xr:uid="{00000000-0005-0000-0000-000017810000}"/>
    <cellStyle name="Migliaia 46 2 2 3" xfId="20621" xr:uid="{00000000-0005-0000-0000-000018810000}"/>
    <cellStyle name="Migliaia 46 2 2 3 2" xfId="37938" xr:uid="{00000000-0005-0000-0000-000019810000}"/>
    <cellStyle name="Migliaia 46 2 2 4" xfId="23507" xr:uid="{00000000-0005-0000-0000-00001A810000}"/>
    <cellStyle name="Migliaia 46 2 2 5" xfId="38893" xr:uid="{00000000-0005-0000-0000-00001B810000}"/>
    <cellStyle name="Migliaia 46 2 2 6" xfId="39423" xr:uid="{00000000-0005-0000-0000-00001C810000}"/>
    <cellStyle name="Migliaia 46 2 3" xfId="11581" xr:uid="{00000000-0005-0000-0000-00001D810000}"/>
    <cellStyle name="Migliaia 46 2 4" xfId="12184" xr:uid="{00000000-0005-0000-0000-00001E810000}"/>
    <cellStyle name="Migliaia 46 2 4 2" xfId="30369" xr:uid="{00000000-0005-0000-0000-00001F810000}"/>
    <cellStyle name="Migliaia 46 2 5" xfId="19543" xr:uid="{00000000-0005-0000-0000-000020810000}"/>
    <cellStyle name="Migliaia 46 2 5 2" xfId="37507" xr:uid="{00000000-0005-0000-0000-000021810000}"/>
    <cellStyle name="Migliaia 46 2 6" xfId="3364" xr:uid="{00000000-0005-0000-0000-000022810000}"/>
    <cellStyle name="Migliaia 46 2 6 2" xfId="23364" xr:uid="{00000000-0005-0000-0000-000023810000}"/>
    <cellStyle name="Migliaia 46 2 7" xfId="21632" xr:uid="{00000000-0005-0000-0000-000024810000}"/>
    <cellStyle name="Migliaia 46 2 8" xfId="38462" xr:uid="{00000000-0005-0000-0000-000025810000}"/>
    <cellStyle name="Migliaia 46 2 9" xfId="39268" xr:uid="{00000000-0005-0000-0000-000026810000}"/>
    <cellStyle name="Migliaia 46 3" xfId="703" xr:uid="{00000000-0005-0000-0000-000027810000}"/>
    <cellStyle name="Migliaia 46 3 10" xfId="39786" xr:uid="{00000000-0005-0000-0000-000028810000}"/>
    <cellStyle name="Migliaia 46 3 11" xfId="40272" xr:uid="{00000000-0005-0000-0000-000029810000}"/>
    <cellStyle name="Migliaia 46 3 2" xfId="704" xr:uid="{00000000-0005-0000-0000-00002A810000}"/>
    <cellStyle name="Migliaia 46 3 2 10" xfId="40273" xr:uid="{00000000-0005-0000-0000-00002B810000}"/>
    <cellStyle name="Migliaia 46 3 2 2" xfId="11583" xr:uid="{00000000-0005-0000-0000-00002C810000}"/>
    <cellStyle name="Migliaia 46 3 2 3" xfId="12186" xr:uid="{00000000-0005-0000-0000-00002D810000}"/>
    <cellStyle name="Migliaia 46 3 2 3 2" xfId="30371" xr:uid="{00000000-0005-0000-0000-00002E810000}"/>
    <cellStyle name="Migliaia 46 3 2 4" xfId="19545" xr:uid="{00000000-0005-0000-0000-00002F810000}"/>
    <cellStyle name="Migliaia 46 3 2 4 2" xfId="37509" xr:uid="{00000000-0005-0000-0000-000030810000}"/>
    <cellStyle name="Migliaia 46 3 2 5" xfId="3366" xr:uid="{00000000-0005-0000-0000-000031810000}"/>
    <cellStyle name="Migliaia 46 3 2 5 2" xfId="23366" xr:uid="{00000000-0005-0000-0000-000032810000}"/>
    <cellStyle name="Migliaia 46 3 2 6" xfId="21634" xr:uid="{00000000-0005-0000-0000-000033810000}"/>
    <cellStyle name="Migliaia 46 3 2 7" xfId="38464" xr:uid="{00000000-0005-0000-0000-000034810000}"/>
    <cellStyle name="Migliaia 46 3 2 8" xfId="39270" xr:uid="{00000000-0005-0000-0000-000035810000}"/>
    <cellStyle name="Migliaia 46 3 2 9" xfId="39787" xr:uid="{00000000-0005-0000-0000-000036810000}"/>
    <cellStyle name="Migliaia 46 3 3" xfId="11582" xr:uid="{00000000-0005-0000-0000-000037810000}"/>
    <cellStyle name="Migliaia 46 3 3 2" xfId="20623" xr:uid="{00000000-0005-0000-0000-000038810000}"/>
    <cellStyle name="Migliaia 46 3 3 2 2" xfId="37940" xr:uid="{00000000-0005-0000-0000-000039810000}"/>
    <cellStyle name="Migliaia 46 3 3 2 3" xfId="38895" xr:uid="{00000000-0005-0000-0000-00003A810000}"/>
    <cellStyle name="Migliaia 46 3 3 3" xfId="19546" xr:uid="{00000000-0005-0000-0000-00003B810000}"/>
    <cellStyle name="Migliaia 46 3 3 3 2" xfId="37510" xr:uid="{00000000-0005-0000-0000-00003C810000}"/>
    <cellStyle name="Migliaia 46 3 3 4" xfId="38465" xr:uid="{00000000-0005-0000-0000-00003D810000}"/>
    <cellStyle name="Migliaia 46 3 4" xfId="12185" xr:uid="{00000000-0005-0000-0000-00003E810000}"/>
    <cellStyle name="Migliaia 46 3 4 2" xfId="20622" xr:uid="{00000000-0005-0000-0000-00003F810000}"/>
    <cellStyle name="Migliaia 46 3 4 2 2" xfId="37939" xr:uid="{00000000-0005-0000-0000-000040810000}"/>
    <cellStyle name="Migliaia 46 3 4 3" xfId="30370" xr:uid="{00000000-0005-0000-0000-000041810000}"/>
    <cellStyle name="Migliaia 46 3 4 4" xfId="38894" xr:uid="{00000000-0005-0000-0000-000042810000}"/>
    <cellStyle name="Migliaia 46 3 5" xfId="19544" xr:uid="{00000000-0005-0000-0000-000043810000}"/>
    <cellStyle name="Migliaia 46 3 5 2" xfId="37508" xr:uid="{00000000-0005-0000-0000-000044810000}"/>
    <cellStyle name="Migliaia 46 3 6" xfId="3365" xr:uid="{00000000-0005-0000-0000-000045810000}"/>
    <cellStyle name="Migliaia 46 3 6 2" xfId="23365" xr:uid="{00000000-0005-0000-0000-000046810000}"/>
    <cellStyle name="Migliaia 46 3 7" xfId="21633" xr:uid="{00000000-0005-0000-0000-000047810000}"/>
    <cellStyle name="Migliaia 46 3 8" xfId="38463" xr:uid="{00000000-0005-0000-0000-000048810000}"/>
    <cellStyle name="Migliaia 46 3 9" xfId="39269" xr:uid="{00000000-0005-0000-0000-000049810000}"/>
    <cellStyle name="Migliaia 46 4" xfId="705" xr:uid="{00000000-0005-0000-0000-00004A810000}"/>
    <cellStyle name="Migliaia 46 4 2" xfId="19548" xr:uid="{00000000-0005-0000-0000-00004B810000}"/>
    <cellStyle name="Migliaia 46 4 2 2" xfId="20625" xr:uid="{00000000-0005-0000-0000-00004C810000}"/>
    <cellStyle name="Migliaia 46 4 2 2 2" xfId="37942" xr:uid="{00000000-0005-0000-0000-00004D810000}"/>
    <cellStyle name="Migliaia 46 4 2 2 3" xfId="38897" xr:uid="{00000000-0005-0000-0000-00004E810000}"/>
    <cellStyle name="Migliaia 46 4 2 3" xfId="37512" xr:uid="{00000000-0005-0000-0000-00004F810000}"/>
    <cellStyle name="Migliaia 46 4 2 4" xfId="38467" xr:uid="{00000000-0005-0000-0000-000050810000}"/>
    <cellStyle name="Migliaia 46 4 3" xfId="20624" xr:uid="{00000000-0005-0000-0000-000051810000}"/>
    <cellStyle name="Migliaia 46 4 3 2" xfId="37941" xr:uid="{00000000-0005-0000-0000-000052810000}"/>
    <cellStyle name="Migliaia 46 4 3 3" xfId="38896" xr:uid="{00000000-0005-0000-0000-000053810000}"/>
    <cellStyle name="Migliaia 46 4 4" xfId="19547" xr:uid="{00000000-0005-0000-0000-000054810000}"/>
    <cellStyle name="Migliaia 46 4 4 2" xfId="37511" xr:uid="{00000000-0005-0000-0000-000055810000}"/>
    <cellStyle name="Migliaia 46 4 5" xfId="11584" xr:uid="{00000000-0005-0000-0000-000056810000}"/>
    <cellStyle name="Migliaia 46 4 6" xfId="21635" xr:uid="{00000000-0005-0000-0000-000057810000}"/>
    <cellStyle name="Migliaia 46 4 7" xfId="38466" xr:uid="{00000000-0005-0000-0000-000058810000}"/>
    <cellStyle name="Migliaia 46 4 8" xfId="39788" xr:uid="{00000000-0005-0000-0000-000059810000}"/>
    <cellStyle name="Migliaia 46 4 9" xfId="40274" xr:uid="{00000000-0005-0000-0000-00005A810000}"/>
    <cellStyle name="Migliaia 46 5" xfId="706" xr:uid="{00000000-0005-0000-0000-00005B810000}"/>
    <cellStyle name="Migliaia 46 5 2" xfId="19549" xr:uid="{00000000-0005-0000-0000-00005C810000}"/>
    <cellStyle name="Migliaia 46 5 2 2" xfId="37513" xr:uid="{00000000-0005-0000-0000-00005D810000}"/>
    <cellStyle name="Migliaia 46 5 3" xfId="11585" xr:uid="{00000000-0005-0000-0000-00005E810000}"/>
    <cellStyle name="Migliaia 46 5 4" xfId="21636" xr:uid="{00000000-0005-0000-0000-00005F810000}"/>
    <cellStyle name="Migliaia 46 5 5" xfId="38468" xr:uid="{00000000-0005-0000-0000-000060810000}"/>
    <cellStyle name="Migliaia 46 5 6" xfId="39789" xr:uid="{00000000-0005-0000-0000-000061810000}"/>
    <cellStyle name="Migliaia 46 5 7" xfId="40275" xr:uid="{00000000-0005-0000-0000-000062810000}"/>
    <cellStyle name="Migliaia 46 6" xfId="707" xr:uid="{00000000-0005-0000-0000-000063810000}"/>
    <cellStyle name="Migliaia 46 6 2" xfId="11580" xr:uid="{00000000-0005-0000-0000-000064810000}"/>
    <cellStyle name="Migliaia 46 6 3" xfId="21637" xr:uid="{00000000-0005-0000-0000-000065810000}"/>
    <cellStyle name="Migliaia 46 6 4" xfId="39790" xr:uid="{00000000-0005-0000-0000-000066810000}"/>
    <cellStyle name="Migliaia 46 6 5" xfId="40276" xr:uid="{00000000-0005-0000-0000-000067810000}"/>
    <cellStyle name="Migliaia 46 7" xfId="12183" xr:uid="{00000000-0005-0000-0000-000068810000}"/>
    <cellStyle name="Migliaia 46 7 2" xfId="30368" xr:uid="{00000000-0005-0000-0000-000069810000}"/>
    <cellStyle name="Migliaia 46 8" xfId="19542" xr:uid="{00000000-0005-0000-0000-00006A810000}"/>
    <cellStyle name="Migliaia 46 8 2" xfId="37506" xr:uid="{00000000-0005-0000-0000-00006B810000}"/>
    <cellStyle name="Migliaia 46 9" xfId="3363" xr:uid="{00000000-0005-0000-0000-00006C810000}"/>
    <cellStyle name="Migliaia 46 9 2" xfId="23363" xr:uid="{00000000-0005-0000-0000-00006D810000}"/>
    <cellStyle name="Migliaia 47" xfId="708" xr:uid="{00000000-0005-0000-0000-00006E810000}"/>
    <cellStyle name="Migliaia 47 10" xfId="21638" xr:uid="{00000000-0005-0000-0000-00006F810000}"/>
    <cellStyle name="Migliaia 47 11" xfId="38469" xr:uid="{00000000-0005-0000-0000-000070810000}"/>
    <cellStyle name="Migliaia 47 12" xfId="39271" xr:uid="{00000000-0005-0000-0000-000071810000}"/>
    <cellStyle name="Migliaia 47 13" xfId="39791" xr:uid="{00000000-0005-0000-0000-000072810000}"/>
    <cellStyle name="Migliaia 47 14" xfId="40277" xr:uid="{00000000-0005-0000-0000-000073810000}"/>
    <cellStyle name="Migliaia 47 2" xfId="709" xr:uid="{00000000-0005-0000-0000-000074810000}"/>
    <cellStyle name="Migliaia 47 2 10" xfId="39792" xr:uid="{00000000-0005-0000-0000-000075810000}"/>
    <cellStyle name="Migliaia 47 2 11" xfId="40278" xr:uid="{00000000-0005-0000-0000-000076810000}"/>
    <cellStyle name="Migliaia 47 2 2" xfId="3579" xr:uid="{00000000-0005-0000-0000-000077810000}"/>
    <cellStyle name="Migliaia 47 2 2 2" xfId="12340" xr:uid="{00000000-0005-0000-0000-000078810000}"/>
    <cellStyle name="Migliaia 47 2 2 2 2" xfId="30510" xr:uid="{00000000-0005-0000-0000-000079810000}"/>
    <cellStyle name="Migliaia 47 2 2 3" xfId="20626" xr:uid="{00000000-0005-0000-0000-00007A810000}"/>
    <cellStyle name="Migliaia 47 2 2 3 2" xfId="37943" xr:uid="{00000000-0005-0000-0000-00007B810000}"/>
    <cellStyle name="Migliaia 47 2 2 4" xfId="23508" xr:uid="{00000000-0005-0000-0000-00007C810000}"/>
    <cellStyle name="Migliaia 47 2 2 5" xfId="38898" xr:uid="{00000000-0005-0000-0000-00007D810000}"/>
    <cellStyle name="Migliaia 47 2 2 6" xfId="39424" xr:uid="{00000000-0005-0000-0000-00007E810000}"/>
    <cellStyle name="Migliaia 47 2 3" xfId="11587" xr:uid="{00000000-0005-0000-0000-00007F810000}"/>
    <cellStyle name="Migliaia 47 2 4" xfId="12188" xr:uid="{00000000-0005-0000-0000-000080810000}"/>
    <cellStyle name="Migliaia 47 2 4 2" xfId="30373" xr:uid="{00000000-0005-0000-0000-000081810000}"/>
    <cellStyle name="Migliaia 47 2 5" xfId="19551" xr:uid="{00000000-0005-0000-0000-000082810000}"/>
    <cellStyle name="Migliaia 47 2 5 2" xfId="37515" xr:uid="{00000000-0005-0000-0000-000083810000}"/>
    <cellStyle name="Migliaia 47 2 6" xfId="3368" xr:uid="{00000000-0005-0000-0000-000084810000}"/>
    <cellStyle name="Migliaia 47 2 6 2" xfId="23368" xr:uid="{00000000-0005-0000-0000-000085810000}"/>
    <cellStyle name="Migliaia 47 2 7" xfId="21639" xr:uid="{00000000-0005-0000-0000-000086810000}"/>
    <cellStyle name="Migliaia 47 2 8" xfId="38470" xr:uid="{00000000-0005-0000-0000-000087810000}"/>
    <cellStyle name="Migliaia 47 2 9" xfId="39272" xr:uid="{00000000-0005-0000-0000-000088810000}"/>
    <cellStyle name="Migliaia 47 3" xfId="710" xr:uid="{00000000-0005-0000-0000-000089810000}"/>
    <cellStyle name="Migliaia 47 3 10" xfId="39793" xr:uid="{00000000-0005-0000-0000-00008A810000}"/>
    <cellStyle name="Migliaia 47 3 11" xfId="40279" xr:uid="{00000000-0005-0000-0000-00008B810000}"/>
    <cellStyle name="Migliaia 47 3 2" xfId="711" xr:uid="{00000000-0005-0000-0000-00008C810000}"/>
    <cellStyle name="Migliaia 47 3 2 10" xfId="40280" xr:uid="{00000000-0005-0000-0000-00008D810000}"/>
    <cellStyle name="Migliaia 47 3 2 2" xfId="11589" xr:uid="{00000000-0005-0000-0000-00008E810000}"/>
    <cellStyle name="Migliaia 47 3 2 3" xfId="12190" xr:uid="{00000000-0005-0000-0000-00008F810000}"/>
    <cellStyle name="Migliaia 47 3 2 3 2" xfId="30375" xr:uid="{00000000-0005-0000-0000-000090810000}"/>
    <cellStyle name="Migliaia 47 3 2 4" xfId="19553" xr:uid="{00000000-0005-0000-0000-000091810000}"/>
    <cellStyle name="Migliaia 47 3 2 4 2" xfId="37517" xr:uid="{00000000-0005-0000-0000-000092810000}"/>
    <cellStyle name="Migliaia 47 3 2 5" xfId="3370" xr:uid="{00000000-0005-0000-0000-000093810000}"/>
    <cellStyle name="Migliaia 47 3 2 5 2" xfId="23370" xr:uid="{00000000-0005-0000-0000-000094810000}"/>
    <cellStyle name="Migliaia 47 3 2 6" xfId="21641" xr:uid="{00000000-0005-0000-0000-000095810000}"/>
    <cellStyle name="Migliaia 47 3 2 7" xfId="38472" xr:uid="{00000000-0005-0000-0000-000096810000}"/>
    <cellStyle name="Migliaia 47 3 2 8" xfId="39274" xr:uid="{00000000-0005-0000-0000-000097810000}"/>
    <cellStyle name="Migliaia 47 3 2 9" xfId="39794" xr:uid="{00000000-0005-0000-0000-000098810000}"/>
    <cellStyle name="Migliaia 47 3 3" xfId="11588" xr:uid="{00000000-0005-0000-0000-000099810000}"/>
    <cellStyle name="Migliaia 47 3 3 2" xfId="20628" xr:uid="{00000000-0005-0000-0000-00009A810000}"/>
    <cellStyle name="Migliaia 47 3 3 2 2" xfId="37945" xr:uid="{00000000-0005-0000-0000-00009B810000}"/>
    <cellStyle name="Migliaia 47 3 3 2 3" xfId="38900" xr:uid="{00000000-0005-0000-0000-00009C810000}"/>
    <cellStyle name="Migliaia 47 3 3 3" xfId="19554" xr:uid="{00000000-0005-0000-0000-00009D810000}"/>
    <cellStyle name="Migliaia 47 3 3 3 2" xfId="37518" xr:uid="{00000000-0005-0000-0000-00009E810000}"/>
    <cellStyle name="Migliaia 47 3 3 4" xfId="38473" xr:uid="{00000000-0005-0000-0000-00009F810000}"/>
    <cellStyle name="Migliaia 47 3 4" xfId="12189" xr:uid="{00000000-0005-0000-0000-0000A0810000}"/>
    <cellStyle name="Migliaia 47 3 4 2" xfId="20627" xr:uid="{00000000-0005-0000-0000-0000A1810000}"/>
    <cellStyle name="Migliaia 47 3 4 2 2" xfId="37944" xr:uid="{00000000-0005-0000-0000-0000A2810000}"/>
    <cellStyle name="Migliaia 47 3 4 3" xfId="30374" xr:uid="{00000000-0005-0000-0000-0000A3810000}"/>
    <cellStyle name="Migliaia 47 3 4 4" xfId="38899" xr:uid="{00000000-0005-0000-0000-0000A4810000}"/>
    <cellStyle name="Migliaia 47 3 5" xfId="19552" xr:uid="{00000000-0005-0000-0000-0000A5810000}"/>
    <cellStyle name="Migliaia 47 3 5 2" xfId="37516" xr:uid="{00000000-0005-0000-0000-0000A6810000}"/>
    <cellStyle name="Migliaia 47 3 6" xfId="3369" xr:uid="{00000000-0005-0000-0000-0000A7810000}"/>
    <cellStyle name="Migliaia 47 3 6 2" xfId="23369" xr:uid="{00000000-0005-0000-0000-0000A8810000}"/>
    <cellStyle name="Migliaia 47 3 7" xfId="21640" xr:uid="{00000000-0005-0000-0000-0000A9810000}"/>
    <cellStyle name="Migliaia 47 3 8" xfId="38471" xr:uid="{00000000-0005-0000-0000-0000AA810000}"/>
    <cellStyle name="Migliaia 47 3 9" xfId="39273" xr:uid="{00000000-0005-0000-0000-0000AB810000}"/>
    <cellStyle name="Migliaia 47 4" xfId="712" xr:uid="{00000000-0005-0000-0000-0000AC810000}"/>
    <cellStyle name="Migliaia 47 4 2" xfId="19556" xr:uid="{00000000-0005-0000-0000-0000AD810000}"/>
    <cellStyle name="Migliaia 47 4 2 2" xfId="20630" xr:uid="{00000000-0005-0000-0000-0000AE810000}"/>
    <cellStyle name="Migliaia 47 4 2 2 2" xfId="37947" xr:uid="{00000000-0005-0000-0000-0000AF810000}"/>
    <cellStyle name="Migliaia 47 4 2 2 3" xfId="38902" xr:uid="{00000000-0005-0000-0000-0000B0810000}"/>
    <cellStyle name="Migliaia 47 4 2 3" xfId="37520" xr:uid="{00000000-0005-0000-0000-0000B1810000}"/>
    <cellStyle name="Migliaia 47 4 2 4" xfId="38475" xr:uid="{00000000-0005-0000-0000-0000B2810000}"/>
    <cellStyle name="Migliaia 47 4 3" xfId="20629" xr:uid="{00000000-0005-0000-0000-0000B3810000}"/>
    <cellStyle name="Migliaia 47 4 3 2" xfId="37946" xr:uid="{00000000-0005-0000-0000-0000B4810000}"/>
    <cellStyle name="Migliaia 47 4 3 3" xfId="38901" xr:uid="{00000000-0005-0000-0000-0000B5810000}"/>
    <cellStyle name="Migliaia 47 4 4" xfId="19555" xr:uid="{00000000-0005-0000-0000-0000B6810000}"/>
    <cellStyle name="Migliaia 47 4 4 2" xfId="37519" xr:uid="{00000000-0005-0000-0000-0000B7810000}"/>
    <cellStyle name="Migliaia 47 4 5" xfId="11590" xr:uid="{00000000-0005-0000-0000-0000B8810000}"/>
    <cellStyle name="Migliaia 47 4 6" xfId="21642" xr:uid="{00000000-0005-0000-0000-0000B9810000}"/>
    <cellStyle name="Migliaia 47 4 7" xfId="38474" xr:uid="{00000000-0005-0000-0000-0000BA810000}"/>
    <cellStyle name="Migliaia 47 4 8" xfId="39795" xr:uid="{00000000-0005-0000-0000-0000BB810000}"/>
    <cellStyle name="Migliaia 47 4 9" xfId="40281" xr:uid="{00000000-0005-0000-0000-0000BC810000}"/>
    <cellStyle name="Migliaia 47 5" xfId="713" xr:uid="{00000000-0005-0000-0000-0000BD810000}"/>
    <cellStyle name="Migliaia 47 5 2" xfId="19557" xr:uid="{00000000-0005-0000-0000-0000BE810000}"/>
    <cellStyle name="Migliaia 47 5 2 2" xfId="37521" xr:uid="{00000000-0005-0000-0000-0000BF810000}"/>
    <cellStyle name="Migliaia 47 5 3" xfId="11591" xr:uid="{00000000-0005-0000-0000-0000C0810000}"/>
    <cellStyle name="Migliaia 47 5 4" xfId="21643" xr:uid="{00000000-0005-0000-0000-0000C1810000}"/>
    <cellStyle name="Migliaia 47 5 5" xfId="38476" xr:uid="{00000000-0005-0000-0000-0000C2810000}"/>
    <cellStyle name="Migliaia 47 5 6" xfId="39796" xr:uid="{00000000-0005-0000-0000-0000C3810000}"/>
    <cellStyle name="Migliaia 47 5 7" xfId="40282" xr:uid="{00000000-0005-0000-0000-0000C4810000}"/>
    <cellStyle name="Migliaia 47 6" xfId="714" xr:uid="{00000000-0005-0000-0000-0000C5810000}"/>
    <cellStyle name="Migliaia 47 6 2" xfId="11586" xr:uid="{00000000-0005-0000-0000-0000C6810000}"/>
    <cellStyle name="Migliaia 47 6 3" xfId="21644" xr:uid="{00000000-0005-0000-0000-0000C7810000}"/>
    <cellStyle name="Migliaia 47 6 4" xfId="39797" xr:uid="{00000000-0005-0000-0000-0000C8810000}"/>
    <cellStyle name="Migliaia 47 6 5" xfId="40283" xr:uid="{00000000-0005-0000-0000-0000C9810000}"/>
    <cellStyle name="Migliaia 47 7" xfId="12187" xr:uid="{00000000-0005-0000-0000-0000CA810000}"/>
    <cellStyle name="Migliaia 47 7 2" xfId="30372" xr:uid="{00000000-0005-0000-0000-0000CB810000}"/>
    <cellStyle name="Migliaia 47 8" xfId="19550" xr:uid="{00000000-0005-0000-0000-0000CC810000}"/>
    <cellStyle name="Migliaia 47 8 2" xfId="37514" xr:uid="{00000000-0005-0000-0000-0000CD810000}"/>
    <cellStyle name="Migliaia 47 9" xfId="3367" xr:uid="{00000000-0005-0000-0000-0000CE810000}"/>
    <cellStyle name="Migliaia 47 9 2" xfId="23367" xr:uid="{00000000-0005-0000-0000-0000CF810000}"/>
    <cellStyle name="Migliaia 48" xfId="715" xr:uid="{00000000-0005-0000-0000-0000D0810000}"/>
    <cellStyle name="Migliaia 48 10" xfId="21645" xr:uid="{00000000-0005-0000-0000-0000D1810000}"/>
    <cellStyle name="Migliaia 48 11" xfId="38477" xr:uid="{00000000-0005-0000-0000-0000D2810000}"/>
    <cellStyle name="Migliaia 48 12" xfId="39275" xr:uid="{00000000-0005-0000-0000-0000D3810000}"/>
    <cellStyle name="Migliaia 48 13" xfId="39798" xr:uid="{00000000-0005-0000-0000-0000D4810000}"/>
    <cellStyle name="Migliaia 48 14" xfId="40284" xr:uid="{00000000-0005-0000-0000-0000D5810000}"/>
    <cellStyle name="Migliaia 48 2" xfId="716" xr:uid="{00000000-0005-0000-0000-0000D6810000}"/>
    <cellStyle name="Migliaia 48 2 10" xfId="39799" xr:uid="{00000000-0005-0000-0000-0000D7810000}"/>
    <cellStyle name="Migliaia 48 2 11" xfId="40285" xr:uid="{00000000-0005-0000-0000-0000D8810000}"/>
    <cellStyle name="Migliaia 48 2 2" xfId="3580" xr:uid="{00000000-0005-0000-0000-0000D9810000}"/>
    <cellStyle name="Migliaia 48 2 2 2" xfId="12341" xr:uid="{00000000-0005-0000-0000-0000DA810000}"/>
    <cellStyle name="Migliaia 48 2 2 2 2" xfId="30511" xr:uid="{00000000-0005-0000-0000-0000DB810000}"/>
    <cellStyle name="Migliaia 48 2 2 3" xfId="20631" xr:uid="{00000000-0005-0000-0000-0000DC810000}"/>
    <cellStyle name="Migliaia 48 2 2 3 2" xfId="37948" xr:uid="{00000000-0005-0000-0000-0000DD810000}"/>
    <cellStyle name="Migliaia 48 2 2 4" xfId="23509" xr:uid="{00000000-0005-0000-0000-0000DE810000}"/>
    <cellStyle name="Migliaia 48 2 2 5" xfId="38903" xr:uid="{00000000-0005-0000-0000-0000DF810000}"/>
    <cellStyle name="Migliaia 48 2 2 6" xfId="39425" xr:uid="{00000000-0005-0000-0000-0000E0810000}"/>
    <cellStyle name="Migliaia 48 2 3" xfId="11593" xr:uid="{00000000-0005-0000-0000-0000E1810000}"/>
    <cellStyle name="Migliaia 48 2 4" xfId="12192" xr:uid="{00000000-0005-0000-0000-0000E2810000}"/>
    <cellStyle name="Migliaia 48 2 4 2" xfId="30377" xr:uid="{00000000-0005-0000-0000-0000E3810000}"/>
    <cellStyle name="Migliaia 48 2 5" xfId="19559" xr:uid="{00000000-0005-0000-0000-0000E4810000}"/>
    <cellStyle name="Migliaia 48 2 5 2" xfId="37523" xr:uid="{00000000-0005-0000-0000-0000E5810000}"/>
    <cellStyle name="Migliaia 48 2 6" xfId="3372" xr:uid="{00000000-0005-0000-0000-0000E6810000}"/>
    <cellStyle name="Migliaia 48 2 6 2" xfId="23372" xr:uid="{00000000-0005-0000-0000-0000E7810000}"/>
    <cellStyle name="Migliaia 48 2 7" xfId="21646" xr:uid="{00000000-0005-0000-0000-0000E8810000}"/>
    <cellStyle name="Migliaia 48 2 8" xfId="38478" xr:uid="{00000000-0005-0000-0000-0000E9810000}"/>
    <cellStyle name="Migliaia 48 2 9" xfId="39276" xr:uid="{00000000-0005-0000-0000-0000EA810000}"/>
    <cellStyle name="Migliaia 48 3" xfId="717" xr:uid="{00000000-0005-0000-0000-0000EB810000}"/>
    <cellStyle name="Migliaia 48 3 10" xfId="39800" xr:uid="{00000000-0005-0000-0000-0000EC810000}"/>
    <cellStyle name="Migliaia 48 3 11" xfId="40286" xr:uid="{00000000-0005-0000-0000-0000ED810000}"/>
    <cellStyle name="Migliaia 48 3 2" xfId="718" xr:uid="{00000000-0005-0000-0000-0000EE810000}"/>
    <cellStyle name="Migliaia 48 3 2 10" xfId="40287" xr:uid="{00000000-0005-0000-0000-0000EF810000}"/>
    <cellStyle name="Migliaia 48 3 2 2" xfId="11595" xr:uid="{00000000-0005-0000-0000-0000F0810000}"/>
    <cellStyle name="Migliaia 48 3 2 3" xfId="12194" xr:uid="{00000000-0005-0000-0000-0000F1810000}"/>
    <cellStyle name="Migliaia 48 3 2 3 2" xfId="30379" xr:uid="{00000000-0005-0000-0000-0000F2810000}"/>
    <cellStyle name="Migliaia 48 3 2 4" xfId="19561" xr:uid="{00000000-0005-0000-0000-0000F3810000}"/>
    <cellStyle name="Migliaia 48 3 2 4 2" xfId="37525" xr:uid="{00000000-0005-0000-0000-0000F4810000}"/>
    <cellStyle name="Migliaia 48 3 2 5" xfId="3374" xr:uid="{00000000-0005-0000-0000-0000F5810000}"/>
    <cellStyle name="Migliaia 48 3 2 5 2" xfId="23374" xr:uid="{00000000-0005-0000-0000-0000F6810000}"/>
    <cellStyle name="Migliaia 48 3 2 6" xfId="21648" xr:uid="{00000000-0005-0000-0000-0000F7810000}"/>
    <cellStyle name="Migliaia 48 3 2 7" xfId="38480" xr:uid="{00000000-0005-0000-0000-0000F8810000}"/>
    <cellStyle name="Migliaia 48 3 2 8" xfId="39278" xr:uid="{00000000-0005-0000-0000-0000F9810000}"/>
    <cellStyle name="Migliaia 48 3 2 9" xfId="39801" xr:uid="{00000000-0005-0000-0000-0000FA810000}"/>
    <cellStyle name="Migliaia 48 3 3" xfId="11594" xr:uid="{00000000-0005-0000-0000-0000FB810000}"/>
    <cellStyle name="Migliaia 48 3 3 2" xfId="20633" xr:uid="{00000000-0005-0000-0000-0000FC810000}"/>
    <cellStyle name="Migliaia 48 3 3 2 2" xfId="37950" xr:uid="{00000000-0005-0000-0000-0000FD810000}"/>
    <cellStyle name="Migliaia 48 3 3 2 3" xfId="38905" xr:uid="{00000000-0005-0000-0000-0000FE810000}"/>
    <cellStyle name="Migliaia 48 3 3 3" xfId="19562" xr:uid="{00000000-0005-0000-0000-0000FF810000}"/>
    <cellStyle name="Migliaia 48 3 3 3 2" xfId="37526" xr:uid="{00000000-0005-0000-0000-000000820000}"/>
    <cellStyle name="Migliaia 48 3 3 4" xfId="38481" xr:uid="{00000000-0005-0000-0000-000001820000}"/>
    <cellStyle name="Migliaia 48 3 4" xfId="12193" xr:uid="{00000000-0005-0000-0000-000002820000}"/>
    <cellStyle name="Migliaia 48 3 4 2" xfId="20632" xr:uid="{00000000-0005-0000-0000-000003820000}"/>
    <cellStyle name="Migliaia 48 3 4 2 2" xfId="37949" xr:uid="{00000000-0005-0000-0000-000004820000}"/>
    <cellStyle name="Migliaia 48 3 4 3" xfId="30378" xr:uid="{00000000-0005-0000-0000-000005820000}"/>
    <cellStyle name="Migliaia 48 3 4 4" xfId="38904" xr:uid="{00000000-0005-0000-0000-000006820000}"/>
    <cellStyle name="Migliaia 48 3 5" xfId="19560" xr:uid="{00000000-0005-0000-0000-000007820000}"/>
    <cellStyle name="Migliaia 48 3 5 2" xfId="37524" xr:uid="{00000000-0005-0000-0000-000008820000}"/>
    <cellStyle name="Migliaia 48 3 6" xfId="3373" xr:uid="{00000000-0005-0000-0000-000009820000}"/>
    <cellStyle name="Migliaia 48 3 6 2" xfId="23373" xr:uid="{00000000-0005-0000-0000-00000A820000}"/>
    <cellStyle name="Migliaia 48 3 7" xfId="21647" xr:uid="{00000000-0005-0000-0000-00000B820000}"/>
    <cellStyle name="Migliaia 48 3 8" xfId="38479" xr:uid="{00000000-0005-0000-0000-00000C820000}"/>
    <cellStyle name="Migliaia 48 3 9" xfId="39277" xr:uid="{00000000-0005-0000-0000-00000D820000}"/>
    <cellStyle name="Migliaia 48 4" xfId="719" xr:uid="{00000000-0005-0000-0000-00000E820000}"/>
    <cellStyle name="Migliaia 48 4 2" xfId="19564" xr:uid="{00000000-0005-0000-0000-00000F820000}"/>
    <cellStyle name="Migliaia 48 4 2 2" xfId="20635" xr:uid="{00000000-0005-0000-0000-000010820000}"/>
    <cellStyle name="Migliaia 48 4 2 2 2" xfId="37952" xr:uid="{00000000-0005-0000-0000-000011820000}"/>
    <cellStyle name="Migliaia 48 4 2 2 3" xfId="38907" xr:uid="{00000000-0005-0000-0000-000012820000}"/>
    <cellStyle name="Migliaia 48 4 2 3" xfId="37528" xr:uid="{00000000-0005-0000-0000-000013820000}"/>
    <cellStyle name="Migliaia 48 4 2 4" xfId="38483" xr:uid="{00000000-0005-0000-0000-000014820000}"/>
    <cellStyle name="Migliaia 48 4 3" xfId="20634" xr:uid="{00000000-0005-0000-0000-000015820000}"/>
    <cellStyle name="Migliaia 48 4 3 2" xfId="37951" xr:uid="{00000000-0005-0000-0000-000016820000}"/>
    <cellStyle name="Migliaia 48 4 3 3" xfId="38906" xr:uid="{00000000-0005-0000-0000-000017820000}"/>
    <cellStyle name="Migliaia 48 4 4" xfId="19563" xr:uid="{00000000-0005-0000-0000-000018820000}"/>
    <cellStyle name="Migliaia 48 4 4 2" xfId="37527" xr:uid="{00000000-0005-0000-0000-000019820000}"/>
    <cellStyle name="Migliaia 48 4 5" xfId="11596" xr:uid="{00000000-0005-0000-0000-00001A820000}"/>
    <cellStyle name="Migliaia 48 4 6" xfId="21649" xr:uid="{00000000-0005-0000-0000-00001B820000}"/>
    <cellStyle name="Migliaia 48 4 7" xfId="38482" xr:uid="{00000000-0005-0000-0000-00001C820000}"/>
    <cellStyle name="Migliaia 48 4 8" xfId="39802" xr:uid="{00000000-0005-0000-0000-00001D820000}"/>
    <cellStyle name="Migliaia 48 4 9" xfId="40288" xr:uid="{00000000-0005-0000-0000-00001E820000}"/>
    <cellStyle name="Migliaia 48 5" xfId="720" xr:uid="{00000000-0005-0000-0000-00001F820000}"/>
    <cellStyle name="Migliaia 48 5 2" xfId="19565" xr:uid="{00000000-0005-0000-0000-000020820000}"/>
    <cellStyle name="Migliaia 48 5 2 2" xfId="37529" xr:uid="{00000000-0005-0000-0000-000021820000}"/>
    <cellStyle name="Migliaia 48 5 3" xfId="11597" xr:uid="{00000000-0005-0000-0000-000022820000}"/>
    <cellStyle name="Migliaia 48 5 4" xfId="21650" xr:uid="{00000000-0005-0000-0000-000023820000}"/>
    <cellStyle name="Migliaia 48 5 5" xfId="38484" xr:uid="{00000000-0005-0000-0000-000024820000}"/>
    <cellStyle name="Migliaia 48 5 6" xfId="39803" xr:uid="{00000000-0005-0000-0000-000025820000}"/>
    <cellStyle name="Migliaia 48 5 7" xfId="40289" xr:uid="{00000000-0005-0000-0000-000026820000}"/>
    <cellStyle name="Migliaia 48 6" xfId="721" xr:uid="{00000000-0005-0000-0000-000027820000}"/>
    <cellStyle name="Migliaia 48 6 2" xfId="11592" xr:uid="{00000000-0005-0000-0000-000028820000}"/>
    <cellStyle name="Migliaia 48 6 3" xfId="21651" xr:uid="{00000000-0005-0000-0000-000029820000}"/>
    <cellStyle name="Migliaia 48 6 4" xfId="39804" xr:uid="{00000000-0005-0000-0000-00002A820000}"/>
    <cellStyle name="Migliaia 48 6 5" xfId="40290" xr:uid="{00000000-0005-0000-0000-00002B820000}"/>
    <cellStyle name="Migliaia 48 7" xfId="12191" xr:uid="{00000000-0005-0000-0000-00002C820000}"/>
    <cellStyle name="Migliaia 48 7 2" xfId="30376" xr:uid="{00000000-0005-0000-0000-00002D820000}"/>
    <cellStyle name="Migliaia 48 8" xfId="19558" xr:uid="{00000000-0005-0000-0000-00002E820000}"/>
    <cellStyle name="Migliaia 48 8 2" xfId="37522" xr:uid="{00000000-0005-0000-0000-00002F820000}"/>
    <cellStyle name="Migliaia 48 9" xfId="3371" xr:uid="{00000000-0005-0000-0000-000030820000}"/>
    <cellStyle name="Migliaia 48 9 2" xfId="23371" xr:uid="{00000000-0005-0000-0000-000031820000}"/>
    <cellStyle name="Migliaia 49" xfId="722" xr:uid="{00000000-0005-0000-0000-000032820000}"/>
    <cellStyle name="Migliaia 49 10" xfId="21652" xr:uid="{00000000-0005-0000-0000-000033820000}"/>
    <cellStyle name="Migliaia 49 11" xfId="38485" xr:uid="{00000000-0005-0000-0000-000034820000}"/>
    <cellStyle name="Migliaia 49 12" xfId="39279" xr:uid="{00000000-0005-0000-0000-000035820000}"/>
    <cellStyle name="Migliaia 49 13" xfId="39805" xr:uid="{00000000-0005-0000-0000-000036820000}"/>
    <cellStyle name="Migliaia 49 14" xfId="40291" xr:uid="{00000000-0005-0000-0000-000037820000}"/>
    <cellStyle name="Migliaia 49 2" xfId="723" xr:uid="{00000000-0005-0000-0000-000038820000}"/>
    <cellStyle name="Migliaia 49 2 10" xfId="39806" xr:uid="{00000000-0005-0000-0000-000039820000}"/>
    <cellStyle name="Migliaia 49 2 11" xfId="40292" xr:uid="{00000000-0005-0000-0000-00003A820000}"/>
    <cellStyle name="Migliaia 49 2 2" xfId="3581" xr:uid="{00000000-0005-0000-0000-00003B820000}"/>
    <cellStyle name="Migliaia 49 2 2 2" xfId="12342" xr:uid="{00000000-0005-0000-0000-00003C820000}"/>
    <cellStyle name="Migliaia 49 2 2 2 2" xfId="30512" xr:uid="{00000000-0005-0000-0000-00003D820000}"/>
    <cellStyle name="Migliaia 49 2 2 3" xfId="20636" xr:uid="{00000000-0005-0000-0000-00003E820000}"/>
    <cellStyle name="Migliaia 49 2 2 3 2" xfId="37953" xr:uid="{00000000-0005-0000-0000-00003F820000}"/>
    <cellStyle name="Migliaia 49 2 2 4" xfId="23510" xr:uid="{00000000-0005-0000-0000-000040820000}"/>
    <cellStyle name="Migliaia 49 2 2 5" xfId="38908" xr:uid="{00000000-0005-0000-0000-000041820000}"/>
    <cellStyle name="Migliaia 49 2 2 6" xfId="39426" xr:uid="{00000000-0005-0000-0000-000042820000}"/>
    <cellStyle name="Migliaia 49 2 3" xfId="11599" xr:uid="{00000000-0005-0000-0000-000043820000}"/>
    <cellStyle name="Migliaia 49 2 4" xfId="12196" xr:uid="{00000000-0005-0000-0000-000044820000}"/>
    <cellStyle name="Migliaia 49 2 4 2" xfId="30381" xr:uid="{00000000-0005-0000-0000-000045820000}"/>
    <cellStyle name="Migliaia 49 2 5" xfId="19567" xr:uid="{00000000-0005-0000-0000-000046820000}"/>
    <cellStyle name="Migliaia 49 2 5 2" xfId="37531" xr:uid="{00000000-0005-0000-0000-000047820000}"/>
    <cellStyle name="Migliaia 49 2 6" xfId="3376" xr:uid="{00000000-0005-0000-0000-000048820000}"/>
    <cellStyle name="Migliaia 49 2 6 2" xfId="23376" xr:uid="{00000000-0005-0000-0000-000049820000}"/>
    <cellStyle name="Migliaia 49 2 7" xfId="21653" xr:uid="{00000000-0005-0000-0000-00004A820000}"/>
    <cellStyle name="Migliaia 49 2 8" xfId="38486" xr:uid="{00000000-0005-0000-0000-00004B820000}"/>
    <cellStyle name="Migliaia 49 2 9" xfId="39280" xr:uid="{00000000-0005-0000-0000-00004C820000}"/>
    <cellStyle name="Migliaia 49 3" xfId="724" xr:uid="{00000000-0005-0000-0000-00004D820000}"/>
    <cellStyle name="Migliaia 49 3 10" xfId="39807" xr:uid="{00000000-0005-0000-0000-00004E820000}"/>
    <cellStyle name="Migliaia 49 3 11" xfId="40293" xr:uid="{00000000-0005-0000-0000-00004F820000}"/>
    <cellStyle name="Migliaia 49 3 2" xfId="725" xr:uid="{00000000-0005-0000-0000-000050820000}"/>
    <cellStyle name="Migliaia 49 3 2 10" xfId="40294" xr:uid="{00000000-0005-0000-0000-000051820000}"/>
    <cellStyle name="Migliaia 49 3 2 2" xfId="11601" xr:uid="{00000000-0005-0000-0000-000052820000}"/>
    <cellStyle name="Migliaia 49 3 2 3" xfId="12198" xr:uid="{00000000-0005-0000-0000-000053820000}"/>
    <cellStyle name="Migliaia 49 3 2 3 2" xfId="30383" xr:uid="{00000000-0005-0000-0000-000054820000}"/>
    <cellStyle name="Migliaia 49 3 2 4" xfId="19569" xr:uid="{00000000-0005-0000-0000-000055820000}"/>
    <cellStyle name="Migliaia 49 3 2 4 2" xfId="37533" xr:uid="{00000000-0005-0000-0000-000056820000}"/>
    <cellStyle name="Migliaia 49 3 2 5" xfId="3378" xr:uid="{00000000-0005-0000-0000-000057820000}"/>
    <cellStyle name="Migliaia 49 3 2 5 2" xfId="23378" xr:uid="{00000000-0005-0000-0000-000058820000}"/>
    <cellStyle name="Migliaia 49 3 2 6" xfId="21655" xr:uid="{00000000-0005-0000-0000-000059820000}"/>
    <cellStyle name="Migliaia 49 3 2 7" xfId="38488" xr:uid="{00000000-0005-0000-0000-00005A820000}"/>
    <cellStyle name="Migliaia 49 3 2 8" xfId="39282" xr:uid="{00000000-0005-0000-0000-00005B820000}"/>
    <cellStyle name="Migliaia 49 3 2 9" xfId="39808" xr:uid="{00000000-0005-0000-0000-00005C820000}"/>
    <cellStyle name="Migliaia 49 3 3" xfId="11600" xr:uid="{00000000-0005-0000-0000-00005D820000}"/>
    <cellStyle name="Migliaia 49 3 3 2" xfId="20638" xr:uid="{00000000-0005-0000-0000-00005E820000}"/>
    <cellStyle name="Migliaia 49 3 3 2 2" xfId="37955" xr:uid="{00000000-0005-0000-0000-00005F820000}"/>
    <cellStyle name="Migliaia 49 3 3 2 3" xfId="38910" xr:uid="{00000000-0005-0000-0000-000060820000}"/>
    <cellStyle name="Migliaia 49 3 3 3" xfId="19570" xr:uid="{00000000-0005-0000-0000-000061820000}"/>
    <cellStyle name="Migliaia 49 3 3 3 2" xfId="37534" xr:uid="{00000000-0005-0000-0000-000062820000}"/>
    <cellStyle name="Migliaia 49 3 3 4" xfId="38489" xr:uid="{00000000-0005-0000-0000-000063820000}"/>
    <cellStyle name="Migliaia 49 3 4" xfId="12197" xr:uid="{00000000-0005-0000-0000-000064820000}"/>
    <cellStyle name="Migliaia 49 3 4 2" xfId="20637" xr:uid="{00000000-0005-0000-0000-000065820000}"/>
    <cellStyle name="Migliaia 49 3 4 2 2" xfId="37954" xr:uid="{00000000-0005-0000-0000-000066820000}"/>
    <cellStyle name="Migliaia 49 3 4 3" xfId="30382" xr:uid="{00000000-0005-0000-0000-000067820000}"/>
    <cellStyle name="Migliaia 49 3 4 4" xfId="38909" xr:uid="{00000000-0005-0000-0000-000068820000}"/>
    <cellStyle name="Migliaia 49 3 5" xfId="19568" xr:uid="{00000000-0005-0000-0000-000069820000}"/>
    <cellStyle name="Migliaia 49 3 5 2" xfId="37532" xr:uid="{00000000-0005-0000-0000-00006A820000}"/>
    <cellStyle name="Migliaia 49 3 6" xfId="3377" xr:uid="{00000000-0005-0000-0000-00006B820000}"/>
    <cellStyle name="Migliaia 49 3 6 2" xfId="23377" xr:uid="{00000000-0005-0000-0000-00006C820000}"/>
    <cellStyle name="Migliaia 49 3 7" xfId="21654" xr:uid="{00000000-0005-0000-0000-00006D820000}"/>
    <cellStyle name="Migliaia 49 3 8" xfId="38487" xr:uid="{00000000-0005-0000-0000-00006E820000}"/>
    <cellStyle name="Migliaia 49 3 9" xfId="39281" xr:uid="{00000000-0005-0000-0000-00006F820000}"/>
    <cellStyle name="Migliaia 49 4" xfId="726" xr:uid="{00000000-0005-0000-0000-000070820000}"/>
    <cellStyle name="Migliaia 49 4 2" xfId="19572" xr:uid="{00000000-0005-0000-0000-000071820000}"/>
    <cellStyle name="Migliaia 49 4 2 2" xfId="20640" xr:uid="{00000000-0005-0000-0000-000072820000}"/>
    <cellStyle name="Migliaia 49 4 2 2 2" xfId="37957" xr:uid="{00000000-0005-0000-0000-000073820000}"/>
    <cellStyle name="Migliaia 49 4 2 2 3" xfId="38912" xr:uid="{00000000-0005-0000-0000-000074820000}"/>
    <cellStyle name="Migliaia 49 4 2 3" xfId="37536" xr:uid="{00000000-0005-0000-0000-000075820000}"/>
    <cellStyle name="Migliaia 49 4 2 4" xfId="38491" xr:uid="{00000000-0005-0000-0000-000076820000}"/>
    <cellStyle name="Migliaia 49 4 3" xfId="20639" xr:uid="{00000000-0005-0000-0000-000077820000}"/>
    <cellStyle name="Migliaia 49 4 3 2" xfId="37956" xr:uid="{00000000-0005-0000-0000-000078820000}"/>
    <cellStyle name="Migliaia 49 4 3 3" xfId="38911" xr:uid="{00000000-0005-0000-0000-000079820000}"/>
    <cellStyle name="Migliaia 49 4 4" xfId="19571" xr:uid="{00000000-0005-0000-0000-00007A820000}"/>
    <cellStyle name="Migliaia 49 4 4 2" xfId="37535" xr:uid="{00000000-0005-0000-0000-00007B820000}"/>
    <cellStyle name="Migliaia 49 4 5" xfId="11602" xr:uid="{00000000-0005-0000-0000-00007C820000}"/>
    <cellStyle name="Migliaia 49 4 6" xfId="21656" xr:uid="{00000000-0005-0000-0000-00007D820000}"/>
    <cellStyle name="Migliaia 49 4 7" xfId="38490" xr:uid="{00000000-0005-0000-0000-00007E820000}"/>
    <cellStyle name="Migliaia 49 4 8" xfId="39809" xr:uid="{00000000-0005-0000-0000-00007F820000}"/>
    <cellStyle name="Migliaia 49 4 9" xfId="40295" xr:uid="{00000000-0005-0000-0000-000080820000}"/>
    <cellStyle name="Migliaia 49 5" xfId="727" xr:uid="{00000000-0005-0000-0000-000081820000}"/>
    <cellStyle name="Migliaia 49 5 2" xfId="19573" xr:uid="{00000000-0005-0000-0000-000082820000}"/>
    <cellStyle name="Migliaia 49 5 2 2" xfId="37537" xr:uid="{00000000-0005-0000-0000-000083820000}"/>
    <cellStyle name="Migliaia 49 5 3" xfId="11603" xr:uid="{00000000-0005-0000-0000-000084820000}"/>
    <cellStyle name="Migliaia 49 5 4" xfId="21657" xr:uid="{00000000-0005-0000-0000-000085820000}"/>
    <cellStyle name="Migliaia 49 5 5" xfId="38492" xr:uid="{00000000-0005-0000-0000-000086820000}"/>
    <cellStyle name="Migliaia 49 5 6" xfId="39810" xr:uid="{00000000-0005-0000-0000-000087820000}"/>
    <cellStyle name="Migliaia 49 5 7" xfId="40296" xr:uid="{00000000-0005-0000-0000-000088820000}"/>
    <cellStyle name="Migliaia 49 6" xfId="728" xr:uid="{00000000-0005-0000-0000-000089820000}"/>
    <cellStyle name="Migliaia 49 6 2" xfId="11598" xr:uid="{00000000-0005-0000-0000-00008A820000}"/>
    <cellStyle name="Migliaia 49 6 3" xfId="21658" xr:uid="{00000000-0005-0000-0000-00008B820000}"/>
    <cellStyle name="Migliaia 49 6 4" xfId="39811" xr:uid="{00000000-0005-0000-0000-00008C820000}"/>
    <cellStyle name="Migliaia 49 6 5" xfId="40297" xr:uid="{00000000-0005-0000-0000-00008D820000}"/>
    <cellStyle name="Migliaia 49 7" xfId="12195" xr:uid="{00000000-0005-0000-0000-00008E820000}"/>
    <cellStyle name="Migliaia 49 7 2" xfId="30380" xr:uid="{00000000-0005-0000-0000-00008F820000}"/>
    <cellStyle name="Migliaia 49 8" xfId="19566" xr:uid="{00000000-0005-0000-0000-000090820000}"/>
    <cellStyle name="Migliaia 49 8 2" xfId="37530" xr:uid="{00000000-0005-0000-0000-000091820000}"/>
    <cellStyle name="Migliaia 49 9" xfId="3375" xr:uid="{00000000-0005-0000-0000-000092820000}"/>
    <cellStyle name="Migliaia 49 9 2" xfId="23375" xr:uid="{00000000-0005-0000-0000-000093820000}"/>
    <cellStyle name="Migliaia 5" xfId="729" xr:uid="{00000000-0005-0000-0000-000094820000}"/>
    <cellStyle name="Migliaia 5 10" xfId="21659" xr:uid="{00000000-0005-0000-0000-000095820000}"/>
    <cellStyle name="Migliaia 5 11" xfId="38493" xr:uid="{00000000-0005-0000-0000-000096820000}"/>
    <cellStyle name="Migliaia 5 12" xfId="39283" xr:uid="{00000000-0005-0000-0000-000097820000}"/>
    <cellStyle name="Migliaia 5 13" xfId="39812" xr:uid="{00000000-0005-0000-0000-000098820000}"/>
    <cellStyle name="Migliaia 5 14" xfId="40298" xr:uid="{00000000-0005-0000-0000-000099820000}"/>
    <cellStyle name="Migliaia 5 2" xfId="730" xr:uid="{00000000-0005-0000-0000-00009A820000}"/>
    <cellStyle name="Migliaia 5 2 10" xfId="39813" xr:uid="{00000000-0005-0000-0000-00009B820000}"/>
    <cellStyle name="Migliaia 5 2 11" xfId="40299" xr:uid="{00000000-0005-0000-0000-00009C820000}"/>
    <cellStyle name="Migliaia 5 2 2" xfId="3582" xr:uid="{00000000-0005-0000-0000-00009D820000}"/>
    <cellStyle name="Migliaia 5 2 2 2" xfId="12343" xr:uid="{00000000-0005-0000-0000-00009E820000}"/>
    <cellStyle name="Migliaia 5 2 2 2 2" xfId="30513" xr:uid="{00000000-0005-0000-0000-00009F820000}"/>
    <cellStyle name="Migliaia 5 2 2 3" xfId="20641" xr:uid="{00000000-0005-0000-0000-0000A0820000}"/>
    <cellStyle name="Migliaia 5 2 2 3 2" xfId="37958" xr:uid="{00000000-0005-0000-0000-0000A1820000}"/>
    <cellStyle name="Migliaia 5 2 2 4" xfId="23511" xr:uid="{00000000-0005-0000-0000-0000A2820000}"/>
    <cellStyle name="Migliaia 5 2 2 5" xfId="38913" xr:uid="{00000000-0005-0000-0000-0000A3820000}"/>
    <cellStyle name="Migliaia 5 2 2 6" xfId="39427" xr:uid="{00000000-0005-0000-0000-0000A4820000}"/>
    <cellStyle name="Migliaia 5 2 3" xfId="11605" xr:uid="{00000000-0005-0000-0000-0000A5820000}"/>
    <cellStyle name="Migliaia 5 2 4" xfId="12200" xr:uid="{00000000-0005-0000-0000-0000A6820000}"/>
    <cellStyle name="Migliaia 5 2 4 2" xfId="30385" xr:uid="{00000000-0005-0000-0000-0000A7820000}"/>
    <cellStyle name="Migliaia 5 2 5" xfId="19575" xr:uid="{00000000-0005-0000-0000-0000A8820000}"/>
    <cellStyle name="Migliaia 5 2 5 2" xfId="37539" xr:uid="{00000000-0005-0000-0000-0000A9820000}"/>
    <cellStyle name="Migliaia 5 2 6" xfId="3380" xr:uid="{00000000-0005-0000-0000-0000AA820000}"/>
    <cellStyle name="Migliaia 5 2 6 2" xfId="23380" xr:uid="{00000000-0005-0000-0000-0000AB820000}"/>
    <cellStyle name="Migliaia 5 2 7" xfId="21660" xr:uid="{00000000-0005-0000-0000-0000AC820000}"/>
    <cellStyle name="Migliaia 5 2 8" xfId="38494" xr:uid="{00000000-0005-0000-0000-0000AD820000}"/>
    <cellStyle name="Migliaia 5 2 9" xfId="39284" xr:uid="{00000000-0005-0000-0000-0000AE820000}"/>
    <cellStyle name="Migliaia 5 3" xfId="731" xr:uid="{00000000-0005-0000-0000-0000AF820000}"/>
    <cellStyle name="Migliaia 5 3 10" xfId="39814" xr:uid="{00000000-0005-0000-0000-0000B0820000}"/>
    <cellStyle name="Migliaia 5 3 11" xfId="40300" xr:uid="{00000000-0005-0000-0000-0000B1820000}"/>
    <cellStyle name="Migliaia 5 3 2" xfId="732" xr:uid="{00000000-0005-0000-0000-0000B2820000}"/>
    <cellStyle name="Migliaia 5 3 2 10" xfId="40301" xr:uid="{00000000-0005-0000-0000-0000B3820000}"/>
    <cellStyle name="Migliaia 5 3 2 2" xfId="11607" xr:uid="{00000000-0005-0000-0000-0000B4820000}"/>
    <cellStyle name="Migliaia 5 3 2 3" xfId="12202" xr:uid="{00000000-0005-0000-0000-0000B5820000}"/>
    <cellStyle name="Migliaia 5 3 2 3 2" xfId="30387" xr:uid="{00000000-0005-0000-0000-0000B6820000}"/>
    <cellStyle name="Migliaia 5 3 2 4" xfId="19577" xr:uid="{00000000-0005-0000-0000-0000B7820000}"/>
    <cellStyle name="Migliaia 5 3 2 4 2" xfId="37541" xr:uid="{00000000-0005-0000-0000-0000B8820000}"/>
    <cellStyle name="Migliaia 5 3 2 5" xfId="3382" xr:uid="{00000000-0005-0000-0000-0000B9820000}"/>
    <cellStyle name="Migliaia 5 3 2 5 2" xfId="23382" xr:uid="{00000000-0005-0000-0000-0000BA820000}"/>
    <cellStyle name="Migliaia 5 3 2 6" xfId="21662" xr:uid="{00000000-0005-0000-0000-0000BB820000}"/>
    <cellStyle name="Migliaia 5 3 2 7" xfId="38496" xr:uid="{00000000-0005-0000-0000-0000BC820000}"/>
    <cellStyle name="Migliaia 5 3 2 8" xfId="39286" xr:uid="{00000000-0005-0000-0000-0000BD820000}"/>
    <cellStyle name="Migliaia 5 3 2 9" xfId="39815" xr:uid="{00000000-0005-0000-0000-0000BE820000}"/>
    <cellStyle name="Migliaia 5 3 3" xfId="11606" xr:uid="{00000000-0005-0000-0000-0000BF820000}"/>
    <cellStyle name="Migliaia 5 3 3 2" xfId="20643" xr:uid="{00000000-0005-0000-0000-0000C0820000}"/>
    <cellStyle name="Migliaia 5 3 3 2 2" xfId="37960" xr:uid="{00000000-0005-0000-0000-0000C1820000}"/>
    <cellStyle name="Migliaia 5 3 3 2 3" xfId="38915" xr:uid="{00000000-0005-0000-0000-0000C2820000}"/>
    <cellStyle name="Migliaia 5 3 3 3" xfId="19578" xr:uid="{00000000-0005-0000-0000-0000C3820000}"/>
    <cellStyle name="Migliaia 5 3 3 3 2" xfId="37542" xr:uid="{00000000-0005-0000-0000-0000C4820000}"/>
    <cellStyle name="Migliaia 5 3 3 4" xfId="38497" xr:uid="{00000000-0005-0000-0000-0000C5820000}"/>
    <cellStyle name="Migliaia 5 3 4" xfId="12201" xr:uid="{00000000-0005-0000-0000-0000C6820000}"/>
    <cellStyle name="Migliaia 5 3 4 2" xfId="20642" xr:uid="{00000000-0005-0000-0000-0000C7820000}"/>
    <cellStyle name="Migliaia 5 3 4 2 2" xfId="37959" xr:uid="{00000000-0005-0000-0000-0000C8820000}"/>
    <cellStyle name="Migliaia 5 3 4 3" xfId="30386" xr:uid="{00000000-0005-0000-0000-0000C9820000}"/>
    <cellStyle name="Migliaia 5 3 4 4" xfId="38914" xr:uid="{00000000-0005-0000-0000-0000CA820000}"/>
    <cellStyle name="Migliaia 5 3 5" xfId="19576" xr:uid="{00000000-0005-0000-0000-0000CB820000}"/>
    <cellStyle name="Migliaia 5 3 5 2" xfId="37540" xr:uid="{00000000-0005-0000-0000-0000CC820000}"/>
    <cellStyle name="Migliaia 5 3 6" xfId="3381" xr:uid="{00000000-0005-0000-0000-0000CD820000}"/>
    <cellStyle name="Migliaia 5 3 6 2" xfId="23381" xr:uid="{00000000-0005-0000-0000-0000CE820000}"/>
    <cellStyle name="Migliaia 5 3 7" xfId="21661" xr:uid="{00000000-0005-0000-0000-0000CF820000}"/>
    <cellStyle name="Migliaia 5 3 8" xfId="38495" xr:uid="{00000000-0005-0000-0000-0000D0820000}"/>
    <cellStyle name="Migliaia 5 3 9" xfId="39285" xr:uid="{00000000-0005-0000-0000-0000D1820000}"/>
    <cellStyle name="Migliaia 5 4" xfId="733" xr:uid="{00000000-0005-0000-0000-0000D2820000}"/>
    <cellStyle name="Migliaia 5 4 2" xfId="19580" xr:uid="{00000000-0005-0000-0000-0000D3820000}"/>
    <cellStyle name="Migliaia 5 4 2 2" xfId="20645" xr:uid="{00000000-0005-0000-0000-0000D4820000}"/>
    <cellStyle name="Migliaia 5 4 2 2 2" xfId="37962" xr:uid="{00000000-0005-0000-0000-0000D5820000}"/>
    <cellStyle name="Migliaia 5 4 2 2 3" xfId="38917" xr:uid="{00000000-0005-0000-0000-0000D6820000}"/>
    <cellStyle name="Migliaia 5 4 2 3" xfId="37544" xr:uid="{00000000-0005-0000-0000-0000D7820000}"/>
    <cellStyle name="Migliaia 5 4 2 4" xfId="38499" xr:uid="{00000000-0005-0000-0000-0000D8820000}"/>
    <cellStyle name="Migliaia 5 4 3" xfId="20644" xr:uid="{00000000-0005-0000-0000-0000D9820000}"/>
    <cellStyle name="Migliaia 5 4 3 2" xfId="37961" xr:uid="{00000000-0005-0000-0000-0000DA820000}"/>
    <cellStyle name="Migliaia 5 4 3 3" xfId="38916" xr:uid="{00000000-0005-0000-0000-0000DB820000}"/>
    <cellStyle name="Migliaia 5 4 4" xfId="19579" xr:uid="{00000000-0005-0000-0000-0000DC820000}"/>
    <cellStyle name="Migliaia 5 4 4 2" xfId="37543" xr:uid="{00000000-0005-0000-0000-0000DD820000}"/>
    <cellStyle name="Migliaia 5 4 5" xfId="11608" xr:uid="{00000000-0005-0000-0000-0000DE820000}"/>
    <cellStyle name="Migliaia 5 4 6" xfId="21663" xr:uid="{00000000-0005-0000-0000-0000DF820000}"/>
    <cellStyle name="Migliaia 5 4 7" xfId="38498" xr:uid="{00000000-0005-0000-0000-0000E0820000}"/>
    <cellStyle name="Migliaia 5 4 8" xfId="39816" xr:uid="{00000000-0005-0000-0000-0000E1820000}"/>
    <cellStyle name="Migliaia 5 4 9" xfId="40302" xr:uid="{00000000-0005-0000-0000-0000E2820000}"/>
    <cellStyle name="Migliaia 5 5" xfId="734" xr:uid="{00000000-0005-0000-0000-0000E3820000}"/>
    <cellStyle name="Migliaia 5 5 2" xfId="19581" xr:uid="{00000000-0005-0000-0000-0000E4820000}"/>
    <cellStyle name="Migliaia 5 5 2 2" xfId="37545" xr:uid="{00000000-0005-0000-0000-0000E5820000}"/>
    <cellStyle name="Migliaia 5 5 3" xfId="11609" xr:uid="{00000000-0005-0000-0000-0000E6820000}"/>
    <cellStyle name="Migliaia 5 5 4" xfId="21664" xr:uid="{00000000-0005-0000-0000-0000E7820000}"/>
    <cellStyle name="Migliaia 5 5 5" xfId="38500" xr:uid="{00000000-0005-0000-0000-0000E8820000}"/>
    <cellStyle name="Migliaia 5 5 6" xfId="39817" xr:uid="{00000000-0005-0000-0000-0000E9820000}"/>
    <cellStyle name="Migliaia 5 5 7" xfId="40303" xr:uid="{00000000-0005-0000-0000-0000EA820000}"/>
    <cellStyle name="Migliaia 5 6" xfId="735" xr:uid="{00000000-0005-0000-0000-0000EB820000}"/>
    <cellStyle name="Migliaia 5 6 2" xfId="11604" xr:uid="{00000000-0005-0000-0000-0000EC820000}"/>
    <cellStyle name="Migliaia 5 6 3" xfId="21665" xr:uid="{00000000-0005-0000-0000-0000ED820000}"/>
    <cellStyle name="Migliaia 5 6 4" xfId="39818" xr:uid="{00000000-0005-0000-0000-0000EE820000}"/>
    <cellStyle name="Migliaia 5 6 5" xfId="40304" xr:uid="{00000000-0005-0000-0000-0000EF820000}"/>
    <cellStyle name="Migliaia 5 7" xfId="12199" xr:uid="{00000000-0005-0000-0000-0000F0820000}"/>
    <cellStyle name="Migliaia 5 7 2" xfId="30384" xr:uid="{00000000-0005-0000-0000-0000F1820000}"/>
    <cellStyle name="Migliaia 5 8" xfId="19574" xr:uid="{00000000-0005-0000-0000-0000F2820000}"/>
    <cellStyle name="Migliaia 5 8 2" xfId="37538" xr:uid="{00000000-0005-0000-0000-0000F3820000}"/>
    <cellStyle name="Migliaia 5 9" xfId="3379" xr:uid="{00000000-0005-0000-0000-0000F4820000}"/>
    <cellStyle name="Migliaia 5 9 2" xfId="23379" xr:uid="{00000000-0005-0000-0000-0000F5820000}"/>
    <cellStyle name="Migliaia 50" xfId="736" xr:uid="{00000000-0005-0000-0000-0000F6820000}"/>
    <cellStyle name="Migliaia 50 10" xfId="21666" xr:uid="{00000000-0005-0000-0000-0000F7820000}"/>
    <cellStyle name="Migliaia 50 11" xfId="38501" xr:uid="{00000000-0005-0000-0000-0000F8820000}"/>
    <cellStyle name="Migliaia 50 12" xfId="39287" xr:uid="{00000000-0005-0000-0000-0000F9820000}"/>
    <cellStyle name="Migliaia 50 13" xfId="39819" xr:uid="{00000000-0005-0000-0000-0000FA820000}"/>
    <cellStyle name="Migliaia 50 14" xfId="40305" xr:uid="{00000000-0005-0000-0000-0000FB820000}"/>
    <cellStyle name="Migliaia 50 2" xfId="737" xr:uid="{00000000-0005-0000-0000-0000FC820000}"/>
    <cellStyle name="Migliaia 50 2 10" xfId="39820" xr:uid="{00000000-0005-0000-0000-0000FD820000}"/>
    <cellStyle name="Migliaia 50 2 11" xfId="40306" xr:uid="{00000000-0005-0000-0000-0000FE820000}"/>
    <cellStyle name="Migliaia 50 2 2" xfId="3583" xr:uid="{00000000-0005-0000-0000-0000FF820000}"/>
    <cellStyle name="Migliaia 50 2 2 2" xfId="12344" xr:uid="{00000000-0005-0000-0000-000000830000}"/>
    <cellStyle name="Migliaia 50 2 2 2 2" xfId="30514" xr:uid="{00000000-0005-0000-0000-000001830000}"/>
    <cellStyle name="Migliaia 50 2 2 3" xfId="20646" xr:uid="{00000000-0005-0000-0000-000002830000}"/>
    <cellStyle name="Migliaia 50 2 2 3 2" xfId="37963" xr:uid="{00000000-0005-0000-0000-000003830000}"/>
    <cellStyle name="Migliaia 50 2 2 4" xfId="23512" xr:uid="{00000000-0005-0000-0000-000004830000}"/>
    <cellStyle name="Migliaia 50 2 2 5" xfId="38918" xr:uid="{00000000-0005-0000-0000-000005830000}"/>
    <cellStyle name="Migliaia 50 2 2 6" xfId="39428" xr:uid="{00000000-0005-0000-0000-000006830000}"/>
    <cellStyle name="Migliaia 50 2 3" xfId="11611" xr:uid="{00000000-0005-0000-0000-000007830000}"/>
    <cellStyle name="Migliaia 50 2 4" xfId="12204" xr:uid="{00000000-0005-0000-0000-000008830000}"/>
    <cellStyle name="Migliaia 50 2 4 2" xfId="30389" xr:uid="{00000000-0005-0000-0000-000009830000}"/>
    <cellStyle name="Migliaia 50 2 5" xfId="19583" xr:uid="{00000000-0005-0000-0000-00000A830000}"/>
    <cellStyle name="Migliaia 50 2 5 2" xfId="37547" xr:uid="{00000000-0005-0000-0000-00000B830000}"/>
    <cellStyle name="Migliaia 50 2 6" xfId="3384" xr:uid="{00000000-0005-0000-0000-00000C830000}"/>
    <cellStyle name="Migliaia 50 2 6 2" xfId="23384" xr:uid="{00000000-0005-0000-0000-00000D830000}"/>
    <cellStyle name="Migliaia 50 2 7" xfId="21667" xr:uid="{00000000-0005-0000-0000-00000E830000}"/>
    <cellStyle name="Migliaia 50 2 8" xfId="38502" xr:uid="{00000000-0005-0000-0000-00000F830000}"/>
    <cellStyle name="Migliaia 50 2 9" xfId="39288" xr:uid="{00000000-0005-0000-0000-000010830000}"/>
    <cellStyle name="Migliaia 50 3" xfId="738" xr:uid="{00000000-0005-0000-0000-000011830000}"/>
    <cellStyle name="Migliaia 50 3 10" xfId="39821" xr:uid="{00000000-0005-0000-0000-000012830000}"/>
    <cellStyle name="Migliaia 50 3 11" xfId="40307" xr:uid="{00000000-0005-0000-0000-000013830000}"/>
    <cellStyle name="Migliaia 50 3 2" xfId="739" xr:uid="{00000000-0005-0000-0000-000014830000}"/>
    <cellStyle name="Migliaia 50 3 2 10" xfId="40308" xr:uid="{00000000-0005-0000-0000-000015830000}"/>
    <cellStyle name="Migliaia 50 3 2 2" xfId="11613" xr:uid="{00000000-0005-0000-0000-000016830000}"/>
    <cellStyle name="Migliaia 50 3 2 3" xfId="12206" xr:uid="{00000000-0005-0000-0000-000017830000}"/>
    <cellStyle name="Migliaia 50 3 2 3 2" xfId="30391" xr:uid="{00000000-0005-0000-0000-000018830000}"/>
    <cellStyle name="Migliaia 50 3 2 4" xfId="19585" xr:uid="{00000000-0005-0000-0000-000019830000}"/>
    <cellStyle name="Migliaia 50 3 2 4 2" xfId="37549" xr:uid="{00000000-0005-0000-0000-00001A830000}"/>
    <cellStyle name="Migliaia 50 3 2 5" xfId="3386" xr:uid="{00000000-0005-0000-0000-00001B830000}"/>
    <cellStyle name="Migliaia 50 3 2 5 2" xfId="23386" xr:uid="{00000000-0005-0000-0000-00001C830000}"/>
    <cellStyle name="Migliaia 50 3 2 6" xfId="21669" xr:uid="{00000000-0005-0000-0000-00001D830000}"/>
    <cellStyle name="Migliaia 50 3 2 7" xfId="38504" xr:uid="{00000000-0005-0000-0000-00001E830000}"/>
    <cellStyle name="Migliaia 50 3 2 8" xfId="39290" xr:uid="{00000000-0005-0000-0000-00001F830000}"/>
    <cellStyle name="Migliaia 50 3 2 9" xfId="39822" xr:uid="{00000000-0005-0000-0000-000020830000}"/>
    <cellStyle name="Migliaia 50 3 3" xfId="11612" xr:uid="{00000000-0005-0000-0000-000021830000}"/>
    <cellStyle name="Migliaia 50 3 3 2" xfId="20648" xr:uid="{00000000-0005-0000-0000-000022830000}"/>
    <cellStyle name="Migliaia 50 3 3 2 2" xfId="37965" xr:uid="{00000000-0005-0000-0000-000023830000}"/>
    <cellStyle name="Migliaia 50 3 3 2 3" xfId="38920" xr:uid="{00000000-0005-0000-0000-000024830000}"/>
    <cellStyle name="Migliaia 50 3 3 3" xfId="19586" xr:uid="{00000000-0005-0000-0000-000025830000}"/>
    <cellStyle name="Migliaia 50 3 3 3 2" xfId="37550" xr:uid="{00000000-0005-0000-0000-000026830000}"/>
    <cellStyle name="Migliaia 50 3 3 4" xfId="38505" xr:uid="{00000000-0005-0000-0000-000027830000}"/>
    <cellStyle name="Migliaia 50 3 4" xfId="12205" xr:uid="{00000000-0005-0000-0000-000028830000}"/>
    <cellStyle name="Migliaia 50 3 4 2" xfId="20647" xr:uid="{00000000-0005-0000-0000-000029830000}"/>
    <cellStyle name="Migliaia 50 3 4 2 2" xfId="37964" xr:uid="{00000000-0005-0000-0000-00002A830000}"/>
    <cellStyle name="Migliaia 50 3 4 3" xfId="30390" xr:uid="{00000000-0005-0000-0000-00002B830000}"/>
    <cellStyle name="Migliaia 50 3 4 4" xfId="38919" xr:uid="{00000000-0005-0000-0000-00002C830000}"/>
    <cellStyle name="Migliaia 50 3 5" xfId="19584" xr:uid="{00000000-0005-0000-0000-00002D830000}"/>
    <cellStyle name="Migliaia 50 3 5 2" xfId="37548" xr:uid="{00000000-0005-0000-0000-00002E830000}"/>
    <cellStyle name="Migliaia 50 3 6" xfId="3385" xr:uid="{00000000-0005-0000-0000-00002F830000}"/>
    <cellStyle name="Migliaia 50 3 6 2" xfId="23385" xr:uid="{00000000-0005-0000-0000-000030830000}"/>
    <cellStyle name="Migliaia 50 3 7" xfId="21668" xr:uid="{00000000-0005-0000-0000-000031830000}"/>
    <cellStyle name="Migliaia 50 3 8" xfId="38503" xr:uid="{00000000-0005-0000-0000-000032830000}"/>
    <cellStyle name="Migliaia 50 3 9" xfId="39289" xr:uid="{00000000-0005-0000-0000-000033830000}"/>
    <cellStyle name="Migliaia 50 4" xfId="740" xr:uid="{00000000-0005-0000-0000-000034830000}"/>
    <cellStyle name="Migliaia 50 4 2" xfId="19588" xr:uid="{00000000-0005-0000-0000-000035830000}"/>
    <cellStyle name="Migliaia 50 4 2 2" xfId="20650" xr:uid="{00000000-0005-0000-0000-000036830000}"/>
    <cellStyle name="Migliaia 50 4 2 2 2" xfId="37967" xr:uid="{00000000-0005-0000-0000-000037830000}"/>
    <cellStyle name="Migliaia 50 4 2 2 3" xfId="38922" xr:uid="{00000000-0005-0000-0000-000038830000}"/>
    <cellStyle name="Migliaia 50 4 2 3" xfId="37552" xr:uid="{00000000-0005-0000-0000-000039830000}"/>
    <cellStyle name="Migliaia 50 4 2 4" xfId="38507" xr:uid="{00000000-0005-0000-0000-00003A830000}"/>
    <cellStyle name="Migliaia 50 4 3" xfId="20649" xr:uid="{00000000-0005-0000-0000-00003B830000}"/>
    <cellStyle name="Migliaia 50 4 3 2" xfId="37966" xr:uid="{00000000-0005-0000-0000-00003C830000}"/>
    <cellStyle name="Migliaia 50 4 3 3" xfId="38921" xr:uid="{00000000-0005-0000-0000-00003D830000}"/>
    <cellStyle name="Migliaia 50 4 4" xfId="19587" xr:uid="{00000000-0005-0000-0000-00003E830000}"/>
    <cellStyle name="Migliaia 50 4 4 2" xfId="37551" xr:uid="{00000000-0005-0000-0000-00003F830000}"/>
    <cellStyle name="Migliaia 50 4 5" xfId="11614" xr:uid="{00000000-0005-0000-0000-000040830000}"/>
    <cellStyle name="Migliaia 50 4 6" xfId="21670" xr:uid="{00000000-0005-0000-0000-000041830000}"/>
    <cellStyle name="Migliaia 50 4 7" xfId="38506" xr:uid="{00000000-0005-0000-0000-000042830000}"/>
    <cellStyle name="Migliaia 50 4 8" xfId="39823" xr:uid="{00000000-0005-0000-0000-000043830000}"/>
    <cellStyle name="Migliaia 50 4 9" xfId="40309" xr:uid="{00000000-0005-0000-0000-000044830000}"/>
    <cellStyle name="Migliaia 50 5" xfId="741" xr:uid="{00000000-0005-0000-0000-000045830000}"/>
    <cellStyle name="Migliaia 50 5 2" xfId="19589" xr:uid="{00000000-0005-0000-0000-000046830000}"/>
    <cellStyle name="Migliaia 50 5 2 2" xfId="37553" xr:uid="{00000000-0005-0000-0000-000047830000}"/>
    <cellStyle name="Migliaia 50 5 3" xfId="11615" xr:uid="{00000000-0005-0000-0000-000048830000}"/>
    <cellStyle name="Migliaia 50 5 4" xfId="21671" xr:uid="{00000000-0005-0000-0000-000049830000}"/>
    <cellStyle name="Migliaia 50 5 5" xfId="38508" xr:uid="{00000000-0005-0000-0000-00004A830000}"/>
    <cellStyle name="Migliaia 50 5 6" xfId="39824" xr:uid="{00000000-0005-0000-0000-00004B830000}"/>
    <cellStyle name="Migliaia 50 5 7" xfId="40310" xr:uid="{00000000-0005-0000-0000-00004C830000}"/>
    <cellStyle name="Migliaia 50 6" xfId="742" xr:uid="{00000000-0005-0000-0000-00004D830000}"/>
    <cellStyle name="Migliaia 50 6 2" xfId="11610" xr:uid="{00000000-0005-0000-0000-00004E830000}"/>
    <cellStyle name="Migliaia 50 6 3" xfId="21672" xr:uid="{00000000-0005-0000-0000-00004F830000}"/>
    <cellStyle name="Migliaia 50 6 4" xfId="39825" xr:uid="{00000000-0005-0000-0000-000050830000}"/>
    <cellStyle name="Migliaia 50 6 5" xfId="40311" xr:uid="{00000000-0005-0000-0000-000051830000}"/>
    <cellStyle name="Migliaia 50 7" xfId="12203" xr:uid="{00000000-0005-0000-0000-000052830000}"/>
    <cellStyle name="Migliaia 50 7 2" xfId="30388" xr:uid="{00000000-0005-0000-0000-000053830000}"/>
    <cellStyle name="Migliaia 50 8" xfId="19582" xr:uid="{00000000-0005-0000-0000-000054830000}"/>
    <cellStyle name="Migliaia 50 8 2" xfId="37546" xr:uid="{00000000-0005-0000-0000-000055830000}"/>
    <cellStyle name="Migliaia 50 9" xfId="3383" xr:uid="{00000000-0005-0000-0000-000056830000}"/>
    <cellStyle name="Migliaia 50 9 2" xfId="23383" xr:uid="{00000000-0005-0000-0000-000057830000}"/>
    <cellStyle name="Migliaia 51" xfId="743" xr:uid="{00000000-0005-0000-0000-000058830000}"/>
    <cellStyle name="Migliaia 51 10" xfId="21673" xr:uid="{00000000-0005-0000-0000-000059830000}"/>
    <cellStyle name="Migliaia 51 11" xfId="38509" xr:uid="{00000000-0005-0000-0000-00005A830000}"/>
    <cellStyle name="Migliaia 51 12" xfId="39291" xr:uid="{00000000-0005-0000-0000-00005B830000}"/>
    <cellStyle name="Migliaia 51 13" xfId="39826" xr:uid="{00000000-0005-0000-0000-00005C830000}"/>
    <cellStyle name="Migliaia 51 14" xfId="40312" xr:uid="{00000000-0005-0000-0000-00005D830000}"/>
    <cellStyle name="Migliaia 51 2" xfId="744" xr:uid="{00000000-0005-0000-0000-00005E830000}"/>
    <cellStyle name="Migliaia 51 2 10" xfId="39827" xr:uid="{00000000-0005-0000-0000-00005F830000}"/>
    <cellStyle name="Migliaia 51 2 11" xfId="40313" xr:uid="{00000000-0005-0000-0000-000060830000}"/>
    <cellStyle name="Migliaia 51 2 2" xfId="3584" xr:uid="{00000000-0005-0000-0000-000061830000}"/>
    <cellStyle name="Migliaia 51 2 2 2" xfId="12345" xr:uid="{00000000-0005-0000-0000-000062830000}"/>
    <cellStyle name="Migliaia 51 2 2 2 2" xfId="30515" xr:uid="{00000000-0005-0000-0000-000063830000}"/>
    <cellStyle name="Migliaia 51 2 2 3" xfId="20651" xr:uid="{00000000-0005-0000-0000-000064830000}"/>
    <cellStyle name="Migliaia 51 2 2 3 2" xfId="37968" xr:uid="{00000000-0005-0000-0000-000065830000}"/>
    <cellStyle name="Migliaia 51 2 2 4" xfId="23513" xr:uid="{00000000-0005-0000-0000-000066830000}"/>
    <cellStyle name="Migliaia 51 2 2 5" xfId="38923" xr:uid="{00000000-0005-0000-0000-000067830000}"/>
    <cellStyle name="Migliaia 51 2 2 6" xfId="39429" xr:uid="{00000000-0005-0000-0000-000068830000}"/>
    <cellStyle name="Migliaia 51 2 3" xfId="11617" xr:uid="{00000000-0005-0000-0000-000069830000}"/>
    <cellStyle name="Migliaia 51 2 4" xfId="12208" xr:uid="{00000000-0005-0000-0000-00006A830000}"/>
    <cellStyle name="Migliaia 51 2 4 2" xfId="30393" xr:uid="{00000000-0005-0000-0000-00006B830000}"/>
    <cellStyle name="Migliaia 51 2 5" xfId="19591" xr:uid="{00000000-0005-0000-0000-00006C830000}"/>
    <cellStyle name="Migliaia 51 2 5 2" xfId="37555" xr:uid="{00000000-0005-0000-0000-00006D830000}"/>
    <cellStyle name="Migliaia 51 2 6" xfId="3388" xr:uid="{00000000-0005-0000-0000-00006E830000}"/>
    <cellStyle name="Migliaia 51 2 6 2" xfId="23388" xr:uid="{00000000-0005-0000-0000-00006F830000}"/>
    <cellStyle name="Migliaia 51 2 7" xfId="21674" xr:uid="{00000000-0005-0000-0000-000070830000}"/>
    <cellStyle name="Migliaia 51 2 8" xfId="38510" xr:uid="{00000000-0005-0000-0000-000071830000}"/>
    <cellStyle name="Migliaia 51 2 9" xfId="39292" xr:uid="{00000000-0005-0000-0000-000072830000}"/>
    <cellStyle name="Migliaia 51 3" xfId="745" xr:uid="{00000000-0005-0000-0000-000073830000}"/>
    <cellStyle name="Migliaia 51 3 10" xfId="39828" xr:uid="{00000000-0005-0000-0000-000074830000}"/>
    <cellStyle name="Migliaia 51 3 11" xfId="40314" xr:uid="{00000000-0005-0000-0000-000075830000}"/>
    <cellStyle name="Migliaia 51 3 2" xfId="746" xr:uid="{00000000-0005-0000-0000-000076830000}"/>
    <cellStyle name="Migliaia 51 3 2 10" xfId="40315" xr:uid="{00000000-0005-0000-0000-000077830000}"/>
    <cellStyle name="Migliaia 51 3 2 2" xfId="11619" xr:uid="{00000000-0005-0000-0000-000078830000}"/>
    <cellStyle name="Migliaia 51 3 2 3" xfId="12210" xr:uid="{00000000-0005-0000-0000-000079830000}"/>
    <cellStyle name="Migliaia 51 3 2 3 2" xfId="30395" xr:uid="{00000000-0005-0000-0000-00007A830000}"/>
    <cellStyle name="Migliaia 51 3 2 4" xfId="19593" xr:uid="{00000000-0005-0000-0000-00007B830000}"/>
    <cellStyle name="Migliaia 51 3 2 4 2" xfId="37557" xr:uid="{00000000-0005-0000-0000-00007C830000}"/>
    <cellStyle name="Migliaia 51 3 2 5" xfId="3390" xr:uid="{00000000-0005-0000-0000-00007D830000}"/>
    <cellStyle name="Migliaia 51 3 2 5 2" xfId="23390" xr:uid="{00000000-0005-0000-0000-00007E830000}"/>
    <cellStyle name="Migliaia 51 3 2 6" xfId="21676" xr:uid="{00000000-0005-0000-0000-00007F830000}"/>
    <cellStyle name="Migliaia 51 3 2 7" xfId="38512" xr:uid="{00000000-0005-0000-0000-000080830000}"/>
    <cellStyle name="Migliaia 51 3 2 8" xfId="39294" xr:uid="{00000000-0005-0000-0000-000081830000}"/>
    <cellStyle name="Migliaia 51 3 2 9" xfId="39829" xr:uid="{00000000-0005-0000-0000-000082830000}"/>
    <cellStyle name="Migliaia 51 3 3" xfId="11618" xr:uid="{00000000-0005-0000-0000-000083830000}"/>
    <cellStyle name="Migliaia 51 3 3 2" xfId="20653" xr:uid="{00000000-0005-0000-0000-000084830000}"/>
    <cellStyle name="Migliaia 51 3 3 2 2" xfId="37970" xr:uid="{00000000-0005-0000-0000-000085830000}"/>
    <cellStyle name="Migliaia 51 3 3 2 3" xfId="38925" xr:uid="{00000000-0005-0000-0000-000086830000}"/>
    <cellStyle name="Migliaia 51 3 3 3" xfId="19594" xr:uid="{00000000-0005-0000-0000-000087830000}"/>
    <cellStyle name="Migliaia 51 3 3 3 2" xfId="37558" xr:uid="{00000000-0005-0000-0000-000088830000}"/>
    <cellStyle name="Migliaia 51 3 3 4" xfId="38513" xr:uid="{00000000-0005-0000-0000-000089830000}"/>
    <cellStyle name="Migliaia 51 3 4" xfId="12209" xr:uid="{00000000-0005-0000-0000-00008A830000}"/>
    <cellStyle name="Migliaia 51 3 4 2" xfId="20652" xr:uid="{00000000-0005-0000-0000-00008B830000}"/>
    <cellStyle name="Migliaia 51 3 4 2 2" xfId="37969" xr:uid="{00000000-0005-0000-0000-00008C830000}"/>
    <cellStyle name="Migliaia 51 3 4 3" xfId="30394" xr:uid="{00000000-0005-0000-0000-00008D830000}"/>
    <cellStyle name="Migliaia 51 3 4 4" xfId="38924" xr:uid="{00000000-0005-0000-0000-00008E830000}"/>
    <cellStyle name="Migliaia 51 3 5" xfId="19592" xr:uid="{00000000-0005-0000-0000-00008F830000}"/>
    <cellStyle name="Migliaia 51 3 5 2" xfId="37556" xr:uid="{00000000-0005-0000-0000-000090830000}"/>
    <cellStyle name="Migliaia 51 3 6" xfId="3389" xr:uid="{00000000-0005-0000-0000-000091830000}"/>
    <cellStyle name="Migliaia 51 3 6 2" xfId="23389" xr:uid="{00000000-0005-0000-0000-000092830000}"/>
    <cellStyle name="Migliaia 51 3 7" xfId="21675" xr:uid="{00000000-0005-0000-0000-000093830000}"/>
    <cellStyle name="Migliaia 51 3 8" xfId="38511" xr:uid="{00000000-0005-0000-0000-000094830000}"/>
    <cellStyle name="Migliaia 51 3 9" xfId="39293" xr:uid="{00000000-0005-0000-0000-000095830000}"/>
    <cellStyle name="Migliaia 51 4" xfId="747" xr:uid="{00000000-0005-0000-0000-000096830000}"/>
    <cellStyle name="Migliaia 51 4 2" xfId="19596" xr:uid="{00000000-0005-0000-0000-000097830000}"/>
    <cellStyle name="Migliaia 51 4 2 2" xfId="20655" xr:uid="{00000000-0005-0000-0000-000098830000}"/>
    <cellStyle name="Migliaia 51 4 2 2 2" xfId="37972" xr:uid="{00000000-0005-0000-0000-000099830000}"/>
    <cellStyle name="Migliaia 51 4 2 2 3" xfId="38927" xr:uid="{00000000-0005-0000-0000-00009A830000}"/>
    <cellStyle name="Migliaia 51 4 2 3" xfId="37560" xr:uid="{00000000-0005-0000-0000-00009B830000}"/>
    <cellStyle name="Migliaia 51 4 2 4" xfId="38515" xr:uid="{00000000-0005-0000-0000-00009C830000}"/>
    <cellStyle name="Migliaia 51 4 3" xfId="20654" xr:uid="{00000000-0005-0000-0000-00009D830000}"/>
    <cellStyle name="Migliaia 51 4 3 2" xfId="37971" xr:uid="{00000000-0005-0000-0000-00009E830000}"/>
    <cellStyle name="Migliaia 51 4 3 3" xfId="38926" xr:uid="{00000000-0005-0000-0000-00009F830000}"/>
    <cellStyle name="Migliaia 51 4 4" xfId="19595" xr:uid="{00000000-0005-0000-0000-0000A0830000}"/>
    <cellStyle name="Migliaia 51 4 4 2" xfId="37559" xr:uid="{00000000-0005-0000-0000-0000A1830000}"/>
    <cellStyle name="Migliaia 51 4 5" xfId="11620" xr:uid="{00000000-0005-0000-0000-0000A2830000}"/>
    <cellStyle name="Migliaia 51 4 6" xfId="21677" xr:uid="{00000000-0005-0000-0000-0000A3830000}"/>
    <cellStyle name="Migliaia 51 4 7" xfId="38514" xr:uid="{00000000-0005-0000-0000-0000A4830000}"/>
    <cellStyle name="Migliaia 51 4 8" xfId="39830" xr:uid="{00000000-0005-0000-0000-0000A5830000}"/>
    <cellStyle name="Migliaia 51 4 9" xfId="40316" xr:uid="{00000000-0005-0000-0000-0000A6830000}"/>
    <cellStyle name="Migliaia 51 5" xfId="748" xr:uid="{00000000-0005-0000-0000-0000A7830000}"/>
    <cellStyle name="Migliaia 51 5 2" xfId="19597" xr:uid="{00000000-0005-0000-0000-0000A8830000}"/>
    <cellStyle name="Migliaia 51 5 2 2" xfId="37561" xr:uid="{00000000-0005-0000-0000-0000A9830000}"/>
    <cellStyle name="Migliaia 51 5 3" xfId="11621" xr:uid="{00000000-0005-0000-0000-0000AA830000}"/>
    <cellStyle name="Migliaia 51 5 4" xfId="21678" xr:uid="{00000000-0005-0000-0000-0000AB830000}"/>
    <cellStyle name="Migliaia 51 5 5" xfId="38516" xr:uid="{00000000-0005-0000-0000-0000AC830000}"/>
    <cellStyle name="Migliaia 51 5 6" xfId="39831" xr:uid="{00000000-0005-0000-0000-0000AD830000}"/>
    <cellStyle name="Migliaia 51 5 7" xfId="40317" xr:uid="{00000000-0005-0000-0000-0000AE830000}"/>
    <cellStyle name="Migliaia 51 6" xfId="749" xr:uid="{00000000-0005-0000-0000-0000AF830000}"/>
    <cellStyle name="Migliaia 51 6 2" xfId="11616" xr:uid="{00000000-0005-0000-0000-0000B0830000}"/>
    <cellStyle name="Migliaia 51 6 3" xfId="21679" xr:uid="{00000000-0005-0000-0000-0000B1830000}"/>
    <cellStyle name="Migliaia 51 6 4" xfId="39832" xr:uid="{00000000-0005-0000-0000-0000B2830000}"/>
    <cellStyle name="Migliaia 51 6 5" xfId="40318" xr:uid="{00000000-0005-0000-0000-0000B3830000}"/>
    <cellStyle name="Migliaia 51 7" xfId="12207" xr:uid="{00000000-0005-0000-0000-0000B4830000}"/>
    <cellStyle name="Migliaia 51 7 2" xfId="30392" xr:uid="{00000000-0005-0000-0000-0000B5830000}"/>
    <cellStyle name="Migliaia 51 8" xfId="19590" xr:uid="{00000000-0005-0000-0000-0000B6830000}"/>
    <cellStyle name="Migliaia 51 8 2" xfId="37554" xr:uid="{00000000-0005-0000-0000-0000B7830000}"/>
    <cellStyle name="Migliaia 51 9" xfId="3387" xr:uid="{00000000-0005-0000-0000-0000B8830000}"/>
    <cellStyle name="Migliaia 51 9 2" xfId="23387" xr:uid="{00000000-0005-0000-0000-0000B9830000}"/>
    <cellStyle name="Migliaia 52" xfId="750" xr:uid="{00000000-0005-0000-0000-0000BA830000}"/>
    <cellStyle name="Migliaia 52 10" xfId="21680" xr:uid="{00000000-0005-0000-0000-0000BB830000}"/>
    <cellStyle name="Migliaia 52 11" xfId="38517" xr:uid="{00000000-0005-0000-0000-0000BC830000}"/>
    <cellStyle name="Migliaia 52 12" xfId="39295" xr:uid="{00000000-0005-0000-0000-0000BD830000}"/>
    <cellStyle name="Migliaia 52 13" xfId="39833" xr:uid="{00000000-0005-0000-0000-0000BE830000}"/>
    <cellStyle name="Migliaia 52 14" xfId="40319" xr:uid="{00000000-0005-0000-0000-0000BF830000}"/>
    <cellStyle name="Migliaia 52 2" xfId="751" xr:uid="{00000000-0005-0000-0000-0000C0830000}"/>
    <cellStyle name="Migliaia 52 2 10" xfId="39834" xr:uid="{00000000-0005-0000-0000-0000C1830000}"/>
    <cellStyle name="Migliaia 52 2 11" xfId="40320" xr:uid="{00000000-0005-0000-0000-0000C2830000}"/>
    <cellStyle name="Migliaia 52 2 2" xfId="3585" xr:uid="{00000000-0005-0000-0000-0000C3830000}"/>
    <cellStyle name="Migliaia 52 2 2 2" xfId="12346" xr:uid="{00000000-0005-0000-0000-0000C4830000}"/>
    <cellStyle name="Migliaia 52 2 2 2 2" xfId="30516" xr:uid="{00000000-0005-0000-0000-0000C5830000}"/>
    <cellStyle name="Migliaia 52 2 2 3" xfId="20656" xr:uid="{00000000-0005-0000-0000-0000C6830000}"/>
    <cellStyle name="Migliaia 52 2 2 3 2" xfId="37973" xr:uid="{00000000-0005-0000-0000-0000C7830000}"/>
    <cellStyle name="Migliaia 52 2 2 4" xfId="23514" xr:uid="{00000000-0005-0000-0000-0000C8830000}"/>
    <cellStyle name="Migliaia 52 2 2 5" xfId="38928" xr:uid="{00000000-0005-0000-0000-0000C9830000}"/>
    <cellStyle name="Migliaia 52 2 2 6" xfId="39430" xr:uid="{00000000-0005-0000-0000-0000CA830000}"/>
    <cellStyle name="Migliaia 52 2 3" xfId="11623" xr:uid="{00000000-0005-0000-0000-0000CB830000}"/>
    <cellStyle name="Migliaia 52 2 4" xfId="12212" xr:uid="{00000000-0005-0000-0000-0000CC830000}"/>
    <cellStyle name="Migliaia 52 2 4 2" xfId="30397" xr:uid="{00000000-0005-0000-0000-0000CD830000}"/>
    <cellStyle name="Migliaia 52 2 5" xfId="19599" xr:uid="{00000000-0005-0000-0000-0000CE830000}"/>
    <cellStyle name="Migliaia 52 2 5 2" xfId="37563" xr:uid="{00000000-0005-0000-0000-0000CF830000}"/>
    <cellStyle name="Migliaia 52 2 6" xfId="3392" xr:uid="{00000000-0005-0000-0000-0000D0830000}"/>
    <cellStyle name="Migliaia 52 2 6 2" xfId="23392" xr:uid="{00000000-0005-0000-0000-0000D1830000}"/>
    <cellStyle name="Migliaia 52 2 7" xfId="21681" xr:uid="{00000000-0005-0000-0000-0000D2830000}"/>
    <cellStyle name="Migliaia 52 2 8" xfId="38518" xr:uid="{00000000-0005-0000-0000-0000D3830000}"/>
    <cellStyle name="Migliaia 52 2 9" xfId="39296" xr:uid="{00000000-0005-0000-0000-0000D4830000}"/>
    <cellStyle name="Migliaia 52 3" xfId="752" xr:uid="{00000000-0005-0000-0000-0000D5830000}"/>
    <cellStyle name="Migliaia 52 3 10" xfId="39835" xr:uid="{00000000-0005-0000-0000-0000D6830000}"/>
    <cellStyle name="Migliaia 52 3 11" xfId="40321" xr:uid="{00000000-0005-0000-0000-0000D7830000}"/>
    <cellStyle name="Migliaia 52 3 2" xfId="753" xr:uid="{00000000-0005-0000-0000-0000D8830000}"/>
    <cellStyle name="Migliaia 52 3 2 10" xfId="40322" xr:uid="{00000000-0005-0000-0000-0000D9830000}"/>
    <cellStyle name="Migliaia 52 3 2 2" xfId="11625" xr:uid="{00000000-0005-0000-0000-0000DA830000}"/>
    <cellStyle name="Migliaia 52 3 2 3" xfId="12214" xr:uid="{00000000-0005-0000-0000-0000DB830000}"/>
    <cellStyle name="Migliaia 52 3 2 3 2" xfId="30399" xr:uid="{00000000-0005-0000-0000-0000DC830000}"/>
    <cellStyle name="Migliaia 52 3 2 4" xfId="19601" xr:uid="{00000000-0005-0000-0000-0000DD830000}"/>
    <cellStyle name="Migliaia 52 3 2 4 2" xfId="37565" xr:uid="{00000000-0005-0000-0000-0000DE830000}"/>
    <cellStyle name="Migliaia 52 3 2 5" xfId="3394" xr:uid="{00000000-0005-0000-0000-0000DF830000}"/>
    <cellStyle name="Migliaia 52 3 2 5 2" xfId="23394" xr:uid="{00000000-0005-0000-0000-0000E0830000}"/>
    <cellStyle name="Migliaia 52 3 2 6" xfId="21683" xr:uid="{00000000-0005-0000-0000-0000E1830000}"/>
    <cellStyle name="Migliaia 52 3 2 7" xfId="38520" xr:uid="{00000000-0005-0000-0000-0000E2830000}"/>
    <cellStyle name="Migliaia 52 3 2 8" xfId="39298" xr:uid="{00000000-0005-0000-0000-0000E3830000}"/>
    <cellStyle name="Migliaia 52 3 2 9" xfId="39836" xr:uid="{00000000-0005-0000-0000-0000E4830000}"/>
    <cellStyle name="Migliaia 52 3 3" xfId="11624" xr:uid="{00000000-0005-0000-0000-0000E5830000}"/>
    <cellStyle name="Migliaia 52 3 3 2" xfId="20658" xr:uid="{00000000-0005-0000-0000-0000E6830000}"/>
    <cellStyle name="Migliaia 52 3 3 2 2" xfId="37975" xr:uid="{00000000-0005-0000-0000-0000E7830000}"/>
    <cellStyle name="Migliaia 52 3 3 2 3" xfId="38930" xr:uid="{00000000-0005-0000-0000-0000E8830000}"/>
    <cellStyle name="Migliaia 52 3 3 3" xfId="19602" xr:uid="{00000000-0005-0000-0000-0000E9830000}"/>
    <cellStyle name="Migliaia 52 3 3 3 2" xfId="37566" xr:uid="{00000000-0005-0000-0000-0000EA830000}"/>
    <cellStyle name="Migliaia 52 3 3 4" xfId="38521" xr:uid="{00000000-0005-0000-0000-0000EB830000}"/>
    <cellStyle name="Migliaia 52 3 4" xfId="12213" xr:uid="{00000000-0005-0000-0000-0000EC830000}"/>
    <cellStyle name="Migliaia 52 3 4 2" xfId="20657" xr:uid="{00000000-0005-0000-0000-0000ED830000}"/>
    <cellStyle name="Migliaia 52 3 4 2 2" xfId="37974" xr:uid="{00000000-0005-0000-0000-0000EE830000}"/>
    <cellStyle name="Migliaia 52 3 4 3" xfId="30398" xr:uid="{00000000-0005-0000-0000-0000EF830000}"/>
    <cellStyle name="Migliaia 52 3 4 4" xfId="38929" xr:uid="{00000000-0005-0000-0000-0000F0830000}"/>
    <cellStyle name="Migliaia 52 3 5" xfId="19600" xr:uid="{00000000-0005-0000-0000-0000F1830000}"/>
    <cellStyle name="Migliaia 52 3 5 2" xfId="37564" xr:uid="{00000000-0005-0000-0000-0000F2830000}"/>
    <cellStyle name="Migliaia 52 3 6" xfId="3393" xr:uid="{00000000-0005-0000-0000-0000F3830000}"/>
    <cellStyle name="Migliaia 52 3 6 2" xfId="23393" xr:uid="{00000000-0005-0000-0000-0000F4830000}"/>
    <cellStyle name="Migliaia 52 3 7" xfId="21682" xr:uid="{00000000-0005-0000-0000-0000F5830000}"/>
    <cellStyle name="Migliaia 52 3 8" xfId="38519" xr:uid="{00000000-0005-0000-0000-0000F6830000}"/>
    <cellStyle name="Migliaia 52 3 9" xfId="39297" xr:uid="{00000000-0005-0000-0000-0000F7830000}"/>
    <cellStyle name="Migliaia 52 4" xfId="754" xr:uid="{00000000-0005-0000-0000-0000F8830000}"/>
    <cellStyle name="Migliaia 52 4 2" xfId="19604" xr:uid="{00000000-0005-0000-0000-0000F9830000}"/>
    <cellStyle name="Migliaia 52 4 2 2" xfId="20660" xr:uid="{00000000-0005-0000-0000-0000FA830000}"/>
    <cellStyle name="Migliaia 52 4 2 2 2" xfId="37977" xr:uid="{00000000-0005-0000-0000-0000FB830000}"/>
    <cellStyle name="Migliaia 52 4 2 2 3" xfId="38932" xr:uid="{00000000-0005-0000-0000-0000FC830000}"/>
    <cellStyle name="Migliaia 52 4 2 3" xfId="37568" xr:uid="{00000000-0005-0000-0000-0000FD830000}"/>
    <cellStyle name="Migliaia 52 4 2 4" xfId="38523" xr:uid="{00000000-0005-0000-0000-0000FE830000}"/>
    <cellStyle name="Migliaia 52 4 3" xfId="20659" xr:uid="{00000000-0005-0000-0000-0000FF830000}"/>
    <cellStyle name="Migliaia 52 4 3 2" xfId="37976" xr:uid="{00000000-0005-0000-0000-000000840000}"/>
    <cellStyle name="Migliaia 52 4 3 3" xfId="38931" xr:uid="{00000000-0005-0000-0000-000001840000}"/>
    <cellStyle name="Migliaia 52 4 4" xfId="19603" xr:uid="{00000000-0005-0000-0000-000002840000}"/>
    <cellStyle name="Migliaia 52 4 4 2" xfId="37567" xr:uid="{00000000-0005-0000-0000-000003840000}"/>
    <cellStyle name="Migliaia 52 4 5" xfId="11626" xr:uid="{00000000-0005-0000-0000-000004840000}"/>
    <cellStyle name="Migliaia 52 4 6" xfId="21684" xr:uid="{00000000-0005-0000-0000-000005840000}"/>
    <cellStyle name="Migliaia 52 4 7" xfId="38522" xr:uid="{00000000-0005-0000-0000-000006840000}"/>
    <cellStyle name="Migliaia 52 4 8" xfId="39837" xr:uid="{00000000-0005-0000-0000-000007840000}"/>
    <cellStyle name="Migliaia 52 4 9" xfId="40323" xr:uid="{00000000-0005-0000-0000-000008840000}"/>
    <cellStyle name="Migliaia 52 5" xfId="755" xr:uid="{00000000-0005-0000-0000-000009840000}"/>
    <cellStyle name="Migliaia 52 5 2" xfId="19605" xr:uid="{00000000-0005-0000-0000-00000A840000}"/>
    <cellStyle name="Migliaia 52 5 2 2" xfId="37569" xr:uid="{00000000-0005-0000-0000-00000B840000}"/>
    <cellStyle name="Migliaia 52 5 3" xfId="11627" xr:uid="{00000000-0005-0000-0000-00000C840000}"/>
    <cellStyle name="Migliaia 52 5 4" xfId="21685" xr:uid="{00000000-0005-0000-0000-00000D840000}"/>
    <cellStyle name="Migliaia 52 5 5" xfId="38524" xr:uid="{00000000-0005-0000-0000-00000E840000}"/>
    <cellStyle name="Migliaia 52 5 6" xfId="39838" xr:uid="{00000000-0005-0000-0000-00000F840000}"/>
    <cellStyle name="Migliaia 52 5 7" xfId="40324" xr:uid="{00000000-0005-0000-0000-000010840000}"/>
    <cellStyle name="Migliaia 52 6" xfId="756" xr:uid="{00000000-0005-0000-0000-000011840000}"/>
    <cellStyle name="Migliaia 52 6 2" xfId="11622" xr:uid="{00000000-0005-0000-0000-000012840000}"/>
    <cellStyle name="Migliaia 52 6 3" xfId="21686" xr:uid="{00000000-0005-0000-0000-000013840000}"/>
    <cellStyle name="Migliaia 52 6 4" xfId="39839" xr:uid="{00000000-0005-0000-0000-000014840000}"/>
    <cellStyle name="Migliaia 52 6 5" xfId="40325" xr:uid="{00000000-0005-0000-0000-000015840000}"/>
    <cellStyle name="Migliaia 52 7" xfId="12211" xr:uid="{00000000-0005-0000-0000-000016840000}"/>
    <cellStyle name="Migliaia 52 7 2" xfId="30396" xr:uid="{00000000-0005-0000-0000-000017840000}"/>
    <cellStyle name="Migliaia 52 8" xfId="19598" xr:uid="{00000000-0005-0000-0000-000018840000}"/>
    <cellStyle name="Migliaia 52 8 2" xfId="37562" xr:uid="{00000000-0005-0000-0000-000019840000}"/>
    <cellStyle name="Migliaia 52 9" xfId="3391" xr:uid="{00000000-0005-0000-0000-00001A840000}"/>
    <cellStyle name="Migliaia 52 9 2" xfId="23391" xr:uid="{00000000-0005-0000-0000-00001B840000}"/>
    <cellStyle name="Migliaia 53" xfId="757" xr:uid="{00000000-0005-0000-0000-00001C840000}"/>
    <cellStyle name="Migliaia 53 10" xfId="21687" xr:uid="{00000000-0005-0000-0000-00001D840000}"/>
    <cellStyle name="Migliaia 53 11" xfId="38525" xr:uid="{00000000-0005-0000-0000-00001E840000}"/>
    <cellStyle name="Migliaia 53 12" xfId="39299" xr:uid="{00000000-0005-0000-0000-00001F840000}"/>
    <cellStyle name="Migliaia 53 13" xfId="39840" xr:uid="{00000000-0005-0000-0000-000020840000}"/>
    <cellStyle name="Migliaia 53 14" xfId="40326" xr:uid="{00000000-0005-0000-0000-000021840000}"/>
    <cellStyle name="Migliaia 53 2" xfId="758" xr:uid="{00000000-0005-0000-0000-000022840000}"/>
    <cellStyle name="Migliaia 53 2 10" xfId="39841" xr:uid="{00000000-0005-0000-0000-000023840000}"/>
    <cellStyle name="Migliaia 53 2 11" xfId="40327" xr:uid="{00000000-0005-0000-0000-000024840000}"/>
    <cellStyle name="Migliaia 53 2 2" xfId="3586" xr:uid="{00000000-0005-0000-0000-000025840000}"/>
    <cellStyle name="Migliaia 53 2 2 2" xfId="12347" xr:uid="{00000000-0005-0000-0000-000026840000}"/>
    <cellStyle name="Migliaia 53 2 2 2 2" xfId="30517" xr:uid="{00000000-0005-0000-0000-000027840000}"/>
    <cellStyle name="Migliaia 53 2 2 3" xfId="20661" xr:uid="{00000000-0005-0000-0000-000028840000}"/>
    <cellStyle name="Migliaia 53 2 2 3 2" xfId="37978" xr:uid="{00000000-0005-0000-0000-000029840000}"/>
    <cellStyle name="Migliaia 53 2 2 4" xfId="23515" xr:uid="{00000000-0005-0000-0000-00002A840000}"/>
    <cellStyle name="Migliaia 53 2 2 5" xfId="38933" xr:uid="{00000000-0005-0000-0000-00002B840000}"/>
    <cellStyle name="Migliaia 53 2 2 6" xfId="39431" xr:uid="{00000000-0005-0000-0000-00002C840000}"/>
    <cellStyle name="Migliaia 53 2 3" xfId="11629" xr:uid="{00000000-0005-0000-0000-00002D840000}"/>
    <cellStyle name="Migliaia 53 2 4" xfId="12216" xr:uid="{00000000-0005-0000-0000-00002E840000}"/>
    <cellStyle name="Migliaia 53 2 4 2" xfId="30401" xr:uid="{00000000-0005-0000-0000-00002F840000}"/>
    <cellStyle name="Migliaia 53 2 5" xfId="19607" xr:uid="{00000000-0005-0000-0000-000030840000}"/>
    <cellStyle name="Migliaia 53 2 5 2" xfId="37571" xr:uid="{00000000-0005-0000-0000-000031840000}"/>
    <cellStyle name="Migliaia 53 2 6" xfId="3396" xr:uid="{00000000-0005-0000-0000-000032840000}"/>
    <cellStyle name="Migliaia 53 2 6 2" xfId="23396" xr:uid="{00000000-0005-0000-0000-000033840000}"/>
    <cellStyle name="Migliaia 53 2 7" xfId="21688" xr:uid="{00000000-0005-0000-0000-000034840000}"/>
    <cellStyle name="Migliaia 53 2 8" xfId="38526" xr:uid="{00000000-0005-0000-0000-000035840000}"/>
    <cellStyle name="Migliaia 53 2 9" xfId="39300" xr:uid="{00000000-0005-0000-0000-000036840000}"/>
    <cellStyle name="Migliaia 53 3" xfId="759" xr:uid="{00000000-0005-0000-0000-000037840000}"/>
    <cellStyle name="Migliaia 53 3 10" xfId="39842" xr:uid="{00000000-0005-0000-0000-000038840000}"/>
    <cellStyle name="Migliaia 53 3 11" xfId="40328" xr:uid="{00000000-0005-0000-0000-000039840000}"/>
    <cellStyle name="Migliaia 53 3 2" xfId="760" xr:uid="{00000000-0005-0000-0000-00003A840000}"/>
    <cellStyle name="Migliaia 53 3 2 10" xfId="40329" xr:uid="{00000000-0005-0000-0000-00003B840000}"/>
    <cellStyle name="Migliaia 53 3 2 2" xfId="11631" xr:uid="{00000000-0005-0000-0000-00003C840000}"/>
    <cellStyle name="Migliaia 53 3 2 3" xfId="12218" xr:uid="{00000000-0005-0000-0000-00003D840000}"/>
    <cellStyle name="Migliaia 53 3 2 3 2" xfId="30403" xr:uid="{00000000-0005-0000-0000-00003E840000}"/>
    <cellStyle name="Migliaia 53 3 2 4" xfId="19609" xr:uid="{00000000-0005-0000-0000-00003F840000}"/>
    <cellStyle name="Migliaia 53 3 2 4 2" xfId="37573" xr:uid="{00000000-0005-0000-0000-000040840000}"/>
    <cellStyle name="Migliaia 53 3 2 5" xfId="3398" xr:uid="{00000000-0005-0000-0000-000041840000}"/>
    <cellStyle name="Migliaia 53 3 2 5 2" xfId="23398" xr:uid="{00000000-0005-0000-0000-000042840000}"/>
    <cellStyle name="Migliaia 53 3 2 6" xfId="21690" xr:uid="{00000000-0005-0000-0000-000043840000}"/>
    <cellStyle name="Migliaia 53 3 2 7" xfId="38528" xr:uid="{00000000-0005-0000-0000-000044840000}"/>
    <cellStyle name="Migliaia 53 3 2 8" xfId="39302" xr:uid="{00000000-0005-0000-0000-000045840000}"/>
    <cellStyle name="Migliaia 53 3 2 9" xfId="39843" xr:uid="{00000000-0005-0000-0000-000046840000}"/>
    <cellStyle name="Migliaia 53 3 3" xfId="11630" xr:uid="{00000000-0005-0000-0000-000047840000}"/>
    <cellStyle name="Migliaia 53 3 3 2" xfId="20663" xr:uid="{00000000-0005-0000-0000-000048840000}"/>
    <cellStyle name="Migliaia 53 3 3 2 2" xfId="37980" xr:uid="{00000000-0005-0000-0000-000049840000}"/>
    <cellStyle name="Migliaia 53 3 3 2 3" xfId="38935" xr:uid="{00000000-0005-0000-0000-00004A840000}"/>
    <cellStyle name="Migliaia 53 3 3 3" xfId="19610" xr:uid="{00000000-0005-0000-0000-00004B840000}"/>
    <cellStyle name="Migliaia 53 3 3 3 2" xfId="37574" xr:uid="{00000000-0005-0000-0000-00004C840000}"/>
    <cellStyle name="Migliaia 53 3 3 4" xfId="38529" xr:uid="{00000000-0005-0000-0000-00004D840000}"/>
    <cellStyle name="Migliaia 53 3 4" xfId="12217" xr:uid="{00000000-0005-0000-0000-00004E840000}"/>
    <cellStyle name="Migliaia 53 3 4 2" xfId="20662" xr:uid="{00000000-0005-0000-0000-00004F840000}"/>
    <cellStyle name="Migliaia 53 3 4 2 2" xfId="37979" xr:uid="{00000000-0005-0000-0000-000050840000}"/>
    <cellStyle name="Migliaia 53 3 4 3" xfId="30402" xr:uid="{00000000-0005-0000-0000-000051840000}"/>
    <cellStyle name="Migliaia 53 3 4 4" xfId="38934" xr:uid="{00000000-0005-0000-0000-000052840000}"/>
    <cellStyle name="Migliaia 53 3 5" xfId="19608" xr:uid="{00000000-0005-0000-0000-000053840000}"/>
    <cellStyle name="Migliaia 53 3 5 2" xfId="37572" xr:uid="{00000000-0005-0000-0000-000054840000}"/>
    <cellStyle name="Migliaia 53 3 6" xfId="3397" xr:uid="{00000000-0005-0000-0000-000055840000}"/>
    <cellStyle name="Migliaia 53 3 6 2" xfId="23397" xr:uid="{00000000-0005-0000-0000-000056840000}"/>
    <cellStyle name="Migliaia 53 3 7" xfId="21689" xr:uid="{00000000-0005-0000-0000-000057840000}"/>
    <cellStyle name="Migliaia 53 3 8" xfId="38527" xr:uid="{00000000-0005-0000-0000-000058840000}"/>
    <cellStyle name="Migliaia 53 3 9" xfId="39301" xr:uid="{00000000-0005-0000-0000-000059840000}"/>
    <cellStyle name="Migliaia 53 4" xfId="761" xr:uid="{00000000-0005-0000-0000-00005A840000}"/>
    <cellStyle name="Migliaia 53 4 2" xfId="19612" xr:uid="{00000000-0005-0000-0000-00005B840000}"/>
    <cellStyle name="Migliaia 53 4 2 2" xfId="20665" xr:uid="{00000000-0005-0000-0000-00005C840000}"/>
    <cellStyle name="Migliaia 53 4 2 2 2" xfId="37982" xr:uid="{00000000-0005-0000-0000-00005D840000}"/>
    <cellStyle name="Migliaia 53 4 2 2 3" xfId="38937" xr:uid="{00000000-0005-0000-0000-00005E840000}"/>
    <cellStyle name="Migliaia 53 4 2 3" xfId="37576" xr:uid="{00000000-0005-0000-0000-00005F840000}"/>
    <cellStyle name="Migliaia 53 4 2 4" xfId="38531" xr:uid="{00000000-0005-0000-0000-000060840000}"/>
    <cellStyle name="Migliaia 53 4 3" xfId="20664" xr:uid="{00000000-0005-0000-0000-000061840000}"/>
    <cellStyle name="Migliaia 53 4 3 2" xfId="37981" xr:uid="{00000000-0005-0000-0000-000062840000}"/>
    <cellStyle name="Migliaia 53 4 3 3" xfId="38936" xr:uid="{00000000-0005-0000-0000-000063840000}"/>
    <cellStyle name="Migliaia 53 4 4" xfId="19611" xr:uid="{00000000-0005-0000-0000-000064840000}"/>
    <cellStyle name="Migliaia 53 4 4 2" xfId="37575" xr:uid="{00000000-0005-0000-0000-000065840000}"/>
    <cellStyle name="Migliaia 53 4 5" xfId="11632" xr:uid="{00000000-0005-0000-0000-000066840000}"/>
    <cellStyle name="Migliaia 53 4 6" xfId="21691" xr:uid="{00000000-0005-0000-0000-000067840000}"/>
    <cellStyle name="Migliaia 53 4 7" xfId="38530" xr:uid="{00000000-0005-0000-0000-000068840000}"/>
    <cellStyle name="Migliaia 53 4 8" xfId="39844" xr:uid="{00000000-0005-0000-0000-000069840000}"/>
    <cellStyle name="Migliaia 53 4 9" xfId="40330" xr:uid="{00000000-0005-0000-0000-00006A840000}"/>
    <cellStyle name="Migliaia 53 5" xfId="762" xr:uid="{00000000-0005-0000-0000-00006B840000}"/>
    <cellStyle name="Migliaia 53 5 2" xfId="19613" xr:uid="{00000000-0005-0000-0000-00006C840000}"/>
    <cellStyle name="Migliaia 53 5 2 2" xfId="37577" xr:uid="{00000000-0005-0000-0000-00006D840000}"/>
    <cellStyle name="Migliaia 53 5 3" xfId="11633" xr:uid="{00000000-0005-0000-0000-00006E840000}"/>
    <cellStyle name="Migliaia 53 5 4" xfId="21692" xr:uid="{00000000-0005-0000-0000-00006F840000}"/>
    <cellStyle name="Migliaia 53 5 5" xfId="38532" xr:uid="{00000000-0005-0000-0000-000070840000}"/>
    <cellStyle name="Migliaia 53 5 6" xfId="39845" xr:uid="{00000000-0005-0000-0000-000071840000}"/>
    <cellStyle name="Migliaia 53 5 7" xfId="40331" xr:uid="{00000000-0005-0000-0000-000072840000}"/>
    <cellStyle name="Migliaia 53 6" xfId="763" xr:uid="{00000000-0005-0000-0000-000073840000}"/>
    <cellStyle name="Migliaia 53 6 2" xfId="11628" xr:uid="{00000000-0005-0000-0000-000074840000}"/>
    <cellStyle name="Migliaia 53 6 3" xfId="21693" xr:uid="{00000000-0005-0000-0000-000075840000}"/>
    <cellStyle name="Migliaia 53 6 4" xfId="39846" xr:uid="{00000000-0005-0000-0000-000076840000}"/>
    <cellStyle name="Migliaia 53 6 5" xfId="40332" xr:uid="{00000000-0005-0000-0000-000077840000}"/>
    <cellStyle name="Migliaia 53 7" xfId="12215" xr:uid="{00000000-0005-0000-0000-000078840000}"/>
    <cellStyle name="Migliaia 53 7 2" xfId="30400" xr:uid="{00000000-0005-0000-0000-000079840000}"/>
    <cellStyle name="Migliaia 53 8" xfId="19606" xr:uid="{00000000-0005-0000-0000-00007A840000}"/>
    <cellStyle name="Migliaia 53 8 2" xfId="37570" xr:uid="{00000000-0005-0000-0000-00007B840000}"/>
    <cellStyle name="Migliaia 53 9" xfId="3395" xr:uid="{00000000-0005-0000-0000-00007C840000}"/>
    <cellStyle name="Migliaia 53 9 2" xfId="23395" xr:uid="{00000000-0005-0000-0000-00007D840000}"/>
    <cellStyle name="Migliaia 54" xfId="764" xr:uid="{00000000-0005-0000-0000-00007E840000}"/>
    <cellStyle name="Migliaia 54 10" xfId="21694" xr:uid="{00000000-0005-0000-0000-00007F840000}"/>
    <cellStyle name="Migliaia 54 11" xfId="38533" xr:uid="{00000000-0005-0000-0000-000080840000}"/>
    <cellStyle name="Migliaia 54 12" xfId="39303" xr:uid="{00000000-0005-0000-0000-000081840000}"/>
    <cellStyle name="Migliaia 54 13" xfId="39847" xr:uid="{00000000-0005-0000-0000-000082840000}"/>
    <cellStyle name="Migliaia 54 14" xfId="40333" xr:uid="{00000000-0005-0000-0000-000083840000}"/>
    <cellStyle name="Migliaia 54 2" xfId="765" xr:uid="{00000000-0005-0000-0000-000084840000}"/>
    <cellStyle name="Migliaia 54 2 10" xfId="39848" xr:uid="{00000000-0005-0000-0000-000085840000}"/>
    <cellStyle name="Migliaia 54 2 11" xfId="40334" xr:uid="{00000000-0005-0000-0000-000086840000}"/>
    <cellStyle name="Migliaia 54 2 2" xfId="3587" xr:uid="{00000000-0005-0000-0000-000087840000}"/>
    <cellStyle name="Migliaia 54 2 2 2" xfId="12348" xr:uid="{00000000-0005-0000-0000-000088840000}"/>
    <cellStyle name="Migliaia 54 2 2 2 2" xfId="30518" xr:uid="{00000000-0005-0000-0000-000089840000}"/>
    <cellStyle name="Migliaia 54 2 2 3" xfId="20666" xr:uid="{00000000-0005-0000-0000-00008A840000}"/>
    <cellStyle name="Migliaia 54 2 2 3 2" xfId="37983" xr:uid="{00000000-0005-0000-0000-00008B840000}"/>
    <cellStyle name="Migliaia 54 2 2 4" xfId="23516" xr:uid="{00000000-0005-0000-0000-00008C840000}"/>
    <cellStyle name="Migliaia 54 2 2 5" xfId="38938" xr:uid="{00000000-0005-0000-0000-00008D840000}"/>
    <cellStyle name="Migliaia 54 2 2 6" xfId="39432" xr:uid="{00000000-0005-0000-0000-00008E840000}"/>
    <cellStyle name="Migliaia 54 2 3" xfId="11635" xr:uid="{00000000-0005-0000-0000-00008F840000}"/>
    <cellStyle name="Migliaia 54 2 4" xfId="12220" xr:uid="{00000000-0005-0000-0000-000090840000}"/>
    <cellStyle name="Migliaia 54 2 4 2" xfId="30405" xr:uid="{00000000-0005-0000-0000-000091840000}"/>
    <cellStyle name="Migliaia 54 2 5" xfId="19615" xr:uid="{00000000-0005-0000-0000-000092840000}"/>
    <cellStyle name="Migliaia 54 2 5 2" xfId="37579" xr:uid="{00000000-0005-0000-0000-000093840000}"/>
    <cellStyle name="Migliaia 54 2 6" xfId="3400" xr:uid="{00000000-0005-0000-0000-000094840000}"/>
    <cellStyle name="Migliaia 54 2 6 2" xfId="23400" xr:uid="{00000000-0005-0000-0000-000095840000}"/>
    <cellStyle name="Migliaia 54 2 7" xfId="21695" xr:uid="{00000000-0005-0000-0000-000096840000}"/>
    <cellStyle name="Migliaia 54 2 8" xfId="38534" xr:uid="{00000000-0005-0000-0000-000097840000}"/>
    <cellStyle name="Migliaia 54 2 9" xfId="39304" xr:uid="{00000000-0005-0000-0000-000098840000}"/>
    <cellStyle name="Migliaia 54 3" xfId="766" xr:uid="{00000000-0005-0000-0000-000099840000}"/>
    <cellStyle name="Migliaia 54 3 10" xfId="39849" xr:uid="{00000000-0005-0000-0000-00009A840000}"/>
    <cellStyle name="Migliaia 54 3 11" xfId="40335" xr:uid="{00000000-0005-0000-0000-00009B840000}"/>
    <cellStyle name="Migliaia 54 3 2" xfId="767" xr:uid="{00000000-0005-0000-0000-00009C840000}"/>
    <cellStyle name="Migliaia 54 3 2 10" xfId="40336" xr:uid="{00000000-0005-0000-0000-00009D840000}"/>
    <cellStyle name="Migliaia 54 3 2 2" xfId="11637" xr:uid="{00000000-0005-0000-0000-00009E840000}"/>
    <cellStyle name="Migliaia 54 3 2 3" xfId="12222" xr:uid="{00000000-0005-0000-0000-00009F840000}"/>
    <cellStyle name="Migliaia 54 3 2 3 2" xfId="30407" xr:uid="{00000000-0005-0000-0000-0000A0840000}"/>
    <cellStyle name="Migliaia 54 3 2 4" xfId="19617" xr:uid="{00000000-0005-0000-0000-0000A1840000}"/>
    <cellStyle name="Migliaia 54 3 2 4 2" xfId="37581" xr:uid="{00000000-0005-0000-0000-0000A2840000}"/>
    <cellStyle name="Migliaia 54 3 2 5" xfId="3402" xr:uid="{00000000-0005-0000-0000-0000A3840000}"/>
    <cellStyle name="Migliaia 54 3 2 5 2" xfId="23402" xr:uid="{00000000-0005-0000-0000-0000A4840000}"/>
    <cellStyle name="Migliaia 54 3 2 6" xfId="21697" xr:uid="{00000000-0005-0000-0000-0000A5840000}"/>
    <cellStyle name="Migliaia 54 3 2 7" xfId="38536" xr:uid="{00000000-0005-0000-0000-0000A6840000}"/>
    <cellStyle name="Migliaia 54 3 2 8" xfId="39306" xr:uid="{00000000-0005-0000-0000-0000A7840000}"/>
    <cellStyle name="Migliaia 54 3 2 9" xfId="39850" xr:uid="{00000000-0005-0000-0000-0000A8840000}"/>
    <cellStyle name="Migliaia 54 3 3" xfId="11636" xr:uid="{00000000-0005-0000-0000-0000A9840000}"/>
    <cellStyle name="Migliaia 54 3 3 2" xfId="20668" xr:uid="{00000000-0005-0000-0000-0000AA840000}"/>
    <cellStyle name="Migliaia 54 3 3 2 2" xfId="37985" xr:uid="{00000000-0005-0000-0000-0000AB840000}"/>
    <cellStyle name="Migliaia 54 3 3 2 3" xfId="38940" xr:uid="{00000000-0005-0000-0000-0000AC840000}"/>
    <cellStyle name="Migliaia 54 3 3 3" xfId="19618" xr:uid="{00000000-0005-0000-0000-0000AD840000}"/>
    <cellStyle name="Migliaia 54 3 3 3 2" xfId="37582" xr:uid="{00000000-0005-0000-0000-0000AE840000}"/>
    <cellStyle name="Migliaia 54 3 3 4" xfId="38537" xr:uid="{00000000-0005-0000-0000-0000AF840000}"/>
    <cellStyle name="Migliaia 54 3 4" xfId="12221" xr:uid="{00000000-0005-0000-0000-0000B0840000}"/>
    <cellStyle name="Migliaia 54 3 4 2" xfId="20667" xr:uid="{00000000-0005-0000-0000-0000B1840000}"/>
    <cellStyle name="Migliaia 54 3 4 2 2" xfId="37984" xr:uid="{00000000-0005-0000-0000-0000B2840000}"/>
    <cellStyle name="Migliaia 54 3 4 3" xfId="30406" xr:uid="{00000000-0005-0000-0000-0000B3840000}"/>
    <cellStyle name="Migliaia 54 3 4 4" xfId="38939" xr:uid="{00000000-0005-0000-0000-0000B4840000}"/>
    <cellStyle name="Migliaia 54 3 5" xfId="19616" xr:uid="{00000000-0005-0000-0000-0000B5840000}"/>
    <cellStyle name="Migliaia 54 3 5 2" xfId="37580" xr:uid="{00000000-0005-0000-0000-0000B6840000}"/>
    <cellStyle name="Migliaia 54 3 6" xfId="3401" xr:uid="{00000000-0005-0000-0000-0000B7840000}"/>
    <cellStyle name="Migliaia 54 3 6 2" xfId="23401" xr:uid="{00000000-0005-0000-0000-0000B8840000}"/>
    <cellStyle name="Migliaia 54 3 7" xfId="21696" xr:uid="{00000000-0005-0000-0000-0000B9840000}"/>
    <cellStyle name="Migliaia 54 3 8" xfId="38535" xr:uid="{00000000-0005-0000-0000-0000BA840000}"/>
    <cellStyle name="Migliaia 54 3 9" xfId="39305" xr:uid="{00000000-0005-0000-0000-0000BB840000}"/>
    <cellStyle name="Migliaia 54 4" xfId="768" xr:uid="{00000000-0005-0000-0000-0000BC840000}"/>
    <cellStyle name="Migliaia 54 4 2" xfId="19620" xr:uid="{00000000-0005-0000-0000-0000BD840000}"/>
    <cellStyle name="Migliaia 54 4 2 2" xfId="20670" xr:uid="{00000000-0005-0000-0000-0000BE840000}"/>
    <cellStyle name="Migliaia 54 4 2 2 2" xfId="37987" xr:uid="{00000000-0005-0000-0000-0000BF840000}"/>
    <cellStyle name="Migliaia 54 4 2 2 3" xfId="38942" xr:uid="{00000000-0005-0000-0000-0000C0840000}"/>
    <cellStyle name="Migliaia 54 4 2 3" xfId="37584" xr:uid="{00000000-0005-0000-0000-0000C1840000}"/>
    <cellStyle name="Migliaia 54 4 2 4" xfId="38539" xr:uid="{00000000-0005-0000-0000-0000C2840000}"/>
    <cellStyle name="Migliaia 54 4 3" xfId="20669" xr:uid="{00000000-0005-0000-0000-0000C3840000}"/>
    <cellStyle name="Migliaia 54 4 3 2" xfId="37986" xr:uid="{00000000-0005-0000-0000-0000C4840000}"/>
    <cellStyle name="Migliaia 54 4 3 3" xfId="38941" xr:uid="{00000000-0005-0000-0000-0000C5840000}"/>
    <cellStyle name="Migliaia 54 4 4" xfId="19619" xr:uid="{00000000-0005-0000-0000-0000C6840000}"/>
    <cellStyle name="Migliaia 54 4 4 2" xfId="37583" xr:uid="{00000000-0005-0000-0000-0000C7840000}"/>
    <cellStyle name="Migliaia 54 4 5" xfId="11638" xr:uid="{00000000-0005-0000-0000-0000C8840000}"/>
    <cellStyle name="Migliaia 54 4 6" xfId="21698" xr:uid="{00000000-0005-0000-0000-0000C9840000}"/>
    <cellStyle name="Migliaia 54 4 7" xfId="38538" xr:uid="{00000000-0005-0000-0000-0000CA840000}"/>
    <cellStyle name="Migliaia 54 4 8" xfId="39851" xr:uid="{00000000-0005-0000-0000-0000CB840000}"/>
    <cellStyle name="Migliaia 54 4 9" xfId="40337" xr:uid="{00000000-0005-0000-0000-0000CC840000}"/>
    <cellStyle name="Migliaia 54 5" xfId="769" xr:uid="{00000000-0005-0000-0000-0000CD840000}"/>
    <cellStyle name="Migliaia 54 5 2" xfId="19621" xr:uid="{00000000-0005-0000-0000-0000CE840000}"/>
    <cellStyle name="Migliaia 54 5 2 2" xfId="37585" xr:uid="{00000000-0005-0000-0000-0000CF840000}"/>
    <cellStyle name="Migliaia 54 5 3" xfId="11639" xr:uid="{00000000-0005-0000-0000-0000D0840000}"/>
    <cellStyle name="Migliaia 54 5 4" xfId="21699" xr:uid="{00000000-0005-0000-0000-0000D1840000}"/>
    <cellStyle name="Migliaia 54 5 5" xfId="38540" xr:uid="{00000000-0005-0000-0000-0000D2840000}"/>
    <cellStyle name="Migliaia 54 5 6" xfId="39852" xr:uid="{00000000-0005-0000-0000-0000D3840000}"/>
    <cellStyle name="Migliaia 54 5 7" xfId="40338" xr:uid="{00000000-0005-0000-0000-0000D4840000}"/>
    <cellStyle name="Migliaia 54 6" xfId="770" xr:uid="{00000000-0005-0000-0000-0000D5840000}"/>
    <cellStyle name="Migliaia 54 6 2" xfId="11634" xr:uid="{00000000-0005-0000-0000-0000D6840000}"/>
    <cellStyle name="Migliaia 54 6 3" xfId="21700" xr:uid="{00000000-0005-0000-0000-0000D7840000}"/>
    <cellStyle name="Migliaia 54 6 4" xfId="39853" xr:uid="{00000000-0005-0000-0000-0000D8840000}"/>
    <cellStyle name="Migliaia 54 6 5" xfId="40339" xr:uid="{00000000-0005-0000-0000-0000D9840000}"/>
    <cellStyle name="Migliaia 54 7" xfId="12219" xr:uid="{00000000-0005-0000-0000-0000DA840000}"/>
    <cellStyle name="Migliaia 54 7 2" xfId="30404" xr:uid="{00000000-0005-0000-0000-0000DB840000}"/>
    <cellStyle name="Migliaia 54 8" xfId="19614" xr:uid="{00000000-0005-0000-0000-0000DC840000}"/>
    <cellStyle name="Migliaia 54 8 2" xfId="37578" xr:uid="{00000000-0005-0000-0000-0000DD840000}"/>
    <cellStyle name="Migliaia 54 9" xfId="3399" xr:uid="{00000000-0005-0000-0000-0000DE840000}"/>
    <cellStyle name="Migliaia 54 9 2" xfId="23399" xr:uid="{00000000-0005-0000-0000-0000DF840000}"/>
    <cellStyle name="Migliaia 55" xfId="771" xr:uid="{00000000-0005-0000-0000-0000E0840000}"/>
    <cellStyle name="Migliaia 55 10" xfId="21701" xr:uid="{00000000-0005-0000-0000-0000E1840000}"/>
    <cellStyle name="Migliaia 55 11" xfId="38541" xr:uid="{00000000-0005-0000-0000-0000E2840000}"/>
    <cellStyle name="Migliaia 55 12" xfId="39307" xr:uid="{00000000-0005-0000-0000-0000E3840000}"/>
    <cellStyle name="Migliaia 55 13" xfId="39854" xr:uid="{00000000-0005-0000-0000-0000E4840000}"/>
    <cellStyle name="Migliaia 55 14" xfId="40340" xr:uid="{00000000-0005-0000-0000-0000E5840000}"/>
    <cellStyle name="Migliaia 55 2" xfId="772" xr:uid="{00000000-0005-0000-0000-0000E6840000}"/>
    <cellStyle name="Migliaia 55 2 10" xfId="39855" xr:uid="{00000000-0005-0000-0000-0000E7840000}"/>
    <cellStyle name="Migliaia 55 2 11" xfId="40341" xr:uid="{00000000-0005-0000-0000-0000E8840000}"/>
    <cellStyle name="Migliaia 55 2 2" xfId="3588" xr:uid="{00000000-0005-0000-0000-0000E9840000}"/>
    <cellStyle name="Migliaia 55 2 2 2" xfId="12349" xr:uid="{00000000-0005-0000-0000-0000EA840000}"/>
    <cellStyle name="Migliaia 55 2 2 2 2" xfId="30519" xr:uid="{00000000-0005-0000-0000-0000EB840000}"/>
    <cellStyle name="Migliaia 55 2 2 3" xfId="20671" xr:uid="{00000000-0005-0000-0000-0000EC840000}"/>
    <cellStyle name="Migliaia 55 2 2 3 2" xfId="37988" xr:uid="{00000000-0005-0000-0000-0000ED840000}"/>
    <cellStyle name="Migliaia 55 2 2 4" xfId="23517" xr:uid="{00000000-0005-0000-0000-0000EE840000}"/>
    <cellStyle name="Migliaia 55 2 2 5" xfId="38943" xr:uid="{00000000-0005-0000-0000-0000EF840000}"/>
    <cellStyle name="Migliaia 55 2 2 6" xfId="39433" xr:uid="{00000000-0005-0000-0000-0000F0840000}"/>
    <cellStyle name="Migliaia 55 2 3" xfId="11641" xr:uid="{00000000-0005-0000-0000-0000F1840000}"/>
    <cellStyle name="Migliaia 55 2 4" xfId="12224" xr:uid="{00000000-0005-0000-0000-0000F2840000}"/>
    <cellStyle name="Migliaia 55 2 4 2" xfId="30409" xr:uid="{00000000-0005-0000-0000-0000F3840000}"/>
    <cellStyle name="Migliaia 55 2 5" xfId="19623" xr:uid="{00000000-0005-0000-0000-0000F4840000}"/>
    <cellStyle name="Migliaia 55 2 5 2" xfId="37587" xr:uid="{00000000-0005-0000-0000-0000F5840000}"/>
    <cellStyle name="Migliaia 55 2 6" xfId="3404" xr:uid="{00000000-0005-0000-0000-0000F6840000}"/>
    <cellStyle name="Migliaia 55 2 6 2" xfId="23404" xr:uid="{00000000-0005-0000-0000-0000F7840000}"/>
    <cellStyle name="Migliaia 55 2 7" xfId="21702" xr:uid="{00000000-0005-0000-0000-0000F8840000}"/>
    <cellStyle name="Migliaia 55 2 8" xfId="38542" xr:uid="{00000000-0005-0000-0000-0000F9840000}"/>
    <cellStyle name="Migliaia 55 2 9" xfId="39308" xr:uid="{00000000-0005-0000-0000-0000FA840000}"/>
    <cellStyle name="Migliaia 55 3" xfId="773" xr:uid="{00000000-0005-0000-0000-0000FB840000}"/>
    <cellStyle name="Migliaia 55 3 10" xfId="39856" xr:uid="{00000000-0005-0000-0000-0000FC840000}"/>
    <cellStyle name="Migliaia 55 3 11" xfId="40342" xr:uid="{00000000-0005-0000-0000-0000FD840000}"/>
    <cellStyle name="Migliaia 55 3 2" xfId="774" xr:uid="{00000000-0005-0000-0000-0000FE840000}"/>
    <cellStyle name="Migliaia 55 3 2 10" xfId="40343" xr:uid="{00000000-0005-0000-0000-0000FF840000}"/>
    <cellStyle name="Migliaia 55 3 2 2" xfId="11643" xr:uid="{00000000-0005-0000-0000-000000850000}"/>
    <cellStyle name="Migliaia 55 3 2 3" xfId="12226" xr:uid="{00000000-0005-0000-0000-000001850000}"/>
    <cellStyle name="Migliaia 55 3 2 3 2" xfId="30411" xr:uid="{00000000-0005-0000-0000-000002850000}"/>
    <cellStyle name="Migliaia 55 3 2 4" xfId="19625" xr:uid="{00000000-0005-0000-0000-000003850000}"/>
    <cellStyle name="Migliaia 55 3 2 4 2" xfId="37589" xr:uid="{00000000-0005-0000-0000-000004850000}"/>
    <cellStyle name="Migliaia 55 3 2 5" xfId="3406" xr:uid="{00000000-0005-0000-0000-000005850000}"/>
    <cellStyle name="Migliaia 55 3 2 5 2" xfId="23406" xr:uid="{00000000-0005-0000-0000-000006850000}"/>
    <cellStyle name="Migliaia 55 3 2 6" xfId="21704" xr:uid="{00000000-0005-0000-0000-000007850000}"/>
    <cellStyle name="Migliaia 55 3 2 7" xfId="38544" xr:uid="{00000000-0005-0000-0000-000008850000}"/>
    <cellStyle name="Migliaia 55 3 2 8" xfId="39310" xr:uid="{00000000-0005-0000-0000-000009850000}"/>
    <cellStyle name="Migliaia 55 3 2 9" xfId="39857" xr:uid="{00000000-0005-0000-0000-00000A850000}"/>
    <cellStyle name="Migliaia 55 3 3" xfId="11642" xr:uid="{00000000-0005-0000-0000-00000B850000}"/>
    <cellStyle name="Migliaia 55 3 3 2" xfId="20673" xr:uid="{00000000-0005-0000-0000-00000C850000}"/>
    <cellStyle name="Migliaia 55 3 3 2 2" xfId="37990" xr:uid="{00000000-0005-0000-0000-00000D850000}"/>
    <cellStyle name="Migliaia 55 3 3 2 3" xfId="38945" xr:uid="{00000000-0005-0000-0000-00000E850000}"/>
    <cellStyle name="Migliaia 55 3 3 3" xfId="19626" xr:uid="{00000000-0005-0000-0000-00000F850000}"/>
    <cellStyle name="Migliaia 55 3 3 3 2" xfId="37590" xr:uid="{00000000-0005-0000-0000-000010850000}"/>
    <cellStyle name="Migliaia 55 3 3 4" xfId="38545" xr:uid="{00000000-0005-0000-0000-000011850000}"/>
    <cellStyle name="Migliaia 55 3 4" xfId="12225" xr:uid="{00000000-0005-0000-0000-000012850000}"/>
    <cellStyle name="Migliaia 55 3 4 2" xfId="20672" xr:uid="{00000000-0005-0000-0000-000013850000}"/>
    <cellStyle name="Migliaia 55 3 4 2 2" xfId="37989" xr:uid="{00000000-0005-0000-0000-000014850000}"/>
    <cellStyle name="Migliaia 55 3 4 3" xfId="30410" xr:uid="{00000000-0005-0000-0000-000015850000}"/>
    <cellStyle name="Migliaia 55 3 4 4" xfId="38944" xr:uid="{00000000-0005-0000-0000-000016850000}"/>
    <cellStyle name="Migliaia 55 3 5" xfId="19624" xr:uid="{00000000-0005-0000-0000-000017850000}"/>
    <cellStyle name="Migliaia 55 3 5 2" xfId="37588" xr:uid="{00000000-0005-0000-0000-000018850000}"/>
    <cellStyle name="Migliaia 55 3 6" xfId="3405" xr:uid="{00000000-0005-0000-0000-000019850000}"/>
    <cellStyle name="Migliaia 55 3 6 2" xfId="23405" xr:uid="{00000000-0005-0000-0000-00001A850000}"/>
    <cellStyle name="Migliaia 55 3 7" xfId="21703" xr:uid="{00000000-0005-0000-0000-00001B850000}"/>
    <cellStyle name="Migliaia 55 3 8" xfId="38543" xr:uid="{00000000-0005-0000-0000-00001C850000}"/>
    <cellStyle name="Migliaia 55 3 9" xfId="39309" xr:uid="{00000000-0005-0000-0000-00001D850000}"/>
    <cellStyle name="Migliaia 55 4" xfId="775" xr:uid="{00000000-0005-0000-0000-00001E850000}"/>
    <cellStyle name="Migliaia 55 4 2" xfId="19628" xr:uid="{00000000-0005-0000-0000-00001F850000}"/>
    <cellStyle name="Migliaia 55 4 2 2" xfId="20675" xr:uid="{00000000-0005-0000-0000-000020850000}"/>
    <cellStyle name="Migliaia 55 4 2 2 2" xfId="37992" xr:uid="{00000000-0005-0000-0000-000021850000}"/>
    <cellStyle name="Migliaia 55 4 2 2 3" xfId="38947" xr:uid="{00000000-0005-0000-0000-000022850000}"/>
    <cellStyle name="Migliaia 55 4 2 3" xfId="37592" xr:uid="{00000000-0005-0000-0000-000023850000}"/>
    <cellStyle name="Migliaia 55 4 2 4" xfId="38547" xr:uid="{00000000-0005-0000-0000-000024850000}"/>
    <cellStyle name="Migliaia 55 4 3" xfId="20674" xr:uid="{00000000-0005-0000-0000-000025850000}"/>
    <cellStyle name="Migliaia 55 4 3 2" xfId="37991" xr:uid="{00000000-0005-0000-0000-000026850000}"/>
    <cellStyle name="Migliaia 55 4 3 3" xfId="38946" xr:uid="{00000000-0005-0000-0000-000027850000}"/>
    <cellStyle name="Migliaia 55 4 4" xfId="19627" xr:uid="{00000000-0005-0000-0000-000028850000}"/>
    <cellStyle name="Migliaia 55 4 4 2" xfId="37591" xr:uid="{00000000-0005-0000-0000-000029850000}"/>
    <cellStyle name="Migliaia 55 4 5" xfId="11644" xr:uid="{00000000-0005-0000-0000-00002A850000}"/>
    <cellStyle name="Migliaia 55 4 6" xfId="21705" xr:uid="{00000000-0005-0000-0000-00002B850000}"/>
    <cellStyle name="Migliaia 55 4 7" xfId="38546" xr:uid="{00000000-0005-0000-0000-00002C850000}"/>
    <cellStyle name="Migliaia 55 4 8" xfId="39858" xr:uid="{00000000-0005-0000-0000-00002D850000}"/>
    <cellStyle name="Migliaia 55 4 9" xfId="40344" xr:uid="{00000000-0005-0000-0000-00002E850000}"/>
    <cellStyle name="Migliaia 55 5" xfId="776" xr:uid="{00000000-0005-0000-0000-00002F850000}"/>
    <cellStyle name="Migliaia 55 5 2" xfId="19629" xr:uid="{00000000-0005-0000-0000-000030850000}"/>
    <cellStyle name="Migliaia 55 5 2 2" xfId="37593" xr:uid="{00000000-0005-0000-0000-000031850000}"/>
    <cellStyle name="Migliaia 55 5 3" xfId="11645" xr:uid="{00000000-0005-0000-0000-000032850000}"/>
    <cellStyle name="Migliaia 55 5 4" xfId="21706" xr:uid="{00000000-0005-0000-0000-000033850000}"/>
    <cellStyle name="Migliaia 55 5 5" xfId="38548" xr:uid="{00000000-0005-0000-0000-000034850000}"/>
    <cellStyle name="Migliaia 55 5 6" xfId="39859" xr:uid="{00000000-0005-0000-0000-000035850000}"/>
    <cellStyle name="Migliaia 55 5 7" xfId="40345" xr:uid="{00000000-0005-0000-0000-000036850000}"/>
    <cellStyle name="Migliaia 55 6" xfId="777" xr:uid="{00000000-0005-0000-0000-000037850000}"/>
    <cellStyle name="Migliaia 55 6 2" xfId="11640" xr:uid="{00000000-0005-0000-0000-000038850000}"/>
    <cellStyle name="Migliaia 55 6 3" xfId="21707" xr:uid="{00000000-0005-0000-0000-000039850000}"/>
    <cellStyle name="Migliaia 55 6 4" xfId="39860" xr:uid="{00000000-0005-0000-0000-00003A850000}"/>
    <cellStyle name="Migliaia 55 6 5" xfId="40346" xr:uid="{00000000-0005-0000-0000-00003B850000}"/>
    <cellStyle name="Migliaia 55 7" xfId="12223" xr:uid="{00000000-0005-0000-0000-00003C850000}"/>
    <cellStyle name="Migliaia 55 7 2" xfId="30408" xr:uid="{00000000-0005-0000-0000-00003D850000}"/>
    <cellStyle name="Migliaia 55 8" xfId="19622" xr:uid="{00000000-0005-0000-0000-00003E850000}"/>
    <cellStyle name="Migliaia 55 8 2" xfId="37586" xr:uid="{00000000-0005-0000-0000-00003F850000}"/>
    <cellStyle name="Migliaia 55 9" xfId="3403" xr:uid="{00000000-0005-0000-0000-000040850000}"/>
    <cellStyle name="Migliaia 55 9 2" xfId="23403" xr:uid="{00000000-0005-0000-0000-000041850000}"/>
    <cellStyle name="Migliaia 56" xfId="778" xr:uid="{00000000-0005-0000-0000-000042850000}"/>
    <cellStyle name="Migliaia 56 10" xfId="21708" xr:uid="{00000000-0005-0000-0000-000043850000}"/>
    <cellStyle name="Migliaia 56 11" xfId="38549" xr:uid="{00000000-0005-0000-0000-000044850000}"/>
    <cellStyle name="Migliaia 56 12" xfId="39311" xr:uid="{00000000-0005-0000-0000-000045850000}"/>
    <cellStyle name="Migliaia 56 13" xfId="39861" xr:uid="{00000000-0005-0000-0000-000046850000}"/>
    <cellStyle name="Migliaia 56 14" xfId="40347" xr:uid="{00000000-0005-0000-0000-000047850000}"/>
    <cellStyle name="Migliaia 56 2" xfId="779" xr:uid="{00000000-0005-0000-0000-000048850000}"/>
    <cellStyle name="Migliaia 56 2 10" xfId="39862" xr:uid="{00000000-0005-0000-0000-000049850000}"/>
    <cellStyle name="Migliaia 56 2 11" xfId="40348" xr:uid="{00000000-0005-0000-0000-00004A850000}"/>
    <cellStyle name="Migliaia 56 2 2" xfId="3589" xr:uid="{00000000-0005-0000-0000-00004B850000}"/>
    <cellStyle name="Migliaia 56 2 2 2" xfId="12350" xr:uid="{00000000-0005-0000-0000-00004C850000}"/>
    <cellStyle name="Migliaia 56 2 2 2 2" xfId="30520" xr:uid="{00000000-0005-0000-0000-00004D850000}"/>
    <cellStyle name="Migliaia 56 2 2 3" xfId="20676" xr:uid="{00000000-0005-0000-0000-00004E850000}"/>
    <cellStyle name="Migliaia 56 2 2 3 2" xfId="37993" xr:uid="{00000000-0005-0000-0000-00004F850000}"/>
    <cellStyle name="Migliaia 56 2 2 4" xfId="23518" xr:uid="{00000000-0005-0000-0000-000050850000}"/>
    <cellStyle name="Migliaia 56 2 2 5" xfId="38948" xr:uid="{00000000-0005-0000-0000-000051850000}"/>
    <cellStyle name="Migliaia 56 2 2 6" xfId="39434" xr:uid="{00000000-0005-0000-0000-000052850000}"/>
    <cellStyle name="Migliaia 56 2 3" xfId="11647" xr:uid="{00000000-0005-0000-0000-000053850000}"/>
    <cellStyle name="Migliaia 56 2 4" xfId="12228" xr:uid="{00000000-0005-0000-0000-000054850000}"/>
    <cellStyle name="Migliaia 56 2 4 2" xfId="30413" xr:uid="{00000000-0005-0000-0000-000055850000}"/>
    <cellStyle name="Migliaia 56 2 5" xfId="19631" xr:uid="{00000000-0005-0000-0000-000056850000}"/>
    <cellStyle name="Migliaia 56 2 5 2" xfId="37595" xr:uid="{00000000-0005-0000-0000-000057850000}"/>
    <cellStyle name="Migliaia 56 2 6" xfId="3408" xr:uid="{00000000-0005-0000-0000-000058850000}"/>
    <cellStyle name="Migliaia 56 2 6 2" xfId="23408" xr:uid="{00000000-0005-0000-0000-000059850000}"/>
    <cellStyle name="Migliaia 56 2 7" xfId="21709" xr:uid="{00000000-0005-0000-0000-00005A850000}"/>
    <cellStyle name="Migliaia 56 2 8" xfId="38550" xr:uid="{00000000-0005-0000-0000-00005B850000}"/>
    <cellStyle name="Migliaia 56 2 9" xfId="39312" xr:uid="{00000000-0005-0000-0000-00005C850000}"/>
    <cellStyle name="Migliaia 56 3" xfId="780" xr:uid="{00000000-0005-0000-0000-00005D850000}"/>
    <cellStyle name="Migliaia 56 3 10" xfId="39863" xr:uid="{00000000-0005-0000-0000-00005E850000}"/>
    <cellStyle name="Migliaia 56 3 11" xfId="40349" xr:uid="{00000000-0005-0000-0000-00005F850000}"/>
    <cellStyle name="Migliaia 56 3 2" xfId="781" xr:uid="{00000000-0005-0000-0000-000060850000}"/>
    <cellStyle name="Migliaia 56 3 2 10" xfId="40350" xr:uid="{00000000-0005-0000-0000-000061850000}"/>
    <cellStyle name="Migliaia 56 3 2 2" xfId="11649" xr:uid="{00000000-0005-0000-0000-000062850000}"/>
    <cellStyle name="Migliaia 56 3 2 3" xfId="12230" xr:uid="{00000000-0005-0000-0000-000063850000}"/>
    <cellStyle name="Migliaia 56 3 2 3 2" xfId="30415" xr:uid="{00000000-0005-0000-0000-000064850000}"/>
    <cellStyle name="Migliaia 56 3 2 4" xfId="19633" xr:uid="{00000000-0005-0000-0000-000065850000}"/>
    <cellStyle name="Migliaia 56 3 2 4 2" xfId="37597" xr:uid="{00000000-0005-0000-0000-000066850000}"/>
    <cellStyle name="Migliaia 56 3 2 5" xfId="3410" xr:uid="{00000000-0005-0000-0000-000067850000}"/>
    <cellStyle name="Migliaia 56 3 2 5 2" xfId="23410" xr:uid="{00000000-0005-0000-0000-000068850000}"/>
    <cellStyle name="Migliaia 56 3 2 6" xfId="21711" xr:uid="{00000000-0005-0000-0000-000069850000}"/>
    <cellStyle name="Migliaia 56 3 2 7" xfId="38552" xr:uid="{00000000-0005-0000-0000-00006A850000}"/>
    <cellStyle name="Migliaia 56 3 2 8" xfId="39314" xr:uid="{00000000-0005-0000-0000-00006B850000}"/>
    <cellStyle name="Migliaia 56 3 2 9" xfId="39864" xr:uid="{00000000-0005-0000-0000-00006C850000}"/>
    <cellStyle name="Migliaia 56 3 3" xfId="11648" xr:uid="{00000000-0005-0000-0000-00006D850000}"/>
    <cellStyle name="Migliaia 56 3 3 2" xfId="20678" xr:uid="{00000000-0005-0000-0000-00006E850000}"/>
    <cellStyle name="Migliaia 56 3 3 2 2" xfId="37995" xr:uid="{00000000-0005-0000-0000-00006F850000}"/>
    <cellStyle name="Migliaia 56 3 3 2 3" xfId="38950" xr:uid="{00000000-0005-0000-0000-000070850000}"/>
    <cellStyle name="Migliaia 56 3 3 3" xfId="19634" xr:uid="{00000000-0005-0000-0000-000071850000}"/>
    <cellStyle name="Migliaia 56 3 3 3 2" xfId="37598" xr:uid="{00000000-0005-0000-0000-000072850000}"/>
    <cellStyle name="Migliaia 56 3 3 4" xfId="38553" xr:uid="{00000000-0005-0000-0000-000073850000}"/>
    <cellStyle name="Migliaia 56 3 4" xfId="12229" xr:uid="{00000000-0005-0000-0000-000074850000}"/>
    <cellStyle name="Migliaia 56 3 4 2" xfId="20677" xr:uid="{00000000-0005-0000-0000-000075850000}"/>
    <cellStyle name="Migliaia 56 3 4 2 2" xfId="37994" xr:uid="{00000000-0005-0000-0000-000076850000}"/>
    <cellStyle name="Migliaia 56 3 4 3" xfId="30414" xr:uid="{00000000-0005-0000-0000-000077850000}"/>
    <cellStyle name="Migliaia 56 3 4 4" xfId="38949" xr:uid="{00000000-0005-0000-0000-000078850000}"/>
    <cellStyle name="Migliaia 56 3 5" xfId="19632" xr:uid="{00000000-0005-0000-0000-000079850000}"/>
    <cellStyle name="Migliaia 56 3 5 2" xfId="37596" xr:uid="{00000000-0005-0000-0000-00007A850000}"/>
    <cellStyle name="Migliaia 56 3 6" xfId="3409" xr:uid="{00000000-0005-0000-0000-00007B850000}"/>
    <cellStyle name="Migliaia 56 3 6 2" xfId="23409" xr:uid="{00000000-0005-0000-0000-00007C850000}"/>
    <cellStyle name="Migliaia 56 3 7" xfId="21710" xr:uid="{00000000-0005-0000-0000-00007D850000}"/>
    <cellStyle name="Migliaia 56 3 8" xfId="38551" xr:uid="{00000000-0005-0000-0000-00007E850000}"/>
    <cellStyle name="Migliaia 56 3 9" xfId="39313" xr:uid="{00000000-0005-0000-0000-00007F850000}"/>
    <cellStyle name="Migliaia 56 4" xfId="782" xr:uid="{00000000-0005-0000-0000-000080850000}"/>
    <cellStyle name="Migliaia 56 4 2" xfId="19636" xr:uid="{00000000-0005-0000-0000-000081850000}"/>
    <cellStyle name="Migliaia 56 4 2 2" xfId="20680" xr:uid="{00000000-0005-0000-0000-000082850000}"/>
    <cellStyle name="Migliaia 56 4 2 2 2" xfId="37997" xr:uid="{00000000-0005-0000-0000-000083850000}"/>
    <cellStyle name="Migliaia 56 4 2 2 3" xfId="38952" xr:uid="{00000000-0005-0000-0000-000084850000}"/>
    <cellStyle name="Migliaia 56 4 2 3" xfId="37600" xr:uid="{00000000-0005-0000-0000-000085850000}"/>
    <cellStyle name="Migliaia 56 4 2 4" xfId="38555" xr:uid="{00000000-0005-0000-0000-000086850000}"/>
    <cellStyle name="Migliaia 56 4 3" xfId="20679" xr:uid="{00000000-0005-0000-0000-000087850000}"/>
    <cellStyle name="Migliaia 56 4 3 2" xfId="37996" xr:uid="{00000000-0005-0000-0000-000088850000}"/>
    <cellStyle name="Migliaia 56 4 3 3" xfId="38951" xr:uid="{00000000-0005-0000-0000-000089850000}"/>
    <cellStyle name="Migliaia 56 4 4" xfId="19635" xr:uid="{00000000-0005-0000-0000-00008A850000}"/>
    <cellStyle name="Migliaia 56 4 4 2" xfId="37599" xr:uid="{00000000-0005-0000-0000-00008B850000}"/>
    <cellStyle name="Migliaia 56 4 5" xfId="11650" xr:uid="{00000000-0005-0000-0000-00008C850000}"/>
    <cellStyle name="Migliaia 56 4 6" xfId="21712" xr:uid="{00000000-0005-0000-0000-00008D850000}"/>
    <cellStyle name="Migliaia 56 4 7" xfId="38554" xr:uid="{00000000-0005-0000-0000-00008E850000}"/>
    <cellStyle name="Migliaia 56 4 8" xfId="39865" xr:uid="{00000000-0005-0000-0000-00008F850000}"/>
    <cellStyle name="Migliaia 56 4 9" xfId="40351" xr:uid="{00000000-0005-0000-0000-000090850000}"/>
    <cellStyle name="Migliaia 56 5" xfId="783" xr:uid="{00000000-0005-0000-0000-000091850000}"/>
    <cellStyle name="Migliaia 56 5 2" xfId="19637" xr:uid="{00000000-0005-0000-0000-000092850000}"/>
    <cellStyle name="Migliaia 56 5 2 2" xfId="37601" xr:uid="{00000000-0005-0000-0000-000093850000}"/>
    <cellStyle name="Migliaia 56 5 3" xfId="11651" xr:uid="{00000000-0005-0000-0000-000094850000}"/>
    <cellStyle name="Migliaia 56 5 4" xfId="21713" xr:uid="{00000000-0005-0000-0000-000095850000}"/>
    <cellStyle name="Migliaia 56 5 5" xfId="38556" xr:uid="{00000000-0005-0000-0000-000096850000}"/>
    <cellStyle name="Migliaia 56 5 6" xfId="39866" xr:uid="{00000000-0005-0000-0000-000097850000}"/>
    <cellStyle name="Migliaia 56 5 7" xfId="40352" xr:uid="{00000000-0005-0000-0000-000098850000}"/>
    <cellStyle name="Migliaia 56 6" xfId="784" xr:uid="{00000000-0005-0000-0000-000099850000}"/>
    <cellStyle name="Migliaia 56 6 2" xfId="11646" xr:uid="{00000000-0005-0000-0000-00009A850000}"/>
    <cellStyle name="Migliaia 56 6 3" xfId="21714" xr:uid="{00000000-0005-0000-0000-00009B850000}"/>
    <cellStyle name="Migliaia 56 6 4" xfId="39867" xr:uid="{00000000-0005-0000-0000-00009C850000}"/>
    <cellStyle name="Migliaia 56 6 5" xfId="40353" xr:uid="{00000000-0005-0000-0000-00009D850000}"/>
    <cellStyle name="Migliaia 56 7" xfId="12227" xr:uid="{00000000-0005-0000-0000-00009E850000}"/>
    <cellStyle name="Migliaia 56 7 2" xfId="30412" xr:uid="{00000000-0005-0000-0000-00009F850000}"/>
    <cellStyle name="Migliaia 56 8" xfId="19630" xr:uid="{00000000-0005-0000-0000-0000A0850000}"/>
    <cellStyle name="Migliaia 56 8 2" xfId="37594" xr:uid="{00000000-0005-0000-0000-0000A1850000}"/>
    <cellStyle name="Migliaia 56 9" xfId="3407" xr:uid="{00000000-0005-0000-0000-0000A2850000}"/>
    <cellStyle name="Migliaia 56 9 2" xfId="23407" xr:uid="{00000000-0005-0000-0000-0000A3850000}"/>
    <cellStyle name="Migliaia 57" xfId="785" xr:uid="{00000000-0005-0000-0000-0000A4850000}"/>
    <cellStyle name="Migliaia 57 10" xfId="21715" xr:uid="{00000000-0005-0000-0000-0000A5850000}"/>
    <cellStyle name="Migliaia 57 11" xfId="38557" xr:uid="{00000000-0005-0000-0000-0000A6850000}"/>
    <cellStyle name="Migliaia 57 12" xfId="39315" xr:uid="{00000000-0005-0000-0000-0000A7850000}"/>
    <cellStyle name="Migliaia 57 13" xfId="39868" xr:uid="{00000000-0005-0000-0000-0000A8850000}"/>
    <cellStyle name="Migliaia 57 14" xfId="40354" xr:uid="{00000000-0005-0000-0000-0000A9850000}"/>
    <cellStyle name="Migliaia 57 2" xfId="786" xr:uid="{00000000-0005-0000-0000-0000AA850000}"/>
    <cellStyle name="Migliaia 57 2 10" xfId="39869" xr:uid="{00000000-0005-0000-0000-0000AB850000}"/>
    <cellStyle name="Migliaia 57 2 11" xfId="40355" xr:uid="{00000000-0005-0000-0000-0000AC850000}"/>
    <cellStyle name="Migliaia 57 2 2" xfId="3590" xr:uid="{00000000-0005-0000-0000-0000AD850000}"/>
    <cellStyle name="Migliaia 57 2 2 2" xfId="12351" xr:uid="{00000000-0005-0000-0000-0000AE850000}"/>
    <cellStyle name="Migliaia 57 2 2 2 2" xfId="30521" xr:uid="{00000000-0005-0000-0000-0000AF850000}"/>
    <cellStyle name="Migliaia 57 2 2 3" xfId="20681" xr:uid="{00000000-0005-0000-0000-0000B0850000}"/>
    <cellStyle name="Migliaia 57 2 2 3 2" xfId="37998" xr:uid="{00000000-0005-0000-0000-0000B1850000}"/>
    <cellStyle name="Migliaia 57 2 2 4" xfId="23519" xr:uid="{00000000-0005-0000-0000-0000B2850000}"/>
    <cellStyle name="Migliaia 57 2 2 5" xfId="38953" xr:uid="{00000000-0005-0000-0000-0000B3850000}"/>
    <cellStyle name="Migliaia 57 2 2 6" xfId="39435" xr:uid="{00000000-0005-0000-0000-0000B4850000}"/>
    <cellStyle name="Migliaia 57 2 3" xfId="11653" xr:uid="{00000000-0005-0000-0000-0000B5850000}"/>
    <cellStyle name="Migliaia 57 2 4" xfId="12232" xr:uid="{00000000-0005-0000-0000-0000B6850000}"/>
    <cellStyle name="Migliaia 57 2 4 2" xfId="30417" xr:uid="{00000000-0005-0000-0000-0000B7850000}"/>
    <cellStyle name="Migliaia 57 2 5" xfId="19639" xr:uid="{00000000-0005-0000-0000-0000B8850000}"/>
    <cellStyle name="Migliaia 57 2 5 2" xfId="37603" xr:uid="{00000000-0005-0000-0000-0000B9850000}"/>
    <cellStyle name="Migliaia 57 2 6" xfId="3412" xr:uid="{00000000-0005-0000-0000-0000BA850000}"/>
    <cellStyle name="Migliaia 57 2 6 2" xfId="23412" xr:uid="{00000000-0005-0000-0000-0000BB850000}"/>
    <cellStyle name="Migliaia 57 2 7" xfId="21716" xr:uid="{00000000-0005-0000-0000-0000BC850000}"/>
    <cellStyle name="Migliaia 57 2 8" xfId="38558" xr:uid="{00000000-0005-0000-0000-0000BD850000}"/>
    <cellStyle name="Migliaia 57 2 9" xfId="39316" xr:uid="{00000000-0005-0000-0000-0000BE850000}"/>
    <cellStyle name="Migliaia 57 3" xfId="787" xr:uid="{00000000-0005-0000-0000-0000BF850000}"/>
    <cellStyle name="Migliaia 57 3 10" xfId="39870" xr:uid="{00000000-0005-0000-0000-0000C0850000}"/>
    <cellStyle name="Migliaia 57 3 11" xfId="40356" xr:uid="{00000000-0005-0000-0000-0000C1850000}"/>
    <cellStyle name="Migliaia 57 3 2" xfId="788" xr:uid="{00000000-0005-0000-0000-0000C2850000}"/>
    <cellStyle name="Migliaia 57 3 2 10" xfId="40357" xr:uid="{00000000-0005-0000-0000-0000C3850000}"/>
    <cellStyle name="Migliaia 57 3 2 2" xfId="11655" xr:uid="{00000000-0005-0000-0000-0000C4850000}"/>
    <cellStyle name="Migliaia 57 3 2 3" xfId="12234" xr:uid="{00000000-0005-0000-0000-0000C5850000}"/>
    <cellStyle name="Migliaia 57 3 2 3 2" xfId="30419" xr:uid="{00000000-0005-0000-0000-0000C6850000}"/>
    <cellStyle name="Migliaia 57 3 2 4" xfId="19641" xr:uid="{00000000-0005-0000-0000-0000C7850000}"/>
    <cellStyle name="Migliaia 57 3 2 4 2" xfId="37605" xr:uid="{00000000-0005-0000-0000-0000C8850000}"/>
    <cellStyle name="Migliaia 57 3 2 5" xfId="3414" xr:uid="{00000000-0005-0000-0000-0000C9850000}"/>
    <cellStyle name="Migliaia 57 3 2 5 2" xfId="23414" xr:uid="{00000000-0005-0000-0000-0000CA850000}"/>
    <cellStyle name="Migliaia 57 3 2 6" xfId="21718" xr:uid="{00000000-0005-0000-0000-0000CB850000}"/>
    <cellStyle name="Migliaia 57 3 2 7" xfId="38560" xr:uid="{00000000-0005-0000-0000-0000CC850000}"/>
    <cellStyle name="Migliaia 57 3 2 8" xfId="39318" xr:uid="{00000000-0005-0000-0000-0000CD850000}"/>
    <cellStyle name="Migliaia 57 3 2 9" xfId="39871" xr:uid="{00000000-0005-0000-0000-0000CE850000}"/>
    <cellStyle name="Migliaia 57 3 3" xfId="11654" xr:uid="{00000000-0005-0000-0000-0000CF850000}"/>
    <cellStyle name="Migliaia 57 3 3 2" xfId="20683" xr:uid="{00000000-0005-0000-0000-0000D0850000}"/>
    <cellStyle name="Migliaia 57 3 3 2 2" xfId="38000" xr:uid="{00000000-0005-0000-0000-0000D1850000}"/>
    <cellStyle name="Migliaia 57 3 3 2 3" xfId="38955" xr:uid="{00000000-0005-0000-0000-0000D2850000}"/>
    <cellStyle name="Migliaia 57 3 3 3" xfId="19642" xr:uid="{00000000-0005-0000-0000-0000D3850000}"/>
    <cellStyle name="Migliaia 57 3 3 3 2" xfId="37606" xr:uid="{00000000-0005-0000-0000-0000D4850000}"/>
    <cellStyle name="Migliaia 57 3 3 4" xfId="38561" xr:uid="{00000000-0005-0000-0000-0000D5850000}"/>
    <cellStyle name="Migliaia 57 3 4" xfId="12233" xr:uid="{00000000-0005-0000-0000-0000D6850000}"/>
    <cellStyle name="Migliaia 57 3 4 2" xfId="20682" xr:uid="{00000000-0005-0000-0000-0000D7850000}"/>
    <cellStyle name="Migliaia 57 3 4 2 2" xfId="37999" xr:uid="{00000000-0005-0000-0000-0000D8850000}"/>
    <cellStyle name="Migliaia 57 3 4 3" xfId="30418" xr:uid="{00000000-0005-0000-0000-0000D9850000}"/>
    <cellStyle name="Migliaia 57 3 4 4" xfId="38954" xr:uid="{00000000-0005-0000-0000-0000DA850000}"/>
    <cellStyle name="Migliaia 57 3 5" xfId="19640" xr:uid="{00000000-0005-0000-0000-0000DB850000}"/>
    <cellStyle name="Migliaia 57 3 5 2" xfId="37604" xr:uid="{00000000-0005-0000-0000-0000DC850000}"/>
    <cellStyle name="Migliaia 57 3 6" xfId="3413" xr:uid="{00000000-0005-0000-0000-0000DD850000}"/>
    <cellStyle name="Migliaia 57 3 6 2" xfId="23413" xr:uid="{00000000-0005-0000-0000-0000DE850000}"/>
    <cellStyle name="Migliaia 57 3 7" xfId="21717" xr:uid="{00000000-0005-0000-0000-0000DF850000}"/>
    <cellStyle name="Migliaia 57 3 8" xfId="38559" xr:uid="{00000000-0005-0000-0000-0000E0850000}"/>
    <cellStyle name="Migliaia 57 3 9" xfId="39317" xr:uid="{00000000-0005-0000-0000-0000E1850000}"/>
    <cellStyle name="Migliaia 57 4" xfId="789" xr:uid="{00000000-0005-0000-0000-0000E2850000}"/>
    <cellStyle name="Migliaia 57 4 2" xfId="19644" xr:uid="{00000000-0005-0000-0000-0000E3850000}"/>
    <cellStyle name="Migliaia 57 4 2 2" xfId="20685" xr:uid="{00000000-0005-0000-0000-0000E4850000}"/>
    <cellStyle name="Migliaia 57 4 2 2 2" xfId="38002" xr:uid="{00000000-0005-0000-0000-0000E5850000}"/>
    <cellStyle name="Migliaia 57 4 2 2 3" xfId="38957" xr:uid="{00000000-0005-0000-0000-0000E6850000}"/>
    <cellStyle name="Migliaia 57 4 2 3" xfId="37608" xr:uid="{00000000-0005-0000-0000-0000E7850000}"/>
    <cellStyle name="Migliaia 57 4 2 4" xfId="38563" xr:uid="{00000000-0005-0000-0000-0000E8850000}"/>
    <cellStyle name="Migliaia 57 4 3" xfId="20684" xr:uid="{00000000-0005-0000-0000-0000E9850000}"/>
    <cellStyle name="Migliaia 57 4 3 2" xfId="38001" xr:uid="{00000000-0005-0000-0000-0000EA850000}"/>
    <cellStyle name="Migliaia 57 4 3 3" xfId="38956" xr:uid="{00000000-0005-0000-0000-0000EB850000}"/>
    <cellStyle name="Migliaia 57 4 4" xfId="19643" xr:uid="{00000000-0005-0000-0000-0000EC850000}"/>
    <cellStyle name="Migliaia 57 4 4 2" xfId="37607" xr:uid="{00000000-0005-0000-0000-0000ED850000}"/>
    <cellStyle name="Migliaia 57 4 5" xfId="11656" xr:uid="{00000000-0005-0000-0000-0000EE850000}"/>
    <cellStyle name="Migliaia 57 4 6" xfId="21719" xr:uid="{00000000-0005-0000-0000-0000EF850000}"/>
    <cellStyle name="Migliaia 57 4 7" xfId="38562" xr:uid="{00000000-0005-0000-0000-0000F0850000}"/>
    <cellStyle name="Migliaia 57 4 8" xfId="39872" xr:uid="{00000000-0005-0000-0000-0000F1850000}"/>
    <cellStyle name="Migliaia 57 4 9" xfId="40358" xr:uid="{00000000-0005-0000-0000-0000F2850000}"/>
    <cellStyle name="Migliaia 57 5" xfId="790" xr:uid="{00000000-0005-0000-0000-0000F3850000}"/>
    <cellStyle name="Migliaia 57 5 2" xfId="19645" xr:uid="{00000000-0005-0000-0000-0000F4850000}"/>
    <cellStyle name="Migliaia 57 5 2 2" xfId="37609" xr:uid="{00000000-0005-0000-0000-0000F5850000}"/>
    <cellStyle name="Migliaia 57 5 3" xfId="11657" xr:uid="{00000000-0005-0000-0000-0000F6850000}"/>
    <cellStyle name="Migliaia 57 5 4" xfId="21720" xr:uid="{00000000-0005-0000-0000-0000F7850000}"/>
    <cellStyle name="Migliaia 57 5 5" xfId="38564" xr:uid="{00000000-0005-0000-0000-0000F8850000}"/>
    <cellStyle name="Migliaia 57 5 6" xfId="39873" xr:uid="{00000000-0005-0000-0000-0000F9850000}"/>
    <cellStyle name="Migliaia 57 5 7" xfId="40359" xr:uid="{00000000-0005-0000-0000-0000FA850000}"/>
    <cellStyle name="Migliaia 57 6" xfId="791" xr:uid="{00000000-0005-0000-0000-0000FB850000}"/>
    <cellStyle name="Migliaia 57 6 2" xfId="11652" xr:uid="{00000000-0005-0000-0000-0000FC850000}"/>
    <cellStyle name="Migliaia 57 6 3" xfId="21721" xr:uid="{00000000-0005-0000-0000-0000FD850000}"/>
    <cellStyle name="Migliaia 57 6 4" xfId="39874" xr:uid="{00000000-0005-0000-0000-0000FE850000}"/>
    <cellStyle name="Migliaia 57 6 5" xfId="40360" xr:uid="{00000000-0005-0000-0000-0000FF850000}"/>
    <cellStyle name="Migliaia 57 7" xfId="12231" xr:uid="{00000000-0005-0000-0000-000000860000}"/>
    <cellStyle name="Migliaia 57 7 2" xfId="30416" xr:uid="{00000000-0005-0000-0000-000001860000}"/>
    <cellStyle name="Migliaia 57 8" xfId="19638" xr:uid="{00000000-0005-0000-0000-000002860000}"/>
    <cellStyle name="Migliaia 57 8 2" xfId="37602" xr:uid="{00000000-0005-0000-0000-000003860000}"/>
    <cellStyle name="Migliaia 57 9" xfId="3411" xr:uid="{00000000-0005-0000-0000-000004860000}"/>
    <cellStyle name="Migliaia 57 9 2" xfId="23411" xr:uid="{00000000-0005-0000-0000-000005860000}"/>
    <cellStyle name="Migliaia 58" xfId="792" xr:uid="{00000000-0005-0000-0000-000006860000}"/>
    <cellStyle name="Migliaia 58 10" xfId="21722" xr:uid="{00000000-0005-0000-0000-000007860000}"/>
    <cellStyle name="Migliaia 58 11" xfId="38565" xr:uid="{00000000-0005-0000-0000-000008860000}"/>
    <cellStyle name="Migliaia 58 12" xfId="39319" xr:uid="{00000000-0005-0000-0000-000009860000}"/>
    <cellStyle name="Migliaia 58 13" xfId="39875" xr:uid="{00000000-0005-0000-0000-00000A860000}"/>
    <cellStyle name="Migliaia 58 14" xfId="40361" xr:uid="{00000000-0005-0000-0000-00000B860000}"/>
    <cellStyle name="Migliaia 58 2" xfId="793" xr:uid="{00000000-0005-0000-0000-00000C860000}"/>
    <cellStyle name="Migliaia 58 2 10" xfId="39876" xr:uid="{00000000-0005-0000-0000-00000D860000}"/>
    <cellStyle name="Migliaia 58 2 11" xfId="40362" xr:uid="{00000000-0005-0000-0000-00000E860000}"/>
    <cellStyle name="Migliaia 58 2 2" xfId="3591" xr:uid="{00000000-0005-0000-0000-00000F860000}"/>
    <cellStyle name="Migliaia 58 2 2 2" xfId="12352" xr:uid="{00000000-0005-0000-0000-000010860000}"/>
    <cellStyle name="Migliaia 58 2 2 2 2" xfId="30522" xr:uid="{00000000-0005-0000-0000-000011860000}"/>
    <cellStyle name="Migliaia 58 2 2 3" xfId="20686" xr:uid="{00000000-0005-0000-0000-000012860000}"/>
    <cellStyle name="Migliaia 58 2 2 3 2" xfId="38003" xr:uid="{00000000-0005-0000-0000-000013860000}"/>
    <cellStyle name="Migliaia 58 2 2 4" xfId="23520" xr:uid="{00000000-0005-0000-0000-000014860000}"/>
    <cellStyle name="Migliaia 58 2 2 5" xfId="38958" xr:uid="{00000000-0005-0000-0000-000015860000}"/>
    <cellStyle name="Migliaia 58 2 2 6" xfId="39436" xr:uid="{00000000-0005-0000-0000-000016860000}"/>
    <cellStyle name="Migliaia 58 2 3" xfId="11659" xr:uid="{00000000-0005-0000-0000-000017860000}"/>
    <cellStyle name="Migliaia 58 2 4" xfId="12236" xr:uid="{00000000-0005-0000-0000-000018860000}"/>
    <cellStyle name="Migliaia 58 2 4 2" xfId="30421" xr:uid="{00000000-0005-0000-0000-000019860000}"/>
    <cellStyle name="Migliaia 58 2 5" xfId="19647" xr:uid="{00000000-0005-0000-0000-00001A860000}"/>
    <cellStyle name="Migliaia 58 2 5 2" xfId="37611" xr:uid="{00000000-0005-0000-0000-00001B860000}"/>
    <cellStyle name="Migliaia 58 2 6" xfId="3416" xr:uid="{00000000-0005-0000-0000-00001C860000}"/>
    <cellStyle name="Migliaia 58 2 6 2" xfId="23416" xr:uid="{00000000-0005-0000-0000-00001D860000}"/>
    <cellStyle name="Migliaia 58 2 7" xfId="21723" xr:uid="{00000000-0005-0000-0000-00001E860000}"/>
    <cellStyle name="Migliaia 58 2 8" xfId="38566" xr:uid="{00000000-0005-0000-0000-00001F860000}"/>
    <cellStyle name="Migliaia 58 2 9" xfId="39320" xr:uid="{00000000-0005-0000-0000-000020860000}"/>
    <cellStyle name="Migliaia 58 3" xfId="794" xr:uid="{00000000-0005-0000-0000-000021860000}"/>
    <cellStyle name="Migliaia 58 3 10" xfId="39877" xr:uid="{00000000-0005-0000-0000-000022860000}"/>
    <cellStyle name="Migliaia 58 3 11" xfId="40363" xr:uid="{00000000-0005-0000-0000-000023860000}"/>
    <cellStyle name="Migliaia 58 3 2" xfId="795" xr:uid="{00000000-0005-0000-0000-000024860000}"/>
    <cellStyle name="Migliaia 58 3 2 10" xfId="40364" xr:uid="{00000000-0005-0000-0000-000025860000}"/>
    <cellStyle name="Migliaia 58 3 2 2" xfId="11661" xr:uid="{00000000-0005-0000-0000-000026860000}"/>
    <cellStyle name="Migliaia 58 3 2 3" xfId="12238" xr:uid="{00000000-0005-0000-0000-000027860000}"/>
    <cellStyle name="Migliaia 58 3 2 3 2" xfId="30423" xr:uid="{00000000-0005-0000-0000-000028860000}"/>
    <cellStyle name="Migliaia 58 3 2 4" xfId="19649" xr:uid="{00000000-0005-0000-0000-000029860000}"/>
    <cellStyle name="Migliaia 58 3 2 4 2" xfId="37613" xr:uid="{00000000-0005-0000-0000-00002A860000}"/>
    <cellStyle name="Migliaia 58 3 2 5" xfId="3418" xr:uid="{00000000-0005-0000-0000-00002B860000}"/>
    <cellStyle name="Migliaia 58 3 2 5 2" xfId="23418" xr:uid="{00000000-0005-0000-0000-00002C860000}"/>
    <cellStyle name="Migliaia 58 3 2 6" xfId="21725" xr:uid="{00000000-0005-0000-0000-00002D860000}"/>
    <cellStyle name="Migliaia 58 3 2 7" xfId="38568" xr:uid="{00000000-0005-0000-0000-00002E860000}"/>
    <cellStyle name="Migliaia 58 3 2 8" xfId="39322" xr:uid="{00000000-0005-0000-0000-00002F860000}"/>
    <cellStyle name="Migliaia 58 3 2 9" xfId="39878" xr:uid="{00000000-0005-0000-0000-000030860000}"/>
    <cellStyle name="Migliaia 58 3 3" xfId="11660" xr:uid="{00000000-0005-0000-0000-000031860000}"/>
    <cellStyle name="Migliaia 58 3 3 2" xfId="20688" xr:uid="{00000000-0005-0000-0000-000032860000}"/>
    <cellStyle name="Migliaia 58 3 3 2 2" xfId="38005" xr:uid="{00000000-0005-0000-0000-000033860000}"/>
    <cellStyle name="Migliaia 58 3 3 2 3" xfId="38960" xr:uid="{00000000-0005-0000-0000-000034860000}"/>
    <cellStyle name="Migliaia 58 3 3 3" xfId="19650" xr:uid="{00000000-0005-0000-0000-000035860000}"/>
    <cellStyle name="Migliaia 58 3 3 3 2" xfId="37614" xr:uid="{00000000-0005-0000-0000-000036860000}"/>
    <cellStyle name="Migliaia 58 3 3 4" xfId="38569" xr:uid="{00000000-0005-0000-0000-000037860000}"/>
    <cellStyle name="Migliaia 58 3 4" xfId="12237" xr:uid="{00000000-0005-0000-0000-000038860000}"/>
    <cellStyle name="Migliaia 58 3 4 2" xfId="20687" xr:uid="{00000000-0005-0000-0000-000039860000}"/>
    <cellStyle name="Migliaia 58 3 4 2 2" xfId="38004" xr:uid="{00000000-0005-0000-0000-00003A860000}"/>
    <cellStyle name="Migliaia 58 3 4 3" xfId="30422" xr:uid="{00000000-0005-0000-0000-00003B860000}"/>
    <cellStyle name="Migliaia 58 3 4 4" xfId="38959" xr:uid="{00000000-0005-0000-0000-00003C860000}"/>
    <cellStyle name="Migliaia 58 3 5" xfId="19648" xr:uid="{00000000-0005-0000-0000-00003D860000}"/>
    <cellStyle name="Migliaia 58 3 5 2" xfId="37612" xr:uid="{00000000-0005-0000-0000-00003E860000}"/>
    <cellStyle name="Migliaia 58 3 6" xfId="3417" xr:uid="{00000000-0005-0000-0000-00003F860000}"/>
    <cellStyle name="Migliaia 58 3 6 2" xfId="23417" xr:uid="{00000000-0005-0000-0000-000040860000}"/>
    <cellStyle name="Migliaia 58 3 7" xfId="21724" xr:uid="{00000000-0005-0000-0000-000041860000}"/>
    <cellStyle name="Migliaia 58 3 8" xfId="38567" xr:uid="{00000000-0005-0000-0000-000042860000}"/>
    <cellStyle name="Migliaia 58 3 9" xfId="39321" xr:uid="{00000000-0005-0000-0000-000043860000}"/>
    <cellStyle name="Migliaia 58 4" xfId="796" xr:uid="{00000000-0005-0000-0000-000044860000}"/>
    <cellStyle name="Migliaia 58 4 2" xfId="19652" xr:uid="{00000000-0005-0000-0000-000045860000}"/>
    <cellStyle name="Migliaia 58 4 2 2" xfId="20690" xr:uid="{00000000-0005-0000-0000-000046860000}"/>
    <cellStyle name="Migliaia 58 4 2 2 2" xfId="38007" xr:uid="{00000000-0005-0000-0000-000047860000}"/>
    <cellStyle name="Migliaia 58 4 2 2 3" xfId="38962" xr:uid="{00000000-0005-0000-0000-000048860000}"/>
    <cellStyle name="Migliaia 58 4 2 3" xfId="37616" xr:uid="{00000000-0005-0000-0000-000049860000}"/>
    <cellStyle name="Migliaia 58 4 2 4" xfId="38571" xr:uid="{00000000-0005-0000-0000-00004A860000}"/>
    <cellStyle name="Migliaia 58 4 3" xfId="20689" xr:uid="{00000000-0005-0000-0000-00004B860000}"/>
    <cellStyle name="Migliaia 58 4 3 2" xfId="38006" xr:uid="{00000000-0005-0000-0000-00004C860000}"/>
    <cellStyle name="Migliaia 58 4 3 3" xfId="38961" xr:uid="{00000000-0005-0000-0000-00004D860000}"/>
    <cellStyle name="Migliaia 58 4 4" xfId="19651" xr:uid="{00000000-0005-0000-0000-00004E860000}"/>
    <cellStyle name="Migliaia 58 4 4 2" xfId="37615" xr:uid="{00000000-0005-0000-0000-00004F860000}"/>
    <cellStyle name="Migliaia 58 4 5" xfId="11662" xr:uid="{00000000-0005-0000-0000-000050860000}"/>
    <cellStyle name="Migliaia 58 4 6" xfId="21726" xr:uid="{00000000-0005-0000-0000-000051860000}"/>
    <cellStyle name="Migliaia 58 4 7" xfId="38570" xr:uid="{00000000-0005-0000-0000-000052860000}"/>
    <cellStyle name="Migliaia 58 4 8" xfId="39879" xr:uid="{00000000-0005-0000-0000-000053860000}"/>
    <cellStyle name="Migliaia 58 4 9" xfId="40365" xr:uid="{00000000-0005-0000-0000-000054860000}"/>
    <cellStyle name="Migliaia 58 5" xfId="797" xr:uid="{00000000-0005-0000-0000-000055860000}"/>
    <cellStyle name="Migliaia 58 5 2" xfId="19653" xr:uid="{00000000-0005-0000-0000-000056860000}"/>
    <cellStyle name="Migliaia 58 5 2 2" xfId="37617" xr:uid="{00000000-0005-0000-0000-000057860000}"/>
    <cellStyle name="Migliaia 58 5 3" xfId="11663" xr:uid="{00000000-0005-0000-0000-000058860000}"/>
    <cellStyle name="Migliaia 58 5 4" xfId="21727" xr:uid="{00000000-0005-0000-0000-000059860000}"/>
    <cellStyle name="Migliaia 58 5 5" xfId="38572" xr:uid="{00000000-0005-0000-0000-00005A860000}"/>
    <cellStyle name="Migliaia 58 5 6" xfId="39880" xr:uid="{00000000-0005-0000-0000-00005B860000}"/>
    <cellStyle name="Migliaia 58 5 7" xfId="40366" xr:uid="{00000000-0005-0000-0000-00005C860000}"/>
    <cellStyle name="Migliaia 58 6" xfId="798" xr:uid="{00000000-0005-0000-0000-00005D860000}"/>
    <cellStyle name="Migliaia 58 6 2" xfId="11658" xr:uid="{00000000-0005-0000-0000-00005E860000}"/>
    <cellStyle name="Migliaia 58 6 3" xfId="21728" xr:uid="{00000000-0005-0000-0000-00005F860000}"/>
    <cellStyle name="Migliaia 58 6 4" xfId="39881" xr:uid="{00000000-0005-0000-0000-000060860000}"/>
    <cellStyle name="Migliaia 58 6 5" xfId="40367" xr:uid="{00000000-0005-0000-0000-000061860000}"/>
    <cellStyle name="Migliaia 58 7" xfId="12235" xr:uid="{00000000-0005-0000-0000-000062860000}"/>
    <cellStyle name="Migliaia 58 7 2" xfId="30420" xr:uid="{00000000-0005-0000-0000-000063860000}"/>
    <cellStyle name="Migliaia 58 8" xfId="19646" xr:uid="{00000000-0005-0000-0000-000064860000}"/>
    <cellStyle name="Migliaia 58 8 2" xfId="37610" xr:uid="{00000000-0005-0000-0000-000065860000}"/>
    <cellStyle name="Migliaia 58 9" xfId="3415" xr:uid="{00000000-0005-0000-0000-000066860000}"/>
    <cellStyle name="Migliaia 58 9 2" xfId="23415" xr:uid="{00000000-0005-0000-0000-000067860000}"/>
    <cellStyle name="Migliaia 59" xfId="799" xr:uid="{00000000-0005-0000-0000-000068860000}"/>
    <cellStyle name="Migliaia 59 10" xfId="21729" xr:uid="{00000000-0005-0000-0000-000069860000}"/>
    <cellStyle name="Migliaia 59 11" xfId="38573" xr:uid="{00000000-0005-0000-0000-00006A860000}"/>
    <cellStyle name="Migliaia 59 12" xfId="39323" xr:uid="{00000000-0005-0000-0000-00006B860000}"/>
    <cellStyle name="Migliaia 59 13" xfId="39882" xr:uid="{00000000-0005-0000-0000-00006C860000}"/>
    <cellStyle name="Migliaia 59 14" xfId="40368" xr:uid="{00000000-0005-0000-0000-00006D860000}"/>
    <cellStyle name="Migliaia 59 2" xfId="800" xr:uid="{00000000-0005-0000-0000-00006E860000}"/>
    <cellStyle name="Migliaia 59 2 10" xfId="39883" xr:uid="{00000000-0005-0000-0000-00006F860000}"/>
    <cellStyle name="Migliaia 59 2 11" xfId="40369" xr:uid="{00000000-0005-0000-0000-000070860000}"/>
    <cellStyle name="Migliaia 59 2 2" xfId="3592" xr:uid="{00000000-0005-0000-0000-000071860000}"/>
    <cellStyle name="Migliaia 59 2 2 2" xfId="12353" xr:uid="{00000000-0005-0000-0000-000072860000}"/>
    <cellStyle name="Migliaia 59 2 2 2 2" xfId="30523" xr:uid="{00000000-0005-0000-0000-000073860000}"/>
    <cellStyle name="Migliaia 59 2 2 3" xfId="20691" xr:uid="{00000000-0005-0000-0000-000074860000}"/>
    <cellStyle name="Migliaia 59 2 2 3 2" xfId="38008" xr:uid="{00000000-0005-0000-0000-000075860000}"/>
    <cellStyle name="Migliaia 59 2 2 4" xfId="23521" xr:uid="{00000000-0005-0000-0000-000076860000}"/>
    <cellStyle name="Migliaia 59 2 2 5" xfId="38963" xr:uid="{00000000-0005-0000-0000-000077860000}"/>
    <cellStyle name="Migliaia 59 2 2 6" xfId="39437" xr:uid="{00000000-0005-0000-0000-000078860000}"/>
    <cellStyle name="Migliaia 59 2 3" xfId="11665" xr:uid="{00000000-0005-0000-0000-000079860000}"/>
    <cellStyle name="Migliaia 59 2 4" xfId="12240" xr:uid="{00000000-0005-0000-0000-00007A860000}"/>
    <cellStyle name="Migliaia 59 2 4 2" xfId="30425" xr:uid="{00000000-0005-0000-0000-00007B860000}"/>
    <cellStyle name="Migliaia 59 2 5" xfId="19655" xr:uid="{00000000-0005-0000-0000-00007C860000}"/>
    <cellStyle name="Migliaia 59 2 5 2" xfId="37619" xr:uid="{00000000-0005-0000-0000-00007D860000}"/>
    <cellStyle name="Migliaia 59 2 6" xfId="3420" xr:uid="{00000000-0005-0000-0000-00007E860000}"/>
    <cellStyle name="Migliaia 59 2 6 2" xfId="23420" xr:uid="{00000000-0005-0000-0000-00007F860000}"/>
    <cellStyle name="Migliaia 59 2 7" xfId="21730" xr:uid="{00000000-0005-0000-0000-000080860000}"/>
    <cellStyle name="Migliaia 59 2 8" xfId="38574" xr:uid="{00000000-0005-0000-0000-000081860000}"/>
    <cellStyle name="Migliaia 59 2 9" xfId="39324" xr:uid="{00000000-0005-0000-0000-000082860000}"/>
    <cellStyle name="Migliaia 59 3" xfId="801" xr:uid="{00000000-0005-0000-0000-000083860000}"/>
    <cellStyle name="Migliaia 59 3 10" xfId="39884" xr:uid="{00000000-0005-0000-0000-000084860000}"/>
    <cellStyle name="Migliaia 59 3 11" xfId="40370" xr:uid="{00000000-0005-0000-0000-000085860000}"/>
    <cellStyle name="Migliaia 59 3 2" xfId="802" xr:uid="{00000000-0005-0000-0000-000086860000}"/>
    <cellStyle name="Migliaia 59 3 2 10" xfId="40371" xr:uid="{00000000-0005-0000-0000-000087860000}"/>
    <cellStyle name="Migliaia 59 3 2 2" xfId="11667" xr:uid="{00000000-0005-0000-0000-000088860000}"/>
    <cellStyle name="Migliaia 59 3 2 3" xfId="12242" xr:uid="{00000000-0005-0000-0000-000089860000}"/>
    <cellStyle name="Migliaia 59 3 2 3 2" xfId="30427" xr:uid="{00000000-0005-0000-0000-00008A860000}"/>
    <cellStyle name="Migliaia 59 3 2 4" xfId="19657" xr:uid="{00000000-0005-0000-0000-00008B860000}"/>
    <cellStyle name="Migliaia 59 3 2 4 2" xfId="37621" xr:uid="{00000000-0005-0000-0000-00008C860000}"/>
    <cellStyle name="Migliaia 59 3 2 5" xfId="3422" xr:uid="{00000000-0005-0000-0000-00008D860000}"/>
    <cellStyle name="Migliaia 59 3 2 5 2" xfId="23422" xr:uid="{00000000-0005-0000-0000-00008E860000}"/>
    <cellStyle name="Migliaia 59 3 2 6" xfId="21732" xr:uid="{00000000-0005-0000-0000-00008F860000}"/>
    <cellStyle name="Migliaia 59 3 2 7" xfId="38576" xr:uid="{00000000-0005-0000-0000-000090860000}"/>
    <cellStyle name="Migliaia 59 3 2 8" xfId="39326" xr:uid="{00000000-0005-0000-0000-000091860000}"/>
    <cellStyle name="Migliaia 59 3 2 9" xfId="39885" xr:uid="{00000000-0005-0000-0000-000092860000}"/>
    <cellStyle name="Migliaia 59 3 3" xfId="11666" xr:uid="{00000000-0005-0000-0000-000093860000}"/>
    <cellStyle name="Migliaia 59 3 3 2" xfId="20693" xr:uid="{00000000-0005-0000-0000-000094860000}"/>
    <cellStyle name="Migliaia 59 3 3 2 2" xfId="38010" xr:uid="{00000000-0005-0000-0000-000095860000}"/>
    <cellStyle name="Migliaia 59 3 3 2 3" xfId="38965" xr:uid="{00000000-0005-0000-0000-000096860000}"/>
    <cellStyle name="Migliaia 59 3 3 3" xfId="19658" xr:uid="{00000000-0005-0000-0000-000097860000}"/>
    <cellStyle name="Migliaia 59 3 3 3 2" xfId="37622" xr:uid="{00000000-0005-0000-0000-000098860000}"/>
    <cellStyle name="Migliaia 59 3 3 4" xfId="38577" xr:uid="{00000000-0005-0000-0000-000099860000}"/>
    <cellStyle name="Migliaia 59 3 4" xfId="12241" xr:uid="{00000000-0005-0000-0000-00009A860000}"/>
    <cellStyle name="Migliaia 59 3 4 2" xfId="20692" xr:uid="{00000000-0005-0000-0000-00009B860000}"/>
    <cellStyle name="Migliaia 59 3 4 2 2" xfId="38009" xr:uid="{00000000-0005-0000-0000-00009C860000}"/>
    <cellStyle name="Migliaia 59 3 4 3" xfId="30426" xr:uid="{00000000-0005-0000-0000-00009D860000}"/>
    <cellStyle name="Migliaia 59 3 4 4" xfId="38964" xr:uid="{00000000-0005-0000-0000-00009E860000}"/>
    <cellStyle name="Migliaia 59 3 5" xfId="19656" xr:uid="{00000000-0005-0000-0000-00009F860000}"/>
    <cellStyle name="Migliaia 59 3 5 2" xfId="37620" xr:uid="{00000000-0005-0000-0000-0000A0860000}"/>
    <cellStyle name="Migliaia 59 3 6" xfId="3421" xr:uid="{00000000-0005-0000-0000-0000A1860000}"/>
    <cellStyle name="Migliaia 59 3 6 2" xfId="23421" xr:uid="{00000000-0005-0000-0000-0000A2860000}"/>
    <cellStyle name="Migliaia 59 3 7" xfId="21731" xr:uid="{00000000-0005-0000-0000-0000A3860000}"/>
    <cellStyle name="Migliaia 59 3 8" xfId="38575" xr:uid="{00000000-0005-0000-0000-0000A4860000}"/>
    <cellStyle name="Migliaia 59 3 9" xfId="39325" xr:uid="{00000000-0005-0000-0000-0000A5860000}"/>
    <cellStyle name="Migliaia 59 4" xfId="803" xr:uid="{00000000-0005-0000-0000-0000A6860000}"/>
    <cellStyle name="Migliaia 59 4 2" xfId="19660" xr:uid="{00000000-0005-0000-0000-0000A7860000}"/>
    <cellStyle name="Migliaia 59 4 2 2" xfId="20695" xr:uid="{00000000-0005-0000-0000-0000A8860000}"/>
    <cellStyle name="Migliaia 59 4 2 2 2" xfId="38012" xr:uid="{00000000-0005-0000-0000-0000A9860000}"/>
    <cellStyle name="Migliaia 59 4 2 2 3" xfId="38967" xr:uid="{00000000-0005-0000-0000-0000AA860000}"/>
    <cellStyle name="Migliaia 59 4 2 3" xfId="37624" xr:uid="{00000000-0005-0000-0000-0000AB860000}"/>
    <cellStyle name="Migliaia 59 4 2 4" xfId="38579" xr:uid="{00000000-0005-0000-0000-0000AC860000}"/>
    <cellStyle name="Migliaia 59 4 3" xfId="20694" xr:uid="{00000000-0005-0000-0000-0000AD860000}"/>
    <cellStyle name="Migliaia 59 4 3 2" xfId="38011" xr:uid="{00000000-0005-0000-0000-0000AE860000}"/>
    <cellStyle name="Migliaia 59 4 3 3" xfId="38966" xr:uid="{00000000-0005-0000-0000-0000AF860000}"/>
    <cellStyle name="Migliaia 59 4 4" xfId="19659" xr:uid="{00000000-0005-0000-0000-0000B0860000}"/>
    <cellStyle name="Migliaia 59 4 4 2" xfId="37623" xr:uid="{00000000-0005-0000-0000-0000B1860000}"/>
    <cellStyle name="Migliaia 59 4 5" xfId="11668" xr:uid="{00000000-0005-0000-0000-0000B2860000}"/>
    <cellStyle name="Migliaia 59 4 6" xfId="21733" xr:uid="{00000000-0005-0000-0000-0000B3860000}"/>
    <cellStyle name="Migliaia 59 4 7" xfId="38578" xr:uid="{00000000-0005-0000-0000-0000B4860000}"/>
    <cellStyle name="Migliaia 59 4 8" xfId="39886" xr:uid="{00000000-0005-0000-0000-0000B5860000}"/>
    <cellStyle name="Migliaia 59 4 9" xfId="40372" xr:uid="{00000000-0005-0000-0000-0000B6860000}"/>
    <cellStyle name="Migliaia 59 5" xfId="804" xr:uid="{00000000-0005-0000-0000-0000B7860000}"/>
    <cellStyle name="Migliaia 59 5 2" xfId="19661" xr:uid="{00000000-0005-0000-0000-0000B8860000}"/>
    <cellStyle name="Migliaia 59 5 2 2" xfId="37625" xr:uid="{00000000-0005-0000-0000-0000B9860000}"/>
    <cellStyle name="Migliaia 59 5 3" xfId="11669" xr:uid="{00000000-0005-0000-0000-0000BA860000}"/>
    <cellStyle name="Migliaia 59 5 4" xfId="21734" xr:uid="{00000000-0005-0000-0000-0000BB860000}"/>
    <cellStyle name="Migliaia 59 5 5" xfId="38580" xr:uid="{00000000-0005-0000-0000-0000BC860000}"/>
    <cellStyle name="Migliaia 59 5 6" xfId="39887" xr:uid="{00000000-0005-0000-0000-0000BD860000}"/>
    <cellStyle name="Migliaia 59 5 7" xfId="40373" xr:uid="{00000000-0005-0000-0000-0000BE860000}"/>
    <cellStyle name="Migliaia 59 6" xfId="805" xr:uid="{00000000-0005-0000-0000-0000BF860000}"/>
    <cellStyle name="Migliaia 59 6 2" xfId="11664" xr:uid="{00000000-0005-0000-0000-0000C0860000}"/>
    <cellStyle name="Migliaia 59 6 3" xfId="21735" xr:uid="{00000000-0005-0000-0000-0000C1860000}"/>
    <cellStyle name="Migliaia 59 6 4" xfId="39888" xr:uid="{00000000-0005-0000-0000-0000C2860000}"/>
    <cellStyle name="Migliaia 59 6 5" xfId="40374" xr:uid="{00000000-0005-0000-0000-0000C3860000}"/>
    <cellStyle name="Migliaia 59 7" xfId="12239" xr:uid="{00000000-0005-0000-0000-0000C4860000}"/>
    <cellStyle name="Migliaia 59 7 2" xfId="30424" xr:uid="{00000000-0005-0000-0000-0000C5860000}"/>
    <cellStyle name="Migliaia 59 8" xfId="19654" xr:uid="{00000000-0005-0000-0000-0000C6860000}"/>
    <cellStyle name="Migliaia 59 8 2" xfId="37618" xr:uid="{00000000-0005-0000-0000-0000C7860000}"/>
    <cellStyle name="Migliaia 59 9" xfId="3419" xr:uid="{00000000-0005-0000-0000-0000C8860000}"/>
    <cellStyle name="Migliaia 59 9 2" xfId="23419" xr:uid="{00000000-0005-0000-0000-0000C9860000}"/>
    <cellStyle name="Migliaia 6" xfId="806" xr:uid="{00000000-0005-0000-0000-0000CA860000}"/>
    <cellStyle name="Migliaia 6 10" xfId="21736" xr:uid="{00000000-0005-0000-0000-0000CB860000}"/>
    <cellStyle name="Migliaia 6 11" xfId="38581" xr:uid="{00000000-0005-0000-0000-0000CC860000}"/>
    <cellStyle name="Migliaia 6 12" xfId="39327" xr:uid="{00000000-0005-0000-0000-0000CD860000}"/>
    <cellStyle name="Migliaia 6 13" xfId="39889" xr:uid="{00000000-0005-0000-0000-0000CE860000}"/>
    <cellStyle name="Migliaia 6 14" xfId="40375" xr:uid="{00000000-0005-0000-0000-0000CF860000}"/>
    <cellStyle name="Migliaia 6 2" xfId="807" xr:uid="{00000000-0005-0000-0000-0000D0860000}"/>
    <cellStyle name="Migliaia 6 2 10" xfId="39890" xr:uid="{00000000-0005-0000-0000-0000D1860000}"/>
    <cellStyle name="Migliaia 6 2 11" xfId="40376" xr:uid="{00000000-0005-0000-0000-0000D2860000}"/>
    <cellStyle name="Migliaia 6 2 2" xfId="3593" xr:uid="{00000000-0005-0000-0000-0000D3860000}"/>
    <cellStyle name="Migliaia 6 2 2 2" xfId="12354" xr:uid="{00000000-0005-0000-0000-0000D4860000}"/>
    <cellStyle name="Migliaia 6 2 2 2 2" xfId="30524" xr:uid="{00000000-0005-0000-0000-0000D5860000}"/>
    <cellStyle name="Migliaia 6 2 2 3" xfId="20696" xr:uid="{00000000-0005-0000-0000-0000D6860000}"/>
    <cellStyle name="Migliaia 6 2 2 3 2" xfId="38013" xr:uid="{00000000-0005-0000-0000-0000D7860000}"/>
    <cellStyle name="Migliaia 6 2 2 4" xfId="23522" xr:uid="{00000000-0005-0000-0000-0000D8860000}"/>
    <cellStyle name="Migliaia 6 2 2 5" xfId="38968" xr:uid="{00000000-0005-0000-0000-0000D9860000}"/>
    <cellStyle name="Migliaia 6 2 2 6" xfId="39438" xr:uid="{00000000-0005-0000-0000-0000DA860000}"/>
    <cellStyle name="Migliaia 6 2 3" xfId="11671" xr:uid="{00000000-0005-0000-0000-0000DB860000}"/>
    <cellStyle name="Migliaia 6 2 4" xfId="12244" xr:uid="{00000000-0005-0000-0000-0000DC860000}"/>
    <cellStyle name="Migliaia 6 2 4 2" xfId="30429" xr:uid="{00000000-0005-0000-0000-0000DD860000}"/>
    <cellStyle name="Migliaia 6 2 5" xfId="19663" xr:uid="{00000000-0005-0000-0000-0000DE860000}"/>
    <cellStyle name="Migliaia 6 2 5 2" xfId="37627" xr:uid="{00000000-0005-0000-0000-0000DF860000}"/>
    <cellStyle name="Migliaia 6 2 6" xfId="3424" xr:uid="{00000000-0005-0000-0000-0000E0860000}"/>
    <cellStyle name="Migliaia 6 2 6 2" xfId="23424" xr:uid="{00000000-0005-0000-0000-0000E1860000}"/>
    <cellStyle name="Migliaia 6 2 7" xfId="21737" xr:uid="{00000000-0005-0000-0000-0000E2860000}"/>
    <cellStyle name="Migliaia 6 2 8" xfId="38582" xr:uid="{00000000-0005-0000-0000-0000E3860000}"/>
    <cellStyle name="Migliaia 6 2 9" xfId="39328" xr:uid="{00000000-0005-0000-0000-0000E4860000}"/>
    <cellStyle name="Migliaia 6 3" xfId="808" xr:uid="{00000000-0005-0000-0000-0000E5860000}"/>
    <cellStyle name="Migliaia 6 3 10" xfId="39891" xr:uid="{00000000-0005-0000-0000-0000E6860000}"/>
    <cellStyle name="Migliaia 6 3 11" xfId="40377" xr:uid="{00000000-0005-0000-0000-0000E7860000}"/>
    <cellStyle name="Migliaia 6 3 2" xfId="809" xr:uid="{00000000-0005-0000-0000-0000E8860000}"/>
    <cellStyle name="Migliaia 6 3 2 10" xfId="40378" xr:uid="{00000000-0005-0000-0000-0000E9860000}"/>
    <cellStyle name="Migliaia 6 3 2 2" xfId="11673" xr:uid="{00000000-0005-0000-0000-0000EA860000}"/>
    <cellStyle name="Migliaia 6 3 2 3" xfId="12246" xr:uid="{00000000-0005-0000-0000-0000EB860000}"/>
    <cellStyle name="Migliaia 6 3 2 3 2" xfId="30431" xr:uid="{00000000-0005-0000-0000-0000EC860000}"/>
    <cellStyle name="Migliaia 6 3 2 4" xfId="19665" xr:uid="{00000000-0005-0000-0000-0000ED860000}"/>
    <cellStyle name="Migliaia 6 3 2 4 2" xfId="37629" xr:uid="{00000000-0005-0000-0000-0000EE860000}"/>
    <cellStyle name="Migliaia 6 3 2 5" xfId="3426" xr:uid="{00000000-0005-0000-0000-0000EF860000}"/>
    <cellStyle name="Migliaia 6 3 2 5 2" xfId="23426" xr:uid="{00000000-0005-0000-0000-0000F0860000}"/>
    <cellStyle name="Migliaia 6 3 2 6" xfId="21739" xr:uid="{00000000-0005-0000-0000-0000F1860000}"/>
    <cellStyle name="Migliaia 6 3 2 7" xfId="38584" xr:uid="{00000000-0005-0000-0000-0000F2860000}"/>
    <cellStyle name="Migliaia 6 3 2 8" xfId="39330" xr:uid="{00000000-0005-0000-0000-0000F3860000}"/>
    <cellStyle name="Migliaia 6 3 2 9" xfId="39892" xr:uid="{00000000-0005-0000-0000-0000F4860000}"/>
    <cellStyle name="Migliaia 6 3 3" xfId="11672" xr:uid="{00000000-0005-0000-0000-0000F5860000}"/>
    <cellStyle name="Migliaia 6 3 3 2" xfId="20698" xr:uid="{00000000-0005-0000-0000-0000F6860000}"/>
    <cellStyle name="Migliaia 6 3 3 2 2" xfId="38015" xr:uid="{00000000-0005-0000-0000-0000F7860000}"/>
    <cellStyle name="Migliaia 6 3 3 2 3" xfId="38970" xr:uid="{00000000-0005-0000-0000-0000F8860000}"/>
    <cellStyle name="Migliaia 6 3 3 3" xfId="19666" xr:uid="{00000000-0005-0000-0000-0000F9860000}"/>
    <cellStyle name="Migliaia 6 3 3 3 2" xfId="37630" xr:uid="{00000000-0005-0000-0000-0000FA860000}"/>
    <cellStyle name="Migliaia 6 3 3 4" xfId="38585" xr:uid="{00000000-0005-0000-0000-0000FB860000}"/>
    <cellStyle name="Migliaia 6 3 4" xfId="12245" xr:uid="{00000000-0005-0000-0000-0000FC860000}"/>
    <cellStyle name="Migliaia 6 3 4 2" xfId="20697" xr:uid="{00000000-0005-0000-0000-0000FD860000}"/>
    <cellStyle name="Migliaia 6 3 4 2 2" xfId="38014" xr:uid="{00000000-0005-0000-0000-0000FE860000}"/>
    <cellStyle name="Migliaia 6 3 4 3" xfId="30430" xr:uid="{00000000-0005-0000-0000-0000FF860000}"/>
    <cellStyle name="Migliaia 6 3 4 4" xfId="38969" xr:uid="{00000000-0005-0000-0000-000000870000}"/>
    <cellStyle name="Migliaia 6 3 5" xfId="19664" xr:uid="{00000000-0005-0000-0000-000001870000}"/>
    <cellStyle name="Migliaia 6 3 5 2" xfId="37628" xr:uid="{00000000-0005-0000-0000-000002870000}"/>
    <cellStyle name="Migliaia 6 3 6" xfId="3425" xr:uid="{00000000-0005-0000-0000-000003870000}"/>
    <cellStyle name="Migliaia 6 3 6 2" xfId="23425" xr:uid="{00000000-0005-0000-0000-000004870000}"/>
    <cellStyle name="Migliaia 6 3 7" xfId="21738" xr:uid="{00000000-0005-0000-0000-000005870000}"/>
    <cellStyle name="Migliaia 6 3 8" xfId="38583" xr:uid="{00000000-0005-0000-0000-000006870000}"/>
    <cellStyle name="Migliaia 6 3 9" xfId="39329" xr:uid="{00000000-0005-0000-0000-000007870000}"/>
    <cellStyle name="Migliaia 6 4" xfId="810" xr:uid="{00000000-0005-0000-0000-000008870000}"/>
    <cellStyle name="Migliaia 6 4 2" xfId="19668" xr:uid="{00000000-0005-0000-0000-000009870000}"/>
    <cellStyle name="Migliaia 6 4 2 2" xfId="20700" xr:uid="{00000000-0005-0000-0000-00000A870000}"/>
    <cellStyle name="Migliaia 6 4 2 2 2" xfId="38017" xr:uid="{00000000-0005-0000-0000-00000B870000}"/>
    <cellStyle name="Migliaia 6 4 2 2 3" xfId="38972" xr:uid="{00000000-0005-0000-0000-00000C870000}"/>
    <cellStyle name="Migliaia 6 4 2 3" xfId="37632" xr:uid="{00000000-0005-0000-0000-00000D870000}"/>
    <cellStyle name="Migliaia 6 4 2 4" xfId="38587" xr:uid="{00000000-0005-0000-0000-00000E870000}"/>
    <cellStyle name="Migliaia 6 4 3" xfId="20699" xr:uid="{00000000-0005-0000-0000-00000F870000}"/>
    <cellStyle name="Migliaia 6 4 3 2" xfId="38016" xr:uid="{00000000-0005-0000-0000-000010870000}"/>
    <cellStyle name="Migliaia 6 4 3 3" xfId="38971" xr:uid="{00000000-0005-0000-0000-000011870000}"/>
    <cellStyle name="Migliaia 6 4 4" xfId="19667" xr:uid="{00000000-0005-0000-0000-000012870000}"/>
    <cellStyle name="Migliaia 6 4 4 2" xfId="37631" xr:uid="{00000000-0005-0000-0000-000013870000}"/>
    <cellStyle name="Migliaia 6 4 5" xfId="11674" xr:uid="{00000000-0005-0000-0000-000014870000}"/>
    <cellStyle name="Migliaia 6 4 6" xfId="21740" xr:uid="{00000000-0005-0000-0000-000015870000}"/>
    <cellStyle name="Migliaia 6 4 7" xfId="38586" xr:uid="{00000000-0005-0000-0000-000016870000}"/>
    <cellStyle name="Migliaia 6 4 8" xfId="39893" xr:uid="{00000000-0005-0000-0000-000017870000}"/>
    <cellStyle name="Migliaia 6 4 9" xfId="40379" xr:uid="{00000000-0005-0000-0000-000018870000}"/>
    <cellStyle name="Migliaia 6 5" xfId="811" xr:uid="{00000000-0005-0000-0000-000019870000}"/>
    <cellStyle name="Migliaia 6 5 2" xfId="19669" xr:uid="{00000000-0005-0000-0000-00001A870000}"/>
    <cellStyle name="Migliaia 6 5 2 2" xfId="37633" xr:uid="{00000000-0005-0000-0000-00001B870000}"/>
    <cellStyle name="Migliaia 6 5 3" xfId="11675" xr:uid="{00000000-0005-0000-0000-00001C870000}"/>
    <cellStyle name="Migliaia 6 5 4" xfId="21741" xr:uid="{00000000-0005-0000-0000-00001D870000}"/>
    <cellStyle name="Migliaia 6 5 5" xfId="38588" xr:uid="{00000000-0005-0000-0000-00001E870000}"/>
    <cellStyle name="Migliaia 6 5 6" xfId="39894" xr:uid="{00000000-0005-0000-0000-00001F870000}"/>
    <cellStyle name="Migliaia 6 5 7" xfId="40380" xr:uid="{00000000-0005-0000-0000-000020870000}"/>
    <cellStyle name="Migliaia 6 6" xfId="812" xr:uid="{00000000-0005-0000-0000-000021870000}"/>
    <cellStyle name="Migliaia 6 6 2" xfId="11670" xr:uid="{00000000-0005-0000-0000-000022870000}"/>
    <cellStyle name="Migliaia 6 6 3" xfId="21742" xr:uid="{00000000-0005-0000-0000-000023870000}"/>
    <cellStyle name="Migliaia 6 6 4" xfId="39895" xr:uid="{00000000-0005-0000-0000-000024870000}"/>
    <cellStyle name="Migliaia 6 6 5" xfId="40381" xr:uid="{00000000-0005-0000-0000-000025870000}"/>
    <cellStyle name="Migliaia 6 7" xfId="12243" xr:uid="{00000000-0005-0000-0000-000026870000}"/>
    <cellStyle name="Migliaia 6 7 2" xfId="30428" xr:uid="{00000000-0005-0000-0000-000027870000}"/>
    <cellStyle name="Migliaia 6 8" xfId="19662" xr:uid="{00000000-0005-0000-0000-000028870000}"/>
    <cellStyle name="Migliaia 6 8 2" xfId="37626" xr:uid="{00000000-0005-0000-0000-000029870000}"/>
    <cellStyle name="Migliaia 6 9" xfId="3423" xr:uid="{00000000-0005-0000-0000-00002A870000}"/>
    <cellStyle name="Migliaia 6 9 2" xfId="23423" xr:uid="{00000000-0005-0000-0000-00002B870000}"/>
    <cellStyle name="Migliaia 60" xfId="813" xr:uid="{00000000-0005-0000-0000-00002C870000}"/>
    <cellStyle name="Migliaia 60 10" xfId="21743" xr:uid="{00000000-0005-0000-0000-00002D870000}"/>
    <cellStyle name="Migliaia 60 11" xfId="38589" xr:uid="{00000000-0005-0000-0000-00002E870000}"/>
    <cellStyle name="Migliaia 60 12" xfId="39331" xr:uid="{00000000-0005-0000-0000-00002F870000}"/>
    <cellStyle name="Migliaia 60 13" xfId="39896" xr:uid="{00000000-0005-0000-0000-000030870000}"/>
    <cellStyle name="Migliaia 60 14" xfId="40382" xr:uid="{00000000-0005-0000-0000-000031870000}"/>
    <cellStyle name="Migliaia 60 2" xfId="814" xr:uid="{00000000-0005-0000-0000-000032870000}"/>
    <cellStyle name="Migliaia 60 2 10" xfId="39897" xr:uid="{00000000-0005-0000-0000-000033870000}"/>
    <cellStyle name="Migliaia 60 2 11" xfId="40383" xr:uid="{00000000-0005-0000-0000-000034870000}"/>
    <cellStyle name="Migliaia 60 2 2" xfId="3594" xr:uid="{00000000-0005-0000-0000-000035870000}"/>
    <cellStyle name="Migliaia 60 2 2 2" xfId="12355" xr:uid="{00000000-0005-0000-0000-000036870000}"/>
    <cellStyle name="Migliaia 60 2 2 2 2" xfId="30525" xr:uid="{00000000-0005-0000-0000-000037870000}"/>
    <cellStyle name="Migliaia 60 2 2 3" xfId="20701" xr:uid="{00000000-0005-0000-0000-000038870000}"/>
    <cellStyle name="Migliaia 60 2 2 3 2" xfId="38018" xr:uid="{00000000-0005-0000-0000-000039870000}"/>
    <cellStyle name="Migliaia 60 2 2 4" xfId="23523" xr:uid="{00000000-0005-0000-0000-00003A870000}"/>
    <cellStyle name="Migliaia 60 2 2 5" xfId="38973" xr:uid="{00000000-0005-0000-0000-00003B870000}"/>
    <cellStyle name="Migliaia 60 2 2 6" xfId="39439" xr:uid="{00000000-0005-0000-0000-00003C870000}"/>
    <cellStyle name="Migliaia 60 2 3" xfId="11677" xr:uid="{00000000-0005-0000-0000-00003D870000}"/>
    <cellStyle name="Migliaia 60 2 4" xfId="12248" xr:uid="{00000000-0005-0000-0000-00003E870000}"/>
    <cellStyle name="Migliaia 60 2 4 2" xfId="30433" xr:uid="{00000000-0005-0000-0000-00003F870000}"/>
    <cellStyle name="Migliaia 60 2 5" xfId="19671" xr:uid="{00000000-0005-0000-0000-000040870000}"/>
    <cellStyle name="Migliaia 60 2 5 2" xfId="37635" xr:uid="{00000000-0005-0000-0000-000041870000}"/>
    <cellStyle name="Migliaia 60 2 6" xfId="3428" xr:uid="{00000000-0005-0000-0000-000042870000}"/>
    <cellStyle name="Migliaia 60 2 6 2" xfId="23428" xr:uid="{00000000-0005-0000-0000-000043870000}"/>
    <cellStyle name="Migliaia 60 2 7" xfId="21744" xr:uid="{00000000-0005-0000-0000-000044870000}"/>
    <cellStyle name="Migliaia 60 2 8" xfId="38590" xr:uid="{00000000-0005-0000-0000-000045870000}"/>
    <cellStyle name="Migliaia 60 2 9" xfId="39332" xr:uid="{00000000-0005-0000-0000-000046870000}"/>
    <cellStyle name="Migliaia 60 3" xfId="815" xr:uid="{00000000-0005-0000-0000-000047870000}"/>
    <cellStyle name="Migliaia 60 3 10" xfId="39898" xr:uid="{00000000-0005-0000-0000-000048870000}"/>
    <cellStyle name="Migliaia 60 3 11" xfId="40384" xr:uid="{00000000-0005-0000-0000-000049870000}"/>
    <cellStyle name="Migliaia 60 3 2" xfId="816" xr:uid="{00000000-0005-0000-0000-00004A870000}"/>
    <cellStyle name="Migliaia 60 3 2 10" xfId="40385" xr:uid="{00000000-0005-0000-0000-00004B870000}"/>
    <cellStyle name="Migliaia 60 3 2 2" xfId="11679" xr:uid="{00000000-0005-0000-0000-00004C870000}"/>
    <cellStyle name="Migliaia 60 3 2 3" xfId="12250" xr:uid="{00000000-0005-0000-0000-00004D870000}"/>
    <cellStyle name="Migliaia 60 3 2 3 2" xfId="30435" xr:uid="{00000000-0005-0000-0000-00004E870000}"/>
    <cellStyle name="Migliaia 60 3 2 4" xfId="19673" xr:uid="{00000000-0005-0000-0000-00004F870000}"/>
    <cellStyle name="Migliaia 60 3 2 4 2" xfId="37637" xr:uid="{00000000-0005-0000-0000-000050870000}"/>
    <cellStyle name="Migliaia 60 3 2 5" xfId="3430" xr:uid="{00000000-0005-0000-0000-000051870000}"/>
    <cellStyle name="Migliaia 60 3 2 5 2" xfId="23430" xr:uid="{00000000-0005-0000-0000-000052870000}"/>
    <cellStyle name="Migliaia 60 3 2 6" xfId="21746" xr:uid="{00000000-0005-0000-0000-000053870000}"/>
    <cellStyle name="Migliaia 60 3 2 7" xfId="38592" xr:uid="{00000000-0005-0000-0000-000054870000}"/>
    <cellStyle name="Migliaia 60 3 2 8" xfId="39334" xr:uid="{00000000-0005-0000-0000-000055870000}"/>
    <cellStyle name="Migliaia 60 3 2 9" xfId="39899" xr:uid="{00000000-0005-0000-0000-000056870000}"/>
    <cellStyle name="Migliaia 60 3 3" xfId="11678" xr:uid="{00000000-0005-0000-0000-000057870000}"/>
    <cellStyle name="Migliaia 60 3 3 2" xfId="20703" xr:uid="{00000000-0005-0000-0000-000058870000}"/>
    <cellStyle name="Migliaia 60 3 3 2 2" xfId="38020" xr:uid="{00000000-0005-0000-0000-000059870000}"/>
    <cellStyle name="Migliaia 60 3 3 2 3" xfId="38975" xr:uid="{00000000-0005-0000-0000-00005A870000}"/>
    <cellStyle name="Migliaia 60 3 3 3" xfId="19674" xr:uid="{00000000-0005-0000-0000-00005B870000}"/>
    <cellStyle name="Migliaia 60 3 3 3 2" xfId="37638" xr:uid="{00000000-0005-0000-0000-00005C870000}"/>
    <cellStyle name="Migliaia 60 3 3 4" xfId="38593" xr:uid="{00000000-0005-0000-0000-00005D870000}"/>
    <cellStyle name="Migliaia 60 3 4" xfId="12249" xr:uid="{00000000-0005-0000-0000-00005E870000}"/>
    <cellStyle name="Migliaia 60 3 4 2" xfId="20702" xr:uid="{00000000-0005-0000-0000-00005F870000}"/>
    <cellStyle name="Migliaia 60 3 4 2 2" xfId="38019" xr:uid="{00000000-0005-0000-0000-000060870000}"/>
    <cellStyle name="Migliaia 60 3 4 3" xfId="30434" xr:uid="{00000000-0005-0000-0000-000061870000}"/>
    <cellStyle name="Migliaia 60 3 4 4" xfId="38974" xr:uid="{00000000-0005-0000-0000-000062870000}"/>
    <cellStyle name="Migliaia 60 3 5" xfId="19672" xr:uid="{00000000-0005-0000-0000-000063870000}"/>
    <cellStyle name="Migliaia 60 3 5 2" xfId="37636" xr:uid="{00000000-0005-0000-0000-000064870000}"/>
    <cellStyle name="Migliaia 60 3 6" xfId="3429" xr:uid="{00000000-0005-0000-0000-000065870000}"/>
    <cellStyle name="Migliaia 60 3 6 2" xfId="23429" xr:uid="{00000000-0005-0000-0000-000066870000}"/>
    <cellStyle name="Migliaia 60 3 7" xfId="21745" xr:uid="{00000000-0005-0000-0000-000067870000}"/>
    <cellStyle name="Migliaia 60 3 8" xfId="38591" xr:uid="{00000000-0005-0000-0000-000068870000}"/>
    <cellStyle name="Migliaia 60 3 9" xfId="39333" xr:uid="{00000000-0005-0000-0000-000069870000}"/>
    <cellStyle name="Migliaia 60 4" xfId="817" xr:uid="{00000000-0005-0000-0000-00006A870000}"/>
    <cellStyle name="Migliaia 60 4 2" xfId="19676" xr:uid="{00000000-0005-0000-0000-00006B870000}"/>
    <cellStyle name="Migliaia 60 4 2 2" xfId="20705" xr:uid="{00000000-0005-0000-0000-00006C870000}"/>
    <cellStyle name="Migliaia 60 4 2 2 2" xfId="38022" xr:uid="{00000000-0005-0000-0000-00006D870000}"/>
    <cellStyle name="Migliaia 60 4 2 2 3" xfId="38977" xr:uid="{00000000-0005-0000-0000-00006E870000}"/>
    <cellStyle name="Migliaia 60 4 2 3" xfId="37640" xr:uid="{00000000-0005-0000-0000-00006F870000}"/>
    <cellStyle name="Migliaia 60 4 2 4" xfId="38595" xr:uid="{00000000-0005-0000-0000-000070870000}"/>
    <cellStyle name="Migliaia 60 4 3" xfId="20704" xr:uid="{00000000-0005-0000-0000-000071870000}"/>
    <cellStyle name="Migliaia 60 4 3 2" xfId="38021" xr:uid="{00000000-0005-0000-0000-000072870000}"/>
    <cellStyle name="Migliaia 60 4 3 3" xfId="38976" xr:uid="{00000000-0005-0000-0000-000073870000}"/>
    <cellStyle name="Migliaia 60 4 4" xfId="19675" xr:uid="{00000000-0005-0000-0000-000074870000}"/>
    <cellStyle name="Migliaia 60 4 4 2" xfId="37639" xr:uid="{00000000-0005-0000-0000-000075870000}"/>
    <cellStyle name="Migliaia 60 4 5" xfId="11680" xr:uid="{00000000-0005-0000-0000-000076870000}"/>
    <cellStyle name="Migliaia 60 4 6" xfId="21747" xr:uid="{00000000-0005-0000-0000-000077870000}"/>
    <cellStyle name="Migliaia 60 4 7" xfId="38594" xr:uid="{00000000-0005-0000-0000-000078870000}"/>
    <cellStyle name="Migliaia 60 4 8" xfId="39900" xr:uid="{00000000-0005-0000-0000-000079870000}"/>
    <cellStyle name="Migliaia 60 4 9" xfId="40386" xr:uid="{00000000-0005-0000-0000-00007A870000}"/>
    <cellStyle name="Migliaia 60 5" xfId="818" xr:uid="{00000000-0005-0000-0000-00007B870000}"/>
    <cellStyle name="Migliaia 60 5 2" xfId="19677" xr:uid="{00000000-0005-0000-0000-00007C870000}"/>
    <cellStyle name="Migliaia 60 5 2 2" xfId="37641" xr:uid="{00000000-0005-0000-0000-00007D870000}"/>
    <cellStyle name="Migliaia 60 5 3" xfId="11681" xr:uid="{00000000-0005-0000-0000-00007E870000}"/>
    <cellStyle name="Migliaia 60 5 4" xfId="21748" xr:uid="{00000000-0005-0000-0000-00007F870000}"/>
    <cellStyle name="Migliaia 60 5 5" xfId="38596" xr:uid="{00000000-0005-0000-0000-000080870000}"/>
    <cellStyle name="Migliaia 60 5 6" xfId="39901" xr:uid="{00000000-0005-0000-0000-000081870000}"/>
    <cellStyle name="Migliaia 60 5 7" xfId="40387" xr:uid="{00000000-0005-0000-0000-000082870000}"/>
    <cellStyle name="Migliaia 60 6" xfId="819" xr:uid="{00000000-0005-0000-0000-000083870000}"/>
    <cellStyle name="Migliaia 60 6 2" xfId="11676" xr:uid="{00000000-0005-0000-0000-000084870000}"/>
    <cellStyle name="Migliaia 60 6 3" xfId="21749" xr:uid="{00000000-0005-0000-0000-000085870000}"/>
    <cellStyle name="Migliaia 60 6 4" xfId="39902" xr:uid="{00000000-0005-0000-0000-000086870000}"/>
    <cellStyle name="Migliaia 60 6 5" xfId="40388" xr:uid="{00000000-0005-0000-0000-000087870000}"/>
    <cellStyle name="Migliaia 60 7" xfId="12247" xr:uid="{00000000-0005-0000-0000-000088870000}"/>
    <cellStyle name="Migliaia 60 7 2" xfId="30432" xr:uid="{00000000-0005-0000-0000-000089870000}"/>
    <cellStyle name="Migliaia 60 8" xfId="19670" xr:uid="{00000000-0005-0000-0000-00008A870000}"/>
    <cellStyle name="Migliaia 60 8 2" xfId="37634" xr:uid="{00000000-0005-0000-0000-00008B870000}"/>
    <cellStyle name="Migliaia 60 9" xfId="3427" xr:uid="{00000000-0005-0000-0000-00008C870000}"/>
    <cellStyle name="Migliaia 60 9 2" xfId="23427" xr:uid="{00000000-0005-0000-0000-00008D870000}"/>
    <cellStyle name="Migliaia 61" xfId="820" xr:uid="{00000000-0005-0000-0000-00008E870000}"/>
    <cellStyle name="Migliaia 61 10" xfId="21750" xr:uid="{00000000-0005-0000-0000-00008F870000}"/>
    <cellStyle name="Migliaia 61 11" xfId="38597" xr:uid="{00000000-0005-0000-0000-000090870000}"/>
    <cellStyle name="Migliaia 61 12" xfId="39335" xr:uid="{00000000-0005-0000-0000-000091870000}"/>
    <cellStyle name="Migliaia 61 13" xfId="39903" xr:uid="{00000000-0005-0000-0000-000092870000}"/>
    <cellStyle name="Migliaia 61 14" xfId="40389" xr:uid="{00000000-0005-0000-0000-000093870000}"/>
    <cellStyle name="Migliaia 61 2" xfId="821" xr:uid="{00000000-0005-0000-0000-000094870000}"/>
    <cellStyle name="Migliaia 61 2 10" xfId="39904" xr:uid="{00000000-0005-0000-0000-000095870000}"/>
    <cellStyle name="Migliaia 61 2 11" xfId="40390" xr:uid="{00000000-0005-0000-0000-000096870000}"/>
    <cellStyle name="Migliaia 61 2 2" xfId="3595" xr:uid="{00000000-0005-0000-0000-000097870000}"/>
    <cellStyle name="Migliaia 61 2 2 2" xfId="12356" xr:uid="{00000000-0005-0000-0000-000098870000}"/>
    <cellStyle name="Migliaia 61 2 2 2 2" xfId="30526" xr:uid="{00000000-0005-0000-0000-000099870000}"/>
    <cellStyle name="Migliaia 61 2 2 3" xfId="20706" xr:uid="{00000000-0005-0000-0000-00009A870000}"/>
    <cellStyle name="Migliaia 61 2 2 3 2" xfId="38023" xr:uid="{00000000-0005-0000-0000-00009B870000}"/>
    <cellStyle name="Migliaia 61 2 2 4" xfId="23524" xr:uid="{00000000-0005-0000-0000-00009C870000}"/>
    <cellStyle name="Migliaia 61 2 2 5" xfId="38978" xr:uid="{00000000-0005-0000-0000-00009D870000}"/>
    <cellStyle name="Migliaia 61 2 2 6" xfId="39440" xr:uid="{00000000-0005-0000-0000-00009E870000}"/>
    <cellStyle name="Migliaia 61 2 3" xfId="11683" xr:uid="{00000000-0005-0000-0000-00009F870000}"/>
    <cellStyle name="Migliaia 61 2 4" xfId="12252" xr:uid="{00000000-0005-0000-0000-0000A0870000}"/>
    <cellStyle name="Migliaia 61 2 4 2" xfId="30437" xr:uid="{00000000-0005-0000-0000-0000A1870000}"/>
    <cellStyle name="Migliaia 61 2 5" xfId="19679" xr:uid="{00000000-0005-0000-0000-0000A2870000}"/>
    <cellStyle name="Migliaia 61 2 5 2" xfId="37643" xr:uid="{00000000-0005-0000-0000-0000A3870000}"/>
    <cellStyle name="Migliaia 61 2 6" xfId="3432" xr:uid="{00000000-0005-0000-0000-0000A4870000}"/>
    <cellStyle name="Migliaia 61 2 6 2" xfId="23432" xr:uid="{00000000-0005-0000-0000-0000A5870000}"/>
    <cellStyle name="Migliaia 61 2 7" xfId="21751" xr:uid="{00000000-0005-0000-0000-0000A6870000}"/>
    <cellStyle name="Migliaia 61 2 8" xfId="38598" xr:uid="{00000000-0005-0000-0000-0000A7870000}"/>
    <cellStyle name="Migliaia 61 2 9" xfId="39336" xr:uid="{00000000-0005-0000-0000-0000A8870000}"/>
    <cellStyle name="Migliaia 61 3" xfId="822" xr:uid="{00000000-0005-0000-0000-0000A9870000}"/>
    <cellStyle name="Migliaia 61 3 10" xfId="39905" xr:uid="{00000000-0005-0000-0000-0000AA870000}"/>
    <cellStyle name="Migliaia 61 3 11" xfId="40391" xr:uid="{00000000-0005-0000-0000-0000AB870000}"/>
    <cellStyle name="Migliaia 61 3 2" xfId="823" xr:uid="{00000000-0005-0000-0000-0000AC870000}"/>
    <cellStyle name="Migliaia 61 3 2 10" xfId="40392" xr:uid="{00000000-0005-0000-0000-0000AD870000}"/>
    <cellStyle name="Migliaia 61 3 2 2" xfId="11685" xr:uid="{00000000-0005-0000-0000-0000AE870000}"/>
    <cellStyle name="Migliaia 61 3 2 3" xfId="12254" xr:uid="{00000000-0005-0000-0000-0000AF870000}"/>
    <cellStyle name="Migliaia 61 3 2 3 2" xfId="30439" xr:uid="{00000000-0005-0000-0000-0000B0870000}"/>
    <cellStyle name="Migliaia 61 3 2 4" xfId="19681" xr:uid="{00000000-0005-0000-0000-0000B1870000}"/>
    <cellStyle name="Migliaia 61 3 2 4 2" xfId="37645" xr:uid="{00000000-0005-0000-0000-0000B2870000}"/>
    <cellStyle name="Migliaia 61 3 2 5" xfId="3434" xr:uid="{00000000-0005-0000-0000-0000B3870000}"/>
    <cellStyle name="Migliaia 61 3 2 5 2" xfId="23434" xr:uid="{00000000-0005-0000-0000-0000B4870000}"/>
    <cellStyle name="Migliaia 61 3 2 6" xfId="21753" xr:uid="{00000000-0005-0000-0000-0000B5870000}"/>
    <cellStyle name="Migliaia 61 3 2 7" xfId="38600" xr:uid="{00000000-0005-0000-0000-0000B6870000}"/>
    <cellStyle name="Migliaia 61 3 2 8" xfId="39338" xr:uid="{00000000-0005-0000-0000-0000B7870000}"/>
    <cellStyle name="Migliaia 61 3 2 9" xfId="39906" xr:uid="{00000000-0005-0000-0000-0000B8870000}"/>
    <cellStyle name="Migliaia 61 3 3" xfId="11684" xr:uid="{00000000-0005-0000-0000-0000B9870000}"/>
    <cellStyle name="Migliaia 61 3 3 2" xfId="20708" xr:uid="{00000000-0005-0000-0000-0000BA870000}"/>
    <cellStyle name="Migliaia 61 3 3 2 2" xfId="38025" xr:uid="{00000000-0005-0000-0000-0000BB870000}"/>
    <cellStyle name="Migliaia 61 3 3 2 3" xfId="38980" xr:uid="{00000000-0005-0000-0000-0000BC870000}"/>
    <cellStyle name="Migliaia 61 3 3 3" xfId="19682" xr:uid="{00000000-0005-0000-0000-0000BD870000}"/>
    <cellStyle name="Migliaia 61 3 3 3 2" xfId="37646" xr:uid="{00000000-0005-0000-0000-0000BE870000}"/>
    <cellStyle name="Migliaia 61 3 3 4" xfId="38601" xr:uid="{00000000-0005-0000-0000-0000BF870000}"/>
    <cellStyle name="Migliaia 61 3 4" xfId="12253" xr:uid="{00000000-0005-0000-0000-0000C0870000}"/>
    <cellStyle name="Migliaia 61 3 4 2" xfId="20707" xr:uid="{00000000-0005-0000-0000-0000C1870000}"/>
    <cellStyle name="Migliaia 61 3 4 2 2" xfId="38024" xr:uid="{00000000-0005-0000-0000-0000C2870000}"/>
    <cellStyle name="Migliaia 61 3 4 3" xfId="30438" xr:uid="{00000000-0005-0000-0000-0000C3870000}"/>
    <cellStyle name="Migliaia 61 3 4 4" xfId="38979" xr:uid="{00000000-0005-0000-0000-0000C4870000}"/>
    <cellStyle name="Migliaia 61 3 5" xfId="19680" xr:uid="{00000000-0005-0000-0000-0000C5870000}"/>
    <cellStyle name="Migliaia 61 3 5 2" xfId="37644" xr:uid="{00000000-0005-0000-0000-0000C6870000}"/>
    <cellStyle name="Migliaia 61 3 6" xfId="3433" xr:uid="{00000000-0005-0000-0000-0000C7870000}"/>
    <cellStyle name="Migliaia 61 3 6 2" xfId="23433" xr:uid="{00000000-0005-0000-0000-0000C8870000}"/>
    <cellStyle name="Migliaia 61 3 7" xfId="21752" xr:uid="{00000000-0005-0000-0000-0000C9870000}"/>
    <cellStyle name="Migliaia 61 3 8" xfId="38599" xr:uid="{00000000-0005-0000-0000-0000CA870000}"/>
    <cellStyle name="Migliaia 61 3 9" xfId="39337" xr:uid="{00000000-0005-0000-0000-0000CB870000}"/>
    <cellStyle name="Migliaia 61 4" xfId="824" xr:uid="{00000000-0005-0000-0000-0000CC870000}"/>
    <cellStyle name="Migliaia 61 4 2" xfId="19684" xr:uid="{00000000-0005-0000-0000-0000CD870000}"/>
    <cellStyle name="Migliaia 61 4 2 2" xfId="20710" xr:uid="{00000000-0005-0000-0000-0000CE870000}"/>
    <cellStyle name="Migliaia 61 4 2 2 2" xfId="38027" xr:uid="{00000000-0005-0000-0000-0000CF870000}"/>
    <cellStyle name="Migliaia 61 4 2 2 3" xfId="38982" xr:uid="{00000000-0005-0000-0000-0000D0870000}"/>
    <cellStyle name="Migliaia 61 4 2 3" xfId="37648" xr:uid="{00000000-0005-0000-0000-0000D1870000}"/>
    <cellStyle name="Migliaia 61 4 2 4" xfId="38603" xr:uid="{00000000-0005-0000-0000-0000D2870000}"/>
    <cellStyle name="Migliaia 61 4 3" xfId="20709" xr:uid="{00000000-0005-0000-0000-0000D3870000}"/>
    <cellStyle name="Migliaia 61 4 3 2" xfId="38026" xr:uid="{00000000-0005-0000-0000-0000D4870000}"/>
    <cellStyle name="Migliaia 61 4 3 3" xfId="38981" xr:uid="{00000000-0005-0000-0000-0000D5870000}"/>
    <cellStyle name="Migliaia 61 4 4" xfId="19683" xr:uid="{00000000-0005-0000-0000-0000D6870000}"/>
    <cellStyle name="Migliaia 61 4 4 2" xfId="37647" xr:uid="{00000000-0005-0000-0000-0000D7870000}"/>
    <cellStyle name="Migliaia 61 4 5" xfId="11686" xr:uid="{00000000-0005-0000-0000-0000D8870000}"/>
    <cellStyle name="Migliaia 61 4 6" xfId="21754" xr:uid="{00000000-0005-0000-0000-0000D9870000}"/>
    <cellStyle name="Migliaia 61 4 7" xfId="38602" xr:uid="{00000000-0005-0000-0000-0000DA870000}"/>
    <cellStyle name="Migliaia 61 4 8" xfId="39907" xr:uid="{00000000-0005-0000-0000-0000DB870000}"/>
    <cellStyle name="Migliaia 61 4 9" xfId="40393" xr:uid="{00000000-0005-0000-0000-0000DC870000}"/>
    <cellStyle name="Migliaia 61 5" xfId="825" xr:uid="{00000000-0005-0000-0000-0000DD870000}"/>
    <cellStyle name="Migliaia 61 5 2" xfId="19685" xr:uid="{00000000-0005-0000-0000-0000DE870000}"/>
    <cellStyle name="Migliaia 61 5 2 2" xfId="37649" xr:uid="{00000000-0005-0000-0000-0000DF870000}"/>
    <cellStyle name="Migliaia 61 5 3" xfId="11687" xr:uid="{00000000-0005-0000-0000-0000E0870000}"/>
    <cellStyle name="Migliaia 61 5 4" xfId="21755" xr:uid="{00000000-0005-0000-0000-0000E1870000}"/>
    <cellStyle name="Migliaia 61 5 5" xfId="38604" xr:uid="{00000000-0005-0000-0000-0000E2870000}"/>
    <cellStyle name="Migliaia 61 5 6" xfId="39908" xr:uid="{00000000-0005-0000-0000-0000E3870000}"/>
    <cellStyle name="Migliaia 61 5 7" xfId="40394" xr:uid="{00000000-0005-0000-0000-0000E4870000}"/>
    <cellStyle name="Migliaia 61 6" xfId="826" xr:uid="{00000000-0005-0000-0000-0000E5870000}"/>
    <cellStyle name="Migliaia 61 6 2" xfId="11682" xr:uid="{00000000-0005-0000-0000-0000E6870000}"/>
    <cellStyle name="Migliaia 61 6 3" xfId="21756" xr:uid="{00000000-0005-0000-0000-0000E7870000}"/>
    <cellStyle name="Migliaia 61 6 4" xfId="39909" xr:uid="{00000000-0005-0000-0000-0000E8870000}"/>
    <cellStyle name="Migliaia 61 6 5" xfId="40395" xr:uid="{00000000-0005-0000-0000-0000E9870000}"/>
    <cellStyle name="Migliaia 61 7" xfId="12251" xr:uid="{00000000-0005-0000-0000-0000EA870000}"/>
    <cellStyle name="Migliaia 61 7 2" xfId="30436" xr:uid="{00000000-0005-0000-0000-0000EB870000}"/>
    <cellStyle name="Migliaia 61 8" xfId="19678" xr:uid="{00000000-0005-0000-0000-0000EC870000}"/>
    <cellStyle name="Migliaia 61 8 2" xfId="37642" xr:uid="{00000000-0005-0000-0000-0000ED870000}"/>
    <cellStyle name="Migliaia 61 9" xfId="3431" xr:uid="{00000000-0005-0000-0000-0000EE870000}"/>
    <cellStyle name="Migliaia 61 9 2" xfId="23431" xr:uid="{00000000-0005-0000-0000-0000EF870000}"/>
    <cellStyle name="Migliaia 7" xfId="827" xr:uid="{00000000-0005-0000-0000-0000F0870000}"/>
    <cellStyle name="Migliaia 7 10" xfId="21757" xr:uid="{00000000-0005-0000-0000-0000F1870000}"/>
    <cellStyle name="Migliaia 7 11" xfId="38605" xr:uid="{00000000-0005-0000-0000-0000F2870000}"/>
    <cellStyle name="Migliaia 7 12" xfId="39339" xr:uid="{00000000-0005-0000-0000-0000F3870000}"/>
    <cellStyle name="Migliaia 7 13" xfId="39910" xr:uid="{00000000-0005-0000-0000-0000F4870000}"/>
    <cellStyle name="Migliaia 7 14" xfId="40396" xr:uid="{00000000-0005-0000-0000-0000F5870000}"/>
    <cellStyle name="Migliaia 7 2" xfId="828" xr:uid="{00000000-0005-0000-0000-0000F6870000}"/>
    <cellStyle name="Migliaia 7 2 10" xfId="39911" xr:uid="{00000000-0005-0000-0000-0000F7870000}"/>
    <cellStyle name="Migliaia 7 2 11" xfId="40397" xr:uid="{00000000-0005-0000-0000-0000F8870000}"/>
    <cellStyle name="Migliaia 7 2 2" xfId="3596" xr:uid="{00000000-0005-0000-0000-0000F9870000}"/>
    <cellStyle name="Migliaia 7 2 2 2" xfId="12357" xr:uid="{00000000-0005-0000-0000-0000FA870000}"/>
    <cellStyle name="Migliaia 7 2 2 2 2" xfId="30527" xr:uid="{00000000-0005-0000-0000-0000FB870000}"/>
    <cellStyle name="Migliaia 7 2 2 3" xfId="20711" xr:uid="{00000000-0005-0000-0000-0000FC870000}"/>
    <cellStyle name="Migliaia 7 2 2 3 2" xfId="38028" xr:uid="{00000000-0005-0000-0000-0000FD870000}"/>
    <cellStyle name="Migliaia 7 2 2 4" xfId="23525" xr:uid="{00000000-0005-0000-0000-0000FE870000}"/>
    <cellStyle name="Migliaia 7 2 2 5" xfId="38983" xr:uid="{00000000-0005-0000-0000-0000FF870000}"/>
    <cellStyle name="Migliaia 7 2 2 6" xfId="39441" xr:uid="{00000000-0005-0000-0000-000000880000}"/>
    <cellStyle name="Migliaia 7 2 3" xfId="11689" xr:uid="{00000000-0005-0000-0000-000001880000}"/>
    <cellStyle name="Migliaia 7 2 4" xfId="12256" xr:uid="{00000000-0005-0000-0000-000002880000}"/>
    <cellStyle name="Migliaia 7 2 4 2" xfId="30441" xr:uid="{00000000-0005-0000-0000-000003880000}"/>
    <cellStyle name="Migliaia 7 2 5" xfId="19687" xr:uid="{00000000-0005-0000-0000-000004880000}"/>
    <cellStyle name="Migliaia 7 2 5 2" xfId="37651" xr:uid="{00000000-0005-0000-0000-000005880000}"/>
    <cellStyle name="Migliaia 7 2 6" xfId="3436" xr:uid="{00000000-0005-0000-0000-000006880000}"/>
    <cellStyle name="Migliaia 7 2 6 2" xfId="23436" xr:uid="{00000000-0005-0000-0000-000007880000}"/>
    <cellStyle name="Migliaia 7 2 7" xfId="21758" xr:uid="{00000000-0005-0000-0000-000008880000}"/>
    <cellStyle name="Migliaia 7 2 8" xfId="38606" xr:uid="{00000000-0005-0000-0000-000009880000}"/>
    <cellStyle name="Migliaia 7 2 9" xfId="39340" xr:uid="{00000000-0005-0000-0000-00000A880000}"/>
    <cellStyle name="Migliaia 7 3" xfId="829" xr:uid="{00000000-0005-0000-0000-00000B880000}"/>
    <cellStyle name="Migliaia 7 3 10" xfId="39912" xr:uid="{00000000-0005-0000-0000-00000C880000}"/>
    <cellStyle name="Migliaia 7 3 11" xfId="40398" xr:uid="{00000000-0005-0000-0000-00000D880000}"/>
    <cellStyle name="Migliaia 7 3 2" xfId="830" xr:uid="{00000000-0005-0000-0000-00000E880000}"/>
    <cellStyle name="Migliaia 7 3 2 10" xfId="40399" xr:uid="{00000000-0005-0000-0000-00000F880000}"/>
    <cellStyle name="Migliaia 7 3 2 2" xfId="11691" xr:uid="{00000000-0005-0000-0000-000010880000}"/>
    <cellStyle name="Migliaia 7 3 2 3" xfId="12258" xr:uid="{00000000-0005-0000-0000-000011880000}"/>
    <cellStyle name="Migliaia 7 3 2 3 2" xfId="30443" xr:uid="{00000000-0005-0000-0000-000012880000}"/>
    <cellStyle name="Migliaia 7 3 2 4" xfId="19689" xr:uid="{00000000-0005-0000-0000-000013880000}"/>
    <cellStyle name="Migliaia 7 3 2 4 2" xfId="37653" xr:uid="{00000000-0005-0000-0000-000014880000}"/>
    <cellStyle name="Migliaia 7 3 2 5" xfId="3438" xr:uid="{00000000-0005-0000-0000-000015880000}"/>
    <cellStyle name="Migliaia 7 3 2 5 2" xfId="23438" xr:uid="{00000000-0005-0000-0000-000016880000}"/>
    <cellStyle name="Migliaia 7 3 2 6" xfId="21760" xr:uid="{00000000-0005-0000-0000-000017880000}"/>
    <cellStyle name="Migliaia 7 3 2 7" xfId="38608" xr:uid="{00000000-0005-0000-0000-000018880000}"/>
    <cellStyle name="Migliaia 7 3 2 8" xfId="39342" xr:uid="{00000000-0005-0000-0000-000019880000}"/>
    <cellStyle name="Migliaia 7 3 2 9" xfId="39913" xr:uid="{00000000-0005-0000-0000-00001A880000}"/>
    <cellStyle name="Migliaia 7 3 3" xfId="11690" xr:uid="{00000000-0005-0000-0000-00001B880000}"/>
    <cellStyle name="Migliaia 7 3 3 2" xfId="20713" xr:uid="{00000000-0005-0000-0000-00001C880000}"/>
    <cellStyle name="Migliaia 7 3 3 2 2" xfId="38030" xr:uid="{00000000-0005-0000-0000-00001D880000}"/>
    <cellStyle name="Migliaia 7 3 3 2 3" xfId="38985" xr:uid="{00000000-0005-0000-0000-00001E880000}"/>
    <cellStyle name="Migliaia 7 3 3 3" xfId="19690" xr:uid="{00000000-0005-0000-0000-00001F880000}"/>
    <cellStyle name="Migliaia 7 3 3 3 2" xfId="37654" xr:uid="{00000000-0005-0000-0000-000020880000}"/>
    <cellStyle name="Migliaia 7 3 3 4" xfId="38609" xr:uid="{00000000-0005-0000-0000-000021880000}"/>
    <cellStyle name="Migliaia 7 3 4" xfId="12257" xr:uid="{00000000-0005-0000-0000-000022880000}"/>
    <cellStyle name="Migliaia 7 3 4 2" xfId="20712" xr:uid="{00000000-0005-0000-0000-000023880000}"/>
    <cellStyle name="Migliaia 7 3 4 2 2" xfId="38029" xr:uid="{00000000-0005-0000-0000-000024880000}"/>
    <cellStyle name="Migliaia 7 3 4 3" xfId="30442" xr:uid="{00000000-0005-0000-0000-000025880000}"/>
    <cellStyle name="Migliaia 7 3 4 4" xfId="38984" xr:uid="{00000000-0005-0000-0000-000026880000}"/>
    <cellStyle name="Migliaia 7 3 5" xfId="19688" xr:uid="{00000000-0005-0000-0000-000027880000}"/>
    <cellStyle name="Migliaia 7 3 5 2" xfId="37652" xr:uid="{00000000-0005-0000-0000-000028880000}"/>
    <cellStyle name="Migliaia 7 3 6" xfId="3437" xr:uid="{00000000-0005-0000-0000-000029880000}"/>
    <cellStyle name="Migliaia 7 3 6 2" xfId="23437" xr:uid="{00000000-0005-0000-0000-00002A880000}"/>
    <cellStyle name="Migliaia 7 3 7" xfId="21759" xr:uid="{00000000-0005-0000-0000-00002B880000}"/>
    <cellStyle name="Migliaia 7 3 8" xfId="38607" xr:uid="{00000000-0005-0000-0000-00002C880000}"/>
    <cellStyle name="Migliaia 7 3 9" xfId="39341" xr:uid="{00000000-0005-0000-0000-00002D880000}"/>
    <cellStyle name="Migliaia 7 4" xfId="831" xr:uid="{00000000-0005-0000-0000-00002E880000}"/>
    <cellStyle name="Migliaia 7 4 2" xfId="19692" xr:uid="{00000000-0005-0000-0000-00002F880000}"/>
    <cellStyle name="Migliaia 7 4 2 2" xfId="20715" xr:uid="{00000000-0005-0000-0000-000030880000}"/>
    <cellStyle name="Migliaia 7 4 2 2 2" xfId="38032" xr:uid="{00000000-0005-0000-0000-000031880000}"/>
    <cellStyle name="Migliaia 7 4 2 2 3" xfId="38987" xr:uid="{00000000-0005-0000-0000-000032880000}"/>
    <cellStyle name="Migliaia 7 4 2 3" xfId="37656" xr:uid="{00000000-0005-0000-0000-000033880000}"/>
    <cellStyle name="Migliaia 7 4 2 4" xfId="38611" xr:uid="{00000000-0005-0000-0000-000034880000}"/>
    <cellStyle name="Migliaia 7 4 3" xfId="20714" xr:uid="{00000000-0005-0000-0000-000035880000}"/>
    <cellStyle name="Migliaia 7 4 3 2" xfId="38031" xr:uid="{00000000-0005-0000-0000-000036880000}"/>
    <cellStyle name="Migliaia 7 4 3 3" xfId="38986" xr:uid="{00000000-0005-0000-0000-000037880000}"/>
    <cellStyle name="Migliaia 7 4 4" xfId="19691" xr:uid="{00000000-0005-0000-0000-000038880000}"/>
    <cellStyle name="Migliaia 7 4 4 2" xfId="37655" xr:uid="{00000000-0005-0000-0000-000039880000}"/>
    <cellStyle name="Migliaia 7 4 5" xfId="11692" xr:uid="{00000000-0005-0000-0000-00003A880000}"/>
    <cellStyle name="Migliaia 7 4 6" xfId="21761" xr:uid="{00000000-0005-0000-0000-00003B880000}"/>
    <cellStyle name="Migliaia 7 4 7" xfId="38610" xr:uid="{00000000-0005-0000-0000-00003C880000}"/>
    <cellStyle name="Migliaia 7 4 8" xfId="39914" xr:uid="{00000000-0005-0000-0000-00003D880000}"/>
    <cellStyle name="Migliaia 7 4 9" xfId="40400" xr:uid="{00000000-0005-0000-0000-00003E880000}"/>
    <cellStyle name="Migliaia 7 5" xfId="832" xr:uid="{00000000-0005-0000-0000-00003F880000}"/>
    <cellStyle name="Migliaia 7 5 2" xfId="19693" xr:uid="{00000000-0005-0000-0000-000040880000}"/>
    <cellStyle name="Migliaia 7 5 2 2" xfId="37657" xr:uid="{00000000-0005-0000-0000-000041880000}"/>
    <cellStyle name="Migliaia 7 5 3" xfId="11693" xr:uid="{00000000-0005-0000-0000-000042880000}"/>
    <cellStyle name="Migliaia 7 5 4" xfId="21762" xr:uid="{00000000-0005-0000-0000-000043880000}"/>
    <cellStyle name="Migliaia 7 5 5" xfId="38612" xr:uid="{00000000-0005-0000-0000-000044880000}"/>
    <cellStyle name="Migliaia 7 5 6" xfId="39915" xr:uid="{00000000-0005-0000-0000-000045880000}"/>
    <cellStyle name="Migliaia 7 5 7" xfId="40401" xr:uid="{00000000-0005-0000-0000-000046880000}"/>
    <cellStyle name="Migliaia 7 6" xfId="833" xr:uid="{00000000-0005-0000-0000-000047880000}"/>
    <cellStyle name="Migliaia 7 6 2" xfId="11688" xr:uid="{00000000-0005-0000-0000-000048880000}"/>
    <cellStyle name="Migliaia 7 6 3" xfId="21763" xr:uid="{00000000-0005-0000-0000-000049880000}"/>
    <cellStyle name="Migliaia 7 6 4" xfId="39916" xr:uid="{00000000-0005-0000-0000-00004A880000}"/>
    <cellStyle name="Migliaia 7 6 5" xfId="40402" xr:uid="{00000000-0005-0000-0000-00004B880000}"/>
    <cellStyle name="Migliaia 7 7" xfId="12255" xr:uid="{00000000-0005-0000-0000-00004C880000}"/>
    <cellStyle name="Migliaia 7 7 2" xfId="30440" xr:uid="{00000000-0005-0000-0000-00004D880000}"/>
    <cellStyle name="Migliaia 7 8" xfId="19686" xr:uid="{00000000-0005-0000-0000-00004E880000}"/>
    <cellStyle name="Migliaia 7 8 2" xfId="37650" xr:uid="{00000000-0005-0000-0000-00004F880000}"/>
    <cellStyle name="Migliaia 7 9" xfId="3435" xr:uid="{00000000-0005-0000-0000-000050880000}"/>
    <cellStyle name="Migliaia 7 9 2" xfId="23435" xr:uid="{00000000-0005-0000-0000-000051880000}"/>
    <cellStyle name="Migliaia 8" xfId="834" xr:uid="{00000000-0005-0000-0000-000052880000}"/>
    <cellStyle name="Migliaia 8 10" xfId="21764" xr:uid="{00000000-0005-0000-0000-000053880000}"/>
    <cellStyle name="Migliaia 8 11" xfId="38613" xr:uid="{00000000-0005-0000-0000-000054880000}"/>
    <cellStyle name="Migliaia 8 12" xfId="39343" xr:uid="{00000000-0005-0000-0000-000055880000}"/>
    <cellStyle name="Migliaia 8 13" xfId="39917" xr:uid="{00000000-0005-0000-0000-000056880000}"/>
    <cellStyle name="Migliaia 8 14" xfId="40403" xr:uid="{00000000-0005-0000-0000-000057880000}"/>
    <cellStyle name="Migliaia 8 2" xfId="835" xr:uid="{00000000-0005-0000-0000-000058880000}"/>
    <cellStyle name="Migliaia 8 2 10" xfId="39918" xr:uid="{00000000-0005-0000-0000-000059880000}"/>
    <cellStyle name="Migliaia 8 2 11" xfId="40404" xr:uid="{00000000-0005-0000-0000-00005A880000}"/>
    <cellStyle name="Migliaia 8 2 2" xfId="3597" xr:uid="{00000000-0005-0000-0000-00005B880000}"/>
    <cellStyle name="Migliaia 8 2 2 2" xfId="12358" xr:uid="{00000000-0005-0000-0000-00005C880000}"/>
    <cellStyle name="Migliaia 8 2 2 2 2" xfId="30528" xr:uid="{00000000-0005-0000-0000-00005D880000}"/>
    <cellStyle name="Migliaia 8 2 2 3" xfId="20716" xr:uid="{00000000-0005-0000-0000-00005E880000}"/>
    <cellStyle name="Migliaia 8 2 2 3 2" xfId="38033" xr:uid="{00000000-0005-0000-0000-00005F880000}"/>
    <cellStyle name="Migliaia 8 2 2 4" xfId="23526" xr:uid="{00000000-0005-0000-0000-000060880000}"/>
    <cellStyle name="Migliaia 8 2 2 5" xfId="38988" xr:uid="{00000000-0005-0000-0000-000061880000}"/>
    <cellStyle name="Migliaia 8 2 2 6" xfId="39442" xr:uid="{00000000-0005-0000-0000-000062880000}"/>
    <cellStyle name="Migliaia 8 2 3" xfId="11695" xr:uid="{00000000-0005-0000-0000-000063880000}"/>
    <cellStyle name="Migliaia 8 2 4" xfId="12260" xr:uid="{00000000-0005-0000-0000-000064880000}"/>
    <cellStyle name="Migliaia 8 2 4 2" xfId="30445" xr:uid="{00000000-0005-0000-0000-000065880000}"/>
    <cellStyle name="Migliaia 8 2 5" xfId="19695" xr:uid="{00000000-0005-0000-0000-000066880000}"/>
    <cellStyle name="Migliaia 8 2 5 2" xfId="37659" xr:uid="{00000000-0005-0000-0000-000067880000}"/>
    <cellStyle name="Migliaia 8 2 6" xfId="3440" xr:uid="{00000000-0005-0000-0000-000068880000}"/>
    <cellStyle name="Migliaia 8 2 6 2" xfId="23440" xr:uid="{00000000-0005-0000-0000-000069880000}"/>
    <cellStyle name="Migliaia 8 2 7" xfId="21765" xr:uid="{00000000-0005-0000-0000-00006A880000}"/>
    <cellStyle name="Migliaia 8 2 8" xfId="38614" xr:uid="{00000000-0005-0000-0000-00006B880000}"/>
    <cellStyle name="Migliaia 8 2 9" xfId="39344" xr:uid="{00000000-0005-0000-0000-00006C880000}"/>
    <cellStyle name="Migliaia 8 3" xfId="836" xr:uid="{00000000-0005-0000-0000-00006D880000}"/>
    <cellStyle name="Migliaia 8 3 10" xfId="39919" xr:uid="{00000000-0005-0000-0000-00006E880000}"/>
    <cellStyle name="Migliaia 8 3 11" xfId="40405" xr:uid="{00000000-0005-0000-0000-00006F880000}"/>
    <cellStyle name="Migliaia 8 3 2" xfId="837" xr:uid="{00000000-0005-0000-0000-000070880000}"/>
    <cellStyle name="Migliaia 8 3 2 10" xfId="40406" xr:uid="{00000000-0005-0000-0000-000071880000}"/>
    <cellStyle name="Migliaia 8 3 2 2" xfId="11697" xr:uid="{00000000-0005-0000-0000-000072880000}"/>
    <cellStyle name="Migliaia 8 3 2 3" xfId="12262" xr:uid="{00000000-0005-0000-0000-000073880000}"/>
    <cellStyle name="Migliaia 8 3 2 3 2" xfId="30447" xr:uid="{00000000-0005-0000-0000-000074880000}"/>
    <cellStyle name="Migliaia 8 3 2 4" xfId="19697" xr:uid="{00000000-0005-0000-0000-000075880000}"/>
    <cellStyle name="Migliaia 8 3 2 4 2" xfId="37661" xr:uid="{00000000-0005-0000-0000-000076880000}"/>
    <cellStyle name="Migliaia 8 3 2 5" xfId="3442" xr:uid="{00000000-0005-0000-0000-000077880000}"/>
    <cellStyle name="Migliaia 8 3 2 5 2" xfId="23442" xr:uid="{00000000-0005-0000-0000-000078880000}"/>
    <cellStyle name="Migliaia 8 3 2 6" xfId="21767" xr:uid="{00000000-0005-0000-0000-000079880000}"/>
    <cellStyle name="Migliaia 8 3 2 7" xfId="38616" xr:uid="{00000000-0005-0000-0000-00007A880000}"/>
    <cellStyle name="Migliaia 8 3 2 8" xfId="39346" xr:uid="{00000000-0005-0000-0000-00007B880000}"/>
    <cellStyle name="Migliaia 8 3 2 9" xfId="39920" xr:uid="{00000000-0005-0000-0000-00007C880000}"/>
    <cellStyle name="Migliaia 8 3 3" xfId="11696" xr:uid="{00000000-0005-0000-0000-00007D880000}"/>
    <cellStyle name="Migliaia 8 3 3 2" xfId="20718" xr:uid="{00000000-0005-0000-0000-00007E880000}"/>
    <cellStyle name="Migliaia 8 3 3 2 2" xfId="38035" xr:uid="{00000000-0005-0000-0000-00007F880000}"/>
    <cellStyle name="Migliaia 8 3 3 2 3" xfId="38990" xr:uid="{00000000-0005-0000-0000-000080880000}"/>
    <cellStyle name="Migliaia 8 3 3 3" xfId="19698" xr:uid="{00000000-0005-0000-0000-000081880000}"/>
    <cellStyle name="Migliaia 8 3 3 3 2" xfId="37662" xr:uid="{00000000-0005-0000-0000-000082880000}"/>
    <cellStyle name="Migliaia 8 3 3 4" xfId="38617" xr:uid="{00000000-0005-0000-0000-000083880000}"/>
    <cellStyle name="Migliaia 8 3 4" xfId="12261" xr:uid="{00000000-0005-0000-0000-000084880000}"/>
    <cellStyle name="Migliaia 8 3 4 2" xfId="20717" xr:uid="{00000000-0005-0000-0000-000085880000}"/>
    <cellStyle name="Migliaia 8 3 4 2 2" xfId="38034" xr:uid="{00000000-0005-0000-0000-000086880000}"/>
    <cellStyle name="Migliaia 8 3 4 3" xfId="30446" xr:uid="{00000000-0005-0000-0000-000087880000}"/>
    <cellStyle name="Migliaia 8 3 4 4" xfId="38989" xr:uid="{00000000-0005-0000-0000-000088880000}"/>
    <cellStyle name="Migliaia 8 3 5" xfId="19696" xr:uid="{00000000-0005-0000-0000-000089880000}"/>
    <cellStyle name="Migliaia 8 3 5 2" xfId="37660" xr:uid="{00000000-0005-0000-0000-00008A880000}"/>
    <cellStyle name="Migliaia 8 3 6" xfId="3441" xr:uid="{00000000-0005-0000-0000-00008B880000}"/>
    <cellStyle name="Migliaia 8 3 6 2" xfId="23441" xr:uid="{00000000-0005-0000-0000-00008C880000}"/>
    <cellStyle name="Migliaia 8 3 7" xfId="21766" xr:uid="{00000000-0005-0000-0000-00008D880000}"/>
    <cellStyle name="Migliaia 8 3 8" xfId="38615" xr:uid="{00000000-0005-0000-0000-00008E880000}"/>
    <cellStyle name="Migliaia 8 3 9" xfId="39345" xr:uid="{00000000-0005-0000-0000-00008F880000}"/>
    <cellStyle name="Migliaia 8 4" xfId="838" xr:uid="{00000000-0005-0000-0000-000090880000}"/>
    <cellStyle name="Migliaia 8 4 2" xfId="19700" xr:uid="{00000000-0005-0000-0000-000091880000}"/>
    <cellStyle name="Migliaia 8 4 2 2" xfId="20720" xr:uid="{00000000-0005-0000-0000-000092880000}"/>
    <cellStyle name="Migliaia 8 4 2 2 2" xfId="38037" xr:uid="{00000000-0005-0000-0000-000093880000}"/>
    <cellStyle name="Migliaia 8 4 2 2 3" xfId="38992" xr:uid="{00000000-0005-0000-0000-000094880000}"/>
    <cellStyle name="Migliaia 8 4 2 3" xfId="37664" xr:uid="{00000000-0005-0000-0000-000095880000}"/>
    <cellStyle name="Migliaia 8 4 2 4" xfId="38619" xr:uid="{00000000-0005-0000-0000-000096880000}"/>
    <cellStyle name="Migliaia 8 4 3" xfId="20719" xr:uid="{00000000-0005-0000-0000-000097880000}"/>
    <cellStyle name="Migliaia 8 4 3 2" xfId="38036" xr:uid="{00000000-0005-0000-0000-000098880000}"/>
    <cellStyle name="Migliaia 8 4 3 3" xfId="38991" xr:uid="{00000000-0005-0000-0000-000099880000}"/>
    <cellStyle name="Migliaia 8 4 4" xfId="19699" xr:uid="{00000000-0005-0000-0000-00009A880000}"/>
    <cellStyle name="Migliaia 8 4 4 2" xfId="37663" xr:uid="{00000000-0005-0000-0000-00009B880000}"/>
    <cellStyle name="Migliaia 8 4 5" xfId="11698" xr:uid="{00000000-0005-0000-0000-00009C880000}"/>
    <cellStyle name="Migliaia 8 4 6" xfId="21768" xr:uid="{00000000-0005-0000-0000-00009D880000}"/>
    <cellStyle name="Migliaia 8 4 7" xfId="38618" xr:uid="{00000000-0005-0000-0000-00009E880000}"/>
    <cellStyle name="Migliaia 8 4 8" xfId="39921" xr:uid="{00000000-0005-0000-0000-00009F880000}"/>
    <cellStyle name="Migliaia 8 4 9" xfId="40407" xr:uid="{00000000-0005-0000-0000-0000A0880000}"/>
    <cellStyle name="Migliaia 8 5" xfId="839" xr:uid="{00000000-0005-0000-0000-0000A1880000}"/>
    <cellStyle name="Migliaia 8 5 2" xfId="19701" xr:uid="{00000000-0005-0000-0000-0000A2880000}"/>
    <cellStyle name="Migliaia 8 5 2 2" xfId="37665" xr:uid="{00000000-0005-0000-0000-0000A3880000}"/>
    <cellStyle name="Migliaia 8 5 3" xfId="11699" xr:uid="{00000000-0005-0000-0000-0000A4880000}"/>
    <cellStyle name="Migliaia 8 5 4" xfId="21769" xr:uid="{00000000-0005-0000-0000-0000A5880000}"/>
    <cellStyle name="Migliaia 8 5 5" xfId="38620" xr:uid="{00000000-0005-0000-0000-0000A6880000}"/>
    <cellStyle name="Migliaia 8 5 6" xfId="39922" xr:uid="{00000000-0005-0000-0000-0000A7880000}"/>
    <cellStyle name="Migliaia 8 5 7" xfId="40408" xr:uid="{00000000-0005-0000-0000-0000A8880000}"/>
    <cellStyle name="Migliaia 8 6" xfId="840" xr:uid="{00000000-0005-0000-0000-0000A9880000}"/>
    <cellStyle name="Migliaia 8 6 2" xfId="11694" xr:uid="{00000000-0005-0000-0000-0000AA880000}"/>
    <cellStyle name="Migliaia 8 6 3" xfId="21770" xr:uid="{00000000-0005-0000-0000-0000AB880000}"/>
    <cellStyle name="Migliaia 8 6 4" xfId="39923" xr:uid="{00000000-0005-0000-0000-0000AC880000}"/>
    <cellStyle name="Migliaia 8 6 5" xfId="40409" xr:uid="{00000000-0005-0000-0000-0000AD880000}"/>
    <cellStyle name="Migliaia 8 7" xfId="12259" xr:uid="{00000000-0005-0000-0000-0000AE880000}"/>
    <cellStyle name="Migliaia 8 7 2" xfId="30444" xr:uid="{00000000-0005-0000-0000-0000AF880000}"/>
    <cellStyle name="Migliaia 8 8" xfId="19694" xr:uid="{00000000-0005-0000-0000-0000B0880000}"/>
    <cellStyle name="Migliaia 8 8 2" xfId="37658" xr:uid="{00000000-0005-0000-0000-0000B1880000}"/>
    <cellStyle name="Migliaia 8 9" xfId="3439" xr:uid="{00000000-0005-0000-0000-0000B2880000}"/>
    <cellStyle name="Migliaia 8 9 2" xfId="23439" xr:uid="{00000000-0005-0000-0000-0000B3880000}"/>
    <cellStyle name="Migliaia 9" xfId="841" xr:uid="{00000000-0005-0000-0000-0000B4880000}"/>
    <cellStyle name="Migliaia 9 10" xfId="21771" xr:uid="{00000000-0005-0000-0000-0000B5880000}"/>
    <cellStyle name="Migliaia 9 11" xfId="38621" xr:uid="{00000000-0005-0000-0000-0000B6880000}"/>
    <cellStyle name="Migliaia 9 12" xfId="39347" xr:uid="{00000000-0005-0000-0000-0000B7880000}"/>
    <cellStyle name="Migliaia 9 13" xfId="39924" xr:uid="{00000000-0005-0000-0000-0000B8880000}"/>
    <cellStyle name="Migliaia 9 14" xfId="40410" xr:uid="{00000000-0005-0000-0000-0000B9880000}"/>
    <cellStyle name="Migliaia 9 2" xfId="842" xr:uid="{00000000-0005-0000-0000-0000BA880000}"/>
    <cellStyle name="Migliaia 9 2 10" xfId="39925" xr:uid="{00000000-0005-0000-0000-0000BB880000}"/>
    <cellStyle name="Migliaia 9 2 11" xfId="40411" xr:uid="{00000000-0005-0000-0000-0000BC880000}"/>
    <cellStyle name="Migliaia 9 2 2" xfId="3598" xr:uid="{00000000-0005-0000-0000-0000BD880000}"/>
    <cellStyle name="Migliaia 9 2 2 2" xfId="12359" xr:uid="{00000000-0005-0000-0000-0000BE880000}"/>
    <cellStyle name="Migliaia 9 2 2 2 2" xfId="30529" xr:uid="{00000000-0005-0000-0000-0000BF880000}"/>
    <cellStyle name="Migliaia 9 2 2 3" xfId="20721" xr:uid="{00000000-0005-0000-0000-0000C0880000}"/>
    <cellStyle name="Migliaia 9 2 2 3 2" xfId="38038" xr:uid="{00000000-0005-0000-0000-0000C1880000}"/>
    <cellStyle name="Migliaia 9 2 2 4" xfId="23527" xr:uid="{00000000-0005-0000-0000-0000C2880000}"/>
    <cellStyle name="Migliaia 9 2 2 5" xfId="38993" xr:uid="{00000000-0005-0000-0000-0000C3880000}"/>
    <cellStyle name="Migliaia 9 2 2 6" xfId="39443" xr:uid="{00000000-0005-0000-0000-0000C4880000}"/>
    <cellStyle name="Migliaia 9 2 3" xfId="11701" xr:uid="{00000000-0005-0000-0000-0000C5880000}"/>
    <cellStyle name="Migliaia 9 2 4" xfId="12264" xr:uid="{00000000-0005-0000-0000-0000C6880000}"/>
    <cellStyle name="Migliaia 9 2 4 2" xfId="30449" xr:uid="{00000000-0005-0000-0000-0000C7880000}"/>
    <cellStyle name="Migliaia 9 2 5" xfId="19703" xr:uid="{00000000-0005-0000-0000-0000C8880000}"/>
    <cellStyle name="Migliaia 9 2 5 2" xfId="37667" xr:uid="{00000000-0005-0000-0000-0000C9880000}"/>
    <cellStyle name="Migliaia 9 2 6" xfId="3444" xr:uid="{00000000-0005-0000-0000-0000CA880000}"/>
    <cellStyle name="Migliaia 9 2 6 2" xfId="23444" xr:uid="{00000000-0005-0000-0000-0000CB880000}"/>
    <cellStyle name="Migliaia 9 2 7" xfId="21772" xr:uid="{00000000-0005-0000-0000-0000CC880000}"/>
    <cellStyle name="Migliaia 9 2 8" xfId="38622" xr:uid="{00000000-0005-0000-0000-0000CD880000}"/>
    <cellStyle name="Migliaia 9 2 9" xfId="39348" xr:uid="{00000000-0005-0000-0000-0000CE880000}"/>
    <cellStyle name="Migliaia 9 3" xfId="843" xr:uid="{00000000-0005-0000-0000-0000CF880000}"/>
    <cellStyle name="Migliaia 9 3 10" xfId="39926" xr:uid="{00000000-0005-0000-0000-0000D0880000}"/>
    <cellStyle name="Migliaia 9 3 11" xfId="40412" xr:uid="{00000000-0005-0000-0000-0000D1880000}"/>
    <cellStyle name="Migliaia 9 3 2" xfId="844" xr:uid="{00000000-0005-0000-0000-0000D2880000}"/>
    <cellStyle name="Migliaia 9 3 2 10" xfId="40413" xr:uid="{00000000-0005-0000-0000-0000D3880000}"/>
    <cellStyle name="Migliaia 9 3 2 2" xfId="11703" xr:uid="{00000000-0005-0000-0000-0000D4880000}"/>
    <cellStyle name="Migliaia 9 3 2 3" xfId="12266" xr:uid="{00000000-0005-0000-0000-0000D5880000}"/>
    <cellStyle name="Migliaia 9 3 2 3 2" xfId="30451" xr:uid="{00000000-0005-0000-0000-0000D6880000}"/>
    <cellStyle name="Migliaia 9 3 2 4" xfId="19705" xr:uid="{00000000-0005-0000-0000-0000D7880000}"/>
    <cellStyle name="Migliaia 9 3 2 4 2" xfId="37669" xr:uid="{00000000-0005-0000-0000-0000D8880000}"/>
    <cellStyle name="Migliaia 9 3 2 5" xfId="3446" xr:uid="{00000000-0005-0000-0000-0000D9880000}"/>
    <cellStyle name="Migliaia 9 3 2 5 2" xfId="23446" xr:uid="{00000000-0005-0000-0000-0000DA880000}"/>
    <cellStyle name="Migliaia 9 3 2 6" xfId="21774" xr:uid="{00000000-0005-0000-0000-0000DB880000}"/>
    <cellStyle name="Migliaia 9 3 2 7" xfId="38624" xr:uid="{00000000-0005-0000-0000-0000DC880000}"/>
    <cellStyle name="Migliaia 9 3 2 8" xfId="39350" xr:uid="{00000000-0005-0000-0000-0000DD880000}"/>
    <cellStyle name="Migliaia 9 3 2 9" xfId="39927" xr:uid="{00000000-0005-0000-0000-0000DE880000}"/>
    <cellStyle name="Migliaia 9 3 3" xfId="11702" xr:uid="{00000000-0005-0000-0000-0000DF880000}"/>
    <cellStyle name="Migliaia 9 3 3 2" xfId="20723" xr:uid="{00000000-0005-0000-0000-0000E0880000}"/>
    <cellStyle name="Migliaia 9 3 3 2 2" xfId="38040" xr:uid="{00000000-0005-0000-0000-0000E1880000}"/>
    <cellStyle name="Migliaia 9 3 3 2 3" xfId="38995" xr:uid="{00000000-0005-0000-0000-0000E2880000}"/>
    <cellStyle name="Migliaia 9 3 3 3" xfId="19706" xr:uid="{00000000-0005-0000-0000-0000E3880000}"/>
    <cellStyle name="Migliaia 9 3 3 3 2" xfId="37670" xr:uid="{00000000-0005-0000-0000-0000E4880000}"/>
    <cellStyle name="Migliaia 9 3 3 4" xfId="38625" xr:uid="{00000000-0005-0000-0000-0000E5880000}"/>
    <cellStyle name="Migliaia 9 3 4" xfId="12265" xr:uid="{00000000-0005-0000-0000-0000E6880000}"/>
    <cellStyle name="Migliaia 9 3 4 2" xfId="20722" xr:uid="{00000000-0005-0000-0000-0000E7880000}"/>
    <cellStyle name="Migliaia 9 3 4 2 2" xfId="38039" xr:uid="{00000000-0005-0000-0000-0000E8880000}"/>
    <cellStyle name="Migliaia 9 3 4 3" xfId="30450" xr:uid="{00000000-0005-0000-0000-0000E9880000}"/>
    <cellStyle name="Migliaia 9 3 4 4" xfId="38994" xr:uid="{00000000-0005-0000-0000-0000EA880000}"/>
    <cellStyle name="Migliaia 9 3 5" xfId="19704" xr:uid="{00000000-0005-0000-0000-0000EB880000}"/>
    <cellStyle name="Migliaia 9 3 5 2" xfId="37668" xr:uid="{00000000-0005-0000-0000-0000EC880000}"/>
    <cellStyle name="Migliaia 9 3 6" xfId="3445" xr:uid="{00000000-0005-0000-0000-0000ED880000}"/>
    <cellStyle name="Migliaia 9 3 6 2" xfId="23445" xr:uid="{00000000-0005-0000-0000-0000EE880000}"/>
    <cellStyle name="Migliaia 9 3 7" xfId="21773" xr:uid="{00000000-0005-0000-0000-0000EF880000}"/>
    <cellStyle name="Migliaia 9 3 8" xfId="38623" xr:uid="{00000000-0005-0000-0000-0000F0880000}"/>
    <cellStyle name="Migliaia 9 3 9" xfId="39349" xr:uid="{00000000-0005-0000-0000-0000F1880000}"/>
    <cellStyle name="Migliaia 9 4" xfId="845" xr:uid="{00000000-0005-0000-0000-0000F2880000}"/>
    <cellStyle name="Migliaia 9 4 2" xfId="19708" xr:uid="{00000000-0005-0000-0000-0000F3880000}"/>
    <cellStyle name="Migliaia 9 4 2 2" xfId="20725" xr:uid="{00000000-0005-0000-0000-0000F4880000}"/>
    <cellStyle name="Migliaia 9 4 2 2 2" xfId="38042" xr:uid="{00000000-0005-0000-0000-0000F5880000}"/>
    <cellStyle name="Migliaia 9 4 2 2 3" xfId="38997" xr:uid="{00000000-0005-0000-0000-0000F6880000}"/>
    <cellStyle name="Migliaia 9 4 2 3" xfId="37672" xr:uid="{00000000-0005-0000-0000-0000F7880000}"/>
    <cellStyle name="Migliaia 9 4 2 4" xfId="38627" xr:uid="{00000000-0005-0000-0000-0000F8880000}"/>
    <cellStyle name="Migliaia 9 4 3" xfId="20724" xr:uid="{00000000-0005-0000-0000-0000F9880000}"/>
    <cellStyle name="Migliaia 9 4 3 2" xfId="38041" xr:uid="{00000000-0005-0000-0000-0000FA880000}"/>
    <cellStyle name="Migliaia 9 4 3 3" xfId="38996" xr:uid="{00000000-0005-0000-0000-0000FB880000}"/>
    <cellStyle name="Migliaia 9 4 4" xfId="19707" xr:uid="{00000000-0005-0000-0000-0000FC880000}"/>
    <cellStyle name="Migliaia 9 4 4 2" xfId="37671" xr:uid="{00000000-0005-0000-0000-0000FD880000}"/>
    <cellStyle name="Migliaia 9 4 5" xfId="11704" xr:uid="{00000000-0005-0000-0000-0000FE880000}"/>
    <cellStyle name="Migliaia 9 4 6" xfId="21775" xr:uid="{00000000-0005-0000-0000-0000FF880000}"/>
    <cellStyle name="Migliaia 9 4 7" xfId="38626" xr:uid="{00000000-0005-0000-0000-000000890000}"/>
    <cellStyle name="Migliaia 9 4 8" xfId="39928" xr:uid="{00000000-0005-0000-0000-000001890000}"/>
    <cellStyle name="Migliaia 9 4 9" xfId="40414" xr:uid="{00000000-0005-0000-0000-000002890000}"/>
    <cellStyle name="Migliaia 9 5" xfId="846" xr:uid="{00000000-0005-0000-0000-000003890000}"/>
    <cellStyle name="Migliaia 9 5 2" xfId="19709" xr:uid="{00000000-0005-0000-0000-000004890000}"/>
    <cellStyle name="Migliaia 9 5 2 2" xfId="37673" xr:uid="{00000000-0005-0000-0000-000005890000}"/>
    <cellStyle name="Migliaia 9 5 3" xfId="11705" xr:uid="{00000000-0005-0000-0000-000006890000}"/>
    <cellStyle name="Migliaia 9 5 4" xfId="21776" xr:uid="{00000000-0005-0000-0000-000007890000}"/>
    <cellStyle name="Migliaia 9 5 5" xfId="38628" xr:uid="{00000000-0005-0000-0000-000008890000}"/>
    <cellStyle name="Migliaia 9 5 6" xfId="39929" xr:uid="{00000000-0005-0000-0000-000009890000}"/>
    <cellStyle name="Migliaia 9 5 7" xfId="40415" xr:uid="{00000000-0005-0000-0000-00000A890000}"/>
    <cellStyle name="Migliaia 9 6" xfId="847" xr:uid="{00000000-0005-0000-0000-00000B890000}"/>
    <cellStyle name="Migliaia 9 6 2" xfId="11700" xr:uid="{00000000-0005-0000-0000-00000C890000}"/>
    <cellStyle name="Migliaia 9 6 3" xfId="21777" xr:uid="{00000000-0005-0000-0000-00000D890000}"/>
    <cellStyle name="Migliaia 9 6 4" xfId="39930" xr:uid="{00000000-0005-0000-0000-00000E890000}"/>
    <cellStyle name="Migliaia 9 6 5" xfId="40416" xr:uid="{00000000-0005-0000-0000-00000F890000}"/>
    <cellStyle name="Migliaia 9 7" xfId="12263" xr:uid="{00000000-0005-0000-0000-000010890000}"/>
    <cellStyle name="Migliaia 9 7 2" xfId="30448" xr:uid="{00000000-0005-0000-0000-000011890000}"/>
    <cellStyle name="Migliaia 9 8" xfId="19702" xr:uid="{00000000-0005-0000-0000-000012890000}"/>
    <cellStyle name="Migliaia 9 8 2" xfId="37666" xr:uid="{00000000-0005-0000-0000-000013890000}"/>
    <cellStyle name="Migliaia 9 9" xfId="3443" xr:uid="{00000000-0005-0000-0000-000014890000}"/>
    <cellStyle name="Migliaia 9 9 2" xfId="23443" xr:uid="{00000000-0005-0000-0000-000015890000}"/>
    <cellStyle name="Neutral" xfId="3110" builtinId="28" customBuiltin="1"/>
    <cellStyle name="Neutral 2" xfId="2154" xr:uid="{00000000-0005-0000-0000-000017890000}"/>
    <cellStyle name="Neutral 2 2" xfId="7375" xr:uid="{00000000-0005-0000-0000-000018890000}"/>
    <cellStyle name="Neutral 3" xfId="7376" xr:uid="{00000000-0005-0000-0000-000019890000}"/>
    <cellStyle name="Neutral 4" xfId="7377" xr:uid="{00000000-0005-0000-0000-00001A890000}"/>
    <cellStyle name="Neutral 5" xfId="7378" xr:uid="{00000000-0005-0000-0000-00001B890000}"/>
    <cellStyle name="Neutral 5 2" xfId="9316" xr:uid="{00000000-0005-0000-0000-00001C890000}"/>
    <cellStyle name="Neutral 6" xfId="7605" xr:uid="{00000000-0005-0000-0000-00001D890000}"/>
    <cellStyle name="Neutral 7" xfId="7374" xr:uid="{00000000-0005-0000-0000-00001E890000}"/>
    <cellStyle name="Neutrale" xfId="848" xr:uid="{00000000-0005-0000-0000-00001F890000}"/>
    <cellStyle name="New prices" xfId="3457" xr:uid="{00000000-0005-0000-0000-000020890000}"/>
    <cellStyle name="Normal" xfId="0" builtinId="0"/>
    <cellStyle name="Normal 10" xfId="849" xr:uid="{00000000-0005-0000-0000-000022890000}"/>
    <cellStyle name="Normal 10 2" xfId="2155" xr:uid="{00000000-0005-0000-0000-000023890000}"/>
    <cellStyle name="Normal 10 2 2" xfId="2156" xr:uid="{00000000-0005-0000-0000-000024890000}"/>
    <cellStyle name="Normal 10 2 2 2" xfId="2157" xr:uid="{00000000-0005-0000-0000-000025890000}"/>
    <cellStyle name="Normal 10 2 2 2 2" xfId="22217" xr:uid="{00000000-0005-0000-0000-000026890000}"/>
    <cellStyle name="Normal 10 2 2 3" xfId="11090" xr:uid="{00000000-0005-0000-0000-000027890000}"/>
    <cellStyle name="Normal 10 2 2 4" xfId="22216" xr:uid="{00000000-0005-0000-0000-000028890000}"/>
    <cellStyle name="Normal 10 2 3" xfId="2158" xr:uid="{00000000-0005-0000-0000-000029890000}"/>
    <cellStyle name="Normal 10 2 3 2" xfId="2159" xr:uid="{00000000-0005-0000-0000-00002A890000}"/>
    <cellStyle name="Normal 10 2 3 2 2" xfId="22219" xr:uid="{00000000-0005-0000-0000-00002B890000}"/>
    <cellStyle name="Normal 10 2 3 3" xfId="7380" xr:uid="{00000000-0005-0000-0000-00002C890000}"/>
    <cellStyle name="Normal 10 2 3 4" xfId="22218" xr:uid="{00000000-0005-0000-0000-00002D890000}"/>
    <cellStyle name="Normal 10 2 4" xfId="2160" xr:uid="{00000000-0005-0000-0000-00002E890000}"/>
    <cellStyle name="Normal 10 2 4 2" xfId="18954" xr:uid="{00000000-0005-0000-0000-00002F890000}"/>
    <cellStyle name="Normal 10 2 4 2 2" xfId="37113" xr:uid="{00000000-0005-0000-0000-000030890000}"/>
    <cellStyle name="Normal 10 2 4 3" xfId="11180" xr:uid="{00000000-0005-0000-0000-000031890000}"/>
    <cellStyle name="Normal 10 2 4 3 2" xfId="30112" xr:uid="{00000000-0005-0000-0000-000032890000}"/>
    <cellStyle name="Normal 10 2 4 4" xfId="22220" xr:uid="{00000000-0005-0000-0000-000033890000}"/>
    <cellStyle name="Normal 10 2 5" xfId="12293" xr:uid="{00000000-0005-0000-0000-000034890000}"/>
    <cellStyle name="Normal 10 2 5 2" xfId="30464" xr:uid="{00000000-0005-0000-0000-000035890000}"/>
    <cellStyle name="Normal 10 2 6" xfId="3473" xr:uid="{00000000-0005-0000-0000-000036890000}"/>
    <cellStyle name="Normal 10 2 6 2" xfId="23462" xr:uid="{00000000-0005-0000-0000-000037890000}"/>
    <cellStyle name="Normal 10 2 7" xfId="22215" xr:uid="{00000000-0005-0000-0000-000038890000}"/>
    <cellStyle name="Normal 10 2 8" xfId="39378" xr:uid="{00000000-0005-0000-0000-000039890000}"/>
    <cellStyle name="Normal 10 3" xfId="2161" xr:uid="{00000000-0005-0000-0000-00003A890000}"/>
    <cellStyle name="Normal 10 3 2" xfId="2162" xr:uid="{00000000-0005-0000-0000-00003B890000}"/>
    <cellStyle name="Normal 10 3 2 2" xfId="18844" xr:uid="{00000000-0005-0000-0000-00003C890000}"/>
    <cellStyle name="Normal 10 3 2 2 2" xfId="37004" xr:uid="{00000000-0005-0000-0000-00003D890000}"/>
    <cellStyle name="Normal 10 3 2 3" xfId="10965" xr:uid="{00000000-0005-0000-0000-00003E890000}"/>
    <cellStyle name="Normal 10 3 2 3 2" xfId="30003" xr:uid="{00000000-0005-0000-0000-00003F890000}"/>
    <cellStyle name="Normal 10 3 2 4" xfId="22222" xr:uid="{00000000-0005-0000-0000-000040890000}"/>
    <cellStyle name="Normal 10 3 3" xfId="7381" xr:uid="{00000000-0005-0000-0000-000041890000}"/>
    <cellStyle name="Normal 10 3 3 2" xfId="15490" xr:uid="{00000000-0005-0000-0000-000042890000}"/>
    <cellStyle name="Normal 10 3 3 2 2" xfId="33656" xr:uid="{00000000-0005-0000-0000-000043890000}"/>
    <cellStyle name="Normal 10 3 3 3" xfId="26654" xr:uid="{00000000-0005-0000-0000-000044890000}"/>
    <cellStyle name="Normal 10 3 4" xfId="21224" xr:uid="{00000000-0005-0000-0000-000045890000}"/>
    <cellStyle name="Normal 10 3 5" xfId="3599" xr:uid="{00000000-0005-0000-0000-000046890000}"/>
    <cellStyle name="Normal 10 3 6" xfId="22221" xr:uid="{00000000-0005-0000-0000-000047890000}"/>
    <cellStyle name="Normal 10 4" xfId="2163" xr:uid="{00000000-0005-0000-0000-000048890000}"/>
    <cellStyle name="Normal 10 4 2" xfId="2164" xr:uid="{00000000-0005-0000-0000-000049890000}"/>
    <cellStyle name="Normal 10 4 2 2" xfId="16230" xr:uid="{00000000-0005-0000-0000-00004A890000}"/>
    <cellStyle name="Normal 10 4 2 2 2" xfId="34390" xr:uid="{00000000-0005-0000-0000-00004B890000}"/>
    <cellStyle name="Normal 10 4 2 3" xfId="22224" xr:uid="{00000000-0005-0000-0000-00004C890000}"/>
    <cellStyle name="Normal 10 4 3" xfId="8313" xr:uid="{00000000-0005-0000-0000-00004D890000}"/>
    <cellStyle name="Normal 10 4 3 2" xfId="27389" xr:uid="{00000000-0005-0000-0000-00004E890000}"/>
    <cellStyle name="Normal 10 4 4" xfId="22223" xr:uid="{00000000-0005-0000-0000-00004F890000}"/>
    <cellStyle name="Normal 10 5" xfId="2165" xr:uid="{00000000-0005-0000-0000-000050890000}"/>
    <cellStyle name="Normal 10 5 2" xfId="2166" xr:uid="{00000000-0005-0000-0000-000051890000}"/>
    <cellStyle name="Normal 10 5 2 2" xfId="15489" xr:uid="{00000000-0005-0000-0000-000052890000}"/>
    <cellStyle name="Normal 10 5 2 2 2" xfId="33655" xr:uid="{00000000-0005-0000-0000-000053890000}"/>
    <cellStyle name="Normal 10 5 2 3" xfId="22226" xr:uid="{00000000-0005-0000-0000-000054890000}"/>
    <cellStyle name="Normal 10 5 3" xfId="7379" xr:uid="{00000000-0005-0000-0000-000055890000}"/>
    <cellStyle name="Normal 10 5 3 2" xfId="26653" xr:uid="{00000000-0005-0000-0000-000056890000}"/>
    <cellStyle name="Normal 10 5 4" xfId="22225" xr:uid="{00000000-0005-0000-0000-000057890000}"/>
    <cellStyle name="Normal 10 6" xfId="2167" xr:uid="{00000000-0005-0000-0000-000058890000}"/>
    <cellStyle name="Normal 10 6 2" xfId="22227" xr:uid="{00000000-0005-0000-0000-000059890000}"/>
    <cellStyle name="Normal 11" xfId="2168" xr:uid="{00000000-0005-0000-0000-00005A890000}"/>
    <cellStyle name="Normal 11 10" xfId="38634" xr:uid="{00000000-0005-0000-0000-00005B890000}"/>
    <cellStyle name="Normal 11 2" xfId="2169" xr:uid="{00000000-0005-0000-0000-00005C890000}"/>
    <cellStyle name="Normal 11 2 2" xfId="2170" xr:uid="{00000000-0005-0000-0000-00005D890000}"/>
    <cellStyle name="Normal 11 2 2 2" xfId="2171" xr:uid="{00000000-0005-0000-0000-00005E890000}"/>
    <cellStyle name="Normal 11 2 2 2 2" xfId="21217" xr:uid="{00000000-0005-0000-0000-00005F890000}"/>
    <cellStyle name="Normal 11 2 2 2 2 2" xfId="38068" xr:uid="{00000000-0005-0000-0000-000060890000}"/>
    <cellStyle name="Normal 11 2 2 2 3" xfId="22231" xr:uid="{00000000-0005-0000-0000-000061890000}"/>
    <cellStyle name="Normal 11 2 2 3" xfId="11091" xr:uid="{00000000-0005-0000-0000-000062890000}"/>
    <cellStyle name="Normal 11 2 2 4" xfId="22230" xr:uid="{00000000-0005-0000-0000-000063890000}"/>
    <cellStyle name="Normal 11 2 2 5" xfId="39023" xr:uid="{00000000-0005-0000-0000-000064890000}"/>
    <cellStyle name="Normal 11 2 3" xfId="2172" xr:uid="{00000000-0005-0000-0000-000065890000}"/>
    <cellStyle name="Normal 11 2 3 2" xfId="2173" xr:uid="{00000000-0005-0000-0000-000066890000}"/>
    <cellStyle name="Normal 11 2 3 2 2" xfId="22233" xr:uid="{00000000-0005-0000-0000-000067890000}"/>
    <cellStyle name="Normal 11 2 3 3" xfId="21170" xr:uid="{00000000-0005-0000-0000-000068890000}"/>
    <cellStyle name="Normal 11 2 3 3 2" xfId="38048" xr:uid="{00000000-0005-0000-0000-000069890000}"/>
    <cellStyle name="Normal 11 2 3 4" xfId="22232" xr:uid="{00000000-0005-0000-0000-00006A890000}"/>
    <cellStyle name="Normal 11 2 4" xfId="2174" xr:uid="{00000000-0005-0000-0000-00006B890000}"/>
    <cellStyle name="Normal 11 2 4 2" xfId="2175" xr:uid="{00000000-0005-0000-0000-00006C890000}"/>
    <cellStyle name="Normal 11 2 4 2 2" xfId="22235" xr:uid="{00000000-0005-0000-0000-00006D890000}"/>
    <cellStyle name="Normal 11 2 4 3" xfId="22234" xr:uid="{00000000-0005-0000-0000-00006E890000}"/>
    <cellStyle name="Normal 11 2 5" xfId="2176" xr:uid="{00000000-0005-0000-0000-00006F890000}"/>
    <cellStyle name="Normal 11 2 5 2" xfId="22236" xr:uid="{00000000-0005-0000-0000-000070890000}"/>
    <cellStyle name="Normal 11 2 6" xfId="7383" xr:uid="{00000000-0005-0000-0000-000071890000}"/>
    <cellStyle name="Normal 11 2 7" xfId="22229" xr:uid="{00000000-0005-0000-0000-000072890000}"/>
    <cellStyle name="Normal 11 2 8" xfId="39003" xr:uid="{00000000-0005-0000-0000-000073890000}"/>
    <cellStyle name="Normal 11 3" xfId="2177" xr:uid="{00000000-0005-0000-0000-000074890000}"/>
    <cellStyle name="Normal 11 3 2" xfId="2178" xr:uid="{00000000-0005-0000-0000-000075890000}"/>
    <cellStyle name="Normal 11 3 2 2" xfId="2179" xr:uid="{00000000-0005-0000-0000-000076890000}"/>
    <cellStyle name="Normal 11 3 2 2 2" xfId="18732" xr:uid="{00000000-0005-0000-0000-000077890000}"/>
    <cellStyle name="Normal 11 3 2 2 2 2" xfId="36892" xr:uid="{00000000-0005-0000-0000-000078890000}"/>
    <cellStyle name="Normal 11 3 2 2 3" xfId="10849" xr:uid="{00000000-0005-0000-0000-000079890000}"/>
    <cellStyle name="Normal 11 3 2 2 3 2" xfId="29891" xr:uid="{00000000-0005-0000-0000-00007A890000}"/>
    <cellStyle name="Normal 11 3 2 2 4" xfId="22239" xr:uid="{00000000-0005-0000-0000-00007B890000}"/>
    <cellStyle name="Normal 11 3 2 3" xfId="15492" xr:uid="{00000000-0005-0000-0000-00007C890000}"/>
    <cellStyle name="Normal 11 3 2 3 2" xfId="33658" xr:uid="{00000000-0005-0000-0000-00007D890000}"/>
    <cellStyle name="Normal 11 3 2 4" xfId="7385" xr:uid="{00000000-0005-0000-0000-00007E890000}"/>
    <cellStyle name="Normal 11 3 2 4 2" xfId="26656" xr:uid="{00000000-0005-0000-0000-00007F890000}"/>
    <cellStyle name="Normal 11 3 2 5" xfId="22238" xr:uid="{00000000-0005-0000-0000-000080890000}"/>
    <cellStyle name="Normal 11 3 3" xfId="2180" xr:uid="{00000000-0005-0000-0000-000081890000}"/>
    <cellStyle name="Normal 11 3 3 2" xfId="2181" xr:uid="{00000000-0005-0000-0000-000082890000}"/>
    <cellStyle name="Normal 11 3 3 2 2" xfId="16231" xr:uid="{00000000-0005-0000-0000-000083890000}"/>
    <cellStyle name="Normal 11 3 3 2 2 2" xfId="34391" xr:uid="{00000000-0005-0000-0000-000084890000}"/>
    <cellStyle name="Normal 11 3 3 2 3" xfId="22241" xr:uid="{00000000-0005-0000-0000-000085890000}"/>
    <cellStyle name="Normal 11 3 3 3" xfId="8314" xr:uid="{00000000-0005-0000-0000-000086890000}"/>
    <cellStyle name="Normal 11 3 3 3 2" xfId="27390" xr:uid="{00000000-0005-0000-0000-000087890000}"/>
    <cellStyle name="Normal 11 3 3 4" xfId="22240" xr:uid="{00000000-0005-0000-0000-000088890000}"/>
    <cellStyle name="Normal 11 3 4" xfId="2182" xr:uid="{00000000-0005-0000-0000-000089890000}"/>
    <cellStyle name="Normal 11 3 4 2" xfId="15491" xr:uid="{00000000-0005-0000-0000-00008A890000}"/>
    <cellStyle name="Normal 11 3 4 2 2" xfId="33657" xr:uid="{00000000-0005-0000-0000-00008B890000}"/>
    <cellStyle name="Normal 11 3 4 3" xfId="22242" xr:uid="{00000000-0005-0000-0000-00008C890000}"/>
    <cellStyle name="Normal 11 3 5" xfId="21198" xr:uid="{00000000-0005-0000-0000-00008D890000}"/>
    <cellStyle name="Normal 11 3 5 2" xfId="38058" xr:uid="{00000000-0005-0000-0000-00008E890000}"/>
    <cellStyle name="Normal 11 3 6" xfId="7384" xr:uid="{00000000-0005-0000-0000-00008F890000}"/>
    <cellStyle name="Normal 11 3 6 2" xfId="26655" xr:uid="{00000000-0005-0000-0000-000090890000}"/>
    <cellStyle name="Normal 11 3 7" xfId="22237" xr:uid="{00000000-0005-0000-0000-000091890000}"/>
    <cellStyle name="Normal 11 3 8" xfId="39013" xr:uid="{00000000-0005-0000-0000-000092890000}"/>
    <cellStyle name="Normal 11 4" xfId="2183" xr:uid="{00000000-0005-0000-0000-000093890000}"/>
    <cellStyle name="Normal 11 4 2" xfId="2184" xr:uid="{00000000-0005-0000-0000-000094890000}"/>
    <cellStyle name="Normal 11 4 2 2" xfId="22244" xr:uid="{00000000-0005-0000-0000-000095890000}"/>
    <cellStyle name="Normal 11 4 3" xfId="7382" xr:uid="{00000000-0005-0000-0000-000096890000}"/>
    <cellStyle name="Normal 11 4 4" xfId="22243" xr:uid="{00000000-0005-0000-0000-000097890000}"/>
    <cellStyle name="Normal 11 5" xfId="2185" xr:uid="{00000000-0005-0000-0000-000098890000}"/>
    <cellStyle name="Normal 11 5 2" xfId="2186" xr:uid="{00000000-0005-0000-0000-000099890000}"/>
    <cellStyle name="Normal 11 5 2 2" xfId="22246" xr:uid="{00000000-0005-0000-0000-00009A890000}"/>
    <cellStyle name="Normal 11 5 3" xfId="20167" xr:uid="{00000000-0005-0000-0000-00009B890000}"/>
    <cellStyle name="Normal 11 5 3 2" xfId="37679" xr:uid="{00000000-0005-0000-0000-00009C890000}"/>
    <cellStyle name="Normal 11 5 4" xfId="22245" xr:uid="{00000000-0005-0000-0000-00009D890000}"/>
    <cellStyle name="Normal 11 6" xfId="2187" xr:uid="{00000000-0005-0000-0000-00009E890000}"/>
    <cellStyle name="Normal 11 6 2" xfId="2188" xr:uid="{00000000-0005-0000-0000-00009F890000}"/>
    <cellStyle name="Normal 11 6 2 2" xfId="22248" xr:uid="{00000000-0005-0000-0000-0000A0890000}"/>
    <cellStyle name="Normal 11 6 3" xfId="22247" xr:uid="{00000000-0005-0000-0000-0000A1890000}"/>
    <cellStyle name="Normal 11 7" xfId="2189" xr:uid="{00000000-0005-0000-0000-0000A2890000}"/>
    <cellStyle name="Normal 11 7 2" xfId="22249" xr:uid="{00000000-0005-0000-0000-0000A3890000}"/>
    <cellStyle name="Normal 11 8" xfId="3476" xr:uid="{00000000-0005-0000-0000-0000A4890000}"/>
    <cellStyle name="Normal 11 9" xfId="22228" xr:uid="{00000000-0005-0000-0000-0000A5890000}"/>
    <cellStyle name="Normal 12" xfId="2190" xr:uid="{00000000-0005-0000-0000-0000A6890000}"/>
    <cellStyle name="Normal 12 2" xfId="2191" xr:uid="{00000000-0005-0000-0000-0000A7890000}"/>
    <cellStyle name="Normal 12 2 2" xfId="2192" xr:uid="{00000000-0005-0000-0000-0000A8890000}"/>
    <cellStyle name="Normal 12 2 2 2" xfId="2193" xr:uid="{00000000-0005-0000-0000-0000A9890000}"/>
    <cellStyle name="Normal 12 2 2 2 2" xfId="22253" xr:uid="{00000000-0005-0000-0000-0000AA890000}"/>
    <cellStyle name="Normal 12 2 2 3" xfId="11092" xr:uid="{00000000-0005-0000-0000-0000AB890000}"/>
    <cellStyle name="Normal 12 2 2 4" xfId="22252" xr:uid="{00000000-0005-0000-0000-0000AC890000}"/>
    <cellStyle name="Normal 12 2 3" xfId="2194" xr:uid="{00000000-0005-0000-0000-0000AD890000}"/>
    <cellStyle name="Normal 12 2 3 2" xfId="2195" xr:uid="{00000000-0005-0000-0000-0000AE890000}"/>
    <cellStyle name="Normal 12 2 3 2 2" xfId="22255" xr:uid="{00000000-0005-0000-0000-0000AF890000}"/>
    <cellStyle name="Normal 12 2 3 3" xfId="22254" xr:uid="{00000000-0005-0000-0000-0000B0890000}"/>
    <cellStyle name="Normal 12 2 4" xfId="2196" xr:uid="{00000000-0005-0000-0000-0000B1890000}"/>
    <cellStyle name="Normal 12 2 4 2" xfId="22256" xr:uid="{00000000-0005-0000-0000-0000B2890000}"/>
    <cellStyle name="Normal 12 2 5" xfId="7387" xr:uid="{00000000-0005-0000-0000-0000B3890000}"/>
    <cellStyle name="Normal 12 2 6" xfId="22251" xr:uid="{00000000-0005-0000-0000-0000B4890000}"/>
    <cellStyle name="Normal 12 3" xfId="2197" xr:uid="{00000000-0005-0000-0000-0000B5890000}"/>
    <cellStyle name="Normal 12 3 2" xfId="2198" xr:uid="{00000000-0005-0000-0000-0000B6890000}"/>
    <cellStyle name="Normal 12 3 2 2" xfId="18393" xr:uid="{00000000-0005-0000-0000-0000B7890000}"/>
    <cellStyle name="Normal 12 3 2 2 2" xfId="36553" xr:uid="{00000000-0005-0000-0000-0000B8890000}"/>
    <cellStyle name="Normal 12 3 2 3" xfId="10499" xr:uid="{00000000-0005-0000-0000-0000B9890000}"/>
    <cellStyle name="Normal 12 3 2 3 2" xfId="29552" xr:uid="{00000000-0005-0000-0000-0000BA890000}"/>
    <cellStyle name="Normal 12 3 2 4" xfId="22258" xr:uid="{00000000-0005-0000-0000-0000BB890000}"/>
    <cellStyle name="Normal 12 3 3" xfId="15494" xr:uid="{00000000-0005-0000-0000-0000BC890000}"/>
    <cellStyle name="Normal 12 3 3 2" xfId="33660" xr:uid="{00000000-0005-0000-0000-0000BD890000}"/>
    <cellStyle name="Normal 12 3 4" xfId="7388" xr:uid="{00000000-0005-0000-0000-0000BE890000}"/>
    <cellStyle name="Normal 12 3 4 2" xfId="26658" xr:uid="{00000000-0005-0000-0000-0000BF890000}"/>
    <cellStyle name="Normal 12 3 5" xfId="22257" xr:uid="{00000000-0005-0000-0000-0000C0890000}"/>
    <cellStyle name="Normal 12 4" xfId="2199" xr:uid="{00000000-0005-0000-0000-0000C1890000}"/>
    <cellStyle name="Normal 12 4 2" xfId="2200" xr:uid="{00000000-0005-0000-0000-0000C2890000}"/>
    <cellStyle name="Normal 12 4 2 2" xfId="16232" xr:uid="{00000000-0005-0000-0000-0000C3890000}"/>
    <cellStyle name="Normal 12 4 2 2 2" xfId="34392" xr:uid="{00000000-0005-0000-0000-0000C4890000}"/>
    <cellStyle name="Normal 12 4 2 3" xfId="22260" xr:uid="{00000000-0005-0000-0000-0000C5890000}"/>
    <cellStyle name="Normal 12 4 3" xfId="8315" xr:uid="{00000000-0005-0000-0000-0000C6890000}"/>
    <cellStyle name="Normal 12 4 3 2" xfId="27391" xr:uid="{00000000-0005-0000-0000-0000C7890000}"/>
    <cellStyle name="Normal 12 4 4" xfId="22259" xr:uid="{00000000-0005-0000-0000-0000C8890000}"/>
    <cellStyle name="Normal 12 5" xfId="2201" xr:uid="{00000000-0005-0000-0000-0000C9890000}"/>
    <cellStyle name="Normal 12 5 2" xfId="2202" xr:uid="{00000000-0005-0000-0000-0000CA890000}"/>
    <cellStyle name="Normal 12 5 2 2" xfId="22262" xr:uid="{00000000-0005-0000-0000-0000CB890000}"/>
    <cellStyle name="Normal 12 5 3" xfId="15493" xr:uid="{00000000-0005-0000-0000-0000CC890000}"/>
    <cellStyle name="Normal 12 5 3 2" xfId="33659" xr:uid="{00000000-0005-0000-0000-0000CD890000}"/>
    <cellStyle name="Normal 12 5 4" xfId="22261" xr:uid="{00000000-0005-0000-0000-0000CE890000}"/>
    <cellStyle name="Normal 12 6" xfId="2203" xr:uid="{00000000-0005-0000-0000-0000CF890000}"/>
    <cellStyle name="Normal 12 6 2" xfId="22263" xr:uid="{00000000-0005-0000-0000-0000D0890000}"/>
    <cellStyle name="Normal 12 7" xfId="7386" xr:uid="{00000000-0005-0000-0000-0000D1890000}"/>
    <cellStyle name="Normal 12 7 2" xfId="26657" xr:uid="{00000000-0005-0000-0000-0000D2890000}"/>
    <cellStyle name="Normal 12 8" xfId="22250" xr:uid="{00000000-0005-0000-0000-0000D3890000}"/>
    <cellStyle name="Normal 13" xfId="2204" xr:uid="{00000000-0005-0000-0000-0000D4890000}"/>
    <cellStyle name="Normal 13 2" xfId="2205" xr:uid="{00000000-0005-0000-0000-0000D5890000}"/>
    <cellStyle name="Normal 13 2 2" xfId="2206" xr:uid="{00000000-0005-0000-0000-0000D6890000}"/>
    <cellStyle name="Normal 13 2 2 2" xfId="2207" xr:uid="{00000000-0005-0000-0000-0000D7890000}"/>
    <cellStyle name="Normal 13 2 2 2 2" xfId="18328" xr:uid="{00000000-0005-0000-0000-0000D8890000}"/>
    <cellStyle name="Normal 13 2 2 2 2 2" xfId="36488" xr:uid="{00000000-0005-0000-0000-0000D9890000}"/>
    <cellStyle name="Normal 13 2 2 2 3" xfId="22267" xr:uid="{00000000-0005-0000-0000-0000DA890000}"/>
    <cellStyle name="Normal 13 2 2 3" xfId="10427" xr:uid="{00000000-0005-0000-0000-0000DB890000}"/>
    <cellStyle name="Normal 13 2 2 3 2" xfId="29487" xr:uid="{00000000-0005-0000-0000-0000DC890000}"/>
    <cellStyle name="Normal 13 2 2 4" xfId="22266" xr:uid="{00000000-0005-0000-0000-0000DD890000}"/>
    <cellStyle name="Normal 13 2 3" xfId="2208" xr:uid="{00000000-0005-0000-0000-0000DE890000}"/>
    <cellStyle name="Normal 13 2 3 2" xfId="2209" xr:uid="{00000000-0005-0000-0000-0000DF890000}"/>
    <cellStyle name="Normal 13 2 3 2 2" xfId="22269" xr:uid="{00000000-0005-0000-0000-0000E0890000}"/>
    <cellStyle name="Normal 13 2 3 3" xfId="15496" xr:uid="{00000000-0005-0000-0000-0000E1890000}"/>
    <cellStyle name="Normal 13 2 3 3 2" xfId="33662" xr:uid="{00000000-0005-0000-0000-0000E2890000}"/>
    <cellStyle name="Normal 13 2 3 4" xfId="22268" xr:uid="{00000000-0005-0000-0000-0000E3890000}"/>
    <cellStyle name="Normal 13 2 4" xfId="2210" xr:uid="{00000000-0005-0000-0000-0000E4890000}"/>
    <cellStyle name="Normal 13 2 4 2" xfId="22270" xr:uid="{00000000-0005-0000-0000-0000E5890000}"/>
    <cellStyle name="Normal 13 2 5" xfId="7390" xr:uid="{00000000-0005-0000-0000-0000E6890000}"/>
    <cellStyle name="Normal 13 2 5 2" xfId="26660" xr:uid="{00000000-0005-0000-0000-0000E7890000}"/>
    <cellStyle name="Normal 13 2 6" xfId="22265" xr:uid="{00000000-0005-0000-0000-0000E8890000}"/>
    <cellStyle name="Normal 13 3" xfId="2211" xr:uid="{00000000-0005-0000-0000-0000E9890000}"/>
    <cellStyle name="Normal 13 3 2" xfId="2212" xr:uid="{00000000-0005-0000-0000-0000EA890000}"/>
    <cellStyle name="Normal 13 3 2 2" xfId="17614" xr:uid="{00000000-0005-0000-0000-0000EB890000}"/>
    <cellStyle name="Normal 13 3 2 2 2" xfId="35774" xr:uid="{00000000-0005-0000-0000-0000EC890000}"/>
    <cellStyle name="Normal 13 3 2 3" xfId="9704" xr:uid="{00000000-0005-0000-0000-0000ED890000}"/>
    <cellStyle name="Normal 13 3 2 3 2" xfId="28773" xr:uid="{00000000-0005-0000-0000-0000EE890000}"/>
    <cellStyle name="Normal 13 3 2 4" xfId="22272" xr:uid="{00000000-0005-0000-0000-0000EF890000}"/>
    <cellStyle name="Normal 13 3 3" xfId="15497" xr:uid="{00000000-0005-0000-0000-0000F0890000}"/>
    <cellStyle name="Normal 13 3 3 2" xfId="33663" xr:uid="{00000000-0005-0000-0000-0000F1890000}"/>
    <cellStyle name="Normal 13 3 4" xfId="7391" xr:uid="{00000000-0005-0000-0000-0000F2890000}"/>
    <cellStyle name="Normal 13 3 4 2" xfId="26661" xr:uid="{00000000-0005-0000-0000-0000F3890000}"/>
    <cellStyle name="Normal 13 3 5" xfId="22271" xr:uid="{00000000-0005-0000-0000-0000F4890000}"/>
    <cellStyle name="Normal 13 4" xfId="2213" xr:uid="{00000000-0005-0000-0000-0000F5890000}"/>
    <cellStyle name="Normal 13 4 2" xfId="2214" xr:uid="{00000000-0005-0000-0000-0000F6890000}"/>
    <cellStyle name="Normal 13 4 2 2" xfId="16233" xr:uid="{00000000-0005-0000-0000-0000F7890000}"/>
    <cellStyle name="Normal 13 4 2 2 2" xfId="34393" xr:uid="{00000000-0005-0000-0000-0000F8890000}"/>
    <cellStyle name="Normal 13 4 2 3" xfId="22274" xr:uid="{00000000-0005-0000-0000-0000F9890000}"/>
    <cellStyle name="Normal 13 4 3" xfId="8316" xr:uid="{00000000-0005-0000-0000-0000FA890000}"/>
    <cellStyle name="Normal 13 4 3 2" xfId="27392" xr:uid="{00000000-0005-0000-0000-0000FB890000}"/>
    <cellStyle name="Normal 13 4 4" xfId="22273" xr:uid="{00000000-0005-0000-0000-0000FC890000}"/>
    <cellStyle name="Normal 13 5" xfId="2215" xr:uid="{00000000-0005-0000-0000-0000FD890000}"/>
    <cellStyle name="Normal 13 5 2" xfId="2216" xr:uid="{00000000-0005-0000-0000-0000FE890000}"/>
    <cellStyle name="Normal 13 5 2 2" xfId="22276" xr:uid="{00000000-0005-0000-0000-0000FF890000}"/>
    <cellStyle name="Normal 13 5 3" xfId="15495" xr:uid="{00000000-0005-0000-0000-0000008A0000}"/>
    <cellStyle name="Normal 13 5 3 2" xfId="33661" xr:uid="{00000000-0005-0000-0000-0000018A0000}"/>
    <cellStyle name="Normal 13 5 4" xfId="22275" xr:uid="{00000000-0005-0000-0000-0000028A0000}"/>
    <cellStyle name="Normal 13 6" xfId="2217" xr:uid="{00000000-0005-0000-0000-0000038A0000}"/>
    <cellStyle name="Normal 13 6 2" xfId="21219" xr:uid="{00000000-0005-0000-0000-0000048A0000}"/>
    <cellStyle name="Normal 13 6 2 2" xfId="38070" xr:uid="{00000000-0005-0000-0000-0000058A0000}"/>
    <cellStyle name="Normal 13 6 3" xfId="22277" xr:uid="{00000000-0005-0000-0000-0000068A0000}"/>
    <cellStyle name="Normal 13 7" xfId="7389" xr:uid="{00000000-0005-0000-0000-0000078A0000}"/>
    <cellStyle name="Normal 13 7 2" xfId="26659" xr:uid="{00000000-0005-0000-0000-0000088A0000}"/>
    <cellStyle name="Normal 13 8" xfId="22264" xr:uid="{00000000-0005-0000-0000-0000098A0000}"/>
    <cellStyle name="Normal 13 9" xfId="39025" xr:uid="{00000000-0005-0000-0000-00000A8A0000}"/>
    <cellStyle name="Normal 14" xfId="2218" xr:uid="{00000000-0005-0000-0000-00000B8A0000}"/>
    <cellStyle name="Normal 14 2" xfId="7393" xr:uid="{00000000-0005-0000-0000-00000C8A0000}"/>
    <cellStyle name="Normal 14 2 2" xfId="7394" xr:uid="{00000000-0005-0000-0000-00000D8A0000}"/>
    <cellStyle name="Normal 14 2 2 2" xfId="10428" xr:uid="{00000000-0005-0000-0000-00000E8A0000}"/>
    <cellStyle name="Normal 14 2 2 2 2" xfId="18329" xr:uid="{00000000-0005-0000-0000-00000F8A0000}"/>
    <cellStyle name="Normal 14 2 2 2 2 2" xfId="36489" xr:uid="{00000000-0005-0000-0000-0000108A0000}"/>
    <cellStyle name="Normal 14 2 2 2 3" xfId="29488" xr:uid="{00000000-0005-0000-0000-0000118A0000}"/>
    <cellStyle name="Normal 14 2 2 3" xfId="15499" xr:uid="{00000000-0005-0000-0000-0000128A0000}"/>
    <cellStyle name="Normal 14 2 2 3 2" xfId="33665" xr:uid="{00000000-0005-0000-0000-0000138A0000}"/>
    <cellStyle name="Normal 14 2 2 4" xfId="26663" xr:uid="{00000000-0005-0000-0000-0000148A0000}"/>
    <cellStyle name="Normal 14 2 3" xfId="8919" xr:uid="{00000000-0005-0000-0000-0000158A0000}"/>
    <cellStyle name="Normal 14 2 3 2" xfId="16833" xr:uid="{00000000-0005-0000-0000-0000168A0000}"/>
    <cellStyle name="Normal 14 2 3 2 2" xfId="34993" xr:uid="{00000000-0005-0000-0000-0000178A0000}"/>
    <cellStyle name="Normal 14 2 3 3" xfId="27992" xr:uid="{00000000-0005-0000-0000-0000188A0000}"/>
    <cellStyle name="Normal 14 2 4" xfId="15498" xr:uid="{00000000-0005-0000-0000-0000198A0000}"/>
    <cellStyle name="Normal 14 2 4 2" xfId="33664" xr:uid="{00000000-0005-0000-0000-00001A8A0000}"/>
    <cellStyle name="Normal 14 2 5" xfId="26662" xr:uid="{00000000-0005-0000-0000-00001B8A0000}"/>
    <cellStyle name="Normal 14 3" xfId="7395" xr:uid="{00000000-0005-0000-0000-00001C8A0000}"/>
    <cellStyle name="Normal 14 3 2" xfId="9705" xr:uid="{00000000-0005-0000-0000-00001D8A0000}"/>
    <cellStyle name="Normal 14 3 2 2" xfId="17615" xr:uid="{00000000-0005-0000-0000-00001E8A0000}"/>
    <cellStyle name="Normal 14 3 2 2 2" xfId="35775" xr:uid="{00000000-0005-0000-0000-00001F8A0000}"/>
    <cellStyle name="Normal 14 3 2 3" xfId="28774" xr:uid="{00000000-0005-0000-0000-0000208A0000}"/>
    <cellStyle name="Normal 14 3 3" xfId="15500" xr:uid="{00000000-0005-0000-0000-0000218A0000}"/>
    <cellStyle name="Normal 14 3 3 2" xfId="33666" xr:uid="{00000000-0005-0000-0000-0000228A0000}"/>
    <cellStyle name="Normal 14 3 4" xfId="26664" xr:uid="{00000000-0005-0000-0000-0000238A0000}"/>
    <cellStyle name="Normal 14 4" xfId="7392" xr:uid="{00000000-0005-0000-0000-0000248A0000}"/>
    <cellStyle name="Normal 15" xfId="2219" xr:uid="{00000000-0005-0000-0000-0000258A0000}"/>
    <cellStyle name="Normal 15 2" xfId="2220" xr:uid="{00000000-0005-0000-0000-0000268A0000}"/>
    <cellStyle name="Normal 15 2 2" xfId="2221" xr:uid="{00000000-0005-0000-0000-0000278A0000}"/>
    <cellStyle name="Normal 15 2 2 2" xfId="2222" xr:uid="{00000000-0005-0000-0000-0000288A0000}"/>
    <cellStyle name="Normal 15 2 2 2 2" xfId="2223" xr:uid="{00000000-0005-0000-0000-0000298A0000}"/>
    <cellStyle name="Normal 15 2 2 2 2 2" xfId="22281" xr:uid="{00000000-0005-0000-0000-00002A8A0000}"/>
    <cellStyle name="Normal 15 2 2 2 3" xfId="10429" xr:uid="{00000000-0005-0000-0000-00002B8A0000}"/>
    <cellStyle name="Normal 15 2 2 2 4" xfId="22280" xr:uid="{00000000-0005-0000-0000-00002C8A0000}"/>
    <cellStyle name="Normal 15 2 2 3" xfId="2224" xr:uid="{00000000-0005-0000-0000-00002D8A0000}"/>
    <cellStyle name="Normal 15 2 2 3 2" xfId="2225" xr:uid="{00000000-0005-0000-0000-00002E8A0000}"/>
    <cellStyle name="Normal 15 2 2 3 2 2" xfId="22283" xr:uid="{00000000-0005-0000-0000-00002F8A0000}"/>
    <cellStyle name="Normal 15 2 2 3 3" xfId="22282" xr:uid="{00000000-0005-0000-0000-0000308A0000}"/>
    <cellStyle name="Normal 15 2 2 4" xfId="2226" xr:uid="{00000000-0005-0000-0000-0000318A0000}"/>
    <cellStyle name="Normal 15 2 2 4 2" xfId="2227" xr:uid="{00000000-0005-0000-0000-0000328A0000}"/>
    <cellStyle name="Normal 15 2 2 4 2 2" xfId="22285" xr:uid="{00000000-0005-0000-0000-0000338A0000}"/>
    <cellStyle name="Normal 15 2 2 4 3" xfId="22284" xr:uid="{00000000-0005-0000-0000-0000348A0000}"/>
    <cellStyle name="Normal 15 2 2 5" xfId="2228" xr:uid="{00000000-0005-0000-0000-0000358A0000}"/>
    <cellStyle name="Normal 15 2 2 5 2" xfId="22286" xr:uid="{00000000-0005-0000-0000-0000368A0000}"/>
    <cellStyle name="Normal 15 2 2 6" xfId="7396" xr:uid="{00000000-0005-0000-0000-0000378A0000}"/>
    <cellStyle name="Normal 15 2 2 7" xfId="22279" xr:uid="{00000000-0005-0000-0000-0000388A0000}"/>
    <cellStyle name="Normal 15 2 3" xfId="2229" xr:uid="{00000000-0005-0000-0000-0000398A0000}"/>
    <cellStyle name="Normal 15 2 3 2" xfId="2230" xr:uid="{00000000-0005-0000-0000-00003A8A0000}"/>
    <cellStyle name="Normal 15 2 3 2 2" xfId="2231" xr:uid="{00000000-0005-0000-0000-00003B8A0000}"/>
    <cellStyle name="Normal 15 2 3 2 2 2" xfId="22289" xr:uid="{00000000-0005-0000-0000-00003C8A0000}"/>
    <cellStyle name="Normal 15 2 3 2 3" xfId="22288" xr:uid="{00000000-0005-0000-0000-00003D8A0000}"/>
    <cellStyle name="Normal 15 2 3 3" xfId="2232" xr:uid="{00000000-0005-0000-0000-00003E8A0000}"/>
    <cellStyle name="Normal 15 2 3 3 2" xfId="2233" xr:uid="{00000000-0005-0000-0000-00003F8A0000}"/>
    <cellStyle name="Normal 15 2 3 3 2 2" xfId="22291" xr:uid="{00000000-0005-0000-0000-0000408A0000}"/>
    <cellStyle name="Normal 15 2 3 3 3" xfId="22290" xr:uid="{00000000-0005-0000-0000-0000418A0000}"/>
    <cellStyle name="Normal 15 2 3 4" xfId="2234" xr:uid="{00000000-0005-0000-0000-0000428A0000}"/>
    <cellStyle name="Normal 15 2 3 4 2" xfId="2235" xr:uid="{00000000-0005-0000-0000-0000438A0000}"/>
    <cellStyle name="Normal 15 2 3 4 2 2" xfId="22293" xr:uid="{00000000-0005-0000-0000-0000448A0000}"/>
    <cellStyle name="Normal 15 2 3 4 3" xfId="22292" xr:uid="{00000000-0005-0000-0000-0000458A0000}"/>
    <cellStyle name="Normal 15 2 3 5" xfId="2236" xr:uid="{00000000-0005-0000-0000-0000468A0000}"/>
    <cellStyle name="Normal 15 2 3 5 2" xfId="22294" xr:uid="{00000000-0005-0000-0000-0000478A0000}"/>
    <cellStyle name="Normal 15 2 3 6" xfId="11094" xr:uid="{00000000-0005-0000-0000-0000488A0000}"/>
    <cellStyle name="Normal 15 2 3 7" xfId="22287" xr:uid="{00000000-0005-0000-0000-0000498A0000}"/>
    <cellStyle name="Normal 15 3" xfId="2237" xr:uid="{00000000-0005-0000-0000-00004A8A0000}"/>
    <cellStyle name="Normal 15 3 2" xfId="7398" xr:uid="{00000000-0005-0000-0000-00004B8A0000}"/>
    <cellStyle name="Normal 15 3 3" xfId="9706" xr:uid="{00000000-0005-0000-0000-00004C8A0000}"/>
    <cellStyle name="Normal 15 3 4" xfId="7397" xr:uid="{00000000-0005-0000-0000-00004D8A0000}"/>
    <cellStyle name="Normal 15 4" xfId="2238" xr:uid="{00000000-0005-0000-0000-00004E8A0000}"/>
    <cellStyle name="Normal 15 4 2" xfId="2239" xr:uid="{00000000-0005-0000-0000-00004F8A0000}"/>
    <cellStyle name="Normal 15 4 2 2" xfId="22296" xr:uid="{00000000-0005-0000-0000-0000508A0000}"/>
    <cellStyle name="Normal 15 4 3" xfId="11093" xr:uid="{00000000-0005-0000-0000-0000518A0000}"/>
    <cellStyle name="Normal 15 4 4" xfId="22295" xr:uid="{00000000-0005-0000-0000-0000528A0000}"/>
    <cellStyle name="Normal 15 5" xfId="2240" xr:uid="{00000000-0005-0000-0000-0000538A0000}"/>
    <cellStyle name="Normal 15 5 2" xfId="2241" xr:uid="{00000000-0005-0000-0000-0000548A0000}"/>
    <cellStyle name="Normal 15 5 2 2" xfId="22298" xr:uid="{00000000-0005-0000-0000-0000558A0000}"/>
    <cellStyle name="Normal 15 5 3" xfId="22297" xr:uid="{00000000-0005-0000-0000-0000568A0000}"/>
    <cellStyle name="Normal 15 6" xfId="2242" xr:uid="{00000000-0005-0000-0000-0000578A0000}"/>
    <cellStyle name="Normal 15 6 2" xfId="22299" xr:uid="{00000000-0005-0000-0000-0000588A0000}"/>
    <cellStyle name="Normal 15 7" xfId="22278" xr:uid="{00000000-0005-0000-0000-0000598A0000}"/>
    <cellStyle name="Normal 15_Trends fuels" xfId="2243" xr:uid="{00000000-0005-0000-0000-00005A8A0000}"/>
    <cellStyle name="Normal 16" xfId="2244" xr:uid="{00000000-0005-0000-0000-00005B8A0000}"/>
    <cellStyle name="Normal 16 2" xfId="2245" xr:uid="{00000000-0005-0000-0000-00005C8A0000}"/>
    <cellStyle name="Normal 16 2 2" xfId="2246" xr:uid="{00000000-0005-0000-0000-00005D8A0000}"/>
    <cellStyle name="Normal 16 2 2 2" xfId="22302" xr:uid="{00000000-0005-0000-0000-00005E8A0000}"/>
    <cellStyle name="Normal 16 2 3" xfId="7400" xr:uid="{00000000-0005-0000-0000-00005F8A0000}"/>
    <cellStyle name="Normal 16 2 4" xfId="22301" xr:uid="{00000000-0005-0000-0000-0000608A0000}"/>
    <cellStyle name="Normal 16 3" xfId="2247" xr:uid="{00000000-0005-0000-0000-0000618A0000}"/>
    <cellStyle name="Normal 16 3 2" xfId="2248" xr:uid="{00000000-0005-0000-0000-0000628A0000}"/>
    <cellStyle name="Normal 16 3 2 2" xfId="22304" xr:uid="{00000000-0005-0000-0000-0000638A0000}"/>
    <cellStyle name="Normal 16 3 3" xfId="11095" xr:uid="{00000000-0005-0000-0000-0000648A0000}"/>
    <cellStyle name="Normal 16 3 4" xfId="22303" xr:uid="{00000000-0005-0000-0000-0000658A0000}"/>
    <cellStyle name="Normal 16 4" xfId="2249" xr:uid="{00000000-0005-0000-0000-0000668A0000}"/>
    <cellStyle name="Normal 16 4 2" xfId="2250" xr:uid="{00000000-0005-0000-0000-0000678A0000}"/>
    <cellStyle name="Normal 16 4 2 2" xfId="22306" xr:uid="{00000000-0005-0000-0000-0000688A0000}"/>
    <cellStyle name="Normal 16 4 3" xfId="22305" xr:uid="{00000000-0005-0000-0000-0000698A0000}"/>
    <cellStyle name="Normal 16 5" xfId="2251" xr:uid="{00000000-0005-0000-0000-00006A8A0000}"/>
    <cellStyle name="Normal 16 5 2" xfId="22307" xr:uid="{00000000-0005-0000-0000-00006B8A0000}"/>
    <cellStyle name="Normal 16 6" xfId="7399" xr:uid="{00000000-0005-0000-0000-00006C8A0000}"/>
    <cellStyle name="Normal 16 7" xfId="22300" xr:uid="{00000000-0005-0000-0000-00006D8A0000}"/>
    <cellStyle name="Normal 17" xfId="2252" xr:uid="{00000000-0005-0000-0000-00006E8A0000}"/>
    <cellStyle name="Normal 17 2" xfId="2253" xr:uid="{00000000-0005-0000-0000-00006F8A0000}"/>
    <cellStyle name="Normal 17 2 2" xfId="2254" xr:uid="{00000000-0005-0000-0000-0000708A0000}"/>
    <cellStyle name="Normal 17 2 2 2" xfId="17616" xr:uid="{00000000-0005-0000-0000-0000718A0000}"/>
    <cellStyle name="Normal 17 2 2 2 2" xfId="35776" xr:uid="{00000000-0005-0000-0000-0000728A0000}"/>
    <cellStyle name="Normal 17 2 2 3" xfId="9715" xr:uid="{00000000-0005-0000-0000-0000738A0000}"/>
    <cellStyle name="Normal 17 2 2 3 2" xfId="28775" xr:uid="{00000000-0005-0000-0000-0000748A0000}"/>
    <cellStyle name="Normal 17 2 2 4" xfId="22310" xr:uid="{00000000-0005-0000-0000-0000758A0000}"/>
    <cellStyle name="Normal 17 2 3" xfId="15501" xr:uid="{00000000-0005-0000-0000-0000768A0000}"/>
    <cellStyle name="Normal 17 2 3 2" xfId="33667" xr:uid="{00000000-0005-0000-0000-0000778A0000}"/>
    <cellStyle name="Normal 17 2 4" xfId="7402" xr:uid="{00000000-0005-0000-0000-0000788A0000}"/>
    <cellStyle name="Normal 17 2 4 2" xfId="26665" xr:uid="{00000000-0005-0000-0000-0000798A0000}"/>
    <cellStyle name="Normal 17 2 5" xfId="22309" xr:uid="{00000000-0005-0000-0000-00007A8A0000}"/>
    <cellStyle name="Normal 17 3" xfId="2255" xr:uid="{00000000-0005-0000-0000-00007B8A0000}"/>
    <cellStyle name="Normal 17 3 2" xfId="2256" xr:uid="{00000000-0005-0000-0000-00007C8A0000}"/>
    <cellStyle name="Normal 17 3 2 2" xfId="22312" xr:uid="{00000000-0005-0000-0000-00007D8A0000}"/>
    <cellStyle name="Normal 17 3 3" xfId="11096" xr:uid="{00000000-0005-0000-0000-00007E8A0000}"/>
    <cellStyle name="Normal 17 3 4" xfId="22311" xr:uid="{00000000-0005-0000-0000-00007F8A0000}"/>
    <cellStyle name="Normal 17 4" xfId="2257" xr:uid="{00000000-0005-0000-0000-0000808A0000}"/>
    <cellStyle name="Normal 17 4 2" xfId="2258" xr:uid="{00000000-0005-0000-0000-0000818A0000}"/>
    <cellStyle name="Normal 17 4 2 2" xfId="22314" xr:uid="{00000000-0005-0000-0000-0000828A0000}"/>
    <cellStyle name="Normal 17 4 3" xfId="22313" xr:uid="{00000000-0005-0000-0000-0000838A0000}"/>
    <cellStyle name="Normal 17 5" xfId="2259" xr:uid="{00000000-0005-0000-0000-0000848A0000}"/>
    <cellStyle name="Normal 17 5 2" xfId="22315" xr:uid="{00000000-0005-0000-0000-0000858A0000}"/>
    <cellStyle name="Normal 17 6" xfId="7401" xr:uid="{00000000-0005-0000-0000-0000868A0000}"/>
    <cellStyle name="Normal 17 7" xfId="22308" xr:uid="{00000000-0005-0000-0000-0000878A0000}"/>
    <cellStyle name="Normal 18" xfId="2260" xr:uid="{00000000-0005-0000-0000-0000888A0000}"/>
    <cellStyle name="Normal 18 2" xfId="2261" xr:uid="{00000000-0005-0000-0000-0000898A0000}"/>
    <cellStyle name="Normal 18 2 2" xfId="2262" xr:uid="{00000000-0005-0000-0000-00008A8A0000}"/>
    <cellStyle name="Normal 18 2 2 2" xfId="22318" xr:uid="{00000000-0005-0000-0000-00008B8A0000}"/>
    <cellStyle name="Normal 18 2 3" xfId="11097" xr:uid="{00000000-0005-0000-0000-00008C8A0000}"/>
    <cellStyle name="Normal 18 2 4" xfId="22317" xr:uid="{00000000-0005-0000-0000-00008D8A0000}"/>
    <cellStyle name="Normal 18 3" xfId="2263" xr:uid="{00000000-0005-0000-0000-00008E8A0000}"/>
    <cellStyle name="Normal 18 3 2" xfId="2264" xr:uid="{00000000-0005-0000-0000-00008F8A0000}"/>
    <cellStyle name="Normal 18 3 2 2" xfId="22320" xr:uid="{00000000-0005-0000-0000-0000908A0000}"/>
    <cellStyle name="Normal 18 3 3" xfId="22319" xr:uid="{00000000-0005-0000-0000-0000918A0000}"/>
    <cellStyle name="Normal 18 4" xfId="2265" xr:uid="{00000000-0005-0000-0000-0000928A0000}"/>
    <cellStyle name="Normal 18 4 2" xfId="2266" xr:uid="{00000000-0005-0000-0000-0000938A0000}"/>
    <cellStyle name="Normal 18 4 2 2" xfId="22322" xr:uid="{00000000-0005-0000-0000-0000948A0000}"/>
    <cellStyle name="Normal 18 4 3" xfId="22321" xr:uid="{00000000-0005-0000-0000-0000958A0000}"/>
    <cellStyle name="Normal 18 5" xfId="2267" xr:uid="{00000000-0005-0000-0000-0000968A0000}"/>
    <cellStyle name="Normal 18 5 2" xfId="22323" xr:uid="{00000000-0005-0000-0000-0000978A0000}"/>
    <cellStyle name="Normal 18 6" xfId="7403" xr:uid="{00000000-0005-0000-0000-0000988A0000}"/>
    <cellStyle name="Normal 18 7" xfId="22316" xr:uid="{00000000-0005-0000-0000-0000998A0000}"/>
    <cellStyle name="Normal 19" xfId="2268" xr:uid="{00000000-0005-0000-0000-00009A8A0000}"/>
    <cellStyle name="Normal 19 2" xfId="2269" xr:uid="{00000000-0005-0000-0000-00009B8A0000}"/>
    <cellStyle name="Normal 19 2 2" xfId="2270" xr:uid="{00000000-0005-0000-0000-00009C8A0000}"/>
    <cellStyle name="Normal 19 2 2 2" xfId="22325" xr:uid="{00000000-0005-0000-0000-00009D8A0000}"/>
    <cellStyle name="Normal 19 2 3" xfId="7405" xr:uid="{00000000-0005-0000-0000-00009E8A0000}"/>
    <cellStyle name="Normal 19 2 4" xfId="22324" xr:uid="{00000000-0005-0000-0000-00009F8A0000}"/>
    <cellStyle name="Normal 19 3" xfId="8920" xr:uid="{00000000-0005-0000-0000-0000A08A0000}"/>
    <cellStyle name="Normal 19 4" xfId="7404" xr:uid="{00000000-0005-0000-0000-0000A18A0000}"/>
    <cellStyle name="Normal 2" xfId="850" xr:uid="{00000000-0005-0000-0000-0000A28A0000}"/>
    <cellStyle name="Normal 2 10" xfId="2271" xr:uid="{00000000-0005-0000-0000-0000A38A0000}"/>
    <cellStyle name="Normal 2 11" xfId="2272" xr:uid="{00000000-0005-0000-0000-0000A48A0000}"/>
    <cellStyle name="Normal 2 11 2" xfId="2273" xr:uid="{00000000-0005-0000-0000-0000A58A0000}"/>
    <cellStyle name="Normal 2 11 2 2" xfId="2274" xr:uid="{00000000-0005-0000-0000-0000A68A0000}"/>
    <cellStyle name="Normal 2 11 2 2 2" xfId="22328" xr:uid="{00000000-0005-0000-0000-0000A78A0000}"/>
    <cellStyle name="Normal 2 11 2 3" xfId="22327" xr:uid="{00000000-0005-0000-0000-0000A88A0000}"/>
    <cellStyle name="Normal 2 11 3" xfId="2275" xr:uid="{00000000-0005-0000-0000-0000A98A0000}"/>
    <cellStyle name="Normal 2 11 3 2" xfId="22329" xr:uid="{00000000-0005-0000-0000-0000AA8A0000}"/>
    <cellStyle name="Normal 2 11 4" xfId="22326" xr:uid="{00000000-0005-0000-0000-0000AB8A0000}"/>
    <cellStyle name="Normal 2 12" xfId="2276" xr:uid="{00000000-0005-0000-0000-0000AC8A0000}"/>
    <cellStyle name="Normal 2 12 2" xfId="2277" xr:uid="{00000000-0005-0000-0000-0000AD8A0000}"/>
    <cellStyle name="Normal 2 12 2 2" xfId="22331" xr:uid="{00000000-0005-0000-0000-0000AE8A0000}"/>
    <cellStyle name="Normal 2 12 3" xfId="22330" xr:uid="{00000000-0005-0000-0000-0000AF8A0000}"/>
    <cellStyle name="Normal 2 13" xfId="2278" xr:uid="{00000000-0005-0000-0000-0000B08A0000}"/>
    <cellStyle name="Normal 2 13 2" xfId="2279" xr:uid="{00000000-0005-0000-0000-0000B18A0000}"/>
    <cellStyle name="Normal 2 13 2 2" xfId="22333" xr:uid="{00000000-0005-0000-0000-0000B28A0000}"/>
    <cellStyle name="Normal 2 13 3" xfId="22332" xr:uid="{00000000-0005-0000-0000-0000B38A0000}"/>
    <cellStyle name="Normal 2 14" xfId="2280" xr:uid="{00000000-0005-0000-0000-0000B48A0000}"/>
    <cellStyle name="Normal 2 14 2" xfId="2281" xr:uid="{00000000-0005-0000-0000-0000B58A0000}"/>
    <cellStyle name="Normal 2 14 2 2" xfId="22335" xr:uid="{00000000-0005-0000-0000-0000B68A0000}"/>
    <cellStyle name="Normal 2 14 3" xfId="22334" xr:uid="{00000000-0005-0000-0000-0000B78A0000}"/>
    <cellStyle name="Normal 2 2" xfId="851" xr:uid="{00000000-0005-0000-0000-0000B88A0000}"/>
    <cellStyle name="Normal 2 2 2" xfId="2282" xr:uid="{00000000-0005-0000-0000-0000B98A0000}"/>
    <cellStyle name="Normal 2 2 2 2" xfId="2283" xr:uid="{00000000-0005-0000-0000-0000BA8A0000}"/>
    <cellStyle name="Normal 2 2 2 2 2" xfId="2284" xr:uid="{00000000-0005-0000-0000-0000BB8A0000}"/>
    <cellStyle name="Normal 2 2 2 2 2 2" xfId="2285" xr:uid="{00000000-0005-0000-0000-0000BC8A0000}"/>
    <cellStyle name="Normal 2 2 2 2 2 2 2" xfId="22339" xr:uid="{00000000-0005-0000-0000-0000BD8A0000}"/>
    <cellStyle name="Normal 2 2 2 2 2 3" xfId="11100" xr:uid="{00000000-0005-0000-0000-0000BE8A0000}"/>
    <cellStyle name="Normal 2 2 2 2 2 4" xfId="22338" xr:uid="{00000000-0005-0000-0000-0000BF8A0000}"/>
    <cellStyle name="Normal 2 2 2 2 3" xfId="2286" xr:uid="{00000000-0005-0000-0000-0000C08A0000}"/>
    <cellStyle name="Normal 2 2 2 2 3 2" xfId="19710" xr:uid="{00000000-0005-0000-0000-0000C18A0000}"/>
    <cellStyle name="Normal 2 2 2 2 3 3" xfId="22340" xr:uid="{00000000-0005-0000-0000-0000C28A0000}"/>
    <cellStyle name="Normal 2 2 2 2 4" xfId="7409" xr:uid="{00000000-0005-0000-0000-0000C38A0000}"/>
    <cellStyle name="Normal 2 2 2 2 5" xfId="22337" xr:uid="{00000000-0005-0000-0000-0000C48A0000}"/>
    <cellStyle name="Normal 2 2 2 3" xfId="2287" xr:uid="{00000000-0005-0000-0000-0000C58A0000}"/>
    <cellStyle name="Normal 2 2 2 3 2" xfId="2288" xr:uid="{00000000-0005-0000-0000-0000C68A0000}"/>
    <cellStyle name="Normal 2 2 2 3 2 2" xfId="2289" xr:uid="{00000000-0005-0000-0000-0000C78A0000}"/>
    <cellStyle name="Normal 2 2 2 3 2 2 2" xfId="11102" xr:uid="{00000000-0005-0000-0000-0000C88A0000}"/>
    <cellStyle name="Normal 2 2 2 3 2 2 3" xfId="22343" xr:uid="{00000000-0005-0000-0000-0000C98A0000}"/>
    <cellStyle name="Normal 2 2 2 3 2 3" xfId="7411" xr:uid="{00000000-0005-0000-0000-0000CA8A0000}"/>
    <cellStyle name="Normal 2 2 2 3 2 4" xfId="22342" xr:uid="{00000000-0005-0000-0000-0000CB8A0000}"/>
    <cellStyle name="Normal 2 2 2 3 3" xfId="2290" xr:uid="{00000000-0005-0000-0000-0000CC8A0000}"/>
    <cellStyle name="Normal 2 2 2 3 3 2" xfId="11101" xr:uid="{00000000-0005-0000-0000-0000CD8A0000}"/>
    <cellStyle name="Normal 2 2 2 3 3 3" xfId="22344" xr:uid="{00000000-0005-0000-0000-0000CE8A0000}"/>
    <cellStyle name="Normal 2 2 2 3 4" xfId="7410" xr:uid="{00000000-0005-0000-0000-0000CF8A0000}"/>
    <cellStyle name="Normal 2 2 2 3 5" xfId="22341" xr:uid="{00000000-0005-0000-0000-0000D08A0000}"/>
    <cellStyle name="Normal 2 2 2 4" xfId="2291" xr:uid="{00000000-0005-0000-0000-0000D18A0000}"/>
    <cellStyle name="Normal 2 2 2 4 2" xfId="2292" xr:uid="{00000000-0005-0000-0000-0000D28A0000}"/>
    <cellStyle name="Normal 2 2 2 4 2 2" xfId="18917" xr:uid="{00000000-0005-0000-0000-0000D38A0000}"/>
    <cellStyle name="Normal 2 2 2 4 2 2 2" xfId="37077" xr:uid="{00000000-0005-0000-0000-0000D48A0000}"/>
    <cellStyle name="Normal 2 2 2 4 2 3" xfId="22346" xr:uid="{00000000-0005-0000-0000-0000D58A0000}"/>
    <cellStyle name="Normal 2 2 2 4 3" xfId="21232" xr:uid="{00000000-0005-0000-0000-0000D68A0000}"/>
    <cellStyle name="Normal 2 2 2 4 3 2" xfId="38079" xr:uid="{00000000-0005-0000-0000-0000D78A0000}"/>
    <cellStyle name="Normal 2 2 2 4 4" xfId="11068" xr:uid="{00000000-0005-0000-0000-0000D88A0000}"/>
    <cellStyle name="Normal 2 2 2 4 4 2" xfId="30076" xr:uid="{00000000-0005-0000-0000-0000D98A0000}"/>
    <cellStyle name="Normal 2 2 2 4 5" xfId="22345" xr:uid="{00000000-0005-0000-0000-0000DA8A0000}"/>
    <cellStyle name="Normal 2 2 2 4 6" xfId="39034" xr:uid="{00000000-0005-0000-0000-0000DB8A0000}"/>
    <cellStyle name="Normal 2 2 2 5" xfId="2293" xr:uid="{00000000-0005-0000-0000-0000DC8A0000}"/>
    <cellStyle name="Normal 2 2 2 5 2" xfId="2294" xr:uid="{00000000-0005-0000-0000-0000DD8A0000}"/>
    <cellStyle name="Normal 2 2 2 5 2 2" xfId="22348" xr:uid="{00000000-0005-0000-0000-0000DE8A0000}"/>
    <cellStyle name="Normal 2 2 2 5 3" xfId="11099" xr:uid="{00000000-0005-0000-0000-0000DF8A0000}"/>
    <cellStyle name="Normal 2 2 2 5 4" xfId="22347" xr:uid="{00000000-0005-0000-0000-0000E08A0000}"/>
    <cellStyle name="Normal 2 2 2 6" xfId="2295" xr:uid="{00000000-0005-0000-0000-0000E18A0000}"/>
    <cellStyle name="Normal 2 2 2 6 2" xfId="22349" xr:uid="{00000000-0005-0000-0000-0000E28A0000}"/>
    <cellStyle name="Normal 2 2 2 7" xfId="7408" xr:uid="{00000000-0005-0000-0000-0000E38A0000}"/>
    <cellStyle name="Normal 2 2 2 8" xfId="22336" xr:uid="{00000000-0005-0000-0000-0000E48A0000}"/>
    <cellStyle name="Normal 2 2 3" xfId="2296" xr:uid="{00000000-0005-0000-0000-0000E58A0000}"/>
    <cellStyle name="Normal 2 2 3 2" xfId="2297" xr:uid="{00000000-0005-0000-0000-0000E68A0000}"/>
    <cellStyle name="Normal 2 2 3 2 2" xfId="2298" xr:uid="{00000000-0005-0000-0000-0000E78A0000}"/>
    <cellStyle name="Normal 2 2 3 2 2 2" xfId="18366" xr:uid="{00000000-0005-0000-0000-0000E88A0000}"/>
    <cellStyle name="Normal 2 2 3 2 2 2 2" xfId="36526" xr:uid="{00000000-0005-0000-0000-0000E98A0000}"/>
    <cellStyle name="Normal 2 2 3 2 2 3" xfId="10469" xr:uid="{00000000-0005-0000-0000-0000EA8A0000}"/>
    <cellStyle name="Normal 2 2 3 2 2 3 2" xfId="29525" xr:uid="{00000000-0005-0000-0000-0000EB8A0000}"/>
    <cellStyle name="Normal 2 2 3 2 2 4" xfId="22352" xr:uid="{00000000-0005-0000-0000-0000EC8A0000}"/>
    <cellStyle name="Normal 2 2 3 2 3" xfId="15504" xr:uid="{00000000-0005-0000-0000-0000ED8A0000}"/>
    <cellStyle name="Normal 2 2 3 2 3 2" xfId="33670" xr:uid="{00000000-0005-0000-0000-0000EE8A0000}"/>
    <cellStyle name="Normal 2 2 3 2 4" xfId="7413" xr:uid="{00000000-0005-0000-0000-0000EF8A0000}"/>
    <cellStyle name="Normal 2 2 3 2 4 2" xfId="26668" xr:uid="{00000000-0005-0000-0000-0000F08A0000}"/>
    <cellStyle name="Normal 2 2 3 2 5" xfId="22351" xr:uid="{00000000-0005-0000-0000-0000F18A0000}"/>
    <cellStyle name="Normal 2 2 3 3" xfId="2299" xr:uid="{00000000-0005-0000-0000-0000F28A0000}"/>
    <cellStyle name="Normal 2 2 3 3 2" xfId="16235" xr:uid="{00000000-0005-0000-0000-0000F38A0000}"/>
    <cellStyle name="Normal 2 2 3 3 2 2" xfId="34395" xr:uid="{00000000-0005-0000-0000-0000F48A0000}"/>
    <cellStyle name="Normal 2 2 3 3 3" xfId="8318" xr:uid="{00000000-0005-0000-0000-0000F58A0000}"/>
    <cellStyle name="Normal 2 2 3 3 3 2" xfId="27394" xr:uid="{00000000-0005-0000-0000-0000F68A0000}"/>
    <cellStyle name="Normal 2 2 3 3 4" xfId="22353" xr:uid="{00000000-0005-0000-0000-0000F78A0000}"/>
    <cellStyle name="Normal 2 2 3 4" xfId="15503" xr:uid="{00000000-0005-0000-0000-0000F88A0000}"/>
    <cellStyle name="Normal 2 2 3 4 2" xfId="33669" xr:uid="{00000000-0005-0000-0000-0000F98A0000}"/>
    <cellStyle name="Normal 2 2 3 5" xfId="21226" xr:uid="{00000000-0005-0000-0000-0000FA8A0000}"/>
    <cellStyle name="Normal 2 2 3 5 2" xfId="38075" xr:uid="{00000000-0005-0000-0000-0000FB8A0000}"/>
    <cellStyle name="Normal 2 2 3 6" xfId="7412" xr:uid="{00000000-0005-0000-0000-0000FC8A0000}"/>
    <cellStyle name="Normal 2 2 3 6 2" xfId="26667" xr:uid="{00000000-0005-0000-0000-0000FD8A0000}"/>
    <cellStyle name="Normal 2 2 3 7" xfId="22350" xr:uid="{00000000-0005-0000-0000-0000FE8A0000}"/>
    <cellStyle name="Normal 2 2 3 8" xfId="39030" xr:uid="{00000000-0005-0000-0000-0000FF8A0000}"/>
    <cellStyle name="Normal 2 2 4" xfId="2300" xr:uid="{00000000-0005-0000-0000-0000008B0000}"/>
    <cellStyle name="Normal 2 2 4 2" xfId="2301" xr:uid="{00000000-0005-0000-0000-0000018B0000}"/>
    <cellStyle name="Normal 2 2 4 2 2" xfId="2302" xr:uid="{00000000-0005-0000-0000-0000028B0000}"/>
    <cellStyle name="Normal 2 2 4 2 2 2" xfId="22356" xr:uid="{00000000-0005-0000-0000-0000038B0000}"/>
    <cellStyle name="Normal 2 2 4 2 3" xfId="11098" xr:uid="{00000000-0005-0000-0000-0000048B0000}"/>
    <cellStyle name="Normal 2 2 4 2 4" xfId="22355" xr:uid="{00000000-0005-0000-0000-0000058B0000}"/>
    <cellStyle name="Normal 2 2 4 3" xfId="2303" xr:uid="{00000000-0005-0000-0000-0000068B0000}"/>
    <cellStyle name="Normal 2 2 4 3 2" xfId="22357" xr:uid="{00000000-0005-0000-0000-0000078B0000}"/>
    <cellStyle name="Normal 2 2 4 4" xfId="7407" xr:uid="{00000000-0005-0000-0000-0000088B0000}"/>
    <cellStyle name="Normal 2 2 4 5" xfId="22354" xr:uid="{00000000-0005-0000-0000-0000098B0000}"/>
    <cellStyle name="Normal 2 2 5" xfId="2304" xr:uid="{00000000-0005-0000-0000-00000A8B0000}"/>
    <cellStyle name="Normal 2 2 5 2" xfId="2305" xr:uid="{00000000-0005-0000-0000-00000B8B0000}"/>
    <cellStyle name="Normal 2 2 5 2 2" xfId="12380" xr:uid="{00000000-0005-0000-0000-00000C8B0000}"/>
    <cellStyle name="Normal 2 2 5 2 2 2" xfId="30547" xr:uid="{00000000-0005-0000-0000-00000D8B0000}"/>
    <cellStyle name="Normal 2 2 5 2 3" xfId="22359" xr:uid="{00000000-0005-0000-0000-00000E8B0000}"/>
    <cellStyle name="Normal 2 2 5 3" xfId="3825" xr:uid="{00000000-0005-0000-0000-00000F8B0000}"/>
    <cellStyle name="Normal 2 2 5 3 2" xfId="23545" xr:uid="{00000000-0005-0000-0000-0000108B0000}"/>
    <cellStyle name="Normal 2 2 5 4" xfId="22358" xr:uid="{00000000-0005-0000-0000-0000118B0000}"/>
    <cellStyle name="Normal 2 2 6" xfId="2306" xr:uid="{00000000-0005-0000-0000-0000128B0000}"/>
    <cellStyle name="Normal 2 2 6 2" xfId="2307" xr:uid="{00000000-0005-0000-0000-0000138B0000}"/>
    <cellStyle name="Normal 2 2 6 2 2" xfId="22361" xr:uid="{00000000-0005-0000-0000-0000148B0000}"/>
    <cellStyle name="Normal 2 2 6 3" xfId="22360" xr:uid="{00000000-0005-0000-0000-0000158B0000}"/>
    <cellStyle name="Normal 2 2 7" xfId="2308" xr:uid="{00000000-0005-0000-0000-0000168B0000}"/>
    <cellStyle name="Normal 2 2 8" xfId="2309" xr:uid="{00000000-0005-0000-0000-0000178B0000}"/>
    <cellStyle name="Normal 2 2 8 2" xfId="22362" xr:uid="{00000000-0005-0000-0000-0000188B0000}"/>
    <cellStyle name="Normal 2 3" xfId="852" xr:uid="{00000000-0005-0000-0000-0000198B0000}"/>
    <cellStyle name="Normal 2 3 10" xfId="19711" xr:uid="{00000000-0005-0000-0000-00001A8B0000}"/>
    <cellStyle name="Normal 2 3 11" xfId="3464" xr:uid="{00000000-0005-0000-0000-00001B8B0000}"/>
    <cellStyle name="Normal 2 3 11 2" xfId="23453" xr:uid="{00000000-0005-0000-0000-00001C8B0000}"/>
    <cellStyle name="Normal 2 3 12" xfId="39369" xr:uid="{00000000-0005-0000-0000-00001D8B0000}"/>
    <cellStyle name="Normal 2 3 2" xfId="2310" xr:uid="{00000000-0005-0000-0000-00001E8B0000}"/>
    <cellStyle name="Normal 2 3 2 2" xfId="2311" xr:uid="{00000000-0005-0000-0000-00001F8B0000}"/>
    <cellStyle name="Normal 2 3 2 2 2" xfId="2312" xr:uid="{00000000-0005-0000-0000-0000208B0000}"/>
    <cellStyle name="Normal 2 3 2 2 2 2" xfId="17972" xr:uid="{00000000-0005-0000-0000-0000218B0000}"/>
    <cellStyle name="Normal 2 3 2 2 2 2 2" xfId="36132" xr:uid="{00000000-0005-0000-0000-0000228B0000}"/>
    <cellStyle name="Normal 2 3 2 2 2 3" xfId="10071" xr:uid="{00000000-0005-0000-0000-0000238B0000}"/>
    <cellStyle name="Normal 2 3 2 2 2 3 2" xfId="29131" xr:uid="{00000000-0005-0000-0000-0000248B0000}"/>
    <cellStyle name="Normal 2 3 2 2 2 4" xfId="22365" xr:uid="{00000000-0005-0000-0000-0000258B0000}"/>
    <cellStyle name="Normal 2 3 2 2 3" xfId="15507" xr:uid="{00000000-0005-0000-0000-0000268B0000}"/>
    <cellStyle name="Normal 2 3 2 2 3 2" xfId="33673" xr:uid="{00000000-0005-0000-0000-0000278B0000}"/>
    <cellStyle name="Normal 2 3 2 2 4" xfId="7416" xr:uid="{00000000-0005-0000-0000-0000288B0000}"/>
    <cellStyle name="Normal 2 3 2 2 4 2" xfId="26671" xr:uid="{00000000-0005-0000-0000-0000298B0000}"/>
    <cellStyle name="Normal 2 3 2 2 5" xfId="22364" xr:uid="{00000000-0005-0000-0000-00002A8B0000}"/>
    <cellStyle name="Normal 2 3 2 3" xfId="2313" xr:uid="{00000000-0005-0000-0000-00002B8B0000}"/>
    <cellStyle name="Normal 2 3 2 3 2" xfId="2314" xr:uid="{00000000-0005-0000-0000-00002C8B0000}"/>
    <cellStyle name="Normal 2 3 2 3 2 2" xfId="17219" xr:uid="{00000000-0005-0000-0000-00002D8B0000}"/>
    <cellStyle name="Normal 2 3 2 3 2 2 2" xfId="35379" xr:uid="{00000000-0005-0000-0000-00002E8B0000}"/>
    <cellStyle name="Normal 2 3 2 3 2 3" xfId="9308" xr:uid="{00000000-0005-0000-0000-00002F8B0000}"/>
    <cellStyle name="Normal 2 3 2 3 2 3 2" xfId="28378" xr:uid="{00000000-0005-0000-0000-0000308B0000}"/>
    <cellStyle name="Normal 2 3 2 3 2 4" xfId="22367" xr:uid="{00000000-0005-0000-0000-0000318B0000}"/>
    <cellStyle name="Normal 2 3 2 3 3" xfId="15508" xr:uid="{00000000-0005-0000-0000-0000328B0000}"/>
    <cellStyle name="Normal 2 3 2 3 3 2" xfId="33674" xr:uid="{00000000-0005-0000-0000-0000338B0000}"/>
    <cellStyle name="Normal 2 3 2 3 4" xfId="7417" xr:uid="{00000000-0005-0000-0000-0000348B0000}"/>
    <cellStyle name="Normal 2 3 2 3 4 2" xfId="26672" xr:uid="{00000000-0005-0000-0000-0000358B0000}"/>
    <cellStyle name="Normal 2 3 2 3 5" xfId="22366" xr:uid="{00000000-0005-0000-0000-0000368B0000}"/>
    <cellStyle name="Normal 2 3 2 4" xfId="2315" xr:uid="{00000000-0005-0000-0000-0000378B0000}"/>
    <cellStyle name="Normal 2 3 2 4 2" xfId="16237" xr:uid="{00000000-0005-0000-0000-0000388B0000}"/>
    <cellStyle name="Normal 2 3 2 4 2 2" xfId="34397" xr:uid="{00000000-0005-0000-0000-0000398B0000}"/>
    <cellStyle name="Normal 2 3 2 4 3" xfId="8320" xr:uid="{00000000-0005-0000-0000-00003A8B0000}"/>
    <cellStyle name="Normal 2 3 2 4 3 2" xfId="27396" xr:uid="{00000000-0005-0000-0000-00003B8B0000}"/>
    <cellStyle name="Normal 2 3 2 4 4" xfId="22368" xr:uid="{00000000-0005-0000-0000-00003C8B0000}"/>
    <cellStyle name="Normal 2 3 2 5" xfId="15506" xr:uid="{00000000-0005-0000-0000-00003D8B0000}"/>
    <cellStyle name="Normal 2 3 2 5 2" xfId="33672" xr:uid="{00000000-0005-0000-0000-00003E8B0000}"/>
    <cellStyle name="Normal 2 3 2 6" xfId="7415" xr:uid="{00000000-0005-0000-0000-00003F8B0000}"/>
    <cellStyle name="Normal 2 3 2 6 2" xfId="26670" xr:uid="{00000000-0005-0000-0000-0000408B0000}"/>
    <cellStyle name="Normal 2 3 2 7" xfId="22363" xr:uid="{00000000-0005-0000-0000-0000418B0000}"/>
    <cellStyle name="Normal 2 3 3" xfId="2316" xr:uid="{00000000-0005-0000-0000-0000428B0000}"/>
    <cellStyle name="Normal 2 3 3 2" xfId="2317" xr:uid="{00000000-0005-0000-0000-0000438B0000}"/>
    <cellStyle name="Normal 2 3 3 2 2" xfId="17736" xr:uid="{00000000-0005-0000-0000-0000448B0000}"/>
    <cellStyle name="Normal 2 3 3 2 2 2" xfId="35896" xr:uid="{00000000-0005-0000-0000-0000458B0000}"/>
    <cellStyle name="Normal 2 3 3 2 3" xfId="9835" xr:uid="{00000000-0005-0000-0000-0000468B0000}"/>
    <cellStyle name="Normal 2 3 3 2 3 2" xfId="28895" xr:uid="{00000000-0005-0000-0000-0000478B0000}"/>
    <cellStyle name="Normal 2 3 3 2 4" xfId="22370" xr:uid="{00000000-0005-0000-0000-0000488B0000}"/>
    <cellStyle name="Normal 2 3 3 3" xfId="15509" xr:uid="{00000000-0005-0000-0000-0000498B0000}"/>
    <cellStyle name="Normal 2 3 3 3 2" xfId="33675" xr:uid="{00000000-0005-0000-0000-00004A8B0000}"/>
    <cellStyle name="Normal 2 3 3 4" xfId="7418" xr:uid="{00000000-0005-0000-0000-00004B8B0000}"/>
    <cellStyle name="Normal 2 3 3 4 2" xfId="26673" xr:uid="{00000000-0005-0000-0000-00004C8B0000}"/>
    <cellStyle name="Normal 2 3 3 5" xfId="22369" xr:uid="{00000000-0005-0000-0000-00004D8B0000}"/>
    <cellStyle name="Normal 2 3 4" xfId="2318" xr:uid="{00000000-0005-0000-0000-00004E8B0000}"/>
    <cellStyle name="Normal 2 3 4 2" xfId="2319" xr:uid="{00000000-0005-0000-0000-00004F8B0000}"/>
    <cellStyle name="Normal 2 3 4 2 2" xfId="16976" xr:uid="{00000000-0005-0000-0000-0000508B0000}"/>
    <cellStyle name="Normal 2 3 4 2 2 2" xfId="35136" xr:uid="{00000000-0005-0000-0000-0000518B0000}"/>
    <cellStyle name="Normal 2 3 4 2 3" xfId="9065" xr:uid="{00000000-0005-0000-0000-0000528B0000}"/>
    <cellStyle name="Normal 2 3 4 2 3 2" xfId="28135" xr:uid="{00000000-0005-0000-0000-0000538B0000}"/>
    <cellStyle name="Normal 2 3 4 2 4" xfId="22372" xr:uid="{00000000-0005-0000-0000-0000548B0000}"/>
    <cellStyle name="Normal 2 3 4 3" xfId="15510" xr:uid="{00000000-0005-0000-0000-0000558B0000}"/>
    <cellStyle name="Normal 2 3 4 3 2" xfId="33676" xr:uid="{00000000-0005-0000-0000-0000568B0000}"/>
    <cellStyle name="Normal 2 3 4 4" xfId="7419" xr:uid="{00000000-0005-0000-0000-0000578B0000}"/>
    <cellStyle name="Normal 2 3 4 4 2" xfId="26674" xr:uid="{00000000-0005-0000-0000-0000588B0000}"/>
    <cellStyle name="Normal 2 3 4 5" xfId="22371" xr:uid="{00000000-0005-0000-0000-0000598B0000}"/>
    <cellStyle name="Normal 2 3 5" xfId="2320" xr:uid="{00000000-0005-0000-0000-00005A8B0000}"/>
    <cellStyle name="Normal 2 3 5 2" xfId="2321" xr:uid="{00000000-0005-0000-0000-00005B8B0000}"/>
    <cellStyle name="Normal 2 3 5 2 2" xfId="16236" xr:uid="{00000000-0005-0000-0000-00005C8B0000}"/>
    <cellStyle name="Normal 2 3 5 2 2 2" xfId="34396" xr:uid="{00000000-0005-0000-0000-00005D8B0000}"/>
    <cellStyle name="Normal 2 3 5 2 3" xfId="22374" xr:uid="{00000000-0005-0000-0000-00005E8B0000}"/>
    <cellStyle name="Normal 2 3 5 3" xfId="8319" xr:uid="{00000000-0005-0000-0000-00005F8B0000}"/>
    <cellStyle name="Normal 2 3 5 3 2" xfId="27395" xr:uid="{00000000-0005-0000-0000-0000608B0000}"/>
    <cellStyle name="Normal 2 3 5 4" xfId="22373" xr:uid="{00000000-0005-0000-0000-0000618B0000}"/>
    <cellStyle name="Normal 2 3 6" xfId="2322" xr:uid="{00000000-0005-0000-0000-0000628B0000}"/>
    <cellStyle name="Normal 2 3 6 2" xfId="2323" xr:uid="{00000000-0005-0000-0000-0000638B0000}"/>
    <cellStyle name="Normal 2 3 6 2 2" xfId="15505" xr:uid="{00000000-0005-0000-0000-0000648B0000}"/>
    <cellStyle name="Normal 2 3 6 2 2 2" xfId="33671" xr:uid="{00000000-0005-0000-0000-0000658B0000}"/>
    <cellStyle name="Normal 2 3 6 2 3" xfId="22376" xr:uid="{00000000-0005-0000-0000-0000668B0000}"/>
    <cellStyle name="Normal 2 3 6 3" xfId="7414" xr:uid="{00000000-0005-0000-0000-0000678B0000}"/>
    <cellStyle name="Normal 2 3 6 3 2" xfId="26669" xr:uid="{00000000-0005-0000-0000-0000688B0000}"/>
    <cellStyle name="Normal 2 3 6 4" xfId="22375" xr:uid="{00000000-0005-0000-0000-0000698B0000}"/>
    <cellStyle name="Normal 2 3 7" xfId="2324" xr:uid="{00000000-0005-0000-0000-00006A8B0000}"/>
    <cellStyle name="Normal 2 3 7 2" xfId="2325" xr:uid="{00000000-0005-0000-0000-00006B8B0000}"/>
    <cellStyle name="Normal 2 3 7 2 2" xfId="18945" xr:uid="{00000000-0005-0000-0000-00006C8B0000}"/>
    <cellStyle name="Normal 2 3 7 2 2 2" xfId="37104" xr:uid="{00000000-0005-0000-0000-00006D8B0000}"/>
    <cellStyle name="Normal 2 3 7 2 3" xfId="22378" xr:uid="{00000000-0005-0000-0000-00006E8B0000}"/>
    <cellStyle name="Normal 2 3 7 3" xfId="11171" xr:uid="{00000000-0005-0000-0000-00006F8B0000}"/>
    <cellStyle name="Normal 2 3 7 3 2" xfId="30103" xr:uid="{00000000-0005-0000-0000-0000708B0000}"/>
    <cellStyle name="Normal 2 3 7 4" xfId="22377" xr:uid="{00000000-0005-0000-0000-0000718B0000}"/>
    <cellStyle name="Normal 2 3 8" xfId="11706" xr:uid="{00000000-0005-0000-0000-0000728B0000}"/>
    <cellStyle name="Normal 2 3 9" xfId="12284" xr:uid="{00000000-0005-0000-0000-0000738B0000}"/>
    <cellStyle name="Normal 2 3 9 2" xfId="30455" xr:uid="{00000000-0005-0000-0000-0000748B0000}"/>
    <cellStyle name="Normal 2 4" xfId="853" xr:uid="{00000000-0005-0000-0000-0000758B0000}"/>
    <cellStyle name="Normal 2 4 2" xfId="2326" xr:uid="{00000000-0005-0000-0000-0000768B0000}"/>
    <cellStyle name="Normal 2 4 2 2" xfId="2327" xr:uid="{00000000-0005-0000-0000-0000778B0000}"/>
    <cellStyle name="Normal 2 4 2 2 2" xfId="2328" xr:uid="{00000000-0005-0000-0000-0000788B0000}"/>
    <cellStyle name="Normal 2 4 2 2 2 2" xfId="18326" xr:uid="{00000000-0005-0000-0000-0000798B0000}"/>
    <cellStyle name="Normal 2 4 2 2 2 2 2" xfId="36486" xr:uid="{00000000-0005-0000-0000-00007A8B0000}"/>
    <cellStyle name="Normal 2 4 2 2 2 3" xfId="22381" xr:uid="{00000000-0005-0000-0000-00007B8B0000}"/>
    <cellStyle name="Normal 2 4 2 2 3" xfId="10425" xr:uid="{00000000-0005-0000-0000-00007C8B0000}"/>
    <cellStyle name="Normal 2 4 2 2 3 2" xfId="29485" xr:uid="{00000000-0005-0000-0000-00007D8B0000}"/>
    <cellStyle name="Normal 2 4 2 2 4" xfId="22380" xr:uid="{00000000-0005-0000-0000-00007E8B0000}"/>
    <cellStyle name="Normal 2 4 2 3" xfId="2329" xr:uid="{00000000-0005-0000-0000-00007F8B0000}"/>
    <cellStyle name="Normal 2 4 2 3 2" xfId="2330" xr:uid="{00000000-0005-0000-0000-0000808B0000}"/>
    <cellStyle name="Normal 2 4 2 3 2 2" xfId="22383" xr:uid="{00000000-0005-0000-0000-0000818B0000}"/>
    <cellStyle name="Normal 2 4 2 3 3" xfId="15512" xr:uid="{00000000-0005-0000-0000-0000828B0000}"/>
    <cellStyle name="Normal 2 4 2 3 3 2" xfId="33678" xr:uid="{00000000-0005-0000-0000-0000838B0000}"/>
    <cellStyle name="Normal 2 4 2 3 4" xfId="22382" xr:uid="{00000000-0005-0000-0000-0000848B0000}"/>
    <cellStyle name="Normal 2 4 2 4" xfId="2331" xr:uid="{00000000-0005-0000-0000-0000858B0000}"/>
    <cellStyle name="Normal 2 4 2 4 2" xfId="20726" xr:uid="{00000000-0005-0000-0000-0000868B0000}"/>
    <cellStyle name="Normal 2 4 2 4 3" xfId="22384" xr:uid="{00000000-0005-0000-0000-0000878B0000}"/>
    <cellStyle name="Normal 2 4 2 5" xfId="7421" xr:uid="{00000000-0005-0000-0000-0000888B0000}"/>
    <cellStyle name="Normal 2 4 2 5 2" xfId="26676" xr:uid="{00000000-0005-0000-0000-0000898B0000}"/>
    <cellStyle name="Normal 2 4 2 6" xfId="22379" xr:uid="{00000000-0005-0000-0000-00008A8B0000}"/>
    <cellStyle name="Normal 2 4 3" xfId="2332" xr:uid="{00000000-0005-0000-0000-00008B8B0000}"/>
    <cellStyle name="Normal 2 4 3 2" xfId="2333" xr:uid="{00000000-0005-0000-0000-00008C8B0000}"/>
    <cellStyle name="Normal 2 4 3 2 2" xfId="17612" xr:uid="{00000000-0005-0000-0000-00008D8B0000}"/>
    <cellStyle name="Normal 2 4 3 2 2 2" xfId="35772" xr:uid="{00000000-0005-0000-0000-00008E8B0000}"/>
    <cellStyle name="Normal 2 4 3 2 3" xfId="9702" xr:uid="{00000000-0005-0000-0000-00008F8B0000}"/>
    <cellStyle name="Normal 2 4 3 2 3 2" xfId="28771" xr:uid="{00000000-0005-0000-0000-0000908B0000}"/>
    <cellStyle name="Normal 2 4 3 2 4" xfId="22386" xr:uid="{00000000-0005-0000-0000-0000918B0000}"/>
    <cellStyle name="Normal 2 4 3 3" xfId="15513" xr:uid="{00000000-0005-0000-0000-0000928B0000}"/>
    <cellStyle name="Normal 2 4 3 3 2" xfId="33679" xr:uid="{00000000-0005-0000-0000-0000938B0000}"/>
    <cellStyle name="Normal 2 4 3 4" xfId="7422" xr:uid="{00000000-0005-0000-0000-0000948B0000}"/>
    <cellStyle name="Normal 2 4 3 4 2" xfId="26677" xr:uid="{00000000-0005-0000-0000-0000958B0000}"/>
    <cellStyle name="Normal 2 4 3 5" xfId="22385" xr:uid="{00000000-0005-0000-0000-0000968B0000}"/>
    <cellStyle name="Normal 2 4 4" xfId="2334" xr:uid="{00000000-0005-0000-0000-0000978B0000}"/>
    <cellStyle name="Normal 2 4 4 2" xfId="2335" xr:uid="{00000000-0005-0000-0000-0000988B0000}"/>
    <cellStyle name="Normal 2 4 4 2 2" xfId="16238" xr:uid="{00000000-0005-0000-0000-0000998B0000}"/>
    <cellStyle name="Normal 2 4 4 2 2 2" xfId="34398" xr:uid="{00000000-0005-0000-0000-00009A8B0000}"/>
    <cellStyle name="Normal 2 4 4 2 3" xfId="22388" xr:uid="{00000000-0005-0000-0000-00009B8B0000}"/>
    <cellStyle name="Normal 2 4 4 3" xfId="8321" xr:uid="{00000000-0005-0000-0000-00009C8B0000}"/>
    <cellStyle name="Normal 2 4 4 3 2" xfId="27397" xr:uid="{00000000-0005-0000-0000-00009D8B0000}"/>
    <cellStyle name="Normal 2 4 4 4" xfId="22387" xr:uid="{00000000-0005-0000-0000-00009E8B0000}"/>
    <cellStyle name="Normal 2 4 5" xfId="2336" xr:uid="{00000000-0005-0000-0000-00009F8B0000}"/>
    <cellStyle name="Normal 2 4 5 2" xfId="2337" xr:uid="{00000000-0005-0000-0000-0000A08B0000}"/>
    <cellStyle name="Normal 2 4 5 2 2" xfId="15511" xr:uid="{00000000-0005-0000-0000-0000A18B0000}"/>
    <cellStyle name="Normal 2 4 5 2 2 2" xfId="33677" xr:uid="{00000000-0005-0000-0000-0000A28B0000}"/>
    <cellStyle name="Normal 2 4 5 2 3" xfId="22390" xr:uid="{00000000-0005-0000-0000-0000A38B0000}"/>
    <cellStyle name="Normal 2 4 5 3" xfId="7420" xr:uid="{00000000-0005-0000-0000-0000A48B0000}"/>
    <cellStyle name="Normal 2 4 5 3 2" xfId="26675" xr:uid="{00000000-0005-0000-0000-0000A58B0000}"/>
    <cellStyle name="Normal 2 4 5 4" xfId="22389" xr:uid="{00000000-0005-0000-0000-0000A68B0000}"/>
    <cellStyle name="Normal 2 4 6" xfId="2338" xr:uid="{00000000-0005-0000-0000-0000A78B0000}"/>
    <cellStyle name="Normal 2 4 6 2" xfId="2339" xr:uid="{00000000-0005-0000-0000-0000A88B0000}"/>
    <cellStyle name="Normal 2 4 6 2 2" xfId="22392" xr:uid="{00000000-0005-0000-0000-0000A98B0000}"/>
    <cellStyle name="Normal 2 4 6 3" xfId="22391" xr:uid="{00000000-0005-0000-0000-0000AA8B0000}"/>
    <cellStyle name="Normal 2 4 7" xfId="2340" xr:uid="{00000000-0005-0000-0000-0000AB8B0000}"/>
    <cellStyle name="Normal 2 4 7 2" xfId="2341" xr:uid="{00000000-0005-0000-0000-0000AC8B0000}"/>
    <cellStyle name="Normal 2 4 7 2 2" xfId="22394" xr:uid="{00000000-0005-0000-0000-0000AD8B0000}"/>
    <cellStyle name="Normal 2 4 7 3" xfId="22393" xr:uid="{00000000-0005-0000-0000-0000AE8B0000}"/>
    <cellStyle name="Normal 2 4 8" xfId="3458" xr:uid="{00000000-0005-0000-0000-0000AF8B0000}"/>
    <cellStyle name="Normal 2 5" xfId="854" xr:uid="{00000000-0005-0000-0000-0000B08B0000}"/>
    <cellStyle name="Normal 2 5 2" xfId="2342" xr:uid="{00000000-0005-0000-0000-0000B18B0000}"/>
    <cellStyle name="Normal 2 5 2 2" xfId="2343" xr:uid="{00000000-0005-0000-0000-0000B28B0000}"/>
    <cellStyle name="Normal 2 5 2 2 2" xfId="2344" xr:uid="{00000000-0005-0000-0000-0000B38B0000}"/>
    <cellStyle name="Normal 2 5 2 2 2 2" xfId="22397" xr:uid="{00000000-0005-0000-0000-0000B48B0000}"/>
    <cellStyle name="Normal 2 5 2 2 3" xfId="22396" xr:uid="{00000000-0005-0000-0000-0000B58B0000}"/>
    <cellStyle name="Normal 2 5 2 3" xfId="2345" xr:uid="{00000000-0005-0000-0000-0000B68B0000}"/>
    <cellStyle name="Normal 2 5 2 3 2" xfId="2346" xr:uid="{00000000-0005-0000-0000-0000B78B0000}"/>
    <cellStyle name="Normal 2 5 2 3 2 2" xfId="22399" xr:uid="{00000000-0005-0000-0000-0000B88B0000}"/>
    <cellStyle name="Normal 2 5 2 3 3" xfId="22398" xr:uid="{00000000-0005-0000-0000-0000B98B0000}"/>
    <cellStyle name="Normal 2 5 2 4" xfId="2347" xr:uid="{00000000-0005-0000-0000-0000BA8B0000}"/>
    <cellStyle name="Normal 2 5 2 4 2" xfId="22400" xr:uid="{00000000-0005-0000-0000-0000BB8B0000}"/>
    <cellStyle name="Normal 2 5 2 5" xfId="11103" xr:uid="{00000000-0005-0000-0000-0000BC8B0000}"/>
    <cellStyle name="Normal 2 5 2 6" xfId="22395" xr:uid="{00000000-0005-0000-0000-0000BD8B0000}"/>
    <cellStyle name="Normal 2 5 3" xfId="2348" xr:uid="{00000000-0005-0000-0000-0000BE8B0000}"/>
    <cellStyle name="Normal 2 5 3 2" xfId="2349" xr:uid="{00000000-0005-0000-0000-0000BF8B0000}"/>
    <cellStyle name="Normal 2 5 3 2 2" xfId="22402" xr:uid="{00000000-0005-0000-0000-0000C08B0000}"/>
    <cellStyle name="Normal 2 5 3 3" xfId="22401" xr:uid="{00000000-0005-0000-0000-0000C18B0000}"/>
    <cellStyle name="Normal 2 5 4" xfId="2350" xr:uid="{00000000-0005-0000-0000-0000C28B0000}"/>
    <cellStyle name="Normal 2 5 4 2" xfId="2351" xr:uid="{00000000-0005-0000-0000-0000C38B0000}"/>
    <cellStyle name="Normal 2 5 4 2 2" xfId="22404" xr:uid="{00000000-0005-0000-0000-0000C48B0000}"/>
    <cellStyle name="Normal 2 5 4 3" xfId="22403" xr:uid="{00000000-0005-0000-0000-0000C58B0000}"/>
    <cellStyle name="Normal 2 5 5" xfId="2352" xr:uid="{00000000-0005-0000-0000-0000C68B0000}"/>
    <cellStyle name="Normal 2 5 5 2" xfId="2353" xr:uid="{00000000-0005-0000-0000-0000C78B0000}"/>
    <cellStyle name="Normal 2 5 5 2 2" xfId="22406" xr:uid="{00000000-0005-0000-0000-0000C88B0000}"/>
    <cellStyle name="Normal 2 5 5 3" xfId="22405" xr:uid="{00000000-0005-0000-0000-0000C98B0000}"/>
    <cellStyle name="Normal 2 5 6" xfId="2354" xr:uid="{00000000-0005-0000-0000-0000CA8B0000}"/>
    <cellStyle name="Normal 2 5 6 2" xfId="2355" xr:uid="{00000000-0005-0000-0000-0000CB8B0000}"/>
    <cellStyle name="Normal 2 5 6 2 2" xfId="22408" xr:uid="{00000000-0005-0000-0000-0000CC8B0000}"/>
    <cellStyle name="Normal 2 5 6 3" xfId="22407" xr:uid="{00000000-0005-0000-0000-0000CD8B0000}"/>
    <cellStyle name="Normal 2 5 7" xfId="7423" xr:uid="{00000000-0005-0000-0000-0000CE8B0000}"/>
    <cellStyle name="Normal 2 6" xfId="855" xr:uid="{00000000-0005-0000-0000-0000CF8B0000}"/>
    <cellStyle name="Normal 2 6 2" xfId="2356" xr:uid="{00000000-0005-0000-0000-0000D08B0000}"/>
    <cellStyle name="Normal 2 6 2 2" xfId="2357" xr:uid="{00000000-0005-0000-0000-0000D18B0000}"/>
    <cellStyle name="Normal 2 6 2 2 2" xfId="2358" xr:uid="{00000000-0005-0000-0000-0000D28B0000}"/>
    <cellStyle name="Normal 2 6 2 2 2 2" xfId="18722" xr:uid="{00000000-0005-0000-0000-0000D38B0000}"/>
    <cellStyle name="Normal 2 6 2 2 2 2 2" xfId="36882" xr:uid="{00000000-0005-0000-0000-0000D48B0000}"/>
    <cellStyle name="Normal 2 6 2 2 2 3" xfId="22411" xr:uid="{00000000-0005-0000-0000-0000D58B0000}"/>
    <cellStyle name="Normal 2 6 2 2 3" xfId="10836" xr:uid="{00000000-0005-0000-0000-0000D68B0000}"/>
    <cellStyle name="Normal 2 6 2 2 3 2" xfId="29881" xr:uid="{00000000-0005-0000-0000-0000D78B0000}"/>
    <cellStyle name="Normal 2 6 2 2 4" xfId="22410" xr:uid="{00000000-0005-0000-0000-0000D88B0000}"/>
    <cellStyle name="Normal 2 6 2 3" xfId="2359" xr:uid="{00000000-0005-0000-0000-0000D98B0000}"/>
    <cellStyle name="Normal 2 6 2 3 2" xfId="2360" xr:uid="{00000000-0005-0000-0000-0000DA8B0000}"/>
    <cellStyle name="Normal 2 6 2 3 2 2" xfId="22413" xr:uid="{00000000-0005-0000-0000-0000DB8B0000}"/>
    <cellStyle name="Normal 2 6 2 3 3" xfId="15515" xr:uid="{00000000-0005-0000-0000-0000DC8B0000}"/>
    <cellStyle name="Normal 2 6 2 3 3 2" xfId="33681" xr:uid="{00000000-0005-0000-0000-0000DD8B0000}"/>
    <cellStyle name="Normal 2 6 2 3 4" xfId="22412" xr:uid="{00000000-0005-0000-0000-0000DE8B0000}"/>
    <cellStyle name="Normal 2 6 2 4" xfId="2361" xr:uid="{00000000-0005-0000-0000-0000DF8B0000}"/>
    <cellStyle name="Normal 2 6 2 4 2" xfId="22414" xr:uid="{00000000-0005-0000-0000-0000E08B0000}"/>
    <cellStyle name="Normal 2 6 2 5" xfId="7425" xr:uid="{00000000-0005-0000-0000-0000E18B0000}"/>
    <cellStyle name="Normal 2 6 2 5 2" xfId="26679" xr:uid="{00000000-0005-0000-0000-0000E28B0000}"/>
    <cellStyle name="Normal 2 6 2 6" xfId="22409" xr:uid="{00000000-0005-0000-0000-0000E38B0000}"/>
    <cellStyle name="Normal 2 6 3" xfId="2362" xr:uid="{00000000-0005-0000-0000-0000E48B0000}"/>
    <cellStyle name="Normal 2 6 3 2" xfId="2363" xr:uid="{00000000-0005-0000-0000-0000E58B0000}"/>
    <cellStyle name="Normal 2 6 3 2 2" xfId="16234" xr:uid="{00000000-0005-0000-0000-0000E68B0000}"/>
    <cellStyle name="Normal 2 6 3 2 2 2" xfId="34394" xr:uid="{00000000-0005-0000-0000-0000E78B0000}"/>
    <cellStyle name="Normal 2 6 3 2 3" xfId="22416" xr:uid="{00000000-0005-0000-0000-0000E88B0000}"/>
    <cellStyle name="Normal 2 6 3 3" xfId="8317" xr:uid="{00000000-0005-0000-0000-0000E98B0000}"/>
    <cellStyle name="Normal 2 6 3 3 2" xfId="27393" xr:uid="{00000000-0005-0000-0000-0000EA8B0000}"/>
    <cellStyle name="Normal 2 6 3 4" xfId="22415" xr:uid="{00000000-0005-0000-0000-0000EB8B0000}"/>
    <cellStyle name="Normal 2 6 4" xfId="2364" xr:uid="{00000000-0005-0000-0000-0000EC8B0000}"/>
    <cellStyle name="Normal 2 6 4 2" xfId="2365" xr:uid="{00000000-0005-0000-0000-0000ED8B0000}"/>
    <cellStyle name="Normal 2 6 4 2 2" xfId="22418" xr:uid="{00000000-0005-0000-0000-0000EE8B0000}"/>
    <cellStyle name="Normal 2 6 4 3" xfId="15514" xr:uid="{00000000-0005-0000-0000-0000EF8B0000}"/>
    <cellStyle name="Normal 2 6 4 3 2" xfId="33680" xr:uid="{00000000-0005-0000-0000-0000F08B0000}"/>
    <cellStyle name="Normal 2 6 4 4" xfId="22417" xr:uid="{00000000-0005-0000-0000-0000F18B0000}"/>
    <cellStyle name="Normal 2 6 5" xfId="2366" xr:uid="{00000000-0005-0000-0000-0000F28B0000}"/>
    <cellStyle name="Normal 2 6 5 2" xfId="2367" xr:uid="{00000000-0005-0000-0000-0000F38B0000}"/>
    <cellStyle name="Normal 2 6 5 2 2" xfId="22420" xr:uid="{00000000-0005-0000-0000-0000F48B0000}"/>
    <cellStyle name="Normal 2 6 5 3" xfId="22419" xr:uid="{00000000-0005-0000-0000-0000F58B0000}"/>
    <cellStyle name="Normal 2 6 6" xfId="2368" xr:uid="{00000000-0005-0000-0000-0000F68B0000}"/>
    <cellStyle name="Normal 2 6 6 2" xfId="2369" xr:uid="{00000000-0005-0000-0000-0000F78B0000}"/>
    <cellStyle name="Normal 2 6 6 2 2" xfId="22422" xr:uid="{00000000-0005-0000-0000-0000F88B0000}"/>
    <cellStyle name="Normal 2 6 6 3" xfId="22421" xr:uid="{00000000-0005-0000-0000-0000F98B0000}"/>
    <cellStyle name="Normal 2 6 7" xfId="7424" xr:uid="{00000000-0005-0000-0000-0000FA8B0000}"/>
    <cellStyle name="Normal 2 6 7 2" xfId="26678" xr:uid="{00000000-0005-0000-0000-0000FB8B0000}"/>
    <cellStyle name="Normal 2 7" xfId="2370" xr:uid="{00000000-0005-0000-0000-0000FC8B0000}"/>
    <cellStyle name="Normal 2 7 2" xfId="2371" xr:uid="{00000000-0005-0000-0000-0000FD8B0000}"/>
    <cellStyle name="Normal 2 7 2 2" xfId="2372" xr:uid="{00000000-0005-0000-0000-0000FE8B0000}"/>
    <cellStyle name="Normal 2 7 2 2 2" xfId="2373" xr:uid="{00000000-0005-0000-0000-0000FF8B0000}"/>
    <cellStyle name="Normal 2 7 2 2 2 2" xfId="22426" xr:uid="{00000000-0005-0000-0000-0000008C0000}"/>
    <cellStyle name="Normal 2 7 2 2 3" xfId="22425" xr:uid="{00000000-0005-0000-0000-0000018C0000}"/>
    <cellStyle name="Normal 2 7 2 3" xfId="2374" xr:uid="{00000000-0005-0000-0000-0000028C0000}"/>
    <cellStyle name="Normal 2 7 2 3 2" xfId="2375" xr:uid="{00000000-0005-0000-0000-0000038C0000}"/>
    <cellStyle name="Normal 2 7 2 3 2 2" xfId="22428" xr:uid="{00000000-0005-0000-0000-0000048C0000}"/>
    <cellStyle name="Normal 2 7 2 3 3" xfId="22427" xr:uid="{00000000-0005-0000-0000-0000058C0000}"/>
    <cellStyle name="Normal 2 7 2 4" xfId="2376" xr:uid="{00000000-0005-0000-0000-0000068C0000}"/>
    <cellStyle name="Normal 2 7 2 4 2" xfId="22429" xr:uid="{00000000-0005-0000-0000-0000078C0000}"/>
    <cellStyle name="Normal 2 7 2 5" xfId="22424" xr:uid="{00000000-0005-0000-0000-0000088C0000}"/>
    <cellStyle name="Normal 2 7 3" xfId="2377" xr:uid="{00000000-0005-0000-0000-0000098C0000}"/>
    <cellStyle name="Normal 2 7 3 2" xfId="2378" xr:uid="{00000000-0005-0000-0000-00000A8C0000}"/>
    <cellStyle name="Normal 2 7 3 2 2" xfId="22431" xr:uid="{00000000-0005-0000-0000-00000B8C0000}"/>
    <cellStyle name="Normal 2 7 3 3" xfId="22430" xr:uid="{00000000-0005-0000-0000-00000C8C0000}"/>
    <cellStyle name="Normal 2 7 4" xfId="2379" xr:uid="{00000000-0005-0000-0000-00000D8C0000}"/>
    <cellStyle name="Normal 2 7 4 2" xfId="2380" xr:uid="{00000000-0005-0000-0000-00000E8C0000}"/>
    <cellStyle name="Normal 2 7 4 2 2" xfId="22433" xr:uid="{00000000-0005-0000-0000-00000F8C0000}"/>
    <cellStyle name="Normal 2 7 4 3" xfId="22432" xr:uid="{00000000-0005-0000-0000-0000108C0000}"/>
    <cellStyle name="Normal 2 7 5" xfId="2381" xr:uid="{00000000-0005-0000-0000-0000118C0000}"/>
    <cellStyle name="Normal 2 7 5 2" xfId="2382" xr:uid="{00000000-0005-0000-0000-0000128C0000}"/>
    <cellStyle name="Normal 2 7 5 2 2" xfId="22435" xr:uid="{00000000-0005-0000-0000-0000138C0000}"/>
    <cellStyle name="Normal 2 7 5 3" xfId="22434" xr:uid="{00000000-0005-0000-0000-0000148C0000}"/>
    <cellStyle name="Normal 2 7 6" xfId="2383" xr:uid="{00000000-0005-0000-0000-0000158C0000}"/>
    <cellStyle name="Normal 2 7 6 2" xfId="22436" xr:uid="{00000000-0005-0000-0000-0000168C0000}"/>
    <cellStyle name="Normal 2 7 7" xfId="7426" xr:uid="{00000000-0005-0000-0000-0000178C0000}"/>
    <cellStyle name="Normal 2 7 8" xfId="22423" xr:uid="{00000000-0005-0000-0000-0000188C0000}"/>
    <cellStyle name="Normal 2 8" xfId="2384" xr:uid="{00000000-0005-0000-0000-0000198C0000}"/>
    <cellStyle name="Normal 2 8 2" xfId="2385" xr:uid="{00000000-0005-0000-0000-00001A8C0000}"/>
    <cellStyle name="Normal 2 8 2 2" xfId="2386" xr:uid="{00000000-0005-0000-0000-00001B8C0000}"/>
    <cellStyle name="Normal 2 8 2 2 2" xfId="2387" xr:uid="{00000000-0005-0000-0000-00001C8C0000}"/>
    <cellStyle name="Normal 2 8 2 2 2 2" xfId="22440" xr:uid="{00000000-0005-0000-0000-00001D8C0000}"/>
    <cellStyle name="Normal 2 8 2 2 3" xfId="22439" xr:uid="{00000000-0005-0000-0000-00001E8C0000}"/>
    <cellStyle name="Normal 2 8 2 3" xfId="2388" xr:uid="{00000000-0005-0000-0000-00001F8C0000}"/>
    <cellStyle name="Normal 2 8 2 3 2" xfId="2389" xr:uid="{00000000-0005-0000-0000-0000208C0000}"/>
    <cellStyle name="Normal 2 8 2 3 2 2" xfId="22442" xr:uid="{00000000-0005-0000-0000-0000218C0000}"/>
    <cellStyle name="Normal 2 8 2 3 3" xfId="22441" xr:uid="{00000000-0005-0000-0000-0000228C0000}"/>
    <cellStyle name="Normal 2 8 2 4" xfId="2390" xr:uid="{00000000-0005-0000-0000-0000238C0000}"/>
    <cellStyle name="Normal 2 8 2 4 2" xfId="22443" xr:uid="{00000000-0005-0000-0000-0000248C0000}"/>
    <cellStyle name="Normal 2 8 2 5" xfId="15502" xr:uid="{00000000-0005-0000-0000-0000258C0000}"/>
    <cellStyle name="Normal 2 8 2 5 2" xfId="33668" xr:uid="{00000000-0005-0000-0000-0000268C0000}"/>
    <cellStyle name="Normal 2 8 2 6" xfId="22438" xr:uid="{00000000-0005-0000-0000-0000278C0000}"/>
    <cellStyle name="Normal 2 8 3" xfId="2391" xr:uid="{00000000-0005-0000-0000-0000288C0000}"/>
    <cellStyle name="Normal 2 8 3 2" xfId="2392" xr:uid="{00000000-0005-0000-0000-0000298C0000}"/>
    <cellStyle name="Normal 2 8 3 2 2" xfId="22445" xr:uid="{00000000-0005-0000-0000-00002A8C0000}"/>
    <cellStyle name="Normal 2 8 3 3" xfId="22444" xr:uid="{00000000-0005-0000-0000-00002B8C0000}"/>
    <cellStyle name="Normal 2 8 4" xfId="2393" xr:uid="{00000000-0005-0000-0000-00002C8C0000}"/>
    <cellStyle name="Normal 2 8 4 2" xfId="2394" xr:uid="{00000000-0005-0000-0000-00002D8C0000}"/>
    <cellStyle name="Normal 2 8 4 2 2" xfId="22447" xr:uid="{00000000-0005-0000-0000-00002E8C0000}"/>
    <cellStyle name="Normal 2 8 4 3" xfId="22446" xr:uid="{00000000-0005-0000-0000-00002F8C0000}"/>
    <cellStyle name="Normal 2 8 5" xfId="2395" xr:uid="{00000000-0005-0000-0000-0000308C0000}"/>
    <cellStyle name="Normal 2 8 5 2" xfId="2396" xr:uid="{00000000-0005-0000-0000-0000318C0000}"/>
    <cellStyle name="Normal 2 8 5 2 2" xfId="22449" xr:uid="{00000000-0005-0000-0000-0000328C0000}"/>
    <cellStyle name="Normal 2 8 5 3" xfId="22448" xr:uid="{00000000-0005-0000-0000-0000338C0000}"/>
    <cellStyle name="Normal 2 8 6" xfId="2397" xr:uid="{00000000-0005-0000-0000-0000348C0000}"/>
    <cellStyle name="Normal 2 8 6 2" xfId="22450" xr:uid="{00000000-0005-0000-0000-0000358C0000}"/>
    <cellStyle name="Normal 2 8 7" xfId="7406" xr:uid="{00000000-0005-0000-0000-0000368C0000}"/>
    <cellStyle name="Normal 2 8 7 2" xfId="26666" xr:uid="{00000000-0005-0000-0000-0000378C0000}"/>
    <cellStyle name="Normal 2 8 8" xfId="22437" xr:uid="{00000000-0005-0000-0000-0000388C0000}"/>
    <cellStyle name="Normal 2 9" xfId="2398" xr:uid="{00000000-0005-0000-0000-0000398C0000}"/>
    <cellStyle name="Normal 2 9 2" xfId="2399" xr:uid="{00000000-0005-0000-0000-00003A8C0000}"/>
    <cellStyle name="Normal 2 9 2 2" xfId="2400" xr:uid="{00000000-0005-0000-0000-00003B8C0000}"/>
    <cellStyle name="Normal 2 9 2 2 2" xfId="2401" xr:uid="{00000000-0005-0000-0000-00003C8C0000}"/>
    <cellStyle name="Normal 2 9 2 2 2 2" xfId="22454" xr:uid="{00000000-0005-0000-0000-00003D8C0000}"/>
    <cellStyle name="Normal 2 9 2 2 3" xfId="22453" xr:uid="{00000000-0005-0000-0000-00003E8C0000}"/>
    <cellStyle name="Normal 2 9 2 3" xfId="2402" xr:uid="{00000000-0005-0000-0000-00003F8C0000}"/>
    <cellStyle name="Normal 2 9 2 3 2" xfId="2403" xr:uid="{00000000-0005-0000-0000-0000408C0000}"/>
    <cellStyle name="Normal 2 9 2 3 2 2" xfId="22456" xr:uid="{00000000-0005-0000-0000-0000418C0000}"/>
    <cellStyle name="Normal 2 9 2 3 3" xfId="22455" xr:uid="{00000000-0005-0000-0000-0000428C0000}"/>
    <cellStyle name="Normal 2 9 2 4" xfId="2404" xr:uid="{00000000-0005-0000-0000-0000438C0000}"/>
    <cellStyle name="Normal 2 9 2 4 2" xfId="22457" xr:uid="{00000000-0005-0000-0000-0000448C0000}"/>
    <cellStyle name="Normal 2 9 2 5" xfId="12373" xr:uid="{00000000-0005-0000-0000-0000458C0000}"/>
    <cellStyle name="Normal 2 9 2 5 2" xfId="30540" xr:uid="{00000000-0005-0000-0000-0000468C0000}"/>
    <cellStyle name="Normal 2 9 2 6" xfId="22452" xr:uid="{00000000-0005-0000-0000-0000478C0000}"/>
    <cellStyle name="Normal 2 9 3" xfId="2405" xr:uid="{00000000-0005-0000-0000-0000488C0000}"/>
    <cellStyle name="Normal 2 9 3 2" xfId="2406" xr:uid="{00000000-0005-0000-0000-0000498C0000}"/>
    <cellStyle name="Normal 2 9 3 2 2" xfId="22459" xr:uid="{00000000-0005-0000-0000-00004A8C0000}"/>
    <cellStyle name="Normal 2 9 3 3" xfId="22458" xr:uid="{00000000-0005-0000-0000-00004B8C0000}"/>
    <cellStyle name="Normal 2 9 4" xfId="2407" xr:uid="{00000000-0005-0000-0000-00004C8C0000}"/>
    <cellStyle name="Normal 2 9 4 2" xfId="2408" xr:uid="{00000000-0005-0000-0000-00004D8C0000}"/>
    <cellStyle name="Normal 2 9 4 2 2" xfId="22461" xr:uid="{00000000-0005-0000-0000-00004E8C0000}"/>
    <cellStyle name="Normal 2 9 4 3" xfId="22460" xr:uid="{00000000-0005-0000-0000-00004F8C0000}"/>
    <cellStyle name="Normal 2 9 5" xfId="2409" xr:uid="{00000000-0005-0000-0000-0000508C0000}"/>
    <cellStyle name="Normal 2 9 5 2" xfId="22462" xr:uid="{00000000-0005-0000-0000-0000518C0000}"/>
    <cellStyle name="Normal 2 9 6" xfId="3817" xr:uid="{00000000-0005-0000-0000-0000528C0000}"/>
    <cellStyle name="Normal 2 9 6 2" xfId="23538" xr:uid="{00000000-0005-0000-0000-0000538C0000}"/>
    <cellStyle name="Normal 2 9 7" xfId="22451" xr:uid="{00000000-0005-0000-0000-0000548C0000}"/>
    <cellStyle name="Normal 20" xfId="2410" xr:uid="{00000000-0005-0000-0000-0000558C0000}"/>
    <cellStyle name="Normal 20 2" xfId="2411" xr:uid="{00000000-0005-0000-0000-0000568C0000}"/>
    <cellStyle name="Normal 20 2 2" xfId="11145" xr:uid="{00000000-0005-0000-0000-0000578C0000}"/>
    <cellStyle name="Normal 20 2 3" xfId="10847" xr:uid="{00000000-0005-0000-0000-0000588C0000}"/>
    <cellStyle name="Normal 20 2 4" xfId="22464" xr:uid="{00000000-0005-0000-0000-0000598C0000}"/>
    <cellStyle name="Normal 20 3" xfId="11104" xr:uid="{00000000-0005-0000-0000-00005A8C0000}"/>
    <cellStyle name="Normal 20 4" xfId="7427" xr:uid="{00000000-0005-0000-0000-00005B8C0000}"/>
    <cellStyle name="Normal 20 5" xfId="22463" xr:uid="{00000000-0005-0000-0000-00005C8C0000}"/>
    <cellStyle name="Normal 21" xfId="2412" xr:uid="{00000000-0005-0000-0000-00005D8C0000}"/>
    <cellStyle name="Normal 21 2" xfId="2413" xr:uid="{00000000-0005-0000-0000-00005E8C0000}"/>
    <cellStyle name="Normal 21 2 2" xfId="11074" xr:uid="{00000000-0005-0000-0000-00005F8C0000}"/>
    <cellStyle name="Normal 21 2 3" xfId="22466" xr:uid="{00000000-0005-0000-0000-0000608C0000}"/>
    <cellStyle name="Normal 21 3" xfId="3826" xr:uid="{00000000-0005-0000-0000-0000618C0000}"/>
    <cellStyle name="Normal 21 4" xfId="22465" xr:uid="{00000000-0005-0000-0000-0000628C0000}"/>
    <cellStyle name="Normal 22" xfId="2414" xr:uid="{00000000-0005-0000-0000-0000638C0000}"/>
    <cellStyle name="Normal 22 2" xfId="2415" xr:uid="{00000000-0005-0000-0000-0000648C0000}"/>
    <cellStyle name="Normal 22 2 2" xfId="18914" xr:uid="{00000000-0005-0000-0000-0000658C0000}"/>
    <cellStyle name="Normal 22 2 2 2" xfId="37074" xr:uid="{00000000-0005-0000-0000-0000668C0000}"/>
    <cellStyle name="Normal 22 2 3" xfId="22468" xr:uid="{00000000-0005-0000-0000-0000678C0000}"/>
    <cellStyle name="Normal 22 3" xfId="11065" xr:uid="{00000000-0005-0000-0000-0000688C0000}"/>
    <cellStyle name="Normal 22 3 2" xfId="30073" xr:uid="{00000000-0005-0000-0000-0000698C0000}"/>
    <cellStyle name="Normal 22 4" xfId="22467" xr:uid="{00000000-0005-0000-0000-00006A8C0000}"/>
    <cellStyle name="Normal 23" xfId="2416" xr:uid="{00000000-0005-0000-0000-00006B8C0000}"/>
    <cellStyle name="Normal 23 2" xfId="2417" xr:uid="{00000000-0005-0000-0000-00006C8C0000}"/>
    <cellStyle name="Normal 23 2 2" xfId="11146" xr:uid="{00000000-0005-0000-0000-00006D8C0000}"/>
    <cellStyle name="Normal 23 2 3" xfId="22470" xr:uid="{00000000-0005-0000-0000-00006E8C0000}"/>
    <cellStyle name="Normal 23 3" xfId="3814" xr:uid="{00000000-0005-0000-0000-00006F8C0000}"/>
    <cellStyle name="Normal 23 4" xfId="22469" xr:uid="{00000000-0005-0000-0000-0000708C0000}"/>
    <cellStyle name="Normal 24" xfId="2418" xr:uid="{00000000-0005-0000-0000-0000718C0000}"/>
    <cellStyle name="Normal 24 2" xfId="11150" xr:uid="{00000000-0005-0000-0000-0000728C0000}"/>
    <cellStyle name="Normal 24 3" xfId="11071" xr:uid="{00000000-0005-0000-0000-0000738C0000}"/>
    <cellStyle name="Normal 25" xfId="2419" xr:uid="{00000000-0005-0000-0000-0000748C0000}"/>
    <cellStyle name="Normal 25 2" xfId="11147" xr:uid="{00000000-0005-0000-0000-0000758C0000}"/>
    <cellStyle name="Normal 26" xfId="2420" xr:uid="{00000000-0005-0000-0000-0000768C0000}"/>
    <cellStyle name="Normal 26 2" xfId="12369" xr:uid="{00000000-0005-0000-0000-0000778C0000}"/>
    <cellStyle name="Normal 26 2 2" xfId="30536" xr:uid="{00000000-0005-0000-0000-0000788C0000}"/>
    <cellStyle name="Normal 26 3" xfId="3811" xr:uid="{00000000-0005-0000-0000-0000798C0000}"/>
    <cellStyle name="Normal 26 3 2" xfId="23534" xr:uid="{00000000-0005-0000-0000-00007A8C0000}"/>
    <cellStyle name="Normal 27" xfId="2421" xr:uid="{00000000-0005-0000-0000-00007B8C0000}"/>
    <cellStyle name="Normal 27 2" xfId="18964" xr:uid="{00000000-0005-0000-0000-00007C8C0000}"/>
    <cellStyle name="Normal 27 2 2" xfId="37123" xr:uid="{00000000-0005-0000-0000-00007D8C0000}"/>
    <cellStyle name="Normal 27 3" xfId="11191" xr:uid="{00000000-0005-0000-0000-00007E8C0000}"/>
    <cellStyle name="Normal 27 3 2" xfId="30122" xr:uid="{00000000-0005-0000-0000-00007F8C0000}"/>
    <cellStyle name="Normal 28" xfId="2422" xr:uid="{00000000-0005-0000-0000-0000808C0000}"/>
    <cellStyle name="Normal 28 2" xfId="11954" xr:uid="{00000000-0005-0000-0000-0000818C0000}"/>
    <cellStyle name="Normal 29" xfId="2423" xr:uid="{00000000-0005-0000-0000-0000828C0000}"/>
    <cellStyle name="Normal 29 2" xfId="11930" xr:uid="{00000000-0005-0000-0000-0000838C0000}"/>
    <cellStyle name="Normal 29 2 2" xfId="30129" xr:uid="{00000000-0005-0000-0000-0000848C0000}"/>
    <cellStyle name="Normal 3" xfId="856" xr:uid="{00000000-0005-0000-0000-0000858C0000}"/>
    <cellStyle name="Normal 3 10" xfId="2424" xr:uid="{00000000-0005-0000-0000-0000868C0000}"/>
    <cellStyle name="Normal 3 10 2" xfId="2425" xr:uid="{00000000-0005-0000-0000-0000878C0000}"/>
    <cellStyle name="Normal 3 10 2 2" xfId="2426" xr:uid="{00000000-0005-0000-0000-0000888C0000}"/>
    <cellStyle name="Normal 3 10 2 2 2" xfId="22473" xr:uid="{00000000-0005-0000-0000-0000898C0000}"/>
    <cellStyle name="Normal 3 10 2 3" xfId="22472" xr:uid="{00000000-0005-0000-0000-00008A8C0000}"/>
    <cellStyle name="Normal 3 10 3" xfId="2427" xr:uid="{00000000-0005-0000-0000-00008B8C0000}"/>
    <cellStyle name="Normal 3 10 3 2" xfId="22474" xr:uid="{00000000-0005-0000-0000-00008C8C0000}"/>
    <cellStyle name="Normal 3 10 4" xfId="11932" xr:uid="{00000000-0005-0000-0000-00008D8C0000}"/>
    <cellStyle name="Normal 3 10 4 2" xfId="30130" xr:uid="{00000000-0005-0000-0000-00008E8C0000}"/>
    <cellStyle name="Normal 3 10 5" xfId="22471" xr:uid="{00000000-0005-0000-0000-00008F8C0000}"/>
    <cellStyle name="Normal 3 11" xfId="2428" xr:uid="{00000000-0005-0000-0000-0000908C0000}"/>
    <cellStyle name="Normal 3 11 2" xfId="2429" xr:uid="{00000000-0005-0000-0000-0000918C0000}"/>
    <cellStyle name="Normal 3 11 2 2" xfId="22476" xr:uid="{00000000-0005-0000-0000-0000928C0000}"/>
    <cellStyle name="Normal 3 11 3" xfId="19712" xr:uid="{00000000-0005-0000-0000-0000938C0000}"/>
    <cellStyle name="Normal 3 11 4" xfId="22475" xr:uid="{00000000-0005-0000-0000-0000948C0000}"/>
    <cellStyle name="Normal 3 12" xfId="2430" xr:uid="{00000000-0005-0000-0000-0000958C0000}"/>
    <cellStyle name="Normal 3 12 2" xfId="2431" xr:uid="{00000000-0005-0000-0000-0000968C0000}"/>
    <cellStyle name="Normal 3 12 2 2" xfId="22478" xr:uid="{00000000-0005-0000-0000-0000978C0000}"/>
    <cellStyle name="Normal 3 12 3" xfId="22477" xr:uid="{00000000-0005-0000-0000-0000988C0000}"/>
    <cellStyle name="Normal 3 13" xfId="2432" xr:uid="{00000000-0005-0000-0000-0000998C0000}"/>
    <cellStyle name="Normal 3 13 2" xfId="2433" xr:uid="{00000000-0005-0000-0000-00009A8C0000}"/>
    <cellStyle name="Normal 3 13 2 2" xfId="22480" xr:uid="{00000000-0005-0000-0000-00009B8C0000}"/>
    <cellStyle name="Normal 3 13 3" xfId="22479" xr:uid="{00000000-0005-0000-0000-00009C8C0000}"/>
    <cellStyle name="Normal 3 14" xfId="2434" xr:uid="{00000000-0005-0000-0000-00009D8C0000}"/>
    <cellStyle name="Normal 3 14 2" xfId="2435" xr:uid="{00000000-0005-0000-0000-00009E8C0000}"/>
    <cellStyle name="Normal 3 14 2 2" xfId="22482" xr:uid="{00000000-0005-0000-0000-00009F8C0000}"/>
    <cellStyle name="Normal 3 14 3" xfId="22481" xr:uid="{00000000-0005-0000-0000-0000A08C0000}"/>
    <cellStyle name="Normal 3 15" xfId="3447" xr:uid="{00000000-0005-0000-0000-0000A18C0000}"/>
    <cellStyle name="Normal 3 15 2" xfId="23447" xr:uid="{00000000-0005-0000-0000-0000A28C0000}"/>
    <cellStyle name="Normal 3 16" xfId="21778" xr:uid="{00000000-0005-0000-0000-0000A38C0000}"/>
    <cellStyle name="Normal 3 17" xfId="39351" xr:uid="{00000000-0005-0000-0000-0000A48C0000}"/>
    <cellStyle name="Normal 3 18" xfId="39931" xr:uid="{00000000-0005-0000-0000-0000A58C0000}"/>
    <cellStyle name="Normal 3 19" xfId="40417" xr:uid="{00000000-0005-0000-0000-0000A68C0000}"/>
    <cellStyle name="Normal 3 2" xfId="857" xr:uid="{00000000-0005-0000-0000-0000A78C0000}"/>
    <cellStyle name="Normal 3 2 10" xfId="3448" xr:uid="{00000000-0005-0000-0000-0000A88C0000}"/>
    <cellStyle name="Normal 3 2 10 2" xfId="23448" xr:uid="{00000000-0005-0000-0000-0000A98C0000}"/>
    <cellStyle name="Normal 3 2 11" xfId="21779" xr:uid="{00000000-0005-0000-0000-0000AA8C0000}"/>
    <cellStyle name="Normal 3 2 12" xfId="38629" xr:uid="{00000000-0005-0000-0000-0000AB8C0000}"/>
    <cellStyle name="Normal 3 2 13" xfId="39352" xr:uid="{00000000-0005-0000-0000-0000AC8C0000}"/>
    <cellStyle name="Normal 3 2 14" xfId="39932" xr:uid="{00000000-0005-0000-0000-0000AD8C0000}"/>
    <cellStyle name="Normal 3 2 15" xfId="40418" xr:uid="{00000000-0005-0000-0000-0000AE8C0000}"/>
    <cellStyle name="Normal 3 2 2" xfId="858" xr:uid="{00000000-0005-0000-0000-0000AF8C0000}"/>
    <cellStyle name="Normal 3 2 2 10" xfId="40419" xr:uid="{00000000-0005-0000-0000-0000B08C0000}"/>
    <cellStyle name="Normal 3 2 2 2" xfId="2436" xr:uid="{00000000-0005-0000-0000-0000B18C0000}"/>
    <cellStyle name="Normal 3 2 2 2 2" xfId="2437" xr:uid="{00000000-0005-0000-0000-0000B28C0000}"/>
    <cellStyle name="Normal 3 2 2 2 2 2" xfId="11106" xr:uid="{00000000-0005-0000-0000-0000B38C0000}"/>
    <cellStyle name="Normal 3 2 2 2 2 3" xfId="22484" xr:uid="{00000000-0005-0000-0000-0000B48C0000}"/>
    <cellStyle name="Normal 3 2 2 2 3" xfId="11186" xr:uid="{00000000-0005-0000-0000-0000B58C0000}"/>
    <cellStyle name="Normal 3 2 2 2 3 2" xfId="18960" xr:uid="{00000000-0005-0000-0000-0000B68C0000}"/>
    <cellStyle name="Normal 3 2 2 2 3 2 2" xfId="37119" xr:uid="{00000000-0005-0000-0000-0000B78C0000}"/>
    <cellStyle name="Normal 3 2 2 2 3 3" xfId="30118" xr:uid="{00000000-0005-0000-0000-0000B88C0000}"/>
    <cellStyle name="Normal 3 2 2 2 4" xfId="12362" xr:uid="{00000000-0005-0000-0000-0000B98C0000}"/>
    <cellStyle name="Normal 3 2 2 2 4 2" xfId="30532" xr:uid="{00000000-0005-0000-0000-0000BA8C0000}"/>
    <cellStyle name="Normal 3 2 2 2 5" xfId="3602" xr:uid="{00000000-0005-0000-0000-0000BB8C0000}"/>
    <cellStyle name="Normal 3 2 2 2 5 2" xfId="23530" xr:uid="{00000000-0005-0000-0000-0000BC8C0000}"/>
    <cellStyle name="Normal 3 2 2 2 6" xfId="22483" xr:uid="{00000000-0005-0000-0000-0000BD8C0000}"/>
    <cellStyle name="Normal 3 2 2 2 7" xfId="39446" xr:uid="{00000000-0005-0000-0000-0000BE8C0000}"/>
    <cellStyle name="Normal 3 2 2 3" xfId="2438" xr:uid="{00000000-0005-0000-0000-0000BF8C0000}"/>
    <cellStyle name="Normal 3 2 2 3 2" xfId="2439" xr:uid="{00000000-0005-0000-0000-0000C08C0000}"/>
    <cellStyle name="Normal 3 2 2 3 2 2" xfId="21234" xr:uid="{00000000-0005-0000-0000-0000C18C0000}"/>
    <cellStyle name="Normal 3 2 2 3 2 2 2" xfId="38081" xr:uid="{00000000-0005-0000-0000-0000C28C0000}"/>
    <cellStyle name="Normal 3 2 2 3 2 3" xfId="22486" xr:uid="{00000000-0005-0000-0000-0000C38C0000}"/>
    <cellStyle name="Normal 3 2 2 3 3" xfId="7430" xr:uid="{00000000-0005-0000-0000-0000C48C0000}"/>
    <cellStyle name="Normal 3 2 2 3 4" xfId="22485" xr:uid="{00000000-0005-0000-0000-0000C58C0000}"/>
    <cellStyle name="Normal 3 2 2 3 5" xfId="39036" xr:uid="{00000000-0005-0000-0000-0000C68C0000}"/>
    <cellStyle name="Normal 3 2 2 4" xfId="2440" xr:uid="{00000000-0005-0000-0000-0000C78C0000}"/>
    <cellStyle name="Normal 3 2 2 4 2" xfId="2441" xr:uid="{00000000-0005-0000-0000-0000C88C0000}"/>
    <cellStyle name="Normal 3 2 2 4 2 2" xfId="18929" xr:uid="{00000000-0005-0000-0000-0000C98C0000}"/>
    <cellStyle name="Normal 3 2 2 4 2 2 2" xfId="37088" xr:uid="{00000000-0005-0000-0000-0000CA8C0000}"/>
    <cellStyle name="Normal 3 2 2 4 2 3" xfId="22488" xr:uid="{00000000-0005-0000-0000-0000CB8C0000}"/>
    <cellStyle name="Normal 3 2 2 4 3" xfId="11154" xr:uid="{00000000-0005-0000-0000-0000CC8C0000}"/>
    <cellStyle name="Normal 3 2 2 4 3 2" xfId="30087" xr:uid="{00000000-0005-0000-0000-0000CD8C0000}"/>
    <cellStyle name="Normal 3 2 2 4 4" xfId="22487" xr:uid="{00000000-0005-0000-0000-0000CE8C0000}"/>
    <cellStyle name="Normal 3 2 2 5" xfId="2442" xr:uid="{00000000-0005-0000-0000-0000CF8C0000}"/>
    <cellStyle name="Normal 3 2 2 5 2" xfId="12267" xr:uid="{00000000-0005-0000-0000-0000D08C0000}"/>
    <cellStyle name="Normal 3 2 2 5 2 2" xfId="30452" xr:uid="{00000000-0005-0000-0000-0000D18C0000}"/>
    <cellStyle name="Normal 3 2 2 5 3" xfId="22489" xr:uid="{00000000-0005-0000-0000-0000D28C0000}"/>
    <cellStyle name="Normal 3 2 2 6" xfId="3449" xr:uid="{00000000-0005-0000-0000-0000D38C0000}"/>
    <cellStyle name="Normal 3 2 2 6 2" xfId="23449" xr:uid="{00000000-0005-0000-0000-0000D48C0000}"/>
    <cellStyle name="Normal 3 2 2 7" xfId="21780" xr:uid="{00000000-0005-0000-0000-0000D58C0000}"/>
    <cellStyle name="Normal 3 2 2 8" xfId="39353" xr:uid="{00000000-0005-0000-0000-0000D68C0000}"/>
    <cellStyle name="Normal 3 2 2 9" xfId="39933" xr:uid="{00000000-0005-0000-0000-0000D78C0000}"/>
    <cellStyle name="Normal 3 2 3" xfId="2443" xr:uid="{00000000-0005-0000-0000-0000D88C0000}"/>
    <cellStyle name="Normal 3 2 3 10" xfId="39445" xr:uid="{00000000-0005-0000-0000-0000D98C0000}"/>
    <cellStyle name="Normal 3 2 3 2" xfId="2444" xr:uid="{00000000-0005-0000-0000-0000DA8C0000}"/>
    <cellStyle name="Normal 3 2 3 2 2" xfId="18822" xr:uid="{00000000-0005-0000-0000-0000DB8C0000}"/>
    <cellStyle name="Normal 3 2 3 2 2 2" xfId="36982" xr:uid="{00000000-0005-0000-0000-0000DC8C0000}"/>
    <cellStyle name="Normal 3 2 3 2 3" xfId="21212" xr:uid="{00000000-0005-0000-0000-0000DD8C0000}"/>
    <cellStyle name="Normal 3 2 3 2 3 2" xfId="38063" xr:uid="{00000000-0005-0000-0000-0000DE8C0000}"/>
    <cellStyle name="Normal 3 2 3 2 4" xfId="10942" xr:uid="{00000000-0005-0000-0000-0000DF8C0000}"/>
    <cellStyle name="Normal 3 2 3 2 4 2" xfId="29981" xr:uid="{00000000-0005-0000-0000-0000E08C0000}"/>
    <cellStyle name="Normal 3 2 3 2 5" xfId="22491" xr:uid="{00000000-0005-0000-0000-0000E18C0000}"/>
    <cellStyle name="Normal 3 2 3 2 6" xfId="39018" xr:uid="{00000000-0005-0000-0000-0000E28C0000}"/>
    <cellStyle name="Normal 3 2 3 3" xfId="7431" xr:uid="{00000000-0005-0000-0000-0000E38C0000}"/>
    <cellStyle name="Normal 3 2 3 3 2" xfId="15517" xr:uid="{00000000-0005-0000-0000-0000E48C0000}"/>
    <cellStyle name="Normal 3 2 3 3 2 2" xfId="33683" xr:uid="{00000000-0005-0000-0000-0000E58C0000}"/>
    <cellStyle name="Normal 3 2 3 3 3" xfId="26681" xr:uid="{00000000-0005-0000-0000-0000E68C0000}"/>
    <cellStyle name="Normal 3 2 3 4" xfId="11185" xr:uid="{00000000-0005-0000-0000-0000E78C0000}"/>
    <cellStyle name="Normal 3 2 3 4 2" xfId="18959" xr:uid="{00000000-0005-0000-0000-0000E88C0000}"/>
    <cellStyle name="Normal 3 2 3 4 2 2" xfId="37118" xr:uid="{00000000-0005-0000-0000-0000E98C0000}"/>
    <cellStyle name="Normal 3 2 3 4 3" xfId="30117" xr:uid="{00000000-0005-0000-0000-0000EA8C0000}"/>
    <cellStyle name="Normal 3 2 3 5" xfId="12361" xr:uid="{00000000-0005-0000-0000-0000EB8C0000}"/>
    <cellStyle name="Normal 3 2 3 5 2" xfId="30531" xr:uid="{00000000-0005-0000-0000-0000EC8C0000}"/>
    <cellStyle name="Normal 3 2 3 6" xfId="20727" xr:uid="{00000000-0005-0000-0000-0000ED8C0000}"/>
    <cellStyle name="Normal 3 2 3 6 2" xfId="38043" xr:uid="{00000000-0005-0000-0000-0000EE8C0000}"/>
    <cellStyle name="Normal 3 2 3 7" xfId="3601" xr:uid="{00000000-0005-0000-0000-0000EF8C0000}"/>
    <cellStyle name="Normal 3 2 3 7 2" xfId="23529" xr:uid="{00000000-0005-0000-0000-0000F08C0000}"/>
    <cellStyle name="Normal 3 2 3 8" xfId="22490" xr:uid="{00000000-0005-0000-0000-0000F18C0000}"/>
    <cellStyle name="Normal 3 2 3 9" xfId="38998" xr:uid="{00000000-0005-0000-0000-0000F28C0000}"/>
    <cellStyle name="Normal 3 2 4" xfId="2445" xr:uid="{00000000-0005-0000-0000-0000F38C0000}"/>
    <cellStyle name="Normal 3 2 4 2" xfId="2446" xr:uid="{00000000-0005-0000-0000-0000F48C0000}"/>
    <cellStyle name="Normal 3 2 4 2 2" xfId="16239" xr:uid="{00000000-0005-0000-0000-0000F58C0000}"/>
    <cellStyle name="Normal 3 2 4 2 2 2" xfId="34399" xr:uid="{00000000-0005-0000-0000-0000F68C0000}"/>
    <cellStyle name="Normal 3 2 4 2 3" xfId="22493" xr:uid="{00000000-0005-0000-0000-0000F78C0000}"/>
    <cellStyle name="Normal 3 2 4 3" xfId="21228" xr:uid="{00000000-0005-0000-0000-0000F88C0000}"/>
    <cellStyle name="Normal 3 2 4 3 2" xfId="38077" xr:uid="{00000000-0005-0000-0000-0000F98C0000}"/>
    <cellStyle name="Normal 3 2 4 4" xfId="8322" xr:uid="{00000000-0005-0000-0000-0000FA8C0000}"/>
    <cellStyle name="Normal 3 2 4 4 2" xfId="27398" xr:uid="{00000000-0005-0000-0000-0000FB8C0000}"/>
    <cellStyle name="Normal 3 2 4 5" xfId="22492" xr:uid="{00000000-0005-0000-0000-0000FC8C0000}"/>
    <cellStyle name="Normal 3 2 4 6" xfId="39032" xr:uid="{00000000-0005-0000-0000-0000FD8C0000}"/>
    <cellStyle name="Normal 3 2 5" xfId="2447" xr:uid="{00000000-0005-0000-0000-0000FE8C0000}"/>
    <cellStyle name="Normal 3 2 5 2" xfId="2448" xr:uid="{00000000-0005-0000-0000-0000FF8C0000}"/>
    <cellStyle name="Normal 3 2 5 2 2" xfId="15516" xr:uid="{00000000-0005-0000-0000-0000008D0000}"/>
    <cellStyle name="Normal 3 2 5 2 2 2" xfId="33682" xr:uid="{00000000-0005-0000-0000-0000018D0000}"/>
    <cellStyle name="Normal 3 2 5 2 3" xfId="22495" xr:uid="{00000000-0005-0000-0000-0000028D0000}"/>
    <cellStyle name="Normal 3 2 5 3" xfId="21193" xr:uid="{00000000-0005-0000-0000-0000038D0000}"/>
    <cellStyle name="Normal 3 2 5 3 2" xfId="38053" xr:uid="{00000000-0005-0000-0000-0000048D0000}"/>
    <cellStyle name="Normal 3 2 5 4" xfId="7429" xr:uid="{00000000-0005-0000-0000-0000058D0000}"/>
    <cellStyle name="Normal 3 2 5 4 2" xfId="26680" xr:uid="{00000000-0005-0000-0000-0000068D0000}"/>
    <cellStyle name="Normal 3 2 5 5" xfId="22494" xr:uid="{00000000-0005-0000-0000-0000078D0000}"/>
    <cellStyle name="Normal 3 2 5 6" xfId="39008" xr:uid="{00000000-0005-0000-0000-0000088D0000}"/>
    <cellStyle name="Normal 3 2 6" xfId="2449" xr:uid="{00000000-0005-0000-0000-0000098D0000}"/>
    <cellStyle name="Normal 3 2 6 2" xfId="2450" xr:uid="{00000000-0005-0000-0000-00000A8D0000}"/>
    <cellStyle name="Normal 3 2 6 2 2" xfId="18928" xr:uid="{00000000-0005-0000-0000-00000B8D0000}"/>
    <cellStyle name="Normal 3 2 6 2 2 2" xfId="37087" xr:uid="{00000000-0005-0000-0000-00000C8D0000}"/>
    <cellStyle name="Normal 3 2 6 2 3" xfId="22497" xr:uid="{00000000-0005-0000-0000-00000D8D0000}"/>
    <cellStyle name="Normal 3 2 6 3" xfId="11153" xr:uid="{00000000-0005-0000-0000-00000E8D0000}"/>
    <cellStyle name="Normal 3 2 6 3 2" xfId="30086" xr:uid="{00000000-0005-0000-0000-00000F8D0000}"/>
    <cellStyle name="Normal 3 2 6 4" xfId="22496" xr:uid="{00000000-0005-0000-0000-0000108D0000}"/>
    <cellStyle name="Normal 3 2 7" xfId="2451" xr:uid="{00000000-0005-0000-0000-0000118D0000}"/>
    <cellStyle name="Normal 3 2 7 2" xfId="2452" xr:uid="{00000000-0005-0000-0000-0000128D0000}"/>
    <cellStyle name="Normal 3 2 7 2 2" xfId="18967" xr:uid="{00000000-0005-0000-0000-0000138D0000}"/>
    <cellStyle name="Normal 3 2 7 2 2 2" xfId="37125" xr:uid="{00000000-0005-0000-0000-0000148D0000}"/>
    <cellStyle name="Normal 3 2 7 2 3" xfId="22499" xr:uid="{00000000-0005-0000-0000-0000158D0000}"/>
    <cellStyle name="Normal 3 2 7 3" xfId="11708" xr:uid="{00000000-0005-0000-0000-0000168D0000}"/>
    <cellStyle name="Normal 3 2 7 3 2" xfId="30124" xr:uid="{00000000-0005-0000-0000-0000178D0000}"/>
    <cellStyle name="Normal 3 2 7 4" xfId="22498" xr:uid="{00000000-0005-0000-0000-0000188D0000}"/>
    <cellStyle name="Normal 3 2 8" xfId="2453" xr:uid="{00000000-0005-0000-0000-0000198D0000}"/>
    <cellStyle name="Normal 3 2 8 2" xfId="11933" xr:uid="{00000000-0005-0000-0000-00001A8D0000}"/>
    <cellStyle name="Normal 3 2 8 2 2" xfId="30131" xr:uid="{00000000-0005-0000-0000-00001B8D0000}"/>
    <cellStyle name="Normal 3 2 9" xfId="19713" xr:uid="{00000000-0005-0000-0000-00001C8D0000}"/>
    <cellStyle name="Normal 3 2 9 2" xfId="37674" xr:uid="{00000000-0005-0000-0000-00001D8D0000}"/>
    <cellStyle name="Normal 3 3" xfId="859" xr:uid="{00000000-0005-0000-0000-00001E8D0000}"/>
    <cellStyle name="Normal 3 3 2" xfId="2454" xr:uid="{00000000-0005-0000-0000-00001F8D0000}"/>
    <cellStyle name="Normal 3 3 2 2" xfId="2455" xr:uid="{00000000-0005-0000-0000-0000208D0000}"/>
    <cellStyle name="Normal 3 3 2 2 2" xfId="2456" xr:uid="{00000000-0005-0000-0000-0000218D0000}"/>
    <cellStyle name="Normal 3 3 2 2 2 2" xfId="22502" xr:uid="{00000000-0005-0000-0000-0000228D0000}"/>
    <cellStyle name="Normal 3 3 2 2 3" xfId="21213" xr:uid="{00000000-0005-0000-0000-0000238D0000}"/>
    <cellStyle name="Normal 3 3 2 2 3 2" xfId="38064" xr:uid="{00000000-0005-0000-0000-0000248D0000}"/>
    <cellStyle name="Normal 3 3 2 2 4" xfId="22501" xr:uid="{00000000-0005-0000-0000-0000258D0000}"/>
    <cellStyle name="Normal 3 3 2 2 5" xfId="39019" xr:uid="{00000000-0005-0000-0000-0000268D0000}"/>
    <cellStyle name="Normal 3 3 2 3" xfId="2457" xr:uid="{00000000-0005-0000-0000-0000278D0000}"/>
    <cellStyle name="Normal 3 3 2 3 2" xfId="2458" xr:uid="{00000000-0005-0000-0000-0000288D0000}"/>
    <cellStyle name="Normal 3 3 2 3 2 2" xfId="22504" xr:uid="{00000000-0005-0000-0000-0000298D0000}"/>
    <cellStyle name="Normal 3 3 2 3 3" xfId="20728" xr:uid="{00000000-0005-0000-0000-00002A8D0000}"/>
    <cellStyle name="Normal 3 3 2 3 3 2" xfId="38044" xr:uid="{00000000-0005-0000-0000-00002B8D0000}"/>
    <cellStyle name="Normal 3 3 2 3 4" xfId="22503" xr:uid="{00000000-0005-0000-0000-00002C8D0000}"/>
    <cellStyle name="Normal 3 3 2 4" xfId="2459" xr:uid="{00000000-0005-0000-0000-00002D8D0000}"/>
    <cellStyle name="Normal 3 3 2 4 2" xfId="22505" xr:uid="{00000000-0005-0000-0000-00002E8D0000}"/>
    <cellStyle name="Normal 3 3 2 5" xfId="11107" xr:uid="{00000000-0005-0000-0000-00002F8D0000}"/>
    <cellStyle name="Normal 3 3 2 6" xfId="22500" xr:uid="{00000000-0005-0000-0000-0000308D0000}"/>
    <cellStyle name="Normal 3 3 2 7" xfId="38999" xr:uid="{00000000-0005-0000-0000-0000318D0000}"/>
    <cellStyle name="Normal 3 3 3" xfId="2460" xr:uid="{00000000-0005-0000-0000-0000328D0000}"/>
    <cellStyle name="Normal 3 3 3 2" xfId="2461" xr:uid="{00000000-0005-0000-0000-0000338D0000}"/>
    <cellStyle name="Normal 3 3 3 2 2" xfId="21233" xr:uid="{00000000-0005-0000-0000-0000348D0000}"/>
    <cellStyle name="Normal 3 3 3 2 2 2" xfId="38080" xr:uid="{00000000-0005-0000-0000-0000358D0000}"/>
    <cellStyle name="Normal 3 3 3 2 3" xfId="22507" xr:uid="{00000000-0005-0000-0000-0000368D0000}"/>
    <cellStyle name="Normal 3 3 3 3" xfId="7432" xr:uid="{00000000-0005-0000-0000-0000378D0000}"/>
    <cellStyle name="Normal 3 3 3 4" xfId="22506" xr:uid="{00000000-0005-0000-0000-0000388D0000}"/>
    <cellStyle name="Normal 3 3 3 5" xfId="39035" xr:uid="{00000000-0005-0000-0000-0000398D0000}"/>
    <cellStyle name="Normal 3 3 4" xfId="2462" xr:uid="{00000000-0005-0000-0000-00003A8D0000}"/>
    <cellStyle name="Normal 3 3 4 2" xfId="2463" xr:uid="{00000000-0005-0000-0000-00003B8D0000}"/>
    <cellStyle name="Normal 3 3 4 2 2" xfId="22509" xr:uid="{00000000-0005-0000-0000-00003C8D0000}"/>
    <cellStyle name="Normal 3 3 4 3" xfId="21194" xr:uid="{00000000-0005-0000-0000-00003D8D0000}"/>
    <cellStyle name="Normal 3 3 4 3 2" xfId="38054" xr:uid="{00000000-0005-0000-0000-00003E8D0000}"/>
    <cellStyle name="Normal 3 3 4 4" xfId="22508" xr:uid="{00000000-0005-0000-0000-00003F8D0000}"/>
    <cellStyle name="Normal 3 3 4 5" xfId="39009" xr:uid="{00000000-0005-0000-0000-0000408D0000}"/>
    <cellStyle name="Normal 3 3 5" xfId="2464" xr:uid="{00000000-0005-0000-0000-0000418D0000}"/>
    <cellStyle name="Normal 3 3 5 2" xfId="2465" xr:uid="{00000000-0005-0000-0000-0000428D0000}"/>
    <cellStyle name="Normal 3 3 5 2 2" xfId="22511" xr:uid="{00000000-0005-0000-0000-0000438D0000}"/>
    <cellStyle name="Normal 3 3 5 3" xfId="19714" xr:uid="{00000000-0005-0000-0000-0000448D0000}"/>
    <cellStyle name="Normal 3 3 5 3 2" xfId="37675" xr:uid="{00000000-0005-0000-0000-0000458D0000}"/>
    <cellStyle name="Normal 3 3 5 4" xfId="22510" xr:uid="{00000000-0005-0000-0000-0000468D0000}"/>
    <cellStyle name="Normal 3 3 6" xfId="2466" xr:uid="{00000000-0005-0000-0000-0000478D0000}"/>
    <cellStyle name="Normal 3 3 6 2" xfId="2467" xr:uid="{00000000-0005-0000-0000-0000488D0000}"/>
    <cellStyle name="Normal 3 3 6 2 2" xfId="22513" xr:uid="{00000000-0005-0000-0000-0000498D0000}"/>
    <cellStyle name="Normal 3 3 6 3" xfId="22512" xr:uid="{00000000-0005-0000-0000-00004A8D0000}"/>
    <cellStyle name="Normal 3 3 7" xfId="2468" xr:uid="{00000000-0005-0000-0000-00004B8D0000}"/>
    <cellStyle name="Normal 3 3 7 2" xfId="22514" xr:uid="{00000000-0005-0000-0000-00004C8D0000}"/>
    <cellStyle name="Normal 3 3 8" xfId="38630" xr:uid="{00000000-0005-0000-0000-00004D8D0000}"/>
    <cellStyle name="Normal 3 4" xfId="2469" xr:uid="{00000000-0005-0000-0000-00004E8D0000}"/>
    <cellStyle name="Normal 3 4 10" xfId="39031" xr:uid="{00000000-0005-0000-0000-00004F8D0000}"/>
    <cellStyle name="Normal 3 4 11" xfId="39371" xr:uid="{00000000-0005-0000-0000-0000508D0000}"/>
    <cellStyle name="Normal 3 4 2" xfId="2470" xr:uid="{00000000-0005-0000-0000-0000518D0000}"/>
    <cellStyle name="Normal 3 4 2 2" xfId="2471" xr:uid="{00000000-0005-0000-0000-0000528D0000}"/>
    <cellStyle name="Normal 3 4 2 2 2" xfId="2472" xr:uid="{00000000-0005-0000-0000-0000538D0000}"/>
    <cellStyle name="Normal 3 4 2 2 2 2" xfId="22518" xr:uid="{00000000-0005-0000-0000-0000548D0000}"/>
    <cellStyle name="Normal 3 4 2 2 3" xfId="22517" xr:uid="{00000000-0005-0000-0000-0000558D0000}"/>
    <cellStyle name="Normal 3 4 2 3" xfId="2473" xr:uid="{00000000-0005-0000-0000-0000568D0000}"/>
    <cellStyle name="Normal 3 4 2 3 2" xfId="2474" xr:uid="{00000000-0005-0000-0000-0000578D0000}"/>
    <cellStyle name="Normal 3 4 2 3 2 2" xfId="22520" xr:uid="{00000000-0005-0000-0000-0000588D0000}"/>
    <cellStyle name="Normal 3 4 2 3 3" xfId="22519" xr:uid="{00000000-0005-0000-0000-0000598D0000}"/>
    <cellStyle name="Normal 3 4 2 4" xfId="2475" xr:uid="{00000000-0005-0000-0000-00005A8D0000}"/>
    <cellStyle name="Normal 3 4 2 4 2" xfId="22521" xr:uid="{00000000-0005-0000-0000-00005B8D0000}"/>
    <cellStyle name="Normal 3 4 2 5" xfId="11105" xr:uid="{00000000-0005-0000-0000-00005C8D0000}"/>
    <cellStyle name="Normal 3 4 2 6" xfId="22516" xr:uid="{00000000-0005-0000-0000-00005D8D0000}"/>
    <cellStyle name="Normal 3 4 3" xfId="2476" xr:uid="{00000000-0005-0000-0000-00005E8D0000}"/>
    <cellStyle name="Normal 3 4 3 2" xfId="2477" xr:uid="{00000000-0005-0000-0000-00005F8D0000}"/>
    <cellStyle name="Normal 3 4 3 2 2" xfId="22523" xr:uid="{00000000-0005-0000-0000-0000608D0000}"/>
    <cellStyle name="Normal 3 4 3 3" xfId="7428" xr:uid="{00000000-0005-0000-0000-0000618D0000}"/>
    <cellStyle name="Normal 3 4 3 4" xfId="22522" xr:uid="{00000000-0005-0000-0000-0000628D0000}"/>
    <cellStyle name="Normal 3 4 4" xfId="2478" xr:uid="{00000000-0005-0000-0000-0000638D0000}"/>
    <cellStyle name="Normal 3 4 4 2" xfId="2479" xr:uid="{00000000-0005-0000-0000-0000648D0000}"/>
    <cellStyle name="Normal 3 4 4 2 2" xfId="18947" xr:uid="{00000000-0005-0000-0000-0000658D0000}"/>
    <cellStyle name="Normal 3 4 4 2 2 2" xfId="37106" xr:uid="{00000000-0005-0000-0000-0000668D0000}"/>
    <cellStyle name="Normal 3 4 4 2 3" xfId="22525" xr:uid="{00000000-0005-0000-0000-0000678D0000}"/>
    <cellStyle name="Normal 3 4 4 3" xfId="11173" xr:uid="{00000000-0005-0000-0000-0000688D0000}"/>
    <cellStyle name="Normal 3 4 4 3 2" xfId="30105" xr:uid="{00000000-0005-0000-0000-0000698D0000}"/>
    <cellStyle name="Normal 3 4 4 4" xfId="22524" xr:uid="{00000000-0005-0000-0000-00006A8D0000}"/>
    <cellStyle name="Normal 3 4 5" xfId="2480" xr:uid="{00000000-0005-0000-0000-00006B8D0000}"/>
    <cellStyle name="Normal 3 4 5 2" xfId="2481" xr:uid="{00000000-0005-0000-0000-00006C8D0000}"/>
    <cellStyle name="Normal 3 4 5 2 2" xfId="22527" xr:uid="{00000000-0005-0000-0000-00006D8D0000}"/>
    <cellStyle name="Normal 3 4 5 3" xfId="12286" xr:uid="{00000000-0005-0000-0000-00006E8D0000}"/>
    <cellStyle name="Normal 3 4 5 3 2" xfId="30457" xr:uid="{00000000-0005-0000-0000-00006F8D0000}"/>
    <cellStyle name="Normal 3 4 5 4" xfId="22526" xr:uid="{00000000-0005-0000-0000-0000708D0000}"/>
    <cellStyle name="Normal 3 4 6" xfId="2482" xr:uid="{00000000-0005-0000-0000-0000718D0000}"/>
    <cellStyle name="Normal 3 4 6 2" xfId="2483" xr:uid="{00000000-0005-0000-0000-0000728D0000}"/>
    <cellStyle name="Normal 3 4 6 2 2" xfId="22529" xr:uid="{00000000-0005-0000-0000-0000738D0000}"/>
    <cellStyle name="Normal 3 4 6 3" xfId="21227" xr:uid="{00000000-0005-0000-0000-0000748D0000}"/>
    <cellStyle name="Normal 3 4 6 3 2" xfId="38076" xr:uid="{00000000-0005-0000-0000-0000758D0000}"/>
    <cellStyle name="Normal 3 4 6 4" xfId="22528" xr:uid="{00000000-0005-0000-0000-0000768D0000}"/>
    <cellStyle name="Normal 3 4 7" xfId="2484" xr:uid="{00000000-0005-0000-0000-0000778D0000}"/>
    <cellStyle name="Normal 3 4 7 2" xfId="22530" xr:uid="{00000000-0005-0000-0000-0000788D0000}"/>
    <cellStyle name="Normal 3 4 8" xfId="3466" xr:uid="{00000000-0005-0000-0000-0000798D0000}"/>
    <cellStyle name="Normal 3 4 8 2" xfId="23455" xr:uid="{00000000-0005-0000-0000-00007A8D0000}"/>
    <cellStyle name="Normal 3 4 9" xfId="22515" xr:uid="{00000000-0005-0000-0000-00007B8D0000}"/>
    <cellStyle name="Normal 3 5" xfId="2485" xr:uid="{00000000-0005-0000-0000-00007C8D0000}"/>
    <cellStyle name="Normal 3 5 2" xfId="2486" xr:uid="{00000000-0005-0000-0000-00007D8D0000}"/>
    <cellStyle name="Normal 3 5 2 2" xfId="2487" xr:uid="{00000000-0005-0000-0000-00007E8D0000}"/>
    <cellStyle name="Normal 3 5 2 2 2" xfId="2488" xr:uid="{00000000-0005-0000-0000-00007F8D0000}"/>
    <cellStyle name="Normal 3 5 2 2 2 2" xfId="22534" xr:uid="{00000000-0005-0000-0000-0000808D0000}"/>
    <cellStyle name="Normal 3 5 2 2 3" xfId="22533" xr:uid="{00000000-0005-0000-0000-0000818D0000}"/>
    <cellStyle name="Normal 3 5 2 3" xfId="2489" xr:uid="{00000000-0005-0000-0000-0000828D0000}"/>
    <cellStyle name="Normal 3 5 2 3 2" xfId="2490" xr:uid="{00000000-0005-0000-0000-0000838D0000}"/>
    <cellStyle name="Normal 3 5 2 3 2 2" xfId="22536" xr:uid="{00000000-0005-0000-0000-0000848D0000}"/>
    <cellStyle name="Normal 3 5 2 3 3" xfId="22535" xr:uid="{00000000-0005-0000-0000-0000858D0000}"/>
    <cellStyle name="Normal 3 5 2 4" xfId="2491" xr:uid="{00000000-0005-0000-0000-0000868D0000}"/>
    <cellStyle name="Normal 3 5 2 4 2" xfId="22537" xr:uid="{00000000-0005-0000-0000-0000878D0000}"/>
    <cellStyle name="Normal 3 5 2 5" xfId="22532" xr:uid="{00000000-0005-0000-0000-0000888D0000}"/>
    <cellStyle name="Normal 3 5 3" xfId="2492" xr:uid="{00000000-0005-0000-0000-0000898D0000}"/>
    <cellStyle name="Normal 3 5 3 2" xfId="2493" xr:uid="{00000000-0005-0000-0000-00008A8D0000}"/>
    <cellStyle name="Normal 3 5 3 2 2" xfId="22539" xr:uid="{00000000-0005-0000-0000-00008B8D0000}"/>
    <cellStyle name="Normal 3 5 3 3" xfId="22538" xr:uid="{00000000-0005-0000-0000-00008C8D0000}"/>
    <cellStyle name="Normal 3 5 4" xfId="2494" xr:uid="{00000000-0005-0000-0000-00008D8D0000}"/>
    <cellStyle name="Normal 3 5 4 2" xfId="2495" xr:uid="{00000000-0005-0000-0000-00008E8D0000}"/>
    <cellStyle name="Normal 3 5 4 2 2" xfId="22541" xr:uid="{00000000-0005-0000-0000-00008F8D0000}"/>
    <cellStyle name="Normal 3 5 4 3" xfId="22540" xr:uid="{00000000-0005-0000-0000-0000908D0000}"/>
    <cellStyle name="Normal 3 5 5" xfId="2496" xr:uid="{00000000-0005-0000-0000-0000918D0000}"/>
    <cellStyle name="Normal 3 5 5 2" xfId="2497" xr:uid="{00000000-0005-0000-0000-0000928D0000}"/>
    <cellStyle name="Normal 3 5 5 2 2" xfId="22543" xr:uid="{00000000-0005-0000-0000-0000938D0000}"/>
    <cellStyle name="Normal 3 5 5 3" xfId="22542" xr:uid="{00000000-0005-0000-0000-0000948D0000}"/>
    <cellStyle name="Normal 3 5 6" xfId="2498" xr:uid="{00000000-0005-0000-0000-0000958D0000}"/>
    <cellStyle name="Normal 3 5 6 2" xfId="22544" xr:uid="{00000000-0005-0000-0000-0000968D0000}"/>
    <cellStyle name="Normal 3 5 7" xfId="3484" xr:uid="{00000000-0005-0000-0000-0000978D0000}"/>
    <cellStyle name="Normal 3 5 8" xfId="22531" xr:uid="{00000000-0005-0000-0000-0000988D0000}"/>
    <cellStyle name="Normal 3 6" xfId="2499" xr:uid="{00000000-0005-0000-0000-0000998D0000}"/>
    <cellStyle name="Normal 3 6 2" xfId="2500" xr:uid="{00000000-0005-0000-0000-00009A8D0000}"/>
    <cellStyle name="Normal 3 6 2 2" xfId="2501" xr:uid="{00000000-0005-0000-0000-00009B8D0000}"/>
    <cellStyle name="Normal 3 6 2 2 2" xfId="2502" xr:uid="{00000000-0005-0000-0000-00009C8D0000}"/>
    <cellStyle name="Normal 3 6 2 2 2 2" xfId="22548" xr:uid="{00000000-0005-0000-0000-00009D8D0000}"/>
    <cellStyle name="Normal 3 6 2 2 3" xfId="18958" xr:uid="{00000000-0005-0000-0000-00009E8D0000}"/>
    <cellStyle name="Normal 3 6 2 2 3 2" xfId="37117" xr:uid="{00000000-0005-0000-0000-00009F8D0000}"/>
    <cellStyle name="Normal 3 6 2 2 4" xfId="22547" xr:uid="{00000000-0005-0000-0000-0000A08D0000}"/>
    <cellStyle name="Normal 3 6 2 3" xfId="2503" xr:uid="{00000000-0005-0000-0000-0000A18D0000}"/>
    <cellStyle name="Normal 3 6 2 3 2" xfId="2504" xr:uid="{00000000-0005-0000-0000-0000A28D0000}"/>
    <cellStyle name="Normal 3 6 2 3 2 2" xfId="22550" xr:uid="{00000000-0005-0000-0000-0000A38D0000}"/>
    <cellStyle name="Normal 3 6 2 3 3" xfId="22549" xr:uid="{00000000-0005-0000-0000-0000A48D0000}"/>
    <cellStyle name="Normal 3 6 2 4" xfId="2505" xr:uid="{00000000-0005-0000-0000-0000A58D0000}"/>
    <cellStyle name="Normal 3 6 2 4 2" xfId="22551" xr:uid="{00000000-0005-0000-0000-0000A68D0000}"/>
    <cellStyle name="Normal 3 6 2 5" xfId="11184" xr:uid="{00000000-0005-0000-0000-0000A78D0000}"/>
    <cellStyle name="Normal 3 6 2 5 2" xfId="30116" xr:uid="{00000000-0005-0000-0000-0000A88D0000}"/>
    <cellStyle name="Normal 3 6 2 6" xfId="22546" xr:uid="{00000000-0005-0000-0000-0000A98D0000}"/>
    <cellStyle name="Normal 3 6 3" xfId="2506" xr:uid="{00000000-0005-0000-0000-0000AA8D0000}"/>
    <cellStyle name="Normal 3 6 3 2" xfId="2507" xr:uid="{00000000-0005-0000-0000-0000AB8D0000}"/>
    <cellStyle name="Normal 3 6 3 2 2" xfId="22553" xr:uid="{00000000-0005-0000-0000-0000AC8D0000}"/>
    <cellStyle name="Normal 3 6 3 3" xfId="12360" xr:uid="{00000000-0005-0000-0000-0000AD8D0000}"/>
    <cellStyle name="Normal 3 6 3 3 2" xfId="30530" xr:uid="{00000000-0005-0000-0000-0000AE8D0000}"/>
    <cellStyle name="Normal 3 6 3 4" xfId="22552" xr:uid="{00000000-0005-0000-0000-0000AF8D0000}"/>
    <cellStyle name="Normal 3 6 4" xfId="2508" xr:uid="{00000000-0005-0000-0000-0000B08D0000}"/>
    <cellStyle name="Normal 3 6 4 2" xfId="2509" xr:uid="{00000000-0005-0000-0000-0000B18D0000}"/>
    <cellStyle name="Normal 3 6 4 2 2" xfId="22555" xr:uid="{00000000-0005-0000-0000-0000B28D0000}"/>
    <cellStyle name="Normal 3 6 4 3" xfId="22554" xr:uid="{00000000-0005-0000-0000-0000B38D0000}"/>
    <cellStyle name="Normal 3 6 5" xfId="2510" xr:uid="{00000000-0005-0000-0000-0000B48D0000}"/>
    <cellStyle name="Normal 3 6 5 2" xfId="2511" xr:uid="{00000000-0005-0000-0000-0000B58D0000}"/>
    <cellStyle name="Normal 3 6 5 2 2" xfId="22557" xr:uid="{00000000-0005-0000-0000-0000B68D0000}"/>
    <cellStyle name="Normal 3 6 5 3" xfId="22556" xr:uid="{00000000-0005-0000-0000-0000B78D0000}"/>
    <cellStyle name="Normal 3 6 6" xfId="2512" xr:uid="{00000000-0005-0000-0000-0000B88D0000}"/>
    <cellStyle name="Normal 3 6 6 2" xfId="22558" xr:uid="{00000000-0005-0000-0000-0000B98D0000}"/>
    <cellStyle name="Normal 3 6 7" xfId="3600" xr:uid="{00000000-0005-0000-0000-0000BA8D0000}"/>
    <cellStyle name="Normal 3 6 7 2" xfId="23528" xr:uid="{00000000-0005-0000-0000-0000BB8D0000}"/>
    <cellStyle name="Normal 3 6 8" xfId="22545" xr:uid="{00000000-0005-0000-0000-0000BC8D0000}"/>
    <cellStyle name="Normal 3 6 9" xfId="39444" xr:uid="{00000000-0005-0000-0000-0000BD8D0000}"/>
    <cellStyle name="Normal 3 7" xfId="2513" xr:uid="{00000000-0005-0000-0000-0000BE8D0000}"/>
    <cellStyle name="Normal 3 7 2" xfId="2514" xr:uid="{00000000-0005-0000-0000-0000BF8D0000}"/>
    <cellStyle name="Normal 3 7 2 2" xfId="2515" xr:uid="{00000000-0005-0000-0000-0000C08D0000}"/>
    <cellStyle name="Normal 3 7 2 2 2" xfId="2516" xr:uid="{00000000-0005-0000-0000-0000C18D0000}"/>
    <cellStyle name="Normal 3 7 2 2 2 2" xfId="22562" xr:uid="{00000000-0005-0000-0000-0000C28D0000}"/>
    <cellStyle name="Normal 3 7 2 2 3" xfId="22561" xr:uid="{00000000-0005-0000-0000-0000C38D0000}"/>
    <cellStyle name="Normal 3 7 2 3" xfId="2517" xr:uid="{00000000-0005-0000-0000-0000C48D0000}"/>
    <cellStyle name="Normal 3 7 2 3 2" xfId="2518" xr:uid="{00000000-0005-0000-0000-0000C58D0000}"/>
    <cellStyle name="Normal 3 7 2 3 2 2" xfId="22564" xr:uid="{00000000-0005-0000-0000-0000C68D0000}"/>
    <cellStyle name="Normal 3 7 2 3 3" xfId="22563" xr:uid="{00000000-0005-0000-0000-0000C78D0000}"/>
    <cellStyle name="Normal 3 7 2 4" xfId="2519" xr:uid="{00000000-0005-0000-0000-0000C88D0000}"/>
    <cellStyle name="Normal 3 7 2 4 2" xfId="22565" xr:uid="{00000000-0005-0000-0000-0000C98D0000}"/>
    <cellStyle name="Normal 3 7 2 5" xfId="12375" xr:uid="{00000000-0005-0000-0000-0000CA8D0000}"/>
    <cellStyle name="Normal 3 7 2 5 2" xfId="30542" xr:uid="{00000000-0005-0000-0000-0000CB8D0000}"/>
    <cellStyle name="Normal 3 7 2 6" xfId="22560" xr:uid="{00000000-0005-0000-0000-0000CC8D0000}"/>
    <cellStyle name="Normal 3 7 3" xfId="2520" xr:uid="{00000000-0005-0000-0000-0000CD8D0000}"/>
    <cellStyle name="Normal 3 7 3 2" xfId="2521" xr:uid="{00000000-0005-0000-0000-0000CE8D0000}"/>
    <cellStyle name="Normal 3 7 3 2 2" xfId="22567" xr:uid="{00000000-0005-0000-0000-0000CF8D0000}"/>
    <cellStyle name="Normal 3 7 3 3" xfId="22566" xr:uid="{00000000-0005-0000-0000-0000D08D0000}"/>
    <cellStyle name="Normal 3 7 4" xfId="2522" xr:uid="{00000000-0005-0000-0000-0000D18D0000}"/>
    <cellStyle name="Normal 3 7 4 2" xfId="2523" xr:uid="{00000000-0005-0000-0000-0000D28D0000}"/>
    <cellStyle name="Normal 3 7 4 2 2" xfId="22569" xr:uid="{00000000-0005-0000-0000-0000D38D0000}"/>
    <cellStyle name="Normal 3 7 4 3" xfId="22568" xr:uid="{00000000-0005-0000-0000-0000D48D0000}"/>
    <cellStyle name="Normal 3 7 5" xfId="2524" xr:uid="{00000000-0005-0000-0000-0000D58D0000}"/>
    <cellStyle name="Normal 3 7 5 2" xfId="2525" xr:uid="{00000000-0005-0000-0000-0000D68D0000}"/>
    <cellStyle name="Normal 3 7 5 2 2" xfId="22571" xr:uid="{00000000-0005-0000-0000-0000D78D0000}"/>
    <cellStyle name="Normal 3 7 5 3" xfId="22570" xr:uid="{00000000-0005-0000-0000-0000D88D0000}"/>
    <cellStyle name="Normal 3 7 6" xfId="2526" xr:uid="{00000000-0005-0000-0000-0000D98D0000}"/>
    <cellStyle name="Normal 3 7 6 2" xfId="22572" xr:uid="{00000000-0005-0000-0000-0000DA8D0000}"/>
    <cellStyle name="Normal 3 7 7" xfId="3819" xr:uid="{00000000-0005-0000-0000-0000DB8D0000}"/>
    <cellStyle name="Normal 3 7 7 2" xfId="23540" xr:uid="{00000000-0005-0000-0000-0000DC8D0000}"/>
    <cellStyle name="Normal 3 7 8" xfId="22559" xr:uid="{00000000-0005-0000-0000-0000DD8D0000}"/>
    <cellStyle name="Normal 3 8" xfId="2527" xr:uid="{00000000-0005-0000-0000-0000DE8D0000}"/>
    <cellStyle name="Normal 3 8 2" xfId="2528" xr:uid="{00000000-0005-0000-0000-0000DF8D0000}"/>
    <cellStyle name="Normal 3 8 2 2" xfId="2529" xr:uid="{00000000-0005-0000-0000-0000E08D0000}"/>
    <cellStyle name="Normal 3 8 2 2 2" xfId="2530" xr:uid="{00000000-0005-0000-0000-0000E18D0000}"/>
    <cellStyle name="Normal 3 8 2 2 2 2" xfId="22576" xr:uid="{00000000-0005-0000-0000-0000E28D0000}"/>
    <cellStyle name="Normal 3 8 2 2 3" xfId="22575" xr:uid="{00000000-0005-0000-0000-0000E38D0000}"/>
    <cellStyle name="Normal 3 8 2 3" xfId="2531" xr:uid="{00000000-0005-0000-0000-0000E48D0000}"/>
    <cellStyle name="Normal 3 8 2 3 2" xfId="2532" xr:uid="{00000000-0005-0000-0000-0000E58D0000}"/>
    <cellStyle name="Normal 3 8 2 3 2 2" xfId="22578" xr:uid="{00000000-0005-0000-0000-0000E68D0000}"/>
    <cellStyle name="Normal 3 8 2 3 3" xfId="22577" xr:uid="{00000000-0005-0000-0000-0000E78D0000}"/>
    <cellStyle name="Normal 3 8 2 4" xfId="2533" xr:uid="{00000000-0005-0000-0000-0000E88D0000}"/>
    <cellStyle name="Normal 3 8 2 4 2" xfId="22579" xr:uid="{00000000-0005-0000-0000-0000E98D0000}"/>
    <cellStyle name="Normal 3 8 2 5" xfId="18927" xr:uid="{00000000-0005-0000-0000-0000EA8D0000}"/>
    <cellStyle name="Normal 3 8 2 5 2" xfId="37086" xr:uid="{00000000-0005-0000-0000-0000EB8D0000}"/>
    <cellStyle name="Normal 3 8 2 6" xfId="22574" xr:uid="{00000000-0005-0000-0000-0000EC8D0000}"/>
    <cellStyle name="Normal 3 8 3" xfId="2534" xr:uid="{00000000-0005-0000-0000-0000ED8D0000}"/>
    <cellStyle name="Normal 3 8 3 2" xfId="2535" xr:uid="{00000000-0005-0000-0000-0000EE8D0000}"/>
    <cellStyle name="Normal 3 8 3 2 2" xfId="22581" xr:uid="{00000000-0005-0000-0000-0000EF8D0000}"/>
    <cellStyle name="Normal 3 8 3 3" xfId="22580" xr:uid="{00000000-0005-0000-0000-0000F08D0000}"/>
    <cellStyle name="Normal 3 8 4" xfId="2536" xr:uid="{00000000-0005-0000-0000-0000F18D0000}"/>
    <cellStyle name="Normal 3 8 4 2" xfId="2537" xr:uid="{00000000-0005-0000-0000-0000F28D0000}"/>
    <cellStyle name="Normal 3 8 4 2 2" xfId="22583" xr:uid="{00000000-0005-0000-0000-0000F38D0000}"/>
    <cellStyle name="Normal 3 8 4 3" xfId="22582" xr:uid="{00000000-0005-0000-0000-0000F48D0000}"/>
    <cellStyle name="Normal 3 8 5" xfId="2538" xr:uid="{00000000-0005-0000-0000-0000F58D0000}"/>
    <cellStyle name="Normal 3 8 5 2" xfId="2539" xr:uid="{00000000-0005-0000-0000-0000F68D0000}"/>
    <cellStyle name="Normal 3 8 5 2 2" xfId="22585" xr:uid="{00000000-0005-0000-0000-0000F78D0000}"/>
    <cellStyle name="Normal 3 8 5 3" xfId="22584" xr:uid="{00000000-0005-0000-0000-0000F88D0000}"/>
    <cellStyle name="Normal 3 8 6" xfId="2540" xr:uid="{00000000-0005-0000-0000-0000F98D0000}"/>
    <cellStyle name="Normal 3 8 6 2" xfId="22586" xr:uid="{00000000-0005-0000-0000-0000FA8D0000}"/>
    <cellStyle name="Normal 3 8 7" xfId="11152" xr:uid="{00000000-0005-0000-0000-0000FB8D0000}"/>
    <cellStyle name="Normal 3 8 7 2" xfId="30085" xr:uid="{00000000-0005-0000-0000-0000FC8D0000}"/>
    <cellStyle name="Normal 3 8 8" xfId="22573" xr:uid="{00000000-0005-0000-0000-0000FD8D0000}"/>
    <cellStyle name="Normal 3 9" xfId="2541" xr:uid="{00000000-0005-0000-0000-0000FE8D0000}"/>
    <cellStyle name="Normal 3 9 2" xfId="2542" xr:uid="{00000000-0005-0000-0000-0000FF8D0000}"/>
    <cellStyle name="Normal 3 9 2 2" xfId="2543" xr:uid="{00000000-0005-0000-0000-0000008E0000}"/>
    <cellStyle name="Normal 3 9 2 2 2" xfId="22589" xr:uid="{00000000-0005-0000-0000-0000018E0000}"/>
    <cellStyle name="Normal 3 9 2 3" xfId="18966" xr:uid="{00000000-0005-0000-0000-0000028E0000}"/>
    <cellStyle name="Normal 3 9 2 3 2" xfId="37124" xr:uid="{00000000-0005-0000-0000-0000038E0000}"/>
    <cellStyle name="Normal 3 9 2 4" xfId="22588" xr:uid="{00000000-0005-0000-0000-0000048E0000}"/>
    <cellStyle name="Normal 3 9 3" xfId="2544" xr:uid="{00000000-0005-0000-0000-0000058E0000}"/>
    <cellStyle name="Normal 3 9 3 2" xfId="2545" xr:uid="{00000000-0005-0000-0000-0000068E0000}"/>
    <cellStyle name="Normal 3 9 3 2 2" xfId="22591" xr:uid="{00000000-0005-0000-0000-0000078E0000}"/>
    <cellStyle name="Normal 3 9 3 3" xfId="22590" xr:uid="{00000000-0005-0000-0000-0000088E0000}"/>
    <cellStyle name="Normal 3 9 4" xfId="2546" xr:uid="{00000000-0005-0000-0000-0000098E0000}"/>
    <cellStyle name="Normal 3 9 4 2" xfId="22592" xr:uid="{00000000-0005-0000-0000-00000A8E0000}"/>
    <cellStyle name="Normal 3 9 5" xfId="11707" xr:uid="{00000000-0005-0000-0000-00000B8E0000}"/>
    <cellStyle name="Normal 3 9 5 2" xfId="30123" xr:uid="{00000000-0005-0000-0000-00000C8E0000}"/>
    <cellStyle name="Normal 3 9 6" xfId="22587" xr:uid="{00000000-0005-0000-0000-00000D8E0000}"/>
    <cellStyle name="Normal 30" xfId="2547" xr:uid="{00000000-0005-0000-0000-00000E8E0000}"/>
    <cellStyle name="Normal 31" xfId="2548" xr:uid="{00000000-0005-0000-0000-00000F8E0000}"/>
    <cellStyle name="Normal 32" xfId="2549" xr:uid="{00000000-0005-0000-0000-0000108E0000}"/>
    <cellStyle name="Normal 33" xfId="39038" xr:uid="{00000000-0005-0000-0000-0000118E0000}"/>
    <cellStyle name="Normal 34" xfId="39039" xr:uid="{00000000-0005-0000-0000-0000128E0000}"/>
    <cellStyle name="Normal 35" xfId="39040" xr:uid="{00000000-0005-0000-0000-0000138E0000}"/>
    <cellStyle name="Normal 36" xfId="39041" xr:uid="{00000000-0005-0000-0000-0000148E0000}"/>
    <cellStyle name="Normal 37" xfId="39042" xr:uid="{00000000-0005-0000-0000-0000158E0000}"/>
    <cellStyle name="Normal 38" xfId="39043" xr:uid="{00000000-0005-0000-0000-0000168E0000}"/>
    <cellStyle name="Normal 39" xfId="39044" xr:uid="{00000000-0005-0000-0000-0000178E0000}"/>
    <cellStyle name="Normal 4" xfId="860" xr:uid="{00000000-0005-0000-0000-0000188E0000}"/>
    <cellStyle name="Normal 4 2" xfId="861" xr:uid="{00000000-0005-0000-0000-0000198E0000}"/>
    <cellStyle name="Normal 4 2 10" xfId="21781" xr:uid="{00000000-0005-0000-0000-00001A8E0000}"/>
    <cellStyle name="Normal 4 2 11" xfId="39354" xr:uid="{00000000-0005-0000-0000-00001B8E0000}"/>
    <cellStyle name="Normal 4 2 12" xfId="39934" xr:uid="{00000000-0005-0000-0000-00001C8E0000}"/>
    <cellStyle name="Normal 4 2 13" xfId="40420" xr:uid="{00000000-0005-0000-0000-00001D8E0000}"/>
    <cellStyle name="Normal 4 2 2" xfId="2550" xr:uid="{00000000-0005-0000-0000-00001E8E0000}"/>
    <cellStyle name="Normal 4 2 2 2" xfId="7435" xr:uid="{00000000-0005-0000-0000-00001F8E0000}"/>
    <cellStyle name="Normal 4 2 2 3" xfId="11187" xr:uid="{00000000-0005-0000-0000-0000208E0000}"/>
    <cellStyle name="Normal 4 2 2 3 2" xfId="18961" xr:uid="{00000000-0005-0000-0000-0000218E0000}"/>
    <cellStyle name="Normal 4 2 2 3 2 2" xfId="37120" xr:uid="{00000000-0005-0000-0000-0000228E0000}"/>
    <cellStyle name="Normal 4 2 2 3 3" xfId="30119" xr:uid="{00000000-0005-0000-0000-0000238E0000}"/>
    <cellStyle name="Normal 4 2 2 4" xfId="12363" xr:uid="{00000000-0005-0000-0000-0000248E0000}"/>
    <cellStyle name="Normal 4 2 2 4 2" xfId="30533" xr:uid="{00000000-0005-0000-0000-0000258E0000}"/>
    <cellStyle name="Normal 4 2 2 5" xfId="20729" xr:uid="{00000000-0005-0000-0000-0000268E0000}"/>
    <cellStyle name="Normal 4 2 2 6" xfId="3603" xr:uid="{00000000-0005-0000-0000-0000278E0000}"/>
    <cellStyle name="Normal 4 2 2 6 2" xfId="23531" xr:uid="{00000000-0005-0000-0000-0000288E0000}"/>
    <cellStyle name="Normal 4 2 2 7" xfId="39447" xr:uid="{00000000-0005-0000-0000-0000298E0000}"/>
    <cellStyle name="Normal 4 2 3" xfId="7436" xr:uid="{00000000-0005-0000-0000-00002A8E0000}"/>
    <cellStyle name="Normal 4 2 3 2" xfId="10624" xr:uid="{00000000-0005-0000-0000-00002B8E0000}"/>
    <cellStyle name="Normal 4 2 3 2 2" xfId="18517" xr:uid="{00000000-0005-0000-0000-00002C8E0000}"/>
    <cellStyle name="Normal 4 2 3 2 2 2" xfId="36677" xr:uid="{00000000-0005-0000-0000-00002D8E0000}"/>
    <cellStyle name="Normal 4 2 3 2 3" xfId="29676" xr:uid="{00000000-0005-0000-0000-00002E8E0000}"/>
    <cellStyle name="Normal 4 2 3 3" xfId="15519" xr:uid="{00000000-0005-0000-0000-00002F8E0000}"/>
    <cellStyle name="Normal 4 2 3 3 2" xfId="33685" xr:uid="{00000000-0005-0000-0000-0000308E0000}"/>
    <cellStyle name="Normal 4 2 3 4" xfId="26683" xr:uid="{00000000-0005-0000-0000-0000318E0000}"/>
    <cellStyle name="Normal 4 2 4" xfId="8323" xr:uid="{00000000-0005-0000-0000-0000328E0000}"/>
    <cellStyle name="Normal 4 2 4 2" xfId="16240" xr:uid="{00000000-0005-0000-0000-0000338E0000}"/>
    <cellStyle name="Normal 4 2 4 2 2" xfId="34400" xr:uid="{00000000-0005-0000-0000-0000348E0000}"/>
    <cellStyle name="Normal 4 2 4 3" xfId="27399" xr:uid="{00000000-0005-0000-0000-0000358E0000}"/>
    <cellStyle name="Normal 4 2 5" xfId="7434" xr:uid="{00000000-0005-0000-0000-0000368E0000}"/>
    <cellStyle name="Normal 4 2 5 2" xfId="15518" xr:uid="{00000000-0005-0000-0000-0000378E0000}"/>
    <cellStyle name="Normal 4 2 5 2 2" xfId="33684" xr:uid="{00000000-0005-0000-0000-0000388E0000}"/>
    <cellStyle name="Normal 4 2 5 3" xfId="26682" xr:uid="{00000000-0005-0000-0000-0000398E0000}"/>
    <cellStyle name="Normal 4 2 6" xfId="11155" xr:uid="{00000000-0005-0000-0000-00003A8E0000}"/>
    <cellStyle name="Normal 4 2 6 2" xfId="18930" xr:uid="{00000000-0005-0000-0000-00003B8E0000}"/>
    <cellStyle name="Normal 4 2 6 2 2" xfId="37089" xr:uid="{00000000-0005-0000-0000-00003C8E0000}"/>
    <cellStyle name="Normal 4 2 6 3" xfId="30088" xr:uid="{00000000-0005-0000-0000-00003D8E0000}"/>
    <cellStyle name="Normal 4 2 7" xfId="12268" xr:uid="{00000000-0005-0000-0000-00003E8E0000}"/>
    <cellStyle name="Normal 4 2 7 2" xfId="30453" xr:uid="{00000000-0005-0000-0000-00003F8E0000}"/>
    <cellStyle name="Normal 4 2 8" xfId="19715" xr:uid="{00000000-0005-0000-0000-0000408E0000}"/>
    <cellStyle name="Normal 4 2 9" xfId="3450" xr:uid="{00000000-0005-0000-0000-0000418E0000}"/>
    <cellStyle name="Normal 4 2 9 2" xfId="23450" xr:uid="{00000000-0005-0000-0000-0000428E0000}"/>
    <cellStyle name="Normal 4 3" xfId="2551" xr:uid="{00000000-0005-0000-0000-0000438E0000}"/>
    <cellStyle name="Normal 4 3 2" xfId="2552" xr:uid="{00000000-0005-0000-0000-0000448E0000}"/>
    <cellStyle name="Normal 4 3 2 2" xfId="2553" xr:uid="{00000000-0005-0000-0000-0000458E0000}"/>
    <cellStyle name="Normal 4 3 2 2 2" xfId="22595" xr:uid="{00000000-0005-0000-0000-0000468E0000}"/>
    <cellStyle name="Normal 4 3 2 3" xfId="7437" xr:uid="{00000000-0005-0000-0000-0000478E0000}"/>
    <cellStyle name="Normal 4 3 2 4" xfId="22594" xr:uid="{00000000-0005-0000-0000-0000488E0000}"/>
    <cellStyle name="Normal 4 3 3" xfId="2554" xr:uid="{00000000-0005-0000-0000-0000498E0000}"/>
    <cellStyle name="Normal 4 3 3 2" xfId="2555" xr:uid="{00000000-0005-0000-0000-00004A8E0000}"/>
    <cellStyle name="Normal 4 3 3 2 2" xfId="18948" xr:uid="{00000000-0005-0000-0000-00004B8E0000}"/>
    <cellStyle name="Normal 4 3 3 2 2 2" xfId="37107" xr:uid="{00000000-0005-0000-0000-00004C8E0000}"/>
    <cellStyle name="Normal 4 3 3 2 3" xfId="22597" xr:uid="{00000000-0005-0000-0000-00004D8E0000}"/>
    <cellStyle name="Normal 4 3 3 3" xfId="11174" xr:uid="{00000000-0005-0000-0000-00004E8E0000}"/>
    <cellStyle name="Normal 4 3 3 3 2" xfId="30106" xr:uid="{00000000-0005-0000-0000-00004F8E0000}"/>
    <cellStyle name="Normal 4 3 3 4" xfId="22596" xr:uid="{00000000-0005-0000-0000-0000508E0000}"/>
    <cellStyle name="Normal 4 3 4" xfId="2556" xr:uid="{00000000-0005-0000-0000-0000518E0000}"/>
    <cellStyle name="Normal 4 3 4 2" xfId="12287" xr:uid="{00000000-0005-0000-0000-0000528E0000}"/>
    <cellStyle name="Normal 4 3 4 2 2" xfId="30458" xr:uid="{00000000-0005-0000-0000-0000538E0000}"/>
    <cellStyle name="Normal 4 3 5" xfId="2557" xr:uid="{00000000-0005-0000-0000-0000548E0000}"/>
    <cellStyle name="Normal 4 3 5 2" xfId="22598" xr:uid="{00000000-0005-0000-0000-0000558E0000}"/>
    <cellStyle name="Normal 4 3 6" xfId="3467" xr:uid="{00000000-0005-0000-0000-0000568E0000}"/>
    <cellStyle name="Normal 4 3 6 2" xfId="23456" xr:uid="{00000000-0005-0000-0000-0000578E0000}"/>
    <cellStyle name="Normal 4 3 7" xfId="22593" xr:uid="{00000000-0005-0000-0000-0000588E0000}"/>
    <cellStyle name="Normal 4 3 8" xfId="39372" xr:uid="{00000000-0005-0000-0000-0000598E0000}"/>
    <cellStyle name="Normal 4 4" xfId="2558" xr:uid="{00000000-0005-0000-0000-00005A8E0000}"/>
    <cellStyle name="Normal 4 4 2" xfId="2559" xr:uid="{00000000-0005-0000-0000-00005B8E0000}"/>
    <cellStyle name="Normal 4 4 2 2" xfId="11108" xr:uid="{00000000-0005-0000-0000-00005C8E0000}"/>
    <cellStyle name="Normal 4 4 2 3" xfId="22600" xr:uid="{00000000-0005-0000-0000-00005D8E0000}"/>
    <cellStyle name="Normal 4 4 3" xfId="7433" xr:uid="{00000000-0005-0000-0000-00005E8E0000}"/>
    <cellStyle name="Normal 4 4 4" xfId="22599" xr:uid="{00000000-0005-0000-0000-00005F8E0000}"/>
    <cellStyle name="Normal 4 5" xfId="2560" xr:uid="{00000000-0005-0000-0000-0000608E0000}"/>
    <cellStyle name="Normal 4 5 2" xfId="2561" xr:uid="{00000000-0005-0000-0000-0000618E0000}"/>
    <cellStyle name="Normal 4 5 2 2" xfId="12376" xr:uid="{00000000-0005-0000-0000-0000628E0000}"/>
    <cellStyle name="Normal 4 5 2 2 2" xfId="30543" xr:uid="{00000000-0005-0000-0000-0000638E0000}"/>
    <cellStyle name="Normal 4 5 2 3" xfId="22602" xr:uid="{00000000-0005-0000-0000-0000648E0000}"/>
    <cellStyle name="Normal 4 5 3" xfId="3820" xr:uid="{00000000-0005-0000-0000-0000658E0000}"/>
    <cellStyle name="Normal 4 5 3 2" xfId="23541" xr:uid="{00000000-0005-0000-0000-0000668E0000}"/>
    <cellStyle name="Normal 4 5 4" xfId="22601" xr:uid="{00000000-0005-0000-0000-0000678E0000}"/>
    <cellStyle name="Normal 4 6" xfId="2562" xr:uid="{00000000-0005-0000-0000-0000688E0000}"/>
    <cellStyle name="Normal 4 7" xfId="2563" xr:uid="{00000000-0005-0000-0000-0000698E0000}"/>
    <cellStyle name="Normal 4 7 2" xfId="22603" xr:uid="{00000000-0005-0000-0000-00006A8E0000}"/>
    <cellStyle name="Normal 5" xfId="862" xr:uid="{00000000-0005-0000-0000-00006B8E0000}"/>
    <cellStyle name="Normal 5 10" xfId="2564" xr:uid="{00000000-0005-0000-0000-00006C8E0000}"/>
    <cellStyle name="Normal 5 10 2" xfId="2565" xr:uid="{00000000-0005-0000-0000-00006D8E0000}"/>
    <cellStyle name="Normal 5 10 2 2" xfId="22605" xr:uid="{00000000-0005-0000-0000-00006E8E0000}"/>
    <cellStyle name="Normal 5 10 3" xfId="22604" xr:uid="{00000000-0005-0000-0000-00006F8E0000}"/>
    <cellStyle name="Normal 5 11" xfId="2566" xr:uid="{00000000-0005-0000-0000-0000708E0000}"/>
    <cellStyle name="Normal 5 11 2" xfId="2567" xr:uid="{00000000-0005-0000-0000-0000718E0000}"/>
    <cellStyle name="Normal 5 11 2 2" xfId="22607" xr:uid="{00000000-0005-0000-0000-0000728E0000}"/>
    <cellStyle name="Normal 5 11 3" xfId="22606" xr:uid="{00000000-0005-0000-0000-0000738E0000}"/>
    <cellStyle name="Normal 5 12" xfId="2568" xr:uid="{00000000-0005-0000-0000-0000748E0000}"/>
    <cellStyle name="Normal 5 12 2" xfId="2569" xr:uid="{00000000-0005-0000-0000-0000758E0000}"/>
    <cellStyle name="Normal 5 12 2 2" xfId="22609" xr:uid="{00000000-0005-0000-0000-0000768E0000}"/>
    <cellStyle name="Normal 5 12 3" xfId="22608" xr:uid="{00000000-0005-0000-0000-0000778E0000}"/>
    <cellStyle name="Normal 5 13" xfId="2570" xr:uid="{00000000-0005-0000-0000-0000788E0000}"/>
    <cellStyle name="Normal 5 13 2" xfId="2571" xr:uid="{00000000-0005-0000-0000-0000798E0000}"/>
    <cellStyle name="Normal 5 13 2 2" xfId="22611" xr:uid="{00000000-0005-0000-0000-00007A8E0000}"/>
    <cellStyle name="Normal 5 13 3" xfId="22610" xr:uid="{00000000-0005-0000-0000-00007B8E0000}"/>
    <cellStyle name="Normal 5 14" xfId="2572" xr:uid="{00000000-0005-0000-0000-00007C8E0000}"/>
    <cellStyle name="Normal 5 2" xfId="863" xr:uid="{00000000-0005-0000-0000-00007D8E0000}"/>
    <cellStyle name="Normal 5 2 2" xfId="2573" xr:uid="{00000000-0005-0000-0000-00007E8E0000}"/>
    <cellStyle name="Normal 5 2 2 2" xfId="2574" xr:uid="{00000000-0005-0000-0000-00007F8E0000}"/>
    <cellStyle name="Normal 5 2 2 2 2" xfId="2575" xr:uid="{00000000-0005-0000-0000-0000808E0000}"/>
    <cellStyle name="Normal 5 2 2 2 2 2" xfId="20233" xr:uid="{00000000-0005-0000-0000-0000818E0000}"/>
    <cellStyle name="Normal 5 2 2 2 2 3" xfId="22614" xr:uid="{00000000-0005-0000-0000-0000828E0000}"/>
    <cellStyle name="Normal 5 2 2 2 3" xfId="11110" xr:uid="{00000000-0005-0000-0000-0000838E0000}"/>
    <cellStyle name="Normal 5 2 2 2 4" xfId="22613" xr:uid="{00000000-0005-0000-0000-0000848E0000}"/>
    <cellStyle name="Normal 5 2 2 3" xfId="2576" xr:uid="{00000000-0005-0000-0000-0000858E0000}"/>
    <cellStyle name="Normal 5 2 2 3 2" xfId="2577" xr:uid="{00000000-0005-0000-0000-0000868E0000}"/>
    <cellStyle name="Normal 5 2 2 3 2 2" xfId="22616" xr:uid="{00000000-0005-0000-0000-0000878E0000}"/>
    <cellStyle name="Normal 5 2 2 3 3" xfId="20232" xr:uid="{00000000-0005-0000-0000-0000888E0000}"/>
    <cellStyle name="Normal 5 2 2 3 4" xfId="22615" xr:uid="{00000000-0005-0000-0000-0000898E0000}"/>
    <cellStyle name="Normal 5 2 2 4" xfId="2578" xr:uid="{00000000-0005-0000-0000-00008A8E0000}"/>
    <cellStyle name="Normal 5 2 2 4 2" xfId="22617" xr:uid="{00000000-0005-0000-0000-00008B8E0000}"/>
    <cellStyle name="Normal 5 2 2 5" xfId="7440" xr:uid="{00000000-0005-0000-0000-00008C8E0000}"/>
    <cellStyle name="Normal 5 2 2 6" xfId="22612" xr:uid="{00000000-0005-0000-0000-00008D8E0000}"/>
    <cellStyle name="Normal 5 2 3" xfId="2579" xr:uid="{00000000-0005-0000-0000-00008E8E0000}"/>
    <cellStyle name="Normal 5 2 3 2" xfId="2580" xr:uid="{00000000-0005-0000-0000-00008F8E0000}"/>
    <cellStyle name="Normal 5 2 3 2 2" xfId="18355" xr:uid="{00000000-0005-0000-0000-0000908E0000}"/>
    <cellStyle name="Normal 5 2 3 2 2 2" xfId="36515" xr:uid="{00000000-0005-0000-0000-0000918E0000}"/>
    <cellStyle name="Normal 5 2 3 2 3" xfId="10458" xr:uid="{00000000-0005-0000-0000-0000928E0000}"/>
    <cellStyle name="Normal 5 2 3 2 3 2" xfId="29514" xr:uid="{00000000-0005-0000-0000-0000938E0000}"/>
    <cellStyle name="Normal 5 2 3 2 4" xfId="22619" xr:uid="{00000000-0005-0000-0000-0000948E0000}"/>
    <cellStyle name="Normal 5 2 3 3" xfId="15521" xr:uid="{00000000-0005-0000-0000-0000958E0000}"/>
    <cellStyle name="Normal 5 2 3 3 2" xfId="33687" xr:uid="{00000000-0005-0000-0000-0000968E0000}"/>
    <cellStyle name="Normal 5 2 3 4" xfId="7441" xr:uid="{00000000-0005-0000-0000-0000978E0000}"/>
    <cellStyle name="Normal 5 2 3 4 2" xfId="26685" xr:uid="{00000000-0005-0000-0000-0000988E0000}"/>
    <cellStyle name="Normal 5 2 3 5" xfId="22618" xr:uid="{00000000-0005-0000-0000-0000998E0000}"/>
    <cellStyle name="Normal 5 2 4" xfId="2581" xr:uid="{00000000-0005-0000-0000-00009A8E0000}"/>
    <cellStyle name="Normal 5 2 4 2" xfId="2582" xr:uid="{00000000-0005-0000-0000-00009B8E0000}"/>
    <cellStyle name="Normal 5 2 4 2 2" xfId="16241" xr:uid="{00000000-0005-0000-0000-00009C8E0000}"/>
    <cellStyle name="Normal 5 2 4 2 2 2" xfId="34401" xr:uid="{00000000-0005-0000-0000-00009D8E0000}"/>
    <cellStyle name="Normal 5 2 4 2 3" xfId="22621" xr:uid="{00000000-0005-0000-0000-00009E8E0000}"/>
    <cellStyle name="Normal 5 2 4 3" xfId="8324" xr:uid="{00000000-0005-0000-0000-00009F8E0000}"/>
    <cellStyle name="Normal 5 2 4 3 2" xfId="27400" xr:uid="{00000000-0005-0000-0000-0000A08E0000}"/>
    <cellStyle name="Normal 5 2 4 4" xfId="22620" xr:uid="{00000000-0005-0000-0000-0000A18E0000}"/>
    <cellStyle name="Normal 5 2 5" xfId="2583" xr:uid="{00000000-0005-0000-0000-0000A28E0000}"/>
    <cellStyle name="Normal 5 2 5 2" xfId="2584" xr:uid="{00000000-0005-0000-0000-0000A38E0000}"/>
    <cellStyle name="Normal 5 2 5 2 2" xfId="15520" xr:uid="{00000000-0005-0000-0000-0000A48E0000}"/>
    <cellStyle name="Normal 5 2 5 2 2 2" xfId="33686" xr:uid="{00000000-0005-0000-0000-0000A58E0000}"/>
    <cellStyle name="Normal 5 2 5 2 3" xfId="22623" xr:uid="{00000000-0005-0000-0000-0000A68E0000}"/>
    <cellStyle name="Normal 5 2 5 3" xfId="7439" xr:uid="{00000000-0005-0000-0000-0000A78E0000}"/>
    <cellStyle name="Normal 5 2 5 3 2" xfId="26684" xr:uid="{00000000-0005-0000-0000-0000A88E0000}"/>
    <cellStyle name="Normal 5 2 5 4" xfId="22622" xr:uid="{00000000-0005-0000-0000-0000A98E0000}"/>
    <cellStyle name="Normal 5 2 6" xfId="2585" xr:uid="{00000000-0005-0000-0000-0000AA8E0000}"/>
    <cellStyle name="Normal 5 2 6 2" xfId="2586" xr:uid="{00000000-0005-0000-0000-0000AB8E0000}"/>
    <cellStyle name="Normal 5 2 6 2 2" xfId="22625" xr:uid="{00000000-0005-0000-0000-0000AC8E0000}"/>
    <cellStyle name="Normal 5 2 6 3" xfId="20231" xr:uid="{00000000-0005-0000-0000-0000AD8E0000}"/>
    <cellStyle name="Normal 5 2 6 4" xfId="22624" xr:uid="{00000000-0005-0000-0000-0000AE8E0000}"/>
    <cellStyle name="Normal 5 2 7" xfId="2587" xr:uid="{00000000-0005-0000-0000-0000AF8E0000}"/>
    <cellStyle name="Normal 5 2 7 2" xfId="2588" xr:uid="{00000000-0005-0000-0000-0000B08E0000}"/>
    <cellStyle name="Normal 5 2 7 2 2" xfId="22627" xr:uid="{00000000-0005-0000-0000-0000B18E0000}"/>
    <cellStyle name="Normal 5 2 7 3" xfId="22626" xr:uid="{00000000-0005-0000-0000-0000B28E0000}"/>
    <cellStyle name="Normal 5 3" xfId="2589" xr:uid="{00000000-0005-0000-0000-0000B38E0000}"/>
    <cellStyle name="Normal 5 3 10" xfId="39373" xr:uid="{00000000-0005-0000-0000-0000B48E0000}"/>
    <cellStyle name="Normal 5 3 2" xfId="2590" xr:uid="{00000000-0005-0000-0000-0000B58E0000}"/>
    <cellStyle name="Normal 5 3 2 2" xfId="2591" xr:uid="{00000000-0005-0000-0000-0000B68E0000}"/>
    <cellStyle name="Normal 5 3 2 2 2" xfId="2592" xr:uid="{00000000-0005-0000-0000-0000B78E0000}"/>
    <cellStyle name="Normal 5 3 2 2 2 2" xfId="22631" xr:uid="{00000000-0005-0000-0000-0000B88E0000}"/>
    <cellStyle name="Normal 5 3 2 2 3" xfId="22630" xr:uid="{00000000-0005-0000-0000-0000B98E0000}"/>
    <cellStyle name="Normal 5 3 2 3" xfId="2593" xr:uid="{00000000-0005-0000-0000-0000BA8E0000}"/>
    <cellStyle name="Normal 5 3 2 3 2" xfId="2594" xr:uid="{00000000-0005-0000-0000-0000BB8E0000}"/>
    <cellStyle name="Normal 5 3 2 3 2 2" xfId="22633" xr:uid="{00000000-0005-0000-0000-0000BC8E0000}"/>
    <cellStyle name="Normal 5 3 2 3 3" xfId="22632" xr:uid="{00000000-0005-0000-0000-0000BD8E0000}"/>
    <cellStyle name="Normal 5 3 2 4" xfId="2595" xr:uid="{00000000-0005-0000-0000-0000BE8E0000}"/>
    <cellStyle name="Normal 5 3 2 4 2" xfId="22634" xr:uid="{00000000-0005-0000-0000-0000BF8E0000}"/>
    <cellStyle name="Normal 5 3 2 5" xfId="11111" xr:uid="{00000000-0005-0000-0000-0000C08E0000}"/>
    <cellStyle name="Normal 5 3 2 6" xfId="22629" xr:uid="{00000000-0005-0000-0000-0000C18E0000}"/>
    <cellStyle name="Normal 5 3 3" xfId="2596" xr:uid="{00000000-0005-0000-0000-0000C28E0000}"/>
    <cellStyle name="Normal 5 3 3 2" xfId="2597" xr:uid="{00000000-0005-0000-0000-0000C38E0000}"/>
    <cellStyle name="Normal 5 3 3 2 2" xfId="22636" xr:uid="{00000000-0005-0000-0000-0000C48E0000}"/>
    <cellStyle name="Normal 5 3 3 3" xfId="7442" xr:uid="{00000000-0005-0000-0000-0000C58E0000}"/>
    <cellStyle name="Normal 5 3 3 4" xfId="22635" xr:uid="{00000000-0005-0000-0000-0000C68E0000}"/>
    <cellStyle name="Normal 5 3 4" xfId="2598" xr:uid="{00000000-0005-0000-0000-0000C78E0000}"/>
    <cellStyle name="Normal 5 3 4 2" xfId="2599" xr:uid="{00000000-0005-0000-0000-0000C88E0000}"/>
    <cellStyle name="Normal 5 3 4 2 2" xfId="18949" xr:uid="{00000000-0005-0000-0000-0000C98E0000}"/>
    <cellStyle name="Normal 5 3 4 2 2 2" xfId="37108" xr:uid="{00000000-0005-0000-0000-0000CA8E0000}"/>
    <cellStyle name="Normal 5 3 4 2 3" xfId="22638" xr:uid="{00000000-0005-0000-0000-0000CB8E0000}"/>
    <cellStyle name="Normal 5 3 4 3" xfId="11175" xr:uid="{00000000-0005-0000-0000-0000CC8E0000}"/>
    <cellStyle name="Normal 5 3 4 3 2" xfId="30107" xr:uid="{00000000-0005-0000-0000-0000CD8E0000}"/>
    <cellStyle name="Normal 5 3 4 4" xfId="22637" xr:uid="{00000000-0005-0000-0000-0000CE8E0000}"/>
    <cellStyle name="Normal 5 3 5" xfId="2600" xr:uid="{00000000-0005-0000-0000-0000CF8E0000}"/>
    <cellStyle name="Normal 5 3 5 2" xfId="2601" xr:uid="{00000000-0005-0000-0000-0000D08E0000}"/>
    <cellStyle name="Normal 5 3 5 2 2" xfId="22640" xr:uid="{00000000-0005-0000-0000-0000D18E0000}"/>
    <cellStyle name="Normal 5 3 5 3" xfId="12288" xr:uid="{00000000-0005-0000-0000-0000D28E0000}"/>
    <cellStyle name="Normal 5 3 5 3 2" xfId="30459" xr:uid="{00000000-0005-0000-0000-0000D38E0000}"/>
    <cellStyle name="Normal 5 3 5 4" xfId="22639" xr:uid="{00000000-0005-0000-0000-0000D48E0000}"/>
    <cellStyle name="Normal 5 3 6" xfId="2602" xr:uid="{00000000-0005-0000-0000-0000D58E0000}"/>
    <cellStyle name="Normal 5 3 6 2" xfId="2603" xr:uid="{00000000-0005-0000-0000-0000D68E0000}"/>
    <cellStyle name="Normal 5 3 6 2 2" xfId="22642" xr:uid="{00000000-0005-0000-0000-0000D78E0000}"/>
    <cellStyle name="Normal 5 3 6 3" xfId="22641" xr:uid="{00000000-0005-0000-0000-0000D88E0000}"/>
    <cellStyle name="Normal 5 3 7" xfId="2604" xr:uid="{00000000-0005-0000-0000-0000D98E0000}"/>
    <cellStyle name="Normal 5 3 7 2" xfId="22643" xr:uid="{00000000-0005-0000-0000-0000DA8E0000}"/>
    <cellStyle name="Normal 5 3 8" xfId="3468" xr:uid="{00000000-0005-0000-0000-0000DB8E0000}"/>
    <cellStyle name="Normal 5 3 8 2" xfId="23457" xr:uid="{00000000-0005-0000-0000-0000DC8E0000}"/>
    <cellStyle name="Normal 5 3 9" xfId="22628" xr:uid="{00000000-0005-0000-0000-0000DD8E0000}"/>
    <cellStyle name="Normal 5 4" xfId="2605" xr:uid="{00000000-0005-0000-0000-0000DE8E0000}"/>
    <cellStyle name="Normal 5 4 2" xfId="2606" xr:uid="{00000000-0005-0000-0000-0000DF8E0000}"/>
    <cellStyle name="Normal 5 4 2 2" xfId="2607" xr:uid="{00000000-0005-0000-0000-0000E08E0000}"/>
    <cellStyle name="Normal 5 4 2 2 2" xfId="2608" xr:uid="{00000000-0005-0000-0000-0000E18E0000}"/>
    <cellStyle name="Normal 5 4 2 2 2 2" xfId="22647" xr:uid="{00000000-0005-0000-0000-0000E28E0000}"/>
    <cellStyle name="Normal 5 4 2 2 3" xfId="22646" xr:uid="{00000000-0005-0000-0000-0000E38E0000}"/>
    <cellStyle name="Normal 5 4 2 3" xfId="2609" xr:uid="{00000000-0005-0000-0000-0000E48E0000}"/>
    <cellStyle name="Normal 5 4 2 3 2" xfId="2610" xr:uid="{00000000-0005-0000-0000-0000E58E0000}"/>
    <cellStyle name="Normal 5 4 2 3 2 2" xfId="22649" xr:uid="{00000000-0005-0000-0000-0000E68E0000}"/>
    <cellStyle name="Normal 5 4 2 3 3" xfId="22648" xr:uid="{00000000-0005-0000-0000-0000E78E0000}"/>
    <cellStyle name="Normal 5 4 2 4" xfId="2611" xr:uid="{00000000-0005-0000-0000-0000E88E0000}"/>
    <cellStyle name="Normal 5 4 2 4 2" xfId="22650" xr:uid="{00000000-0005-0000-0000-0000E98E0000}"/>
    <cellStyle name="Normal 5 4 2 5" xfId="11109" xr:uid="{00000000-0005-0000-0000-0000EA8E0000}"/>
    <cellStyle name="Normal 5 4 2 6" xfId="22645" xr:uid="{00000000-0005-0000-0000-0000EB8E0000}"/>
    <cellStyle name="Normal 5 4 3" xfId="2612" xr:uid="{00000000-0005-0000-0000-0000EC8E0000}"/>
    <cellStyle name="Normal 5 4 3 2" xfId="2613" xr:uid="{00000000-0005-0000-0000-0000ED8E0000}"/>
    <cellStyle name="Normal 5 4 3 2 2" xfId="22652" xr:uid="{00000000-0005-0000-0000-0000EE8E0000}"/>
    <cellStyle name="Normal 5 4 3 3" xfId="7438" xr:uid="{00000000-0005-0000-0000-0000EF8E0000}"/>
    <cellStyle name="Normal 5 4 3 4" xfId="22651" xr:uid="{00000000-0005-0000-0000-0000F08E0000}"/>
    <cellStyle name="Normal 5 4 4" xfId="2614" xr:uid="{00000000-0005-0000-0000-0000F18E0000}"/>
    <cellStyle name="Normal 5 4 4 2" xfId="2615" xr:uid="{00000000-0005-0000-0000-0000F28E0000}"/>
    <cellStyle name="Normal 5 4 4 2 2" xfId="22654" xr:uid="{00000000-0005-0000-0000-0000F38E0000}"/>
    <cellStyle name="Normal 5 4 4 3" xfId="22653" xr:uid="{00000000-0005-0000-0000-0000F48E0000}"/>
    <cellStyle name="Normal 5 4 5" xfId="2616" xr:uid="{00000000-0005-0000-0000-0000F58E0000}"/>
    <cellStyle name="Normal 5 4 5 2" xfId="2617" xr:uid="{00000000-0005-0000-0000-0000F68E0000}"/>
    <cellStyle name="Normal 5 4 5 2 2" xfId="22656" xr:uid="{00000000-0005-0000-0000-0000F78E0000}"/>
    <cellStyle name="Normal 5 4 5 3" xfId="22655" xr:uid="{00000000-0005-0000-0000-0000F88E0000}"/>
    <cellStyle name="Normal 5 4 6" xfId="2618" xr:uid="{00000000-0005-0000-0000-0000F98E0000}"/>
    <cellStyle name="Normal 5 4 6 2" xfId="22657" xr:uid="{00000000-0005-0000-0000-0000FA8E0000}"/>
    <cellStyle name="Normal 5 4 7" xfId="3488" xr:uid="{00000000-0005-0000-0000-0000FB8E0000}"/>
    <cellStyle name="Normal 5 4 8" xfId="22644" xr:uid="{00000000-0005-0000-0000-0000FC8E0000}"/>
    <cellStyle name="Normal 5 5" xfId="2619" xr:uid="{00000000-0005-0000-0000-0000FD8E0000}"/>
    <cellStyle name="Normal 5 5 2" xfId="2620" xr:uid="{00000000-0005-0000-0000-0000FE8E0000}"/>
    <cellStyle name="Normal 5 5 2 2" xfId="2621" xr:uid="{00000000-0005-0000-0000-0000FF8E0000}"/>
    <cellStyle name="Normal 5 5 2 2 2" xfId="2622" xr:uid="{00000000-0005-0000-0000-0000008F0000}"/>
    <cellStyle name="Normal 5 5 2 2 2 2" xfId="22661" xr:uid="{00000000-0005-0000-0000-0000018F0000}"/>
    <cellStyle name="Normal 5 5 2 2 3" xfId="22660" xr:uid="{00000000-0005-0000-0000-0000028F0000}"/>
    <cellStyle name="Normal 5 5 2 3" xfId="2623" xr:uid="{00000000-0005-0000-0000-0000038F0000}"/>
    <cellStyle name="Normal 5 5 2 3 2" xfId="2624" xr:uid="{00000000-0005-0000-0000-0000048F0000}"/>
    <cellStyle name="Normal 5 5 2 3 2 2" xfId="22663" xr:uid="{00000000-0005-0000-0000-0000058F0000}"/>
    <cellStyle name="Normal 5 5 2 3 3" xfId="22662" xr:uid="{00000000-0005-0000-0000-0000068F0000}"/>
    <cellStyle name="Normal 5 5 2 4" xfId="2625" xr:uid="{00000000-0005-0000-0000-0000078F0000}"/>
    <cellStyle name="Normal 5 5 2 4 2" xfId="22664" xr:uid="{00000000-0005-0000-0000-0000088F0000}"/>
    <cellStyle name="Normal 5 5 2 5" xfId="12377" xr:uid="{00000000-0005-0000-0000-0000098F0000}"/>
    <cellStyle name="Normal 5 5 2 5 2" xfId="30544" xr:uid="{00000000-0005-0000-0000-00000A8F0000}"/>
    <cellStyle name="Normal 5 5 2 6" xfId="22659" xr:uid="{00000000-0005-0000-0000-00000B8F0000}"/>
    <cellStyle name="Normal 5 5 3" xfId="2626" xr:uid="{00000000-0005-0000-0000-00000C8F0000}"/>
    <cellStyle name="Normal 5 5 3 2" xfId="2627" xr:uid="{00000000-0005-0000-0000-00000D8F0000}"/>
    <cellStyle name="Normal 5 5 3 2 2" xfId="22666" xr:uid="{00000000-0005-0000-0000-00000E8F0000}"/>
    <cellStyle name="Normal 5 5 3 3" xfId="22665" xr:uid="{00000000-0005-0000-0000-00000F8F0000}"/>
    <cellStyle name="Normal 5 5 4" xfId="2628" xr:uid="{00000000-0005-0000-0000-0000108F0000}"/>
    <cellStyle name="Normal 5 5 4 2" xfId="2629" xr:uid="{00000000-0005-0000-0000-0000118F0000}"/>
    <cellStyle name="Normal 5 5 4 2 2" xfId="22668" xr:uid="{00000000-0005-0000-0000-0000128F0000}"/>
    <cellStyle name="Normal 5 5 4 3" xfId="22667" xr:uid="{00000000-0005-0000-0000-0000138F0000}"/>
    <cellStyle name="Normal 5 5 5" xfId="2630" xr:uid="{00000000-0005-0000-0000-0000148F0000}"/>
    <cellStyle name="Normal 5 5 5 2" xfId="2631" xr:uid="{00000000-0005-0000-0000-0000158F0000}"/>
    <cellStyle name="Normal 5 5 5 2 2" xfId="22670" xr:uid="{00000000-0005-0000-0000-0000168F0000}"/>
    <cellStyle name="Normal 5 5 5 3" xfId="22669" xr:uid="{00000000-0005-0000-0000-0000178F0000}"/>
    <cellStyle name="Normal 5 5 6" xfId="2632" xr:uid="{00000000-0005-0000-0000-0000188F0000}"/>
    <cellStyle name="Normal 5 5 6 2" xfId="22671" xr:uid="{00000000-0005-0000-0000-0000198F0000}"/>
    <cellStyle name="Normal 5 5 7" xfId="3821" xr:uid="{00000000-0005-0000-0000-00001A8F0000}"/>
    <cellStyle name="Normal 5 5 7 2" xfId="23542" xr:uid="{00000000-0005-0000-0000-00001B8F0000}"/>
    <cellStyle name="Normal 5 5 8" xfId="22658" xr:uid="{00000000-0005-0000-0000-00001C8F0000}"/>
    <cellStyle name="Normal 5 6" xfId="2633" xr:uid="{00000000-0005-0000-0000-00001D8F0000}"/>
    <cellStyle name="Normal 5 6 2" xfId="2634" xr:uid="{00000000-0005-0000-0000-00001E8F0000}"/>
    <cellStyle name="Normal 5 6 2 2" xfId="2635" xr:uid="{00000000-0005-0000-0000-00001F8F0000}"/>
    <cellStyle name="Normal 5 6 2 2 2" xfId="2636" xr:uid="{00000000-0005-0000-0000-0000208F0000}"/>
    <cellStyle name="Normal 5 6 2 2 2 2" xfId="22675" xr:uid="{00000000-0005-0000-0000-0000218F0000}"/>
    <cellStyle name="Normal 5 6 2 2 3" xfId="22674" xr:uid="{00000000-0005-0000-0000-0000228F0000}"/>
    <cellStyle name="Normal 5 6 2 3" xfId="2637" xr:uid="{00000000-0005-0000-0000-0000238F0000}"/>
    <cellStyle name="Normal 5 6 2 3 2" xfId="2638" xr:uid="{00000000-0005-0000-0000-0000248F0000}"/>
    <cellStyle name="Normal 5 6 2 3 2 2" xfId="22677" xr:uid="{00000000-0005-0000-0000-0000258F0000}"/>
    <cellStyle name="Normal 5 6 2 3 3" xfId="22676" xr:uid="{00000000-0005-0000-0000-0000268F0000}"/>
    <cellStyle name="Normal 5 6 2 4" xfId="2639" xr:uid="{00000000-0005-0000-0000-0000278F0000}"/>
    <cellStyle name="Normal 5 6 2 4 2" xfId="22678" xr:uid="{00000000-0005-0000-0000-0000288F0000}"/>
    <cellStyle name="Normal 5 6 2 5" xfId="22673" xr:uid="{00000000-0005-0000-0000-0000298F0000}"/>
    <cellStyle name="Normal 5 6 3" xfId="2640" xr:uid="{00000000-0005-0000-0000-00002A8F0000}"/>
    <cellStyle name="Normal 5 6 3 2" xfId="2641" xr:uid="{00000000-0005-0000-0000-00002B8F0000}"/>
    <cellStyle name="Normal 5 6 3 2 2" xfId="22680" xr:uid="{00000000-0005-0000-0000-00002C8F0000}"/>
    <cellStyle name="Normal 5 6 3 3" xfId="22679" xr:uid="{00000000-0005-0000-0000-00002D8F0000}"/>
    <cellStyle name="Normal 5 6 4" xfId="2642" xr:uid="{00000000-0005-0000-0000-00002E8F0000}"/>
    <cellStyle name="Normal 5 6 4 2" xfId="2643" xr:uid="{00000000-0005-0000-0000-00002F8F0000}"/>
    <cellStyle name="Normal 5 6 4 2 2" xfId="22682" xr:uid="{00000000-0005-0000-0000-0000308F0000}"/>
    <cellStyle name="Normal 5 6 4 3" xfId="22681" xr:uid="{00000000-0005-0000-0000-0000318F0000}"/>
    <cellStyle name="Normal 5 6 5" xfId="2644" xr:uid="{00000000-0005-0000-0000-0000328F0000}"/>
    <cellStyle name="Normal 5 6 5 2" xfId="2645" xr:uid="{00000000-0005-0000-0000-0000338F0000}"/>
    <cellStyle name="Normal 5 6 5 2 2" xfId="22684" xr:uid="{00000000-0005-0000-0000-0000348F0000}"/>
    <cellStyle name="Normal 5 6 5 3" xfId="22683" xr:uid="{00000000-0005-0000-0000-0000358F0000}"/>
    <cellStyle name="Normal 5 6 6" xfId="2646" xr:uid="{00000000-0005-0000-0000-0000368F0000}"/>
    <cellStyle name="Normal 5 6 6 2" xfId="22685" xr:uid="{00000000-0005-0000-0000-0000378F0000}"/>
    <cellStyle name="Normal 5 6 7" xfId="22672" xr:uid="{00000000-0005-0000-0000-0000388F0000}"/>
    <cellStyle name="Normal 5 7" xfId="2647" xr:uid="{00000000-0005-0000-0000-0000398F0000}"/>
    <cellStyle name="Normal 5 7 2" xfId="2648" xr:uid="{00000000-0005-0000-0000-00003A8F0000}"/>
    <cellStyle name="Normal 5 7 2 2" xfId="2649" xr:uid="{00000000-0005-0000-0000-00003B8F0000}"/>
    <cellStyle name="Normal 5 7 2 2 2" xfId="2650" xr:uid="{00000000-0005-0000-0000-00003C8F0000}"/>
    <cellStyle name="Normal 5 7 2 2 2 2" xfId="22689" xr:uid="{00000000-0005-0000-0000-00003D8F0000}"/>
    <cellStyle name="Normal 5 7 2 2 3" xfId="22688" xr:uid="{00000000-0005-0000-0000-00003E8F0000}"/>
    <cellStyle name="Normal 5 7 2 3" xfId="2651" xr:uid="{00000000-0005-0000-0000-00003F8F0000}"/>
    <cellStyle name="Normal 5 7 2 3 2" xfId="2652" xr:uid="{00000000-0005-0000-0000-0000408F0000}"/>
    <cellStyle name="Normal 5 7 2 3 2 2" xfId="22691" xr:uid="{00000000-0005-0000-0000-0000418F0000}"/>
    <cellStyle name="Normal 5 7 2 3 3" xfId="22690" xr:uid="{00000000-0005-0000-0000-0000428F0000}"/>
    <cellStyle name="Normal 5 7 2 4" xfId="2653" xr:uid="{00000000-0005-0000-0000-0000438F0000}"/>
    <cellStyle name="Normal 5 7 2 4 2" xfId="22692" xr:uid="{00000000-0005-0000-0000-0000448F0000}"/>
    <cellStyle name="Normal 5 7 2 5" xfId="22687" xr:uid="{00000000-0005-0000-0000-0000458F0000}"/>
    <cellStyle name="Normal 5 7 3" xfId="2654" xr:uid="{00000000-0005-0000-0000-0000468F0000}"/>
    <cellStyle name="Normal 5 7 3 2" xfId="2655" xr:uid="{00000000-0005-0000-0000-0000478F0000}"/>
    <cellStyle name="Normal 5 7 3 2 2" xfId="22694" xr:uid="{00000000-0005-0000-0000-0000488F0000}"/>
    <cellStyle name="Normal 5 7 3 3" xfId="22693" xr:uid="{00000000-0005-0000-0000-0000498F0000}"/>
    <cellStyle name="Normal 5 7 4" xfId="2656" xr:uid="{00000000-0005-0000-0000-00004A8F0000}"/>
    <cellStyle name="Normal 5 7 4 2" xfId="2657" xr:uid="{00000000-0005-0000-0000-00004B8F0000}"/>
    <cellStyle name="Normal 5 7 4 2 2" xfId="22696" xr:uid="{00000000-0005-0000-0000-00004C8F0000}"/>
    <cellStyle name="Normal 5 7 4 3" xfId="22695" xr:uid="{00000000-0005-0000-0000-00004D8F0000}"/>
    <cellStyle name="Normal 5 7 5" xfId="2658" xr:uid="{00000000-0005-0000-0000-00004E8F0000}"/>
    <cellStyle name="Normal 5 7 5 2" xfId="2659" xr:uid="{00000000-0005-0000-0000-00004F8F0000}"/>
    <cellStyle name="Normal 5 7 5 2 2" xfId="22698" xr:uid="{00000000-0005-0000-0000-0000508F0000}"/>
    <cellStyle name="Normal 5 7 5 3" xfId="22697" xr:uid="{00000000-0005-0000-0000-0000518F0000}"/>
    <cellStyle name="Normal 5 7 6" xfId="2660" xr:uid="{00000000-0005-0000-0000-0000528F0000}"/>
    <cellStyle name="Normal 5 7 6 2" xfId="22699" xr:uid="{00000000-0005-0000-0000-0000538F0000}"/>
    <cellStyle name="Normal 5 7 7" xfId="22686" xr:uid="{00000000-0005-0000-0000-0000548F0000}"/>
    <cellStyle name="Normal 5 8" xfId="2661" xr:uid="{00000000-0005-0000-0000-0000558F0000}"/>
    <cellStyle name="Normal 5 8 2" xfId="2662" xr:uid="{00000000-0005-0000-0000-0000568F0000}"/>
    <cellStyle name="Normal 5 8 2 2" xfId="2663" xr:uid="{00000000-0005-0000-0000-0000578F0000}"/>
    <cellStyle name="Normal 5 8 2 2 2" xfId="22702" xr:uid="{00000000-0005-0000-0000-0000588F0000}"/>
    <cellStyle name="Normal 5 8 2 3" xfId="22701" xr:uid="{00000000-0005-0000-0000-0000598F0000}"/>
    <cellStyle name="Normal 5 8 3" xfId="2664" xr:uid="{00000000-0005-0000-0000-00005A8F0000}"/>
    <cellStyle name="Normal 5 8 3 2" xfId="2665" xr:uid="{00000000-0005-0000-0000-00005B8F0000}"/>
    <cellStyle name="Normal 5 8 3 2 2" xfId="22704" xr:uid="{00000000-0005-0000-0000-00005C8F0000}"/>
    <cellStyle name="Normal 5 8 3 3" xfId="22703" xr:uid="{00000000-0005-0000-0000-00005D8F0000}"/>
    <cellStyle name="Normal 5 8 4" xfId="2666" xr:uid="{00000000-0005-0000-0000-00005E8F0000}"/>
    <cellStyle name="Normal 5 8 4 2" xfId="22705" xr:uid="{00000000-0005-0000-0000-00005F8F0000}"/>
    <cellStyle name="Normal 5 8 5" xfId="22700" xr:uid="{00000000-0005-0000-0000-0000608F0000}"/>
    <cellStyle name="Normal 5 9" xfId="2667" xr:uid="{00000000-0005-0000-0000-0000618F0000}"/>
    <cellStyle name="Normal 5 9 2" xfId="2668" xr:uid="{00000000-0005-0000-0000-0000628F0000}"/>
    <cellStyle name="Normal 5 9 2 2" xfId="2669" xr:uid="{00000000-0005-0000-0000-0000638F0000}"/>
    <cellStyle name="Normal 5 9 2 2 2" xfId="22708" xr:uid="{00000000-0005-0000-0000-0000648F0000}"/>
    <cellStyle name="Normal 5 9 2 3" xfId="22707" xr:uid="{00000000-0005-0000-0000-0000658F0000}"/>
    <cellStyle name="Normal 5 9 3" xfId="2670" xr:uid="{00000000-0005-0000-0000-0000668F0000}"/>
    <cellStyle name="Normal 5 9 3 2" xfId="22709" xr:uid="{00000000-0005-0000-0000-0000678F0000}"/>
    <cellStyle name="Normal 5 9 4" xfId="22706" xr:uid="{00000000-0005-0000-0000-0000688F0000}"/>
    <cellStyle name="Normal 6" xfId="864" xr:uid="{00000000-0005-0000-0000-0000698F0000}"/>
    <cellStyle name="Normal 6 10" xfId="2671" xr:uid="{00000000-0005-0000-0000-00006A8F0000}"/>
    <cellStyle name="Normal 6 10 2" xfId="2672" xr:uid="{00000000-0005-0000-0000-00006B8F0000}"/>
    <cellStyle name="Normal 6 10 2 2" xfId="22711" xr:uid="{00000000-0005-0000-0000-00006C8F0000}"/>
    <cellStyle name="Normal 6 10 3" xfId="11934" xr:uid="{00000000-0005-0000-0000-00006D8F0000}"/>
    <cellStyle name="Normal 6 10 3 2" xfId="30132" xr:uid="{00000000-0005-0000-0000-00006E8F0000}"/>
    <cellStyle name="Normal 6 10 4" xfId="22710" xr:uid="{00000000-0005-0000-0000-00006F8F0000}"/>
    <cellStyle name="Normal 6 11" xfId="2673" xr:uid="{00000000-0005-0000-0000-0000708F0000}"/>
    <cellStyle name="Normal 6 11 2" xfId="2674" xr:uid="{00000000-0005-0000-0000-0000718F0000}"/>
    <cellStyle name="Normal 6 11 2 2" xfId="22713" xr:uid="{00000000-0005-0000-0000-0000728F0000}"/>
    <cellStyle name="Normal 6 11 3" xfId="19716" xr:uid="{00000000-0005-0000-0000-0000738F0000}"/>
    <cellStyle name="Normal 6 11 3 2" xfId="37676" xr:uid="{00000000-0005-0000-0000-0000748F0000}"/>
    <cellStyle name="Normal 6 11 4" xfId="22712" xr:uid="{00000000-0005-0000-0000-0000758F0000}"/>
    <cellStyle name="Normal 6 12" xfId="2675" xr:uid="{00000000-0005-0000-0000-0000768F0000}"/>
    <cellStyle name="Normal 6 12 2" xfId="2676" xr:uid="{00000000-0005-0000-0000-0000778F0000}"/>
    <cellStyle name="Normal 6 12 2 2" xfId="22715" xr:uid="{00000000-0005-0000-0000-0000788F0000}"/>
    <cellStyle name="Normal 6 12 3" xfId="22714" xr:uid="{00000000-0005-0000-0000-0000798F0000}"/>
    <cellStyle name="Normal 6 13" xfId="2677" xr:uid="{00000000-0005-0000-0000-00007A8F0000}"/>
    <cellStyle name="Normal 6 13 2" xfId="2678" xr:uid="{00000000-0005-0000-0000-00007B8F0000}"/>
    <cellStyle name="Normal 6 13 2 2" xfId="22717" xr:uid="{00000000-0005-0000-0000-00007C8F0000}"/>
    <cellStyle name="Normal 6 13 3" xfId="22716" xr:uid="{00000000-0005-0000-0000-00007D8F0000}"/>
    <cellStyle name="Normal 6 14" xfId="2679" xr:uid="{00000000-0005-0000-0000-00007E8F0000}"/>
    <cellStyle name="Normal 6 14 2" xfId="22718" xr:uid="{00000000-0005-0000-0000-00007F8F0000}"/>
    <cellStyle name="Normal 6 15" xfId="3451" xr:uid="{00000000-0005-0000-0000-0000808F0000}"/>
    <cellStyle name="Normal 6 15 2" xfId="23451" xr:uid="{00000000-0005-0000-0000-0000818F0000}"/>
    <cellStyle name="Normal 6 16" xfId="21782" xr:uid="{00000000-0005-0000-0000-0000828F0000}"/>
    <cellStyle name="Normal 6 17" xfId="38631" xr:uid="{00000000-0005-0000-0000-0000838F0000}"/>
    <cellStyle name="Normal 6 18" xfId="39355" xr:uid="{00000000-0005-0000-0000-0000848F0000}"/>
    <cellStyle name="Normal 6 19" xfId="39935" xr:uid="{00000000-0005-0000-0000-0000858F0000}"/>
    <cellStyle name="Normal 6 2" xfId="865" xr:uid="{00000000-0005-0000-0000-0000868F0000}"/>
    <cellStyle name="Normal 6 2 2" xfId="2680" xr:uid="{00000000-0005-0000-0000-0000878F0000}"/>
    <cellStyle name="Normal 6 2 2 2" xfId="2681" xr:uid="{00000000-0005-0000-0000-0000888F0000}"/>
    <cellStyle name="Normal 6 2 2 2 2" xfId="2682" xr:uid="{00000000-0005-0000-0000-0000898F0000}"/>
    <cellStyle name="Normal 6 2 2 2 2 2" xfId="17973" xr:uid="{00000000-0005-0000-0000-00008A8F0000}"/>
    <cellStyle name="Normal 6 2 2 2 2 2 2" xfId="36133" xr:uid="{00000000-0005-0000-0000-00008B8F0000}"/>
    <cellStyle name="Normal 6 2 2 2 2 3" xfId="22721" xr:uid="{00000000-0005-0000-0000-00008C8F0000}"/>
    <cellStyle name="Normal 6 2 2 2 3" xfId="10072" xr:uid="{00000000-0005-0000-0000-00008D8F0000}"/>
    <cellStyle name="Normal 6 2 2 2 3 2" xfId="29132" xr:uid="{00000000-0005-0000-0000-00008E8F0000}"/>
    <cellStyle name="Normal 6 2 2 2 4" xfId="22720" xr:uid="{00000000-0005-0000-0000-00008F8F0000}"/>
    <cellStyle name="Normal 6 2 2 3" xfId="2683" xr:uid="{00000000-0005-0000-0000-0000908F0000}"/>
    <cellStyle name="Normal 6 2 2 3 2" xfId="2684" xr:uid="{00000000-0005-0000-0000-0000918F0000}"/>
    <cellStyle name="Normal 6 2 2 3 2 2" xfId="22723" xr:uid="{00000000-0005-0000-0000-0000928F0000}"/>
    <cellStyle name="Normal 6 2 2 3 3" xfId="15523" xr:uid="{00000000-0005-0000-0000-0000938F0000}"/>
    <cellStyle name="Normal 6 2 2 3 3 2" xfId="33689" xr:uid="{00000000-0005-0000-0000-0000948F0000}"/>
    <cellStyle name="Normal 6 2 2 3 4" xfId="22722" xr:uid="{00000000-0005-0000-0000-0000958F0000}"/>
    <cellStyle name="Normal 6 2 2 4" xfId="2685" xr:uid="{00000000-0005-0000-0000-0000968F0000}"/>
    <cellStyle name="Normal 6 2 2 4 2" xfId="2686" xr:uid="{00000000-0005-0000-0000-0000978F0000}"/>
    <cellStyle name="Normal 6 2 2 4 2 2" xfId="22725" xr:uid="{00000000-0005-0000-0000-0000988F0000}"/>
    <cellStyle name="Normal 6 2 2 4 3" xfId="20731" xr:uid="{00000000-0005-0000-0000-0000998F0000}"/>
    <cellStyle name="Normal 6 2 2 4 4" xfId="22724" xr:uid="{00000000-0005-0000-0000-00009A8F0000}"/>
    <cellStyle name="Normal 6 2 2 5" xfId="2687" xr:uid="{00000000-0005-0000-0000-00009B8F0000}"/>
    <cellStyle name="Normal 6 2 2 5 2" xfId="22726" xr:uid="{00000000-0005-0000-0000-00009C8F0000}"/>
    <cellStyle name="Normal 6 2 2 6" xfId="7445" xr:uid="{00000000-0005-0000-0000-00009D8F0000}"/>
    <cellStyle name="Normal 6 2 2 6 2" xfId="26687" xr:uid="{00000000-0005-0000-0000-00009E8F0000}"/>
    <cellStyle name="Normal 6 2 2 7" xfId="22719" xr:uid="{00000000-0005-0000-0000-00009F8F0000}"/>
    <cellStyle name="Normal 6 2 3" xfId="2688" xr:uid="{00000000-0005-0000-0000-0000A08F0000}"/>
    <cellStyle name="Normal 6 2 3 2" xfId="2689" xr:uid="{00000000-0005-0000-0000-0000A18F0000}"/>
    <cellStyle name="Normal 6 2 3 2 2" xfId="2690" xr:uid="{00000000-0005-0000-0000-0000A28F0000}"/>
    <cellStyle name="Normal 6 2 3 2 2 2" xfId="17220" xr:uid="{00000000-0005-0000-0000-0000A38F0000}"/>
    <cellStyle name="Normal 6 2 3 2 2 2 2" xfId="35380" xr:uid="{00000000-0005-0000-0000-0000A48F0000}"/>
    <cellStyle name="Normal 6 2 3 2 2 3" xfId="22729" xr:uid="{00000000-0005-0000-0000-0000A58F0000}"/>
    <cellStyle name="Normal 6 2 3 2 3" xfId="9309" xr:uid="{00000000-0005-0000-0000-0000A68F0000}"/>
    <cellStyle name="Normal 6 2 3 2 3 2" xfId="28379" xr:uid="{00000000-0005-0000-0000-0000A78F0000}"/>
    <cellStyle name="Normal 6 2 3 2 4" xfId="22728" xr:uid="{00000000-0005-0000-0000-0000A88F0000}"/>
    <cellStyle name="Normal 6 2 3 3" xfId="2691" xr:uid="{00000000-0005-0000-0000-0000A98F0000}"/>
    <cellStyle name="Normal 6 2 3 3 2" xfId="15524" xr:uid="{00000000-0005-0000-0000-0000AA8F0000}"/>
    <cellStyle name="Normal 6 2 3 3 2 2" xfId="33690" xr:uid="{00000000-0005-0000-0000-0000AB8F0000}"/>
    <cellStyle name="Normal 6 2 3 3 3" xfId="22730" xr:uid="{00000000-0005-0000-0000-0000AC8F0000}"/>
    <cellStyle name="Normal 6 2 3 4" xfId="21235" xr:uid="{00000000-0005-0000-0000-0000AD8F0000}"/>
    <cellStyle name="Normal 6 2 3 4 2" xfId="38082" xr:uid="{00000000-0005-0000-0000-0000AE8F0000}"/>
    <cellStyle name="Normal 6 2 3 5" xfId="7446" xr:uid="{00000000-0005-0000-0000-0000AF8F0000}"/>
    <cellStyle name="Normal 6 2 3 5 2" xfId="26688" xr:uid="{00000000-0005-0000-0000-0000B08F0000}"/>
    <cellStyle name="Normal 6 2 3 6" xfId="22727" xr:uid="{00000000-0005-0000-0000-0000B18F0000}"/>
    <cellStyle name="Normal 6 2 3 7" xfId="39037" xr:uid="{00000000-0005-0000-0000-0000B28F0000}"/>
    <cellStyle name="Normal 6 2 4" xfId="2692" xr:uid="{00000000-0005-0000-0000-0000B38F0000}"/>
    <cellStyle name="Normal 6 2 4 2" xfId="2693" xr:uid="{00000000-0005-0000-0000-0000B48F0000}"/>
    <cellStyle name="Normal 6 2 4 2 2" xfId="16242" xr:uid="{00000000-0005-0000-0000-0000B58F0000}"/>
    <cellStyle name="Normal 6 2 4 2 2 2" xfId="34402" xr:uid="{00000000-0005-0000-0000-0000B68F0000}"/>
    <cellStyle name="Normal 6 2 4 2 3" xfId="22732" xr:uid="{00000000-0005-0000-0000-0000B78F0000}"/>
    <cellStyle name="Normal 6 2 4 3" xfId="8325" xr:uid="{00000000-0005-0000-0000-0000B88F0000}"/>
    <cellStyle name="Normal 6 2 4 3 2" xfId="27401" xr:uid="{00000000-0005-0000-0000-0000B98F0000}"/>
    <cellStyle name="Normal 6 2 4 4" xfId="22731" xr:uid="{00000000-0005-0000-0000-0000BA8F0000}"/>
    <cellStyle name="Normal 6 2 5" xfId="2694" xr:uid="{00000000-0005-0000-0000-0000BB8F0000}"/>
    <cellStyle name="Normal 6 2 5 2" xfId="2695" xr:uid="{00000000-0005-0000-0000-0000BC8F0000}"/>
    <cellStyle name="Normal 6 2 5 2 2" xfId="15522" xr:uid="{00000000-0005-0000-0000-0000BD8F0000}"/>
    <cellStyle name="Normal 6 2 5 2 2 2" xfId="33688" xr:uid="{00000000-0005-0000-0000-0000BE8F0000}"/>
    <cellStyle name="Normal 6 2 5 2 3" xfId="22734" xr:uid="{00000000-0005-0000-0000-0000BF8F0000}"/>
    <cellStyle name="Normal 6 2 5 3" xfId="7444" xr:uid="{00000000-0005-0000-0000-0000C08F0000}"/>
    <cellStyle name="Normal 6 2 5 3 2" xfId="26686" xr:uid="{00000000-0005-0000-0000-0000C18F0000}"/>
    <cellStyle name="Normal 6 2 5 4" xfId="22733" xr:uid="{00000000-0005-0000-0000-0000C28F0000}"/>
    <cellStyle name="Normal 6 2 6" xfId="2696" xr:uid="{00000000-0005-0000-0000-0000C38F0000}"/>
    <cellStyle name="Normal 6 2 6 2" xfId="2697" xr:uid="{00000000-0005-0000-0000-0000C48F0000}"/>
    <cellStyle name="Normal 6 2 6 2 2" xfId="22736" xr:uid="{00000000-0005-0000-0000-0000C58F0000}"/>
    <cellStyle name="Normal 6 2 6 3" xfId="19717" xr:uid="{00000000-0005-0000-0000-0000C68F0000}"/>
    <cellStyle name="Normal 6 2 6 4" xfId="22735" xr:uid="{00000000-0005-0000-0000-0000C78F0000}"/>
    <cellStyle name="Normal 6 2 7" xfId="2698" xr:uid="{00000000-0005-0000-0000-0000C88F0000}"/>
    <cellStyle name="Normal 6 2 7 2" xfId="2699" xr:uid="{00000000-0005-0000-0000-0000C98F0000}"/>
    <cellStyle name="Normal 6 2 7 2 2" xfId="22738" xr:uid="{00000000-0005-0000-0000-0000CA8F0000}"/>
    <cellStyle name="Normal 6 2 7 3" xfId="22737" xr:uid="{00000000-0005-0000-0000-0000CB8F0000}"/>
    <cellStyle name="Normal 6 2 8" xfId="2700" xr:uid="{00000000-0005-0000-0000-0000CC8F0000}"/>
    <cellStyle name="Normal 6 2 8 2" xfId="22739" xr:uid="{00000000-0005-0000-0000-0000CD8F0000}"/>
    <cellStyle name="Normal 6 20" xfId="40421" xr:uid="{00000000-0005-0000-0000-0000CE8F0000}"/>
    <cellStyle name="Normal 6 3" xfId="2701" xr:uid="{00000000-0005-0000-0000-0000CF8F0000}"/>
    <cellStyle name="Normal 6 3 10" xfId="22740" xr:uid="{00000000-0005-0000-0000-0000D08F0000}"/>
    <cellStyle name="Normal 6 3 11" xfId="39000" xr:uid="{00000000-0005-0000-0000-0000D18F0000}"/>
    <cellStyle name="Normal 6 3 12" xfId="39374" xr:uid="{00000000-0005-0000-0000-0000D28F0000}"/>
    <cellStyle name="Normal 6 3 2" xfId="2702" xr:uid="{00000000-0005-0000-0000-0000D38F0000}"/>
    <cellStyle name="Normal 6 3 2 2" xfId="2703" xr:uid="{00000000-0005-0000-0000-0000D48F0000}"/>
    <cellStyle name="Normal 6 3 2 2 2" xfId="2704" xr:uid="{00000000-0005-0000-0000-0000D58F0000}"/>
    <cellStyle name="Normal 6 3 2 2 2 2" xfId="22743" xr:uid="{00000000-0005-0000-0000-0000D68F0000}"/>
    <cellStyle name="Normal 6 3 2 2 3" xfId="21214" xr:uid="{00000000-0005-0000-0000-0000D78F0000}"/>
    <cellStyle name="Normal 6 3 2 2 3 2" xfId="38065" xr:uid="{00000000-0005-0000-0000-0000D88F0000}"/>
    <cellStyle name="Normal 6 3 2 2 4" xfId="22742" xr:uid="{00000000-0005-0000-0000-0000D98F0000}"/>
    <cellStyle name="Normal 6 3 2 3" xfId="2705" xr:uid="{00000000-0005-0000-0000-0000DA8F0000}"/>
    <cellStyle name="Normal 6 3 2 3 2" xfId="2706" xr:uid="{00000000-0005-0000-0000-0000DB8F0000}"/>
    <cellStyle name="Normal 6 3 2 3 2 2" xfId="22745" xr:uid="{00000000-0005-0000-0000-0000DC8F0000}"/>
    <cellStyle name="Normal 6 3 2 3 3" xfId="22744" xr:uid="{00000000-0005-0000-0000-0000DD8F0000}"/>
    <cellStyle name="Normal 6 3 2 4" xfId="2707" xr:uid="{00000000-0005-0000-0000-0000DE8F0000}"/>
    <cellStyle name="Normal 6 3 2 4 2" xfId="22746" xr:uid="{00000000-0005-0000-0000-0000DF8F0000}"/>
    <cellStyle name="Normal 6 3 2 5" xfId="7448" xr:uid="{00000000-0005-0000-0000-0000E08F0000}"/>
    <cellStyle name="Normal 6 3 2 6" xfId="22741" xr:uid="{00000000-0005-0000-0000-0000E18F0000}"/>
    <cellStyle name="Normal 6 3 2 7" xfId="39020" xr:uid="{00000000-0005-0000-0000-0000E28F0000}"/>
    <cellStyle name="Normal 6 3 3" xfId="2708" xr:uid="{00000000-0005-0000-0000-0000E38F0000}"/>
    <cellStyle name="Normal 6 3 3 2" xfId="2709" xr:uid="{00000000-0005-0000-0000-0000E48F0000}"/>
    <cellStyle name="Normal 6 3 3 2 2" xfId="22748" xr:uid="{00000000-0005-0000-0000-0000E58F0000}"/>
    <cellStyle name="Normal 6 3 3 3" xfId="11113" xr:uid="{00000000-0005-0000-0000-0000E68F0000}"/>
    <cellStyle name="Normal 6 3 3 4" xfId="22747" xr:uid="{00000000-0005-0000-0000-0000E78F0000}"/>
    <cellStyle name="Normal 6 3 4" xfId="2710" xr:uid="{00000000-0005-0000-0000-0000E88F0000}"/>
    <cellStyle name="Normal 6 3 4 2" xfId="2711" xr:uid="{00000000-0005-0000-0000-0000E98F0000}"/>
    <cellStyle name="Normal 6 3 4 2 2" xfId="22750" xr:uid="{00000000-0005-0000-0000-0000EA8F0000}"/>
    <cellStyle name="Normal 6 3 4 3" xfId="7447" xr:uid="{00000000-0005-0000-0000-0000EB8F0000}"/>
    <cellStyle name="Normal 6 3 4 4" xfId="22749" xr:uid="{00000000-0005-0000-0000-0000EC8F0000}"/>
    <cellStyle name="Normal 6 3 5" xfId="2712" xr:uid="{00000000-0005-0000-0000-0000ED8F0000}"/>
    <cellStyle name="Normal 6 3 5 2" xfId="2713" xr:uid="{00000000-0005-0000-0000-0000EE8F0000}"/>
    <cellStyle name="Normal 6 3 5 2 2" xfId="18950" xr:uid="{00000000-0005-0000-0000-0000EF8F0000}"/>
    <cellStyle name="Normal 6 3 5 2 2 2" xfId="37109" xr:uid="{00000000-0005-0000-0000-0000F08F0000}"/>
    <cellStyle name="Normal 6 3 5 2 3" xfId="22752" xr:uid="{00000000-0005-0000-0000-0000F18F0000}"/>
    <cellStyle name="Normal 6 3 5 3" xfId="11176" xr:uid="{00000000-0005-0000-0000-0000F28F0000}"/>
    <cellStyle name="Normal 6 3 5 3 2" xfId="30108" xr:uid="{00000000-0005-0000-0000-0000F38F0000}"/>
    <cellStyle name="Normal 6 3 5 4" xfId="22751" xr:uid="{00000000-0005-0000-0000-0000F48F0000}"/>
    <cellStyle name="Normal 6 3 6" xfId="2714" xr:uid="{00000000-0005-0000-0000-0000F58F0000}"/>
    <cellStyle name="Normal 6 3 6 2" xfId="2715" xr:uid="{00000000-0005-0000-0000-0000F68F0000}"/>
    <cellStyle name="Normal 6 3 6 2 2" xfId="22754" xr:uid="{00000000-0005-0000-0000-0000F78F0000}"/>
    <cellStyle name="Normal 6 3 6 3" xfId="12289" xr:uid="{00000000-0005-0000-0000-0000F88F0000}"/>
    <cellStyle name="Normal 6 3 6 3 2" xfId="30460" xr:uid="{00000000-0005-0000-0000-0000F98F0000}"/>
    <cellStyle name="Normal 6 3 6 4" xfId="22753" xr:uid="{00000000-0005-0000-0000-0000FA8F0000}"/>
    <cellStyle name="Normal 6 3 7" xfId="2716" xr:uid="{00000000-0005-0000-0000-0000FB8F0000}"/>
    <cellStyle name="Normal 6 3 7 2" xfId="2717" xr:uid="{00000000-0005-0000-0000-0000FC8F0000}"/>
    <cellStyle name="Normal 6 3 7 2 2" xfId="22756" xr:uid="{00000000-0005-0000-0000-0000FD8F0000}"/>
    <cellStyle name="Normal 6 3 7 3" xfId="20730" xr:uid="{00000000-0005-0000-0000-0000FE8F0000}"/>
    <cellStyle name="Normal 6 3 7 3 2" xfId="38045" xr:uid="{00000000-0005-0000-0000-0000FF8F0000}"/>
    <cellStyle name="Normal 6 3 7 4" xfId="22755" xr:uid="{00000000-0005-0000-0000-000000900000}"/>
    <cellStyle name="Normal 6 3 8" xfId="2718" xr:uid="{00000000-0005-0000-0000-000001900000}"/>
    <cellStyle name="Normal 6 3 8 2" xfId="22757" xr:uid="{00000000-0005-0000-0000-000002900000}"/>
    <cellStyle name="Normal 6 3 9" xfId="3469" xr:uid="{00000000-0005-0000-0000-000003900000}"/>
    <cellStyle name="Normal 6 3 9 2" xfId="23458" xr:uid="{00000000-0005-0000-0000-000004900000}"/>
    <cellStyle name="Normal 6 4" xfId="2719" xr:uid="{00000000-0005-0000-0000-000005900000}"/>
    <cellStyle name="Normal 6 4 10" xfId="39033" xr:uid="{00000000-0005-0000-0000-000006900000}"/>
    <cellStyle name="Normal 6 4 11" xfId="39448" xr:uid="{00000000-0005-0000-0000-000007900000}"/>
    <cellStyle name="Normal 6 4 2" xfId="2720" xr:uid="{00000000-0005-0000-0000-000008900000}"/>
    <cellStyle name="Normal 6 4 2 2" xfId="2721" xr:uid="{00000000-0005-0000-0000-000009900000}"/>
    <cellStyle name="Normal 6 4 2 2 2" xfId="2722" xr:uid="{00000000-0005-0000-0000-00000A900000}"/>
    <cellStyle name="Normal 6 4 2 2 2 2" xfId="17735" xr:uid="{00000000-0005-0000-0000-00000B900000}"/>
    <cellStyle name="Normal 6 4 2 2 2 2 2" xfId="35895" xr:uid="{00000000-0005-0000-0000-00000C900000}"/>
    <cellStyle name="Normal 6 4 2 2 2 3" xfId="22761" xr:uid="{00000000-0005-0000-0000-00000D900000}"/>
    <cellStyle name="Normal 6 4 2 2 3" xfId="9834" xr:uid="{00000000-0005-0000-0000-00000E900000}"/>
    <cellStyle name="Normal 6 4 2 2 3 2" xfId="28894" xr:uid="{00000000-0005-0000-0000-00000F900000}"/>
    <cellStyle name="Normal 6 4 2 2 4" xfId="22760" xr:uid="{00000000-0005-0000-0000-000010900000}"/>
    <cellStyle name="Normal 6 4 2 3" xfId="2723" xr:uid="{00000000-0005-0000-0000-000011900000}"/>
    <cellStyle name="Normal 6 4 2 3 2" xfId="2724" xr:uid="{00000000-0005-0000-0000-000012900000}"/>
    <cellStyle name="Normal 6 4 2 3 2 2" xfId="22763" xr:uid="{00000000-0005-0000-0000-000013900000}"/>
    <cellStyle name="Normal 6 4 2 3 3" xfId="15526" xr:uid="{00000000-0005-0000-0000-000014900000}"/>
    <cellStyle name="Normal 6 4 2 3 3 2" xfId="33692" xr:uid="{00000000-0005-0000-0000-000015900000}"/>
    <cellStyle name="Normal 6 4 2 3 4" xfId="22762" xr:uid="{00000000-0005-0000-0000-000016900000}"/>
    <cellStyle name="Normal 6 4 2 4" xfId="2725" xr:uid="{00000000-0005-0000-0000-000017900000}"/>
    <cellStyle name="Normal 6 4 2 4 2" xfId="22764" xr:uid="{00000000-0005-0000-0000-000018900000}"/>
    <cellStyle name="Normal 6 4 2 5" xfId="7450" xr:uid="{00000000-0005-0000-0000-000019900000}"/>
    <cellStyle name="Normal 6 4 2 5 2" xfId="26690" xr:uid="{00000000-0005-0000-0000-00001A900000}"/>
    <cellStyle name="Normal 6 4 2 6" xfId="22759" xr:uid="{00000000-0005-0000-0000-00001B900000}"/>
    <cellStyle name="Normal 6 4 3" xfId="2726" xr:uid="{00000000-0005-0000-0000-00001C900000}"/>
    <cellStyle name="Normal 6 4 3 2" xfId="2727" xr:uid="{00000000-0005-0000-0000-00001D900000}"/>
    <cellStyle name="Normal 6 4 3 2 2" xfId="16243" xr:uid="{00000000-0005-0000-0000-00001E900000}"/>
    <cellStyle name="Normal 6 4 3 2 2 2" xfId="34403" xr:uid="{00000000-0005-0000-0000-00001F900000}"/>
    <cellStyle name="Normal 6 4 3 2 3" xfId="22766" xr:uid="{00000000-0005-0000-0000-000020900000}"/>
    <cellStyle name="Normal 6 4 3 3" xfId="8326" xr:uid="{00000000-0005-0000-0000-000021900000}"/>
    <cellStyle name="Normal 6 4 3 3 2" xfId="27402" xr:uid="{00000000-0005-0000-0000-000022900000}"/>
    <cellStyle name="Normal 6 4 3 4" xfId="22765" xr:uid="{00000000-0005-0000-0000-000023900000}"/>
    <cellStyle name="Normal 6 4 4" xfId="2728" xr:uid="{00000000-0005-0000-0000-000024900000}"/>
    <cellStyle name="Normal 6 4 4 2" xfId="2729" xr:uid="{00000000-0005-0000-0000-000025900000}"/>
    <cellStyle name="Normal 6 4 4 2 2" xfId="15525" xr:uid="{00000000-0005-0000-0000-000026900000}"/>
    <cellStyle name="Normal 6 4 4 2 2 2" xfId="33691" xr:uid="{00000000-0005-0000-0000-000027900000}"/>
    <cellStyle name="Normal 6 4 4 2 3" xfId="22768" xr:uid="{00000000-0005-0000-0000-000028900000}"/>
    <cellStyle name="Normal 6 4 4 3" xfId="7449" xr:uid="{00000000-0005-0000-0000-000029900000}"/>
    <cellStyle name="Normal 6 4 4 3 2" xfId="26689" xr:uid="{00000000-0005-0000-0000-00002A900000}"/>
    <cellStyle name="Normal 6 4 4 4" xfId="22767" xr:uid="{00000000-0005-0000-0000-00002B900000}"/>
    <cellStyle name="Normal 6 4 5" xfId="2730" xr:uid="{00000000-0005-0000-0000-00002C900000}"/>
    <cellStyle name="Normal 6 4 5 2" xfId="2731" xr:uid="{00000000-0005-0000-0000-00002D900000}"/>
    <cellStyle name="Normal 6 4 5 2 2" xfId="18962" xr:uid="{00000000-0005-0000-0000-00002E900000}"/>
    <cellStyle name="Normal 6 4 5 2 2 2" xfId="37121" xr:uid="{00000000-0005-0000-0000-00002F900000}"/>
    <cellStyle name="Normal 6 4 5 2 3" xfId="22770" xr:uid="{00000000-0005-0000-0000-000030900000}"/>
    <cellStyle name="Normal 6 4 5 3" xfId="11188" xr:uid="{00000000-0005-0000-0000-000031900000}"/>
    <cellStyle name="Normal 6 4 5 3 2" xfId="30120" xr:uid="{00000000-0005-0000-0000-000032900000}"/>
    <cellStyle name="Normal 6 4 5 4" xfId="22769" xr:uid="{00000000-0005-0000-0000-000033900000}"/>
    <cellStyle name="Normal 6 4 6" xfId="2732" xr:uid="{00000000-0005-0000-0000-000034900000}"/>
    <cellStyle name="Normal 6 4 6 2" xfId="2733" xr:uid="{00000000-0005-0000-0000-000035900000}"/>
    <cellStyle name="Normal 6 4 6 2 2" xfId="22772" xr:uid="{00000000-0005-0000-0000-000036900000}"/>
    <cellStyle name="Normal 6 4 6 3" xfId="12364" xr:uid="{00000000-0005-0000-0000-000037900000}"/>
    <cellStyle name="Normal 6 4 6 3 2" xfId="30534" xr:uid="{00000000-0005-0000-0000-000038900000}"/>
    <cellStyle name="Normal 6 4 6 4" xfId="22771" xr:uid="{00000000-0005-0000-0000-000039900000}"/>
    <cellStyle name="Normal 6 4 7" xfId="2734" xr:uid="{00000000-0005-0000-0000-00003A900000}"/>
    <cellStyle name="Normal 6 4 7 2" xfId="21229" xr:uid="{00000000-0005-0000-0000-00003B900000}"/>
    <cellStyle name="Normal 6 4 7 2 2" xfId="38078" xr:uid="{00000000-0005-0000-0000-00003C900000}"/>
    <cellStyle name="Normal 6 4 7 3" xfId="22773" xr:uid="{00000000-0005-0000-0000-00003D900000}"/>
    <cellStyle name="Normal 6 4 8" xfId="3604" xr:uid="{00000000-0005-0000-0000-00003E900000}"/>
    <cellStyle name="Normal 6 4 8 2" xfId="23532" xr:uid="{00000000-0005-0000-0000-00003F900000}"/>
    <cellStyle name="Normal 6 4 9" xfId="22758" xr:uid="{00000000-0005-0000-0000-000040900000}"/>
    <cellStyle name="Normal 6 5" xfId="2735" xr:uid="{00000000-0005-0000-0000-000041900000}"/>
    <cellStyle name="Normal 6 5 2" xfId="2736" xr:uid="{00000000-0005-0000-0000-000042900000}"/>
    <cellStyle name="Normal 6 5 2 2" xfId="2737" xr:uid="{00000000-0005-0000-0000-000043900000}"/>
    <cellStyle name="Normal 6 5 2 2 2" xfId="2738" xr:uid="{00000000-0005-0000-0000-000044900000}"/>
    <cellStyle name="Normal 6 5 2 2 2 2" xfId="22777" xr:uid="{00000000-0005-0000-0000-000045900000}"/>
    <cellStyle name="Normal 6 5 2 2 3" xfId="16973" xr:uid="{00000000-0005-0000-0000-000046900000}"/>
    <cellStyle name="Normal 6 5 2 2 3 2" xfId="35133" xr:uid="{00000000-0005-0000-0000-000047900000}"/>
    <cellStyle name="Normal 6 5 2 2 4" xfId="22776" xr:uid="{00000000-0005-0000-0000-000048900000}"/>
    <cellStyle name="Normal 6 5 2 3" xfId="2739" xr:uid="{00000000-0005-0000-0000-000049900000}"/>
    <cellStyle name="Normal 6 5 2 3 2" xfId="2740" xr:uid="{00000000-0005-0000-0000-00004A900000}"/>
    <cellStyle name="Normal 6 5 2 3 2 2" xfId="22779" xr:uid="{00000000-0005-0000-0000-00004B900000}"/>
    <cellStyle name="Normal 6 5 2 3 3" xfId="22778" xr:uid="{00000000-0005-0000-0000-00004C900000}"/>
    <cellStyle name="Normal 6 5 2 4" xfId="2741" xr:uid="{00000000-0005-0000-0000-00004D900000}"/>
    <cellStyle name="Normal 6 5 2 4 2" xfId="22780" xr:uid="{00000000-0005-0000-0000-00004E900000}"/>
    <cellStyle name="Normal 6 5 2 5" xfId="9062" xr:uid="{00000000-0005-0000-0000-00004F900000}"/>
    <cellStyle name="Normal 6 5 2 5 2" xfId="28132" xr:uid="{00000000-0005-0000-0000-000050900000}"/>
    <cellStyle name="Normal 6 5 2 6" xfId="22775" xr:uid="{00000000-0005-0000-0000-000051900000}"/>
    <cellStyle name="Normal 6 5 3" xfId="2742" xr:uid="{00000000-0005-0000-0000-000052900000}"/>
    <cellStyle name="Normal 6 5 3 2" xfId="2743" xr:uid="{00000000-0005-0000-0000-000053900000}"/>
    <cellStyle name="Normal 6 5 3 2 2" xfId="22782" xr:uid="{00000000-0005-0000-0000-000054900000}"/>
    <cellStyle name="Normal 6 5 3 3" xfId="15527" xr:uid="{00000000-0005-0000-0000-000055900000}"/>
    <cellStyle name="Normal 6 5 3 3 2" xfId="33693" xr:uid="{00000000-0005-0000-0000-000056900000}"/>
    <cellStyle name="Normal 6 5 3 4" xfId="22781" xr:uid="{00000000-0005-0000-0000-000057900000}"/>
    <cellStyle name="Normal 6 5 4" xfId="2744" xr:uid="{00000000-0005-0000-0000-000058900000}"/>
    <cellStyle name="Normal 6 5 4 2" xfId="2745" xr:uid="{00000000-0005-0000-0000-000059900000}"/>
    <cellStyle name="Normal 6 5 4 2 2" xfId="22784" xr:uid="{00000000-0005-0000-0000-00005A900000}"/>
    <cellStyle name="Normal 6 5 4 3" xfId="21195" xr:uid="{00000000-0005-0000-0000-00005B900000}"/>
    <cellStyle name="Normal 6 5 4 3 2" xfId="38055" xr:uid="{00000000-0005-0000-0000-00005C900000}"/>
    <cellStyle name="Normal 6 5 4 4" xfId="22783" xr:uid="{00000000-0005-0000-0000-00005D900000}"/>
    <cellStyle name="Normal 6 5 5" xfId="2746" xr:uid="{00000000-0005-0000-0000-00005E900000}"/>
    <cellStyle name="Normal 6 5 5 2" xfId="2747" xr:uid="{00000000-0005-0000-0000-00005F900000}"/>
    <cellStyle name="Normal 6 5 5 2 2" xfId="22786" xr:uid="{00000000-0005-0000-0000-000060900000}"/>
    <cellStyle name="Normal 6 5 5 3" xfId="22785" xr:uid="{00000000-0005-0000-0000-000061900000}"/>
    <cellStyle name="Normal 6 5 6" xfId="2748" xr:uid="{00000000-0005-0000-0000-000062900000}"/>
    <cellStyle name="Normal 6 5 6 2" xfId="22787" xr:uid="{00000000-0005-0000-0000-000063900000}"/>
    <cellStyle name="Normal 6 5 7" xfId="7451" xr:uid="{00000000-0005-0000-0000-000064900000}"/>
    <cellStyle name="Normal 6 5 7 2" xfId="26691" xr:uid="{00000000-0005-0000-0000-000065900000}"/>
    <cellStyle name="Normal 6 5 8" xfId="22774" xr:uid="{00000000-0005-0000-0000-000066900000}"/>
    <cellStyle name="Normal 6 5 9" xfId="39010" xr:uid="{00000000-0005-0000-0000-000067900000}"/>
    <cellStyle name="Normal 6 6" xfId="2749" xr:uid="{00000000-0005-0000-0000-000068900000}"/>
    <cellStyle name="Normal 6 6 2" xfId="2750" xr:uid="{00000000-0005-0000-0000-000069900000}"/>
    <cellStyle name="Normal 6 6 2 2" xfId="2751" xr:uid="{00000000-0005-0000-0000-00006A900000}"/>
    <cellStyle name="Normal 6 6 2 2 2" xfId="2752" xr:uid="{00000000-0005-0000-0000-00006B900000}"/>
    <cellStyle name="Normal 6 6 2 2 2 2" xfId="22791" xr:uid="{00000000-0005-0000-0000-00006C900000}"/>
    <cellStyle name="Normal 6 6 2 2 3" xfId="22790" xr:uid="{00000000-0005-0000-0000-00006D900000}"/>
    <cellStyle name="Normal 6 6 2 3" xfId="2753" xr:uid="{00000000-0005-0000-0000-00006E900000}"/>
    <cellStyle name="Normal 6 6 2 3 2" xfId="2754" xr:uid="{00000000-0005-0000-0000-00006F900000}"/>
    <cellStyle name="Normal 6 6 2 3 2 2" xfId="22793" xr:uid="{00000000-0005-0000-0000-000070900000}"/>
    <cellStyle name="Normal 6 6 2 3 3" xfId="22792" xr:uid="{00000000-0005-0000-0000-000071900000}"/>
    <cellStyle name="Normal 6 6 2 4" xfId="2755" xr:uid="{00000000-0005-0000-0000-000072900000}"/>
    <cellStyle name="Normal 6 6 2 4 2" xfId="22794" xr:uid="{00000000-0005-0000-0000-000073900000}"/>
    <cellStyle name="Normal 6 6 2 5" xfId="11112" xr:uid="{00000000-0005-0000-0000-000074900000}"/>
    <cellStyle name="Normal 6 6 2 6" xfId="22789" xr:uid="{00000000-0005-0000-0000-000075900000}"/>
    <cellStyle name="Normal 6 6 3" xfId="2756" xr:uid="{00000000-0005-0000-0000-000076900000}"/>
    <cellStyle name="Normal 6 6 3 2" xfId="2757" xr:uid="{00000000-0005-0000-0000-000077900000}"/>
    <cellStyle name="Normal 6 6 3 2 2" xfId="22796" xr:uid="{00000000-0005-0000-0000-000078900000}"/>
    <cellStyle name="Normal 6 6 3 3" xfId="22795" xr:uid="{00000000-0005-0000-0000-000079900000}"/>
    <cellStyle name="Normal 6 6 4" xfId="2758" xr:uid="{00000000-0005-0000-0000-00007A900000}"/>
    <cellStyle name="Normal 6 6 4 2" xfId="2759" xr:uid="{00000000-0005-0000-0000-00007B900000}"/>
    <cellStyle name="Normal 6 6 4 2 2" xfId="22798" xr:uid="{00000000-0005-0000-0000-00007C900000}"/>
    <cellStyle name="Normal 6 6 4 3" xfId="22797" xr:uid="{00000000-0005-0000-0000-00007D900000}"/>
    <cellStyle name="Normal 6 6 5" xfId="2760" xr:uid="{00000000-0005-0000-0000-00007E900000}"/>
    <cellStyle name="Normal 6 6 5 2" xfId="2761" xr:uid="{00000000-0005-0000-0000-00007F900000}"/>
    <cellStyle name="Normal 6 6 5 2 2" xfId="22800" xr:uid="{00000000-0005-0000-0000-000080900000}"/>
    <cellStyle name="Normal 6 6 5 3" xfId="22799" xr:uid="{00000000-0005-0000-0000-000081900000}"/>
    <cellStyle name="Normal 6 6 6" xfId="2762" xr:uid="{00000000-0005-0000-0000-000082900000}"/>
    <cellStyle name="Normal 6 6 6 2" xfId="22801" xr:uid="{00000000-0005-0000-0000-000083900000}"/>
    <cellStyle name="Normal 6 6 7" xfId="7443" xr:uid="{00000000-0005-0000-0000-000084900000}"/>
    <cellStyle name="Normal 6 6 8" xfId="22788" xr:uid="{00000000-0005-0000-0000-000085900000}"/>
    <cellStyle name="Normal 6 7" xfId="2763" xr:uid="{00000000-0005-0000-0000-000086900000}"/>
    <cellStyle name="Normal 6 7 2" xfId="2764" xr:uid="{00000000-0005-0000-0000-000087900000}"/>
    <cellStyle name="Normal 6 7 2 2" xfId="2765" xr:uid="{00000000-0005-0000-0000-000088900000}"/>
    <cellStyle name="Normal 6 7 2 2 2" xfId="2766" xr:uid="{00000000-0005-0000-0000-000089900000}"/>
    <cellStyle name="Normal 6 7 2 2 2 2" xfId="22805" xr:uid="{00000000-0005-0000-0000-00008A900000}"/>
    <cellStyle name="Normal 6 7 2 2 3" xfId="22804" xr:uid="{00000000-0005-0000-0000-00008B900000}"/>
    <cellStyle name="Normal 6 7 2 3" xfId="2767" xr:uid="{00000000-0005-0000-0000-00008C900000}"/>
    <cellStyle name="Normal 6 7 2 3 2" xfId="2768" xr:uid="{00000000-0005-0000-0000-00008D900000}"/>
    <cellStyle name="Normal 6 7 2 3 2 2" xfId="22807" xr:uid="{00000000-0005-0000-0000-00008E900000}"/>
    <cellStyle name="Normal 6 7 2 3 3" xfId="22806" xr:uid="{00000000-0005-0000-0000-00008F900000}"/>
    <cellStyle name="Normal 6 7 2 4" xfId="2769" xr:uid="{00000000-0005-0000-0000-000090900000}"/>
    <cellStyle name="Normal 6 7 2 4 2" xfId="22808" xr:uid="{00000000-0005-0000-0000-000091900000}"/>
    <cellStyle name="Normal 6 7 2 5" xfId="12378" xr:uid="{00000000-0005-0000-0000-000092900000}"/>
    <cellStyle name="Normal 6 7 2 5 2" xfId="30545" xr:uid="{00000000-0005-0000-0000-000093900000}"/>
    <cellStyle name="Normal 6 7 2 6" xfId="22803" xr:uid="{00000000-0005-0000-0000-000094900000}"/>
    <cellStyle name="Normal 6 7 3" xfId="2770" xr:uid="{00000000-0005-0000-0000-000095900000}"/>
    <cellStyle name="Normal 6 7 3 2" xfId="2771" xr:uid="{00000000-0005-0000-0000-000096900000}"/>
    <cellStyle name="Normal 6 7 3 2 2" xfId="22810" xr:uid="{00000000-0005-0000-0000-000097900000}"/>
    <cellStyle name="Normal 6 7 3 3" xfId="22809" xr:uid="{00000000-0005-0000-0000-000098900000}"/>
    <cellStyle name="Normal 6 7 4" xfId="2772" xr:uid="{00000000-0005-0000-0000-000099900000}"/>
    <cellStyle name="Normal 6 7 4 2" xfId="2773" xr:uid="{00000000-0005-0000-0000-00009A900000}"/>
    <cellStyle name="Normal 6 7 4 2 2" xfId="22812" xr:uid="{00000000-0005-0000-0000-00009B900000}"/>
    <cellStyle name="Normal 6 7 4 3" xfId="22811" xr:uid="{00000000-0005-0000-0000-00009C900000}"/>
    <cellStyle name="Normal 6 7 5" xfId="2774" xr:uid="{00000000-0005-0000-0000-00009D900000}"/>
    <cellStyle name="Normal 6 7 5 2" xfId="2775" xr:uid="{00000000-0005-0000-0000-00009E900000}"/>
    <cellStyle name="Normal 6 7 5 2 2" xfId="22814" xr:uid="{00000000-0005-0000-0000-00009F900000}"/>
    <cellStyle name="Normal 6 7 5 3" xfId="22813" xr:uid="{00000000-0005-0000-0000-0000A0900000}"/>
    <cellStyle name="Normal 6 7 6" xfId="2776" xr:uid="{00000000-0005-0000-0000-0000A1900000}"/>
    <cellStyle name="Normal 6 7 6 2" xfId="22815" xr:uid="{00000000-0005-0000-0000-0000A2900000}"/>
    <cellStyle name="Normal 6 7 7" xfId="3822" xr:uid="{00000000-0005-0000-0000-0000A3900000}"/>
    <cellStyle name="Normal 6 7 7 2" xfId="23543" xr:uid="{00000000-0005-0000-0000-0000A4900000}"/>
    <cellStyle name="Normal 6 7 8" xfId="22802" xr:uid="{00000000-0005-0000-0000-0000A5900000}"/>
    <cellStyle name="Normal 6 8" xfId="2777" xr:uid="{00000000-0005-0000-0000-0000A6900000}"/>
    <cellStyle name="Normal 6 8 2" xfId="2778" xr:uid="{00000000-0005-0000-0000-0000A7900000}"/>
    <cellStyle name="Normal 6 8 2 2" xfId="2779" xr:uid="{00000000-0005-0000-0000-0000A8900000}"/>
    <cellStyle name="Normal 6 8 2 2 2" xfId="22818" xr:uid="{00000000-0005-0000-0000-0000A9900000}"/>
    <cellStyle name="Normal 6 8 2 3" xfId="18931" xr:uid="{00000000-0005-0000-0000-0000AA900000}"/>
    <cellStyle name="Normal 6 8 2 3 2" xfId="37090" xr:uid="{00000000-0005-0000-0000-0000AB900000}"/>
    <cellStyle name="Normal 6 8 2 4" xfId="22817" xr:uid="{00000000-0005-0000-0000-0000AC900000}"/>
    <cellStyle name="Normal 6 8 3" xfId="2780" xr:uid="{00000000-0005-0000-0000-0000AD900000}"/>
    <cellStyle name="Normal 6 8 3 2" xfId="2781" xr:uid="{00000000-0005-0000-0000-0000AE900000}"/>
    <cellStyle name="Normal 6 8 3 2 2" xfId="22820" xr:uid="{00000000-0005-0000-0000-0000AF900000}"/>
    <cellStyle name="Normal 6 8 3 3" xfId="22819" xr:uid="{00000000-0005-0000-0000-0000B0900000}"/>
    <cellStyle name="Normal 6 8 4" xfId="2782" xr:uid="{00000000-0005-0000-0000-0000B1900000}"/>
    <cellStyle name="Normal 6 8 4 2" xfId="22821" xr:uid="{00000000-0005-0000-0000-0000B2900000}"/>
    <cellStyle name="Normal 6 8 5" xfId="11156" xr:uid="{00000000-0005-0000-0000-0000B3900000}"/>
    <cellStyle name="Normal 6 8 5 2" xfId="30089" xr:uid="{00000000-0005-0000-0000-0000B4900000}"/>
    <cellStyle name="Normal 6 8 6" xfId="22816" xr:uid="{00000000-0005-0000-0000-0000B5900000}"/>
    <cellStyle name="Normal 6 9" xfId="2783" xr:uid="{00000000-0005-0000-0000-0000B6900000}"/>
    <cellStyle name="Normal 6 9 2" xfId="2784" xr:uid="{00000000-0005-0000-0000-0000B7900000}"/>
    <cellStyle name="Normal 6 9 2 2" xfId="2785" xr:uid="{00000000-0005-0000-0000-0000B8900000}"/>
    <cellStyle name="Normal 6 9 2 2 2" xfId="22824" xr:uid="{00000000-0005-0000-0000-0000B9900000}"/>
    <cellStyle name="Normal 6 9 2 3" xfId="18968" xr:uid="{00000000-0005-0000-0000-0000BA900000}"/>
    <cellStyle name="Normal 6 9 2 3 2" xfId="37126" xr:uid="{00000000-0005-0000-0000-0000BB900000}"/>
    <cellStyle name="Normal 6 9 2 4" xfId="22823" xr:uid="{00000000-0005-0000-0000-0000BC900000}"/>
    <cellStyle name="Normal 6 9 3" xfId="2786" xr:uid="{00000000-0005-0000-0000-0000BD900000}"/>
    <cellStyle name="Normal 6 9 3 2" xfId="22825" xr:uid="{00000000-0005-0000-0000-0000BE900000}"/>
    <cellStyle name="Normal 6 9 4" xfId="11709" xr:uid="{00000000-0005-0000-0000-0000BF900000}"/>
    <cellStyle name="Normal 6 9 4 2" xfId="30125" xr:uid="{00000000-0005-0000-0000-0000C0900000}"/>
    <cellStyle name="Normal 6 9 5" xfId="22822" xr:uid="{00000000-0005-0000-0000-0000C1900000}"/>
    <cellStyle name="Normal 7" xfId="866" xr:uid="{00000000-0005-0000-0000-0000C2900000}"/>
    <cellStyle name="Normal 7 2" xfId="867" xr:uid="{00000000-0005-0000-0000-0000C3900000}"/>
    <cellStyle name="Normal 7 2 2" xfId="2787" xr:uid="{00000000-0005-0000-0000-0000C4900000}"/>
    <cellStyle name="Normal 7 2 2 2" xfId="2788" xr:uid="{00000000-0005-0000-0000-0000C5900000}"/>
    <cellStyle name="Normal 7 2 2 2 2" xfId="18916" xr:uid="{00000000-0005-0000-0000-0000C6900000}"/>
    <cellStyle name="Normal 7 2 2 2 2 2" xfId="37076" xr:uid="{00000000-0005-0000-0000-0000C7900000}"/>
    <cellStyle name="Normal 7 2 2 3" xfId="2789" xr:uid="{00000000-0005-0000-0000-0000C8900000}"/>
    <cellStyle name="Normal 7 2 2 3 2" xfId="21230" xr:uid="{00000000-0005-0000-0000-0000C9900000}"/>
    <cellStyle name="Normal 7 2 2 3 3" xfId="22827" xr:uid="{00000000-0005-0000-0000-0000CA900000}"/>
    <cellStyle name="Normal 7 2 2 4" xfId="11067" xr:uid="{00000000-0005-0000-0000-0000CB900000}"/>
    <cellStyle name="Normal 7 2 2 4 2" xfId="30075" xr:uid="{00000000-0005-0000-0000-0000CC900000}"/>
    <cellStyle name="Normal 7 2 2 5" xfId="22826" xr:uid="{00000000-0005-0000-0000-0000CD900000}"/>
    <cellStyle name="Normal 7 2 3" xfId="2790" xr:uid="{00000000-0005-0000-0000-0000CE900000}"/>
    <cellStyle name="Normal 7 2 3 2" xfId="2791" xr:uid="{00000000-0005-0000-0000-0000CF900000}"/>
    <cellStyle name="Normal 7 2 3 2 2" xfId="2792" xr:uid="{00000000-0005-0000-0000-0000D0900000}"/>
    <cellStyle name="Normal 7 2 3 2 2 2" xfId="22830" xr:uid="{00000000-0005-0000-0000-0000D1900000}"/>
    <cellStyle name="Normal 7 2 3 2 3" xfId="22829" xr:uid="{00000000-0005-0000-0000-0000D2900000}"/>
    <cellStyle name="Normal 7 2 3 3" xfId="2793" xr:uid="{00000000-0005-0000-0000-0000D3900000}"/>
    <cellStyle name="Normal 7 2 3 3 2" xfId="22831" xr:uid="{00000000-0005-0000-0000-0000D4900000}"/>
    <cellStyle name="Normal 7 2 3 4" xfId="11114" xr:uid="{00000000-0005-0000-0000-0000D5900000}"/>
    <cellStyle name="Normal 7 2 3 5" xfId="22828" xr:uid="{00000000-0005-0000-0000-0000D6900000}"/>
    <cellStyle name="Normal 7 2 4" xfId="2794" xr:uid="{00000000-0005-0000-0000-0000D7900000}"/>
    <cellStyle name="Normal 7 2 5" xfId="2795" xr:uid="{00000000-0005-0000-0000-0000D8900000}"/>
    <cellStyle name="Normal 7 2 5 2" xfId="19718" xr:uid="{00000000-0005-0000-0000-0000D9900000}"/>
    <cellStyle name="Normal 7 2 5 3" xfId="22832" xr:uid="{00000000-0005-0000-0000-0000DA900000}"/>
    <cellStyle name="Normal 7 3" xfId="2796" xr:uid="{00000000-0005-0000-0000-0000DB900000}"/>
    <cellStyle name="Normal 7 3 2" xfId="2797" xr:uid="{00000000-0005-0000-0000-0000DC900000}"/>
    <cellStyle name="Normal 7 3 2 2" xfId="2798" xr:uid="{00000000-0005-0000-0000-0000DD900000}"/>
    <cellStyle name="Normal 7 3 2 2 2" xfId="22835" xr:uid="{00000000-0005-0000-0000-0000DE900000}"/>
    <cellStyle name="Normal 7 3 2 3" xfId="11115" xr:uid="{00000000-0005-0000-0000-0000DF900000}"/>
    <cellStyle name="Normal 7 3 2 4" xfId="22834" xr:uid="{00000000-0005-0000-0000-0000E0900000}"/>
    <cellStyle name="Normal 7 3 3" xfId="2799" xr:uid="{00000000-0005-0000-0000-0000E1900000}"/>
    <cellStyle name="Normal 7 3 3 2" xfId="2800" xr:uid="{00000000-0005-0000-0000-0000E2900000}"/>
    <cellStyle name="Normal 7 3 3 2 2" xfId="22837" xr:uid="{00000000-0005-0000-0000-0000E3900000}"/>
    <cellStyle name="Normal 7 3 3 3" xfId="7453" xr:uid="{00000000-0005-0000-0000-0000E4900000}"/>
    <cellStyle name="Normal 7 3 3 4" xfId="22836" xr:uid="{00000000-0005-0000-0000-0000E5900000}"/>
    <cellStyle name="Normal 7 3 4" xfId="2801" xr:uid="{00000000-0005-0000-0000-0000E6900000}"/>
    <cellStyle name="Normal 7 3 4 2" xfId="2802" xr:uid="{00000000-0005-0000-0000-0000E7900000}"/>
    <cellStyle name="Normal 7 3 4 2 2" xfId="18951" xr:uid="{00000000-0005-0000-0000-0000E8900000}"/>
    <cellStyle name="Normal 7 3 4 2 2 2" xfId="37110" xr:uid="{00000000-0005-0000-0000-0000E9900000}"/>
    <cellStyle name="Normal 7 3 4 2 3" xfId="22839" xr:uid="{00000000-0005-0000-0000-0000EA900000}"/>
    <cellStyle name="Normal 7 3 4 3" xfId="11177" xr:uid="{00000000-0005-0000-0000-0000EB900000}"/>
    <cellStyle name="Normal 7 3 4 3 2" xfId="30109" xr:uid="{00000000-0005-0000-0000-0000EC900000}"/>
    <cellStyle name="Normal 7 3 4 4" xfId="22838" xr:uid="{00000000-0005-0000-0000-0000ED900000}"/>
    <cellStyle name="Normal 7 3 5" xfId="2803" xr:uid="{00000000-0005-0000-0000-0000EE900000}"/>
    <cellStyle name="Normal 7 3 5 2" xfId="12290" xr:uid="{00000000-0005-0000-0000-0000EF900000}"/>
    <cellStyle name="Normal 7 3 5 2 2" xfId="30461" xr:uid="{00000000-0005-0000-0000-0000F0900000}"/>
    <cellStyle name="Normal 7 3 5 3" xfId="22840" xr:uid="{00000000-0005-0000-0000-0000F1900000}"/>
    <cellStyle name="Normal 7 3 6" xfId="3470" xr:uid="{00000000-0005-0000-0000-0000F2900000}"/>
    <cellStyle name="Normal 7 3 6 2" xfId="23459" xr:uid="{00000000-0005-0000-0000-0000F3900000}"/>
    <cellStyle name="Normal 7 3 7" xfId="22833" xr:uid="{00000000-0005-0000-0000-0000F4900000}"/>
    <cellStyle name="Normal 7 3 8" xfId="39375" xr:uid="{00000000-0005-0000-0000-0000F5900000}"/>
    <cellStyle name="Normal 7 4" xfId="2804" xr:uid="{00000000-0005-0000-0000-0000F6900000}"/>
    <cellStyle name="Normal 7 4 2" xfId="2805" xr:uid="{00000000-0005-0000-0000-0000F7900000}"/>
    <cellStyle name="Normal 7 4 2 2" xfId="2806" xr:uid="{00000000-0005-0000-0000-0000F8900000}"/>
    <cellStyle name="Normal 7 4 2 2 2" xfId="18731" xr:uid="{00000000-0005-0000-0000-0000F9900000}"/>
    <cellStyle name="Normal 7 4 2 2 2 2" xfId="36891" xr:uid="{00000000-0005-0000-0000-0000FA900000}"/>
    <cellStyle name="Normal 7 4 2 2 3" xfId="22843" xr:uid="{00000000-0005-0000-0000-0000FB900000}"/>
    <cellStyle name="Normal 7 4 2 3" xfId="10848" xr:uid="{00000000-0005-0000-0000-0000FC900000}"/>
    <cellStyle name="Normal 7 4 2 3 2" xfId="29890" xr:uid="{00000000-0005-0000-0000-0000FD900000}"/>
    <cellStyle name="Normal 7 4 2 4" xfId="22842" xr:uid="{00000000-0005-0000-0000-0000FE900000}"/>
    <cellStyle name="Normal 7 4 3" xfId="2807" xr:uid="{00000000-0005-0000-0000-0000FF900000}"/>
    <cellStyle name="Normal 7 4 3 2" xfId="2808" xr:uid="{00000000-0005-0000-0000-000000910000}"/>
    <cellStyle name="Normal 7 4 3 2 2" xfId="22845" xr:uid="{00000000-0005-0000-0000-000001910000}"/>
    <cellStyle name="Normal 7 4 3 3" xfId="15529" xr:uid="{00000000-0005-0000-0000-000002910000}"/>
    <cellStyle name="Normal 7 4 3 3 2" xfId="33695" xr:uid="{00000000-0005-0000-0000-000003910000}"/>
    <cellStyle name="Normal 7 4 3 4" xfId="22844" xr:uid="{00000000-0005-0000-0000-000004910000}"/>
    <cellStyle name="Normal 7 4 4" xfId="2809" xr:uid="{00000000-0005-0000-0000-000005910000}"/>
    <cellStyle name="Normal 7 4 4 2" xfId="22846" xr:uid="{00000000-0005-0000-0000-000006910000}"/>
    <cellStyle name="Normal 7 4 5" xfId="7454" xr:uid="{00000000-0005-0000-0000-000007910000}"/>
    <cellStyle name="Normal 7 4 5 2" xfId="26693" xr:uid="{00000000-0005-0000-0000-000008910000}"/>
    <cellStyle name="Normal 7 4 6" xfId="22841" xr:uid="{00000000-0005-0000-0000-000009910000}"/>
    <cellStyle name="Normal 7 5" xfId="2810" xr:uid="{00000000-0005-0000-0000-00000A910000}"/>
    <cellStyle name="Normal 7 5 2" xfId="2811" xr:uid="{00000000-0005-0000-0000-00000B910000}"/>
    <cellStyle name="Normal 7 5 2 2" xfId="16244" xr:uid="{00000000-0005-0000-0000-00000C910000}"/>
    <cellStyle name="Normal 7 5 2 2 2" xfId="34404" xr:uid="{00000000-0005-0000-0000-00000D910000}"/>
    <cellStyle name="Normal 7 5 2 3" xfId="22848" xr:uid="{00000000-0005-0000-0000-00000E910000}"/>
    <cellStyle name="Normal 7 5 3" xfId="8327" xr:uid="{00000000-0005-0000-0000-00000F910000}"/>
    <cellStyle name="Normal 7 5 3 2" xfId="27403" xr:uid="{00000000-0005-0000-0000-000010910000}"/>
    <cellStyle name="Normal 7 5 4" xfId="22847" xr:uid="{00000000-0005-0000-0000-000011910000}"/>
    <cellStyle name="Normal 7 6" xfId="2812" xr:uid="{00000000-0005-0000-0000-000012910000}"/>
    <cellStyle name="Normal 7 6 2" xfId="2813" xr:uid="{00000000-0005-0000-0000-000013910000}"/>
    <cellStyle name="Normal 7 6 2 2" xfId="15528" xr:uid="{00000000-0005-0000-0000-000014910000}"/>
    <cellStyle name="Normal 7 6 2 2 2" xfId="33694" xr:uid="{00000000-0005-0000-0000-000015910000}"/>
    <cellStyle name="Normal 7 6 2 3" xfId="22850" xr:uid="{00000000-0005-0000-0000-000016910000}"/>
    <cellStyle name="Normal 7 6 3" xfId="7452" xr:uid="{00000000-0005-0000-0000-000017910000}"/>
    <cellStyle name="Normal 7 6 3 2" xfId="26692" xr:uid="{00000000-0005-0000-0000-000018910000}"/>
    <cellStyle name="Normal 7 6 4" xfId="22849" xr:uid="{00000000-0005-0000-0000-000019910000}"/>
    <cellStyle name="Normal 7 7" xfId="2814" xr:uid="{00000000-0005-0000-0000-00001A910000}"/>
    <cellStyle name="Normal 7 7 2" xfId="2815" xr:uid="{00000000-0005-0000-0000-00001B910000}"/>
    <cellStyle name="Normal 7 7 2 2" xfId="12379" xr:uid="{00000000-0005-0000-0000-00001C910000}"/>
    <cellStyle name="Normal 7 7 2 2 2" xfId="30546" xr:uid="{00000000-0005-0000-0000-00001D910000}"/>
    <cellStyle name="Normal 7 7 2 3" xfId="22852" xr:uid="{00000000-0005-0000-0000-00001E910000}"/>
    <cellStyle name="Normal 7 7 3" xfId="3823" xr:uid="{00000000-0005-0000-0000-00001F910000}"/>
    <cellStyle name="Normal 7 7 3 2" xfId="23544" xr:uid="{00000000-0005-0000-0000-000020910000}"/>
    <cellStyle name="Normal 7 7 4" xfId="22851" xr:uid="{00000000-0005-0000-0000-000021910000}"/>
    <cellStyle name="Normal 7 8" xfId="2816" xr:uid="{00000000-0005-0000-0000-000022910000}"/>
    <cellStyle name="Normal 7 8 2" xfId="2817" xr:uid="{00000000-0005-0000-0000-000023910000}"/>
    <cellStyle name="Normal 7 8 2 2" xfId="22854" xr:uid="{00000000-0005-0000-0000-000024910000}"/>
    <cellStyle name="Normal 7 8 3" xfId="22853" xr:uid="{00000000-0005-0000-0000-000025910000}"/>
    <cellStyle name="Normal 7 9" xfId="2818" xr:uid="{00000000-0005-0000-0000-000026910000}"/>
    <cellStyle name="Normal 7 9 2" xfId="22855" xr:uid="{00000000-0005-0000-0000-000027910000}"/>
    <cellStyle name="Normal 8" xfId="868" xr:uid="{00000000-0005-0000-0000-000028910000}"/>
    <cellStyle name="Normal 8 10" xfId="11710" xr:uid="{00000000-0005-0000-0000-000029910000}"/>
    <cellStyle name="Normal 8 11" xfId="12269" xr:uid="{00000000-0005-0000-0000-00002A910000}"/>
    <cellStyle name="Normal 8 2" xfId="869" xr:uid="{00000000-0005-0000-0000-00002B910000}"/>
    <cellStyle name="Normal 8 2 2" xfId="2819" xr:uid="{00000000-0005-0000-0000-00002C910000}"/>
    <cellStyle name="Normal 8 2 2 2" xfId="2820" xr:uid="{00000000-0005-0000-0000-00002D910000}"/>
    <cellStyle name="Normal 8 2 2 2 2" xfId="21215" xr:uid="{00000000-0005-0000-0000-00002E910000}"/>
    <cellStyle name="Normal 8 2 2 2 2 2" xfId="38066" xr:uid="{00000000-0005-0000-0000-00002F910000}"/>
    <cellStyle name="Normal 8 2 2 2 3" xfId="22857" xr:uid="{00000000-0005-0000-0000-000030910000}"/>
    <cellStyle name="Normal 8 2 2 2 4" xfId="39021" xr:uid="{00000000-0005-0000-0000-000031910000}"/>
    <cellStyle name="Normal 8 2 2 3" xfId="20732" xr:uid="{00000000-0005-0000-0000-000032910000}"/>
    <cellStyle name="Normal 8 2 2 3 2" xfId="38046" xr:uid="{00000000-0005-0000-0000-000033910000}"/>
    <cellStyle name="Normal 8 2 2 4" xfId="11116" xr:uid="{00000000-0005-0000-0000-000034910000}"/>
    <cellStyle name="Normal 8 2 2 5" xfId="22856" xr:uid="{00000000-0005-0000-0000-000035910000}"/>
    <cellStyle name="Normal 8 2 2 6" xfId="39001" xr:uid="{00000000-0005-0000-0000-000036910000}"/>
    <cellStyle name="Normal 8 2 3" xfId="2821" xr:uid="{00000000-0005-0000-0000-000037910000}"/>
    <cellStyle name="Normal 8 2 3 2" xfId="2822" xr:uid="{00000000-0005-0000-0000-000038910000}"/>
    <cellStyle name="Normal 8 2 3 2 2" xfId="21196" xr:uid="{00000000-0005-0000-0000-000039910000}"/>
    <cellStyle name="Normal 8 2 3 2 2 2" xfId="38056" xr:uid="{00000000-0005-0000-0000-00003A910000}"/>
    <cellStyle name="Normal 8 2 3 2 3" xfId="22859" xr:uid="{00000000-0005-0000-0000-00003B910000}"/>
    <cellStyle name="Normal 8 2 3 3" xfId="7456" xr:uid="{00000000-0005-0000-0000-00003C910000}"/>
    <cellStyle name="Normal 8 2 3 4" xfId="22858" xr:uid="{00000000-0005-0000-0000-00003D910000}"/>
    <cellStyle name="Normal 8 2 3 5" xfId="39011" xr:uid="{00000000-0005-0000-0000-00003E910000}"/>
    <cellStyle name="Normal 8 2 4" xfId="2823" xr:uid="{00000000-0005-0000-0000-00003F910000}"/>
    <cellStyle name="Normal 8 2 4 2" xfId="2824" xr:uid="{00000000-0005-0000-0000-000040910000}"/>
    <cellStyle name="Normal 8 2 4 2 2" xfId="18952" xr:uid="{00000000-0005-0000-0000-000041910000}"/>
    <cellStyle name="Normal 8 2 4 2 2 2" xfId="37111" xr:uid="{00000000-0005-0000-0000-000042910000}"/>
    <cellStyle name="Normal 8 2 4 2 3" xfId="22861" xr:uid="{00000000-0005-0000-0000-000043910000}"/>
    <cellStyle name="Normal 8 2 4 3" xfId="11178" xr:uid="{00000000-0005-0000-0000-000044910000}"/>
    <cellStyle name="Normal 8 2 4 3 2" xfId="30110" xr:uid="{00000000-0005-0000-0000-000045910000}"/>
    <cellStyle name="Normal 8 2 4 4" xfId="22860" xr:uid="{00000000-0005-0000-0000-000046910000}"/>
    <cellStyle name="Normal 8 2 5" xfId="2825" xr:uid="{00000000-0005-0000-0000-000047910000}"/>
    <cellStyle name="Normal 8 2 5 2" xfId="12291" xr:uid="{00000000-0005-0000-0000-000048910000}"/>
    <cellStyle name="Normal 8 2 5 2 2" xfId="30462" xr:uid="{00000000-0005-0000-0000-000049910000}"/>
    <cellStyle name="Normal 8 2 5 3" xfId="22862" xr:uid="{00000000-0005-0000-0000-00004A910000}"/>
    <cellStyle name="Normal 8 2 6" xfId="19719" xr:uid="{00000000-0005-0000-0000-00004B910000}"/>
    <cellStyle name="Normal 8 2 6 2" xfId="37677" xr:uid="{00000000-0005-0000-0000-00004C910000}"/>
    <cellStyle name="Normal 8 2 7" xfId="3471" xr:uid="{00000000-0005-0000-0000-00004D910000}"/>
    <cellStyle name="Normal 8 2 7 2" xfId="23460" xr:uid="{00000000-0005-0000-0000-00004E910000}"/>
    <cellStyle name="Normal 8 2 8" xfId="38632" xr:uid="{00000000-0005-0000-0000-00004F910000}"/>
    <cellStyle name="Normal 8 2 9" xfId="39376" xr:uid="{00000000-0005-0000-0000-000050910000}"/>
    <cellStyle name="Normal 8 3" xfId="2826" xr:uid="{00000000-0005-0000-0000-000051910000}"/>
    <cellStyle name="Normal 8 3 2" xfId="2827" xr:uid="{00000000-0005-0000-0000-000052910000}"/>
    <cellStyle name="Normal 8 3 2 2" xfId="2828" xr:uid="{00000000-0005-0000-0000-000053910000}"/>
    <cellStyle name="Normal 8 3 2 2 2" xfId="22865" xr:uid="{00000000-0005-0000-0000-000054910000}"/>
    <cellStyle name="Normal 8 3 2 3" xfId="11117" xr:uid="{00000000-0005-0000-0000-000055910000}"/>
    <cellStyle name="Normal 8 3 2 4" xfId="22864" xr:uid="{00000000-0005-0000-0000-000056910000}"/>
    <cellStyle name="Normal 8 3 3" xfId="2829" xr:uid="{00000000-0005-0000-0000-000057910000}"/>
    <cellStyle name="Normal 8 3 3 2" xfId="2830" xr:uid="{00000000-0005-0000-0000-000058910000}"/>
    <cellStyle name="Normal 8 3 3 2 2" xfId="22867" xr:uid="{00000000-0005-0000-0000-000059910000}"/>
    <cellStyle name="Normal 8 3 3 3" xfId="22866" xr:uid="{00000000-0005-0000-0000-00005A910000}"/>
    <cellStyle name="Normal 8 3 4" xfId="2831" xr:uid="{00000000-0005-0000-0000-00005B910000}"/>
    <cellStyle name="Normal 8 3 4 2" xfId="22868" xr:uid="{00000000-0005-0000-0000-00005C910000}"/>
    <cellStyle name="Normal 8 3 5" xfId="7457" xr:uid="{00000000-0005-0000-0000-00005D910000}"/>
    <cellStyle name="Normal 8 3 6" xfId="22863" xr:uid="{00000000-0005-0000-0000-00005E910000}"/>
    <cellStyle name="Normal 8 4" xfId="2832" xr:uid="{00000000-0005-0000-0000-00005F910000}"/>
    <cellStyle name="Normal 8 4 2" xfId="2833" xr:uid="{00000000-0005-0000-0000-000060910000}"/>
    <cellStyle name="Normal 8 4 2 2" xfId="11118" xr:uid="{00000000-0005-0000-0000-000061910000}"/>
    <cellStyle name="Normal 8 4 2 3" xfId="22870" xr:uid="{00000000-0005-0000-0000-000062910000}"/>
    <cellStyle name="Normal 8 4 3" xfId="7458" xr:uid="{00000000-0005-0000-0000-000063910000}"/>
    <cellStyle name="Normal 8 4 4" xfId="22869" xr:uid="{00000000-0005-0000-0000-000064910000}"/>
    <cellStyle name="Normal 8 5" xfId="2834" xr:uid="{00000000-0005-0000-0000-000065910000}"/>
    <cellStyle name="Normal 8 5 2" xfId="2835" xr:uid="{00000000-0005-0000-0000-000066910000}"/>
    <cellStyle name="Normal 8 5 2 2" xfId="22872" xr:uid="{00000000-0005-0000-0000-000067910000}"/>
    <cellStyle name="Normal 8 5 3" xfId="7459" xr:uid="{00000000-0005-0000-0000-000068910000}"/>
    <cellStyle name="Normal 8 5 4" xfId="22871" xr:uid="{00000000-0005-0000-0000-000069910000}"/>
    <cellStyle name="Normal 8 6" xfId="2836" xr:uid="{00000000-0005-0000-0000-00006A910000}"/>
    <cellStyle name="Normal 8 6 2" xfId="2837" xr:uid="{00000000-0005-0000-0000-00006B910000}"/>
    <cellStyle name="Normal 8 6 2 2" xfId="18384" xr:uid="{00000000-0005-0000-0000-00006C910000}"/>
    <cellStyle name="Normal 8 6 2 2 2" xfId="36544" xr:uid="{00000000-0005-0000-0000-00006D910000}"/>
    <cellStyle name="Normal 8 6 2 3" xfId="10488" xr:uid="{00000000-0005-0000-0000-00006E910000}"/>
    <cellStyle name="Normal 8 6 2 3 2" xfId="29543" xr:uid="{00000000-0005-0000-0000-00006F910000}"/>
    <cellStyle name="Normal 8 6 2 4" xfId="22874" xr:uid="{00000000-0005-0000-0000-000070910000}"/>
    <cellStyle name="Normal 8 6 3" xfId="15531" xr:uid="{00000000-0005-0000-0000-000071910000}"/>
    <cellStyle name="Normal 8 6 3 2" xfId="33697" xr:uid="{00000000-0005-0000-0000-000072910000}"/>
    <cellStyle name="Normal 8 6 4" xfId="7460" xr:uid="{00000000-0005-0000-0000-000073910000}"/>
    <cellStyle name="Normal 8 6 4 2" xfId="26695" xr:uid="{00000000-0005-0000-0000-000074910000}"/>
    <cellStyle name="Normal 8 6 5" xfId="22873" xr:uid="{00000000-0005-0000-0000-000075910000}"/>
    <cellStyle name="Normal 8 7" xfId="2838" xr:uid="{00000000-0005-0000-0000-000076910000}"/>
    <cellStyle name="Normal 8 7 2" xfId="2839" xr:uid="{00000000-0005-0000-0000-000077910000}"/>
    <cellStyle name="Normal 8 7 2 2" xfId="16245" xr:uid="{00000000-0005-0000-0000-000078910000}"/>
    <cellStyle name="Normal 8 7 2 2 2" xfId="34405" xr:uid="{00000000-0005-0000-0000-000079910000}"/>
    <cellStyle name="Normal 8 7 2 3" xfId="22876" xr:uid="{00000000-0005-0000-0000-00007A910000}"/>
    <cellStyle name="Normal 8 7 3" xfId="8328" xr:uid="{00000000-0005-0000-0000-00007B910000}"/>
    <cellStyle name="Normal 8 7 3 2" xfId="27404" xr:uid="{00000000-0005-0000-0000-00007C910000}"/>
    <cellStyle name="Normal 8 7 4" xfId="22875" xr:uid="{00000000-0005-0000-0000-00007D910000}"/>
    <cellStyle name="Normal 8 8" xfId="7455" xr:uid="{00000000-0005-0000-0000-00007E910000}"/>
    <cellStyle name="Normal 8 8 2" xfId="15530" xr:uid="{00000000-0005-0000-0000-00007F910000}"/>
    <cellStyle name="Normal 8 8 2 2" xfId="33696" xr:uid="{00000000-0005-0000-0000-000080910000}"/>
    <cellStyle name="Normal 8 8 3" xfId="26694" xr:uid="{00000000-0005-0000-0000-000081910000}"/>
    <cellStyle name="Normal 8 9" xfId="3824" xr:uid="{00000000-0005-0000-0000-000082910000}"/>
    <cellStyle name="Normal 9" xfId="870" xr:uid="{00000000-0005-0000-0000-000083910000}"/>
    <cellStyle name="Normal 9 2" xfId="2840" xr:uid="{00000000-0005-0000-0000-000084910000}"/>
    <cellStyle name="Normal 9 2 2" xfId="2841" xr:uid="{00000000-0005-0000-0000-000085910000}"/>
    <cellStyle name="Normal 9 2 2 2" xfId="2842" xr:uid="{00000000-0005-0000-0000-000086910000}"/>
    <cellStyle name="Normal 9 2 2 2 2" xfId="22879" xr:uid="{00000000-0005-0000-0000-000087910000}"/>
    <cellStyle name="Normal 9 2 2 3" xfId="7462" xr:uid="{00000000-0005-0000-0000-000088910000}"/>
    <cellStyle name="Normal 9 2 2 4" xfId="22878" xr:uid="{00000000-0005-0000-0000-000089910000}"/>
    <cellStyle name="Normal 9 2 3" xfId="2843" xr:uid="{00000000-0005-0000-0000-00008A910000}"/>
    <cellStyle name="Normal 9 2 3 2" xfId="2844" xr:uid="{00000000-0005-0000-0000-00008B910000}"/>
    <cellStyle name="Normal 9 2 3 2 2" xfId="18953" xr:uid="{00000000-0005-0000-0000-00008C910000}"/>
    <cellStyle name="Normal 9 2 3 2 2 2" xfId="37112" xr:uid="{00000000-0005-0000-0000-00008D910000}"/>
    <cellStyle name="Normal 9 2 3 2 3" xfId="22881" xr:uid="{00000000-0005-0000-0000-00008E910000}"/>
    <cellStyle name="Normal 9 2 3 3" xfId="11179" xr:uid="{00000000-0005-0000-0000-00008F910000}"/>
    <cellStyle name="Normal 9 2 3 3 2" xfId="30111" xr:uid="{00000000-0005-0000-0000-000090910000}"/>
    <cellStyle name="Normal 9 2 3 4" xfId="22880" xr:uid="{00000000-0005-0000-0000-000091910000}"/>
    <cellStyle name="Normal 9 2 4" xfId="2845" xr:uid="{00000000-0005-0000-0000-000092910000}"/>
    <cellStyle name="Normal 9 2 4 2" xfId="12292" xr:uid="{00000000-0005-0000-0000-000093910000}"/>
    <cellStyle name="Normal 9 2 4 2 2" xfId="30463" xr:uid="{00000000-0005-0000-0000-000094910000}"/>
    <cellStyle name="Normal 9 2 4 3" xfId="22882" xr:uid="{00000000-0005-0000-0000-000095910000}"/>
    <cellStyle name="Normal 9 2 5" xfId="21231" xr:uid="{00000000-0005-0000-0000-000096910000}"/>
    <cellStyle name="Normal 9 2 6" xfId="3472" xr:uid="{00000000-0005-0000-0000-000097910000}"/>
    <cellStyle name="Normal 9 2 6 2" xfId="23461" xr:uid="{00000000-0005-0000-0000-000098910000}"/>
    <cellStyle name="Normal 9 2 7" xfId="22877" xr:uid="{00000000-0005-0000-0000-000099910000}"/>
    <cellStyle name="Normal 9 2 8" xfId="39377" xr:uid="{00000000-0005-0000-0000-00009A910000}"/>
    <cellStyle name="Normal 9 3" xfId="2846" xr:uid="{00000000-0005-0000-0000-00009B910000}"/>
    <cellStyle name="Normal 9 3 2" xfId="2847" xr:uid="{00000000-0005-0000-0000-00009C910000}"/>
    <cellStyle name="Normal 9 3 2 2" xfId="18835" xr:uid="{00000000-0005-0000-0000-00009D910000}"/>
    <cellStyle name="Normal 9 3 2 2 2" xfId="36995" xr:uid="{00000000-0005-0000-0000-00009E910000}"/>
    <cellStyle name="Normal 9 3 2 3" xfId="10955" xr:uid="{00000000-0005-0000-0000-00009F910000}"/>
    <cellStyle name="Normal 9 3 2 3 2" xfId="29994" xr:uid="{00000000-0005-0000-0000-0000A0910000}"/>
    <cellStyle name="Normal 9 3 2 4" xfId="22884" xr:uid="{00000000-0005-0000-0000-0000A1910000}"/>
    <cellStyle name="Normal 9 3 3" xfId="15533" xr:uid="{00000000-0005-0000-0000-0000A2910000}"/>
    <cellStyle name="Normal 9 3 3 2" xfId="33699" xr:uid="{00000000-0005-0000-0000-0000A3910000}"/>
    <cellStyle name="Normal 9 3 4" xfId="7463" xr:uid="{00000000-0005-0000-0000-0000A4910000}"/>
    <cellStyle name="Normal 9 3 4 2" xfId="26697" xr:uid="{00000000-0005-0000-0000-0000A5910000}"/>
    <cellStyle name="Normal 9 3 5" xfId="22883" xr:uid="{00000000-0005-0000-0000-0000A6910000}"/>
    <cellStyle name="Normal 9 4" xfId="2848" xr:uid="{00000000-0005-0000-0000-0000A7910000}"/>
    <cellStyle name="Normal 9 4 2" xfId="2849" xr:uid="{00000000-0005-0000-0000-0000A8910000}"/>
    <cellStyle name="Normal 9 4 2 2" xfId="16246" xr:uid="{00000000-0005-0000-0000-0000A9910000}"/>
    <cellStyle name="Normal 9 4 2 2 2" xfId="34406" xr:uid="{00000000-0005-0000-0000-0000AA910000}"/>
    <cellStyle name="Normal 9 4 2 3" xfId="22886" xr:uid="{00000000-0005-0000-0000-0000AB910000}"/>
    <cellStyle name="Normal 9 4 3" xfId="8329" xr:uid="{00000000-0005-0000-0000-0000AC910000}"/>
    <cellStyle name="Normal 9 4 3 2" xfId="27405" xr:uid="{00000000-0005-0000-0000-0000AD910000}"/>
    <cellStyle name="Normal 9 4 4" xfId="22885" xr:uid="{00000000-0005-0000-0000-0000AE910000}"/>
    <cellStyle name="Normal 9 5" xfId="2850" xr:uid="{00000000-0005-0000-0000-0000AF910000}"/>
    <cellStyle name="Normal 9 5 2" xfId="2851" xr:uid="{00000000-0005-0000-0000-0000B0910000}"/>
    <cellStyle name="Normal 9 5 2 2" xfId="15532" xr:uid="{00000000-0005-0000-0000-0000B1910000}"/>
    <cellStyle name="Normal 9 5 2 2 2" xfId="33698" xr:uid="{00000000-0005-0000-0000-0000B2910000}"/>
    <cellStyle name="Normal 9 5 2 3" xfId="22888" xr:uid="{00000000-0005-0000-0000-0000B3910000}"/>
    <cellStyle name="Normal 9 5 3" xfId="7461" xr:uid="{00000000-0005-0000-0000-0000B4910000}"/>
    <cellStyle name="Normal 9 5 3 2" xfId="26696" xr:uid="{00000000-0005-0000-0000-0000B5910000}"/>
    <cellStyle name="Normal 9 5 4" xfId="22887" xr:uid="{00000000-0005-0000-0000-0000B6910000}"/>
    <cellStyle name="Normal 9 6" xfId="2852" xr:uid="{00000000-0005-0000-0000-0000B7910000}"/>
    <cellStyle name="Normal 9 6 2" xfId="19720" xr:uid="{00000000-0005-0000-0000-0000B8910000}"/>
    <cellStyle name="Normal 9 6 3" xfId="22889" xr:uid="{00000000-0005-0000-0000-0000B9910000}"/>
    <cellStyle name="Normal 9 7" xfId="3453" xr:uid="{00000000-0005-0000-0000-0000BA910000}"/>
    <cellStyle name="Normal GHG Numbers (0.00)" xfId="871" xr:uid="{00000000-0005-0000-0000-0000BB910000}"/>
    <cellStyle name="Normal GHG Numbers (0.00) 2" xfId="12270" xr:uid="{00000000-0005-0000-0000-0000BC910000}"/>
    <cellStyle name="Normal GHG Numbers (0.00) 3" xfId="19003" xr:uid="{00000000-0005-0000-0000-0000BD910000}"/>
    <cellStyle name="Normal GHG Textfiels Bold" xfId="872" xr:uid="{00000000-0005-0000-0000-0000BE910000}"/>
    <cellStyle name="Normal GHG Textfiels Bold 2" xfId="7464" xr:uid="{00000000-0005-0000-0000-0000BF910000}"/>
    <cellStyle name="Normal GHG Textfiels Bold 2 2" xfId="15534" xr:uid="{00000000-0005-0000-0000-0000C0910000}"/>
    <cellStyle name="Normal GHG whole table" xfId="873" xr:uid="{00000000-0005-0000-0000-0000C1910000}"/>
    <cellStyle name="Normal GHG whole table 2" xfId="12271" xr:uid="{00000000-0005-0000-0000-0000C2910000}"/>
    <cellStyle name="Normal GHG-Shade" xfId="874" xr:uid="{00000000-0005-0000-0000-0000C3910000}"/>
    <cellStyle name="Normal GHG-Shade 2" xfId="875" xr:uid="{00000000-0005-0000-0000-0000C4910000}"/>
    <cellStyle name="Normal GHG-Shade 2 2" xfId="20733" xr:uid="{00000000-0005-0000-0000-0000C5910000}"/>
    <cellStyle name="Normal GHG-Shade 3" xfId="3605" xr:uid="{00000000-0005-0000-0000-0000C6910000}"/>
    <cellStyle name="Normal_CBA Femer Bælt" xfId="40424" xr:uid="{00000000-0005-0000-0000-0000C7910000}"/>
    <cellStyle name="Normal_Maritime" xfId="40429" xr:uid="{B59F0791-3365-4810-9599-622A70163A2C}"/>
    <cellStyle name="Normal_PERS93" xfId="40425" xr:uid="{00000000-0005-0000-0000-0000C8910000}"/>
    <cellStyle name="Normal_Sheet1" xfId="40427" xr:uid="{5446AB1C-A1F2-4A66-922A-D7B6DC7D7111}"/>
    <cellStyle name="Normal_Sheet2" xfId="40428" xr:uid="{20094895-901A-4DC8-9F37-AC7AA61DF154}"/>
    <cellStyle name="Normal_Sheet3" xfId="40430" xr:uid="{3E7FDA21-A15B-4A1D-943A-A0875E298D4B}"/>
    <cellStyle name="Normale 10" xfId="876" xr:uid="{00000000-0005-0000-0000-0000C9910000}"/>
    <cellStyle name="Normale 10 2" xfId="877" xr:uid="{00000000-0005-0000-0000-0000CA910000}"/>
    <cellStyle name="Normale 10 2 2" xfId="3607" xr:uid="{00000000-0005-0000-0000-0000CB910000}"/>
    <cellStyle name="Normale 10 3" xfId="878" xr:uid="{00000000-0005-0000-0000-0000CC910000}"/>
    <cellStyle name="Normale 10 3 2" xfId="3608" xr:uid="{00000000-0005-0000-0000-0000CD910000}"/>
    <cellStyle name="Normale 10 4" xfId="3606" xr:uid="{00000000-0005-0000-0000-0000CE910000}"/>
    <cellStyle name="Normale 10_EDEN industria 2008 rev" xfId="879" xr:uid="{00000000-0005-0000-0000-0000CF910000}"/>
    <cellStyle name="Normale 11" xfId="880" xr:uid="{00000000-0005-0000-0000-0000D0910000}"/>
    <cellStyle name="Normale 11 2" xfId="881" xr:uid="{00000000-0005-0000-0000-0000D1910000}"/>
    <cellStyle name="Normale 11 2 2" xfId="3610" xr:uid="{00000000-0005-0000-0000-0000D2910000}"/>
    <cellStyle name="Normale 11 3" xfId="882" xr:uid="{00000000-0005-0000-0000-0000D3910000}"/>
    <cellStyle name="Normale 11 3 2" xfId="3611" xr:uid="{00000000-0005-0000-0000-0000D4910000}"/>
    <cellStyle name="Normale 11 4" xfId="3609" xr:uid="{00000000-0005-0000-0000-0000D5910000}"/>
    <cellStyle name="Normale 11_EDEN industria 2008 rev" xfId="883" xr:uid="{00000000-0005-0000-0000-0000D6910000}"/>
    <cellStyle name="Normale 12" xfId="884" xr:uid="{00000000-0005-0000-0000-0000D7910000}"/>
    <cellStyle name="Normale 12 2" xfId="885" xr:uid="{00000000-0005-0000-0000-0000D8910000}"/>
    <cellStyle name="Normale 12 2 2" xfId="3613" xr:uid="{00000000-0005-0000-0000-0000D9910000}"/>
    <cellStyle name="Normale 12 3" xfId="886" xr:uid="{00000000-0005-0000-0000-0000DA910000}"/>
    <cellStyle name="Normale 12 3 2" xfId="3614" xr:uid="{00000000-0005-0000-0000-0000DB910000}"/>
    <cellStyle name="Normale 12 4" xfId="3612" xr:uid="{00000000-0005-0000-0000-0000DC910000}"/>
    <cellStyle name="Normale 12_EDEN industria 2008 rev" xfId="887" xr:uid="{00000000-0005-0000-0000-0000DD910000}"/>
    <cellStyle name="Normale 13" xfId="888" xr:uid="{00000000-0005-0000-0000-0000DE910000}"/>
    <cellStyle name="Normale 13 2" xfId="889" xr:uid="{00000000-0005-0000-0000-0000DF910000}"/>
    <cellStyle name="Normale 13 2 2" xfId="3616" xr:uid="{00000000-0005-0000-0000-0000E0910000}"/>
    <cellStyle name="Normale 13 3" xfId="890" xr:uid="{00000000-0005-0000-0000-0000E1910000}"/>
    <cellStyle name="Normale 13 3 2" xfId="3617" xr:uid="{00000000-0005-0000-0000-0000E2910000}"/>
    <cellStyle name="Normale 13 4" xfId="3615" xr:uid="{00000000-0005-0000-0000-0000E3910000}"/>
    <cellStyle name="Normale 13_EDEN industria 2008 rev" xfId="891" xr:uid="{00000000-0005-0000-0000-0000E4910000}"/>
    <cellStyle name="Normale 14" xfId="892" xr:uid="{00000000-0005-0000-0000-0000E5910000}"/>
    <cellStyle name="Normale 14 2" xfId="893" xr:uid="{00000000-0005-0000-0000-0000E6910000}"/>
    <cellStyle name="Normale 14 2 2" xfId="3619" xr:uid="{00000000-0005-0000-0000-0000E7910000}"/>
    <cellStyle name="Normale 14 3" xfId="894" xr:uid="{00000000-0005-0000-0000-0000E8910000}"/>
    <cellStyle name="Normale 14 3 2" xfId="3620" xr:uid="{00000000-0005-0000-0000-0000E9910000}"/>
    <cellStyle name="Normale 14 4" xfId="3618" xr:uid="{00000000-0005-0000-0000-0000EA910000}"/>
    <cellStyle name="Normale 14_EDEN industria 2008 rev" xfId="895" xr:uid="{00000000-0005-0000-0000-0000EB910000}"/>
    <cellStyle name="Normale 15" xfId="896" xr:uid="{00000000-0005-0000-0000-0000EC910000}"/>
    <cellStyle name="Normale 15 2" xfId="897" xr:uid="{00000000-0005-0000-0000-0000ED910000}"/>
    <cellStyle name="Normale 15 2 2" xfId="3622" xr:uid="{00000000-0005-0000-0000-0000EE910000}"/>
    <cellStyle name="Normale 15 3" xfId="898" xr:uid="{00000000-0005-0000-0000-0000EF910000}"/>
    <cellStyle name="Normale 15 3 2" xfId="3623" xr:uid="{00000000-0005-0000-0000-0000F0910000}"/>
    <cellStyle name="Normale 15 4" xfId="3621" xr:uid="{00000000-0005-0000-0000-0000F1910000}"/>
    <cellStyle name="Normale 15_EDEN industria 2008 rev" xfId="899" xr:uid="{00000000-0005-0000-0000-0000F2910000}"/>
    <cellStyle name="Normale 16" xfId="900" xr:uid="{00000000-0005-0000-0000-0000F3910000}"/>
    <cellStyle name="Normale 16 2" xfId="3624" xr:uid="{00000000-0005-0000-0000-0000F4910000}"/>
    <cellStyle name="Normale 17" xfId="901" xr:uid="{00000000-0005-0000-0000-0000F5910000}"/>
    <cellStyle name="Normale 17 2" xfId="3625" xr:uid="{00000000-0005-0000-0000-0000F6910000}"/>
    <cellStyle name="Normale 18" xfId="902" xr:uid="{00000000-0005-0000-0000-0000F7910000}"/>
    <cellStyle name="Normale 19" xfId="903" xr:uid="{00000000-0005-0000-0000-0000F8910000}"/>
    <cellStyle name="Normale 2" xfId="904" xr:uid="{00000000-0005-0000-0000-0000F9910000}"/>
    <cellStyle name="Normale 2 2" xfId="905" xr:uid="{00000000-0005-0000-0000-0000FA910000}"/>
    <cellStyle name="Normale 2 2 2" xfId="3627" xr:uid="{00000000-0005-0000-0000-0000FB910000}"/>
    <cellStyle name="Normale 2 3" xfId="3626" xr:uid="{00000000-0005-0000-0000-0000FC910000}"/>
    <cellStyle name="Normale 2_EDEN industria 2008 rev" xfId="906" xr:uid="{00000000-0005-0000-0000-0000FD910000}"/>
    <cellStyle name="Normale 20" xfId="907" xr:uid="{00000000-0005-0000-0000-0000FE910000}"/>
    <cellStyle name="Normale 20 2" xfId="3628" xr:uid="{00000000-0005-0000-0000-0000FF910000}"/>
    <cellStyle name="Normale 21" xfId="908" xr:uid="{00000000-0005-0000-0000-000000920000}"/>
    <cellStyle name="Normale 21 2" xfId="3629" xr:uid="{00000000-0005-0000-0000-000001920000}"/>
    <cellStyle name="Normale 22" xfId="909" xr:uid="{00000000-0005-0000-0000-000002920000}"/>
    <cellStyle name="Normale 22 2" xfId="3630" xr:uid="{00000000-0005-0000-0000-000003920000}"/>
    <cellStyle name="Normale 23" xfId="910" xr:uid="{00000000-0005-0000-0000-000004920000}"/>
    <cellStyle name="Normale 23 2" xfId="3631" xr:uid="{00000000-0005-0000-0000-000005920000}"/>
    <cellStyle name="Normale 24" xfId="911" xr:uid="{00000000-0005-0000-0000-000006920000}"/>
    <cellStyle name="Normale 24 2" xfId="3632" xr:uid="{00000000-0005-0000-0000-000007920000}"/>
    <cellStyle name="Normale 25" xfId="912" xr:uid="{00000000-0005-0000-0000-000008920000}"/>
    <cellStyle name="Normale 25 2" xfId="3633" xr:uid="{00000000-0005-0000-0000-000009920000}"/>
    <cellStyle name="Normale 26" xfId="913" xr:uid="{00000000-0005-0000-0000-00000A920000}"/>
    <cellStyle name="Normale 26 2" xfId="3634" xr:uid="{00000000-0005-0000-0000-00000B920000}"/>
    <cellStyle name="Normale 27" xfId="914" xr:uid="{00000000-0005-0000-0000-00000C920000}"/>
    <cellStyle name="Normale 27 2" xfId="3635" xr:uid="{00000000-0005-0000-0000-00000D920000}"/>
    <cellStyle name="Normale 28" xfId="915" xr:uid="{00000000-0005-0000-0000-00000E920000}"/>
    <cellStyle name="Normale 28 2" xfId="3636" xr:uid="{00000000-0005-0000-0000-00000F920000}"/>
    <cellStyle name="Normale 29" xfId="916" xr:uid="{00000000-0005-0000-0000-000010920000}"/>
    <cellStyle name="Normale 29 2" xfId="3637" xr:uid="{00000000-0005-0000-0000-000011920000}"/>
    <cellStyle name="Normale 3" xfId="917" xr:uid="{00000000-0005-0000-0000-000012920000}"/>
    <cellStyle name="Normale 3 2" xfId="918" xr:uid="{00000000-0005-0000-0000-000013920000}"/>
    <cellStyle name="Normale 3 2 2" xfId="3639" xr:uid="{00000000-0005-0000-0000-000014920000}"/>
    <cellStyle name="Normale 3 3" xfId="919" xr:uid="{00000000-0005-0000-0000-000015920000}"/>
    <cellStyle name="Normale 3 3 2" xfId="3640" xr:uid="{00000000-0005-0000-0000-000016920000}"/>
    <cellStyle name="Normale 3 4" xfId="3638" xr:uid="{00000000-0005-0000-0000-000017920000}"/>
    <cellStyle name="Normale 3_EDEN industria 2008 rev" xfId="920" xr:uid="{00000000-0005-0000-0000-000018920000}"/>
    <cellStyle name="Normale 30" xfId="921" xr:uid="{00000000-0005-0000-0000-000019920000}"/>
    <cellStyle name="Normale 30 2" xfId="3641" xr:uid="{00000000-0005-0000-0000-00001A920000}"/>
    <cellStyle name="Normale 31" xfId="922" xr:uid="{00000000-0005-0000-0000-00001B920000}"/>
    <cellStyle name="Normale 31 2" xfId="3642" xr:uid="{00000000-0005-0000-0000-00001C920000}"/>
    <cellStyle name="Normale 32" xfId="923" xr:uid="{00000000-0005-0000-0000-00001D920000}"/>
    <cellStyle name="Normale 32 2" xfId="3643" xr:uid="{00000000-0005-0000-0000-00001E920000}"/>
    <cellStyle name="Normale 33" xfId="924" xr:uid="{00000000-0005-0000-0000-00001F920000}"/>
    <cellStyle name="Normale 33 2" xfId="3644" xr:uid="{00000000-0005-0000-0000-000020920000}"/>
    <cellStyle name="Normale 34" xfId="925" xr:uid="{00000000-0005-0000-0000-000021920000}"/>
    <cellStyle name="Normale 34 2" xfId="3645" xr:uid="{00000000-0005-0000-0000-000022920000}"/>
    <cellStyle name="Normale 35" xfId="926" xr:uid="{00000000-0005-0000-0000-000023920000}"/>
    <cellStyle name="Normale 35 2" xfId="3646" xr:uid="{00000000-0005-0000-0000-000024920000}"/>
    <cellStyle name="Normale 36" xfId="927" xr:uid="{00000000-0005-0000-0000-000025920000}"/>
    <cellStyle name="Normale 36 2" xfId="3647" xr:uid="{00000000-0005-0000-0000-000026920000}"/>
    <cellStyle name="Normale 37" xfId="928" xr:uid="{00000000-0005-0000-0000-000027920000}"/>
    <cellStyle name="Normale 37 2" xfId="3648" xr:uid="{00000000-0005-0000-0000-000028920000}"/>
    <cellStyle name="Normale 38" xfId="929" xr:uid="{00000000-0005-0000-0000-000029920000}"/>
    <cellStyle name="Normale 38 2" xfId="3649" xr:uid="{00000000-0005-0000-0000-00002A920000}"/>
    <cellStyle name="Normale 39" xfId="930" xr:uid="{00000000-0005-0000-0000-00002B920000}"/>
    <cellStyle name="Normale 39 2" xfId="3650" xr:uid="{00000000-0005-0000-0000-00002C920000}"/>
    <cellStyle name="Normale 4" xfId="931" xr:uid="{00000000-0005-0000-0000-00002D920000}"/>
    <cellStyle name="Normale 4 2" xfId="932" xr:uid="{00000000-0005-0000-0000-00002E920000}"/>
    <cellStyle name="Normale 4 2 2" xfId="3652" xr:uid="{00000000-0005-0000-0000-00002F920000}"/>
    <cellStyle name="Normale 4 3" xfId="933" xr:uid="{00000000-0005-0000-0000-000030920000}"/>
    <cellStyle name="Normale 4 3 2" xfId="3653" xr:uid="{00000000-0005-0000-0000-000031920000}"/>
    <cellStyle name="Normale 4 4" xfId="3651" xr:uid="{00000000-0005-0000-0000-000032920000}"/>
    <cellStyle name="Normale 4_EDEN industria 2008 rev" xfId="934" xr:uid="{00000000-0005-0000-0000-000033920000}"/>
    <cellStyle name="Normale 40" xfId="935" xr:uid="{00000000-0005-0000-0000-000034920000}"/>
    <cellStyle name="Normale 40 2" xfId="3654" xr:uid="{00000000-0005-0000-0000-000035920000}"/>
    <cellStyle name="Normale 41" xfId="936" xr:uid="{00000000-0005-0000-0000-000036920000}"/>
    <cellStyle name="Normale 41 2" xfId="3655" xr:uid="{00000000-0005-0000-0000-000037920000}"/>
    <cellStyle name="Normale 42" xfId="937" xr:uid="{00000000-0005-0000-0000-000038920000}"/>
    <cellStyle name="Normale 42 2" xfId="3656" xr:uid="{00000000-0005-0000-0000-000039920000}"/>
    <cellStyle name="Normale 43" xfId="938" xr:uid="{00000000-0005-0000-0000-00003A920000}"/>
    <cellStyle name="Normale 43 2" xfId="3657" xr:uid="{00000000-0005-0000-0000-00003B920000}"/>
    <cellStyle name="Normale 44" xfId="939" xr:uid="{00000000-0005-0000-0000-00003C920000}"/>
    <cellStyle name="Normale 44 2" xfId="3658" xr:uid="{00000000-0005-0000-0000-00003D920000}"/>
    <cellStyle name="Normale 45" xfId="940" xr:uid="{00000000-0005-0000-0000-00003E920000}"/>
    <cellStyle name="Normale 45 2" xfId="3659" xr:uid="{00000000-0005-0000-0000-00003F920000}"/>
    <cellStyle name="Normale 46" xfId="941" xr:uid="{00000000-0005-0000-0000-000040920000}"/>
    <cellStyle name="Normale 46 2" xfId="3660" xr:uid="{00000000-0005-0000-0000-000041920000}"/>
    <cellStyle name="Normale 47" xfId="942" xr:uid="{00000000-0005-0000-0000-000042920000}"/>
    <cellStyle name="Normale 47 2" xfId="3661" xr:uid="{00000000-0005-0000-0000-000043920000}"/>
    <cellStyle name="Normale 48" xfId="943" xr:uid="{00000000-0005-0000-0000-000044920000}"/>
    <cellStyle name="Normale 48 2" xfId="3662" xr:uid="{00000000-0005-0000-0000-000045920000}"/>
    <cellStyle name="Normale 49" xfId="944" xr:uid="{00000000-0005-0000-0000-000046920000}"/>
    <cellStyle name="Normale 49 2" xfId="3663" xr:uid="{00000000-0005-0000-0000-000047920000}"/>
    <cellStyle name="Normale 5" xfId="945" xr:uid="{00000000-0005-0000-0000-000048920000}"/>
    <cellStyle name="Normale 5 2" xfId="946" xr:uid="{00000000-0005-0000-0000-000049920000}"/>
    <cellStyle name="Normale 5 2 2" xfId="3665" xr:uid="{00000000-0005-0000-0000-00004A920000}"/>
    <cellStyle name="Normale 5 3" xfId="947" xr:uid="{00000000-0005-0000-0000-00004B920000}"/>
    <cellStyle name="Normale 5 3 2" xfId="3666" xr:uid="{00000000-0005-0000-0000-00004C920000}"/>
    <cellStyle name="Normale 5 4" xfId="3664" xr:uid="{00000000-0005-0000-0000-00004D920000}"/>
    <cellStyle name="Normale 5_EDEN industria 2008 rev" xfId="948" xr:uid="{00000000-0005-0000-0000-00004E920000}"/>
    <cellStyle name="Normale 50" xfId="949" xr:uid="{00000000-0005-0000-0000-00004F920000}"/>
    <cellStyle name="Normale 50 2" xfId="3667" xr:uid="{00000000-0005-0000-0000-000050920000}"/>
    <cellStyle name="Normale 51" xfId="950" xr:uid="{00000000-0005-0000-0000-000051920000}"/>
    <cellStyle name="Normale 51 2" xfId="3668" xr:uid="{00000000-0005-0000-0000-000052920000}"/>
    <cellStyle name="Normale 52" xfId="951" xr:uid="{00000000-0005-0000-0000-000053920000}"/>
    <cellStyle name="Normale 52 2" xfId="3669" xr:uid="{00000000-0005-0000-0000-000054920000}"/>
    <cellStyle name="Normale 53" xfId="952" xr:uid="{00000000-0005-0000-0000-000055920000}"/>
    <cellStyle name="Normale 53 2" xfId="3670" xr:uid="{00000000-0005-0000-0000-000056920000}"/>
    <cellStyle name="Normale 54" xfId="953" xr:uid="{00000000-0005-0000-0000-000057920000}"/>
    <cellStyle name="Normale 54 2" xfId="3671" xr:uid="{00000000-0005-0000-0000-000058920000}"/>
    <cellStyle name="Normale 55" xfId="954" xr:uid="{00000000-0005-0000-0000-000059920000}"/>
    <cellStyle name="Normale 55 2" xfId="3672" xr:uid="{00000000-0005-0000-0000-00005A920000}"/>
    <cellStyle name="Normale 56" xfId="955" xr:uid="{00000000-0005-0000-0000-00005B920000}"/>
    <cellStyle name="Normale 56 2" xfId="3673" xr:uid="{00000000-0005-0000-0000-00005C920000}"/>
    <cellStyle name="Normale 57" xfId="956" xr:uid="{00000000-0005-0000-0000-00005D920000}"/>
    <cellStyle name="Normale 57 2" xfId="3674" xr:uid="{00000000-0005-0000-0000-00005E920000}"/>
    <cellStyle name="Normale 58" xfId="957" xr:uid="{00000000-0005-0000-0000-00005F920000}"/>
    <cellStyle name="Normale 58 2" xfId="3675" xr:uid="{00000000-0005-0000-0000-000060920000}"/>
    <cellStyle name="Normale 59" xfId="958" xr:uid="{00000000-0005-0000-0000-000061920000}"/>
    <cellStyle name="Normale 59 2" xfId="3676" xr:uid="{00000000-0005-0000-0000-000062920000}"/>
    <cellStyle name="Normale 6" xfId="959" xr:uid="{00000000-0005-0000-0000-000063920000}"/>
    <cellStyle name="Normale 6 2" xfId="960" xr:uid="{00000000-0005-0000-0000-000064920000}"/>
    <cellStyle name="Normale 6 2 2" xfId="3678" xr:uid="{00000000-0005-0000-0000-000065920000}"/>
    <cellStyle name="Normale 6 3" xfId="961" xr:uid="{00000000-0005-0000-0000-000066920000}"/>
    <cellStyle name="Normale 6 3 2" xfId="3679" xr:uid="{00000000-0005-0000-0000-000067920000}"/>
    <cellStyle name="Normale 6 4" xfId="3677" xr:uid="{00000000-0005-0000-0000-000068920000}"/>
    <cellStyle name="Normale 6_EDEN industria 2008 rev" xfId="962" xr:uid="{00000000-0005-0000-0000-000069920000}"/>
    <cellStyle name="Normale 60" xfId="963" xr:uid="{00000000-0005-0000-0000-00006A920000}"/>
    <cellStyle name="Normale 60 2" xfId="3680" xr:uid="{00000000-0005-0000-0000-00006B920000}"/>
    <cellStyle name="Normale 61" xfId="964" xr:uid="{00000000-0005-0000-0000-00006C920000}"/>
    <cellStyle name="Normale 61 2" xfId="3681" xr:uid="{00000000-0005-0000-0000-00006D920000}"/>
    <cellStyle name="Normale 62" xfId="965" xr:uid="{00000000-0005-0000-0000-00006E920000}"/>
    <cellStyle name="Normale 62 2" xfId="3682" xr:uid="{00000000-0005-0000-0000-00006F920000}"/>
    <cellStyle name="Normale 63" xfId="966" xr:uid="{00000000-0005-0000-0000-000070920000}"/>
    <cellStyle name="Normale 63 2" xfId="3683" xr:uid="{00000000-0005-0000-0000-000071920000}"/>
    <cellStyle name="Normale 64" xfId="967" xr:uid="{00000000-0005-0000-0000-000072920000}"/>
    <cellStyle name="Normale 64 2" xfId="3684" xr:uid="{00000000-0005-0000-0000-000073920000}"/>
    <cellStyle name="Normale 65" xfId="968" xr:uid="{00000000-0005-0000-0000-000074920000}"/>
    <cellStyle name="Normale 65 2" xfId="3685" xr:uid="{00000000-0005-0000-0000-000075920000}"/>
    <cellStyle name="Normale 7" xfId="969" xr:uid="{00000000-0005-0000-0000-000076920000}"/>
    <cellStyle name="Normale 7 2" xfId="970" xr:uid="{00000000-0005-0000-0000-000077920000}"/>
    <cellStyle name="Normale 7 2 2" xfId="3687" xr:uid="{00000000-0005-0000-0000-000078920000}"/>
    <cellStyle name="Normale 7 3" xfId="971" xr:uid="{00000000-0005-0000-0000-000079920000}"/>
    <cellStyle name="Normale 7 3 2" xfId="3688" xr:uid="{00000000-0005-0000-0000-00007A920000}"/>
    <cellStyle name="Normale 7 4" xfId="3686" xr:uid="{00000000-0005-0000-0000-00007B920000}"/>
    <cellStyle name="Normale 7_EDEN industria 2008 rev" xfId="972" xr:uid="{00000000-0005-0000-0000-00007C920000}"/>
    <cellStyle name="Normale 8" xfId="973" xr:uid="{00000000-0005-0000-0000-00007D920000}"/>
    <cellStyle name="Normale 8 2" xfId="974" xr:uid="{00000000-0005-0000-0000-00007E920000}"/>
    <cellStyle name="Normale 8 2 2" xfId="3690" xr:uid="{00000000-0005-0000-0000-00007F920000}"/>
    <cellStyle name="Normale 8 3" xfId="975" xr:uid="{00000000-0005-0000-0000-000080920000}"/>
    <cellStyle name="Normale 8 3 2" xfId="3691" xr:uid="{00000000-0005-0000-0000-000081920000}"/>
    <cellStyle name="Normale 8 4" xfId="3689" xr:uid="{00000000-0005-0000-0000-000082920000}"/>
    <cellStyle name="Normale 8_EDEN industria 2008 rev" xfId="976" xr:uid="{00000000-0005-0000-0000-000083920000}"/>
    <cellStyle name="Normale 9" xfId="977" xr:uid="{00000000-0005-0000-0000-000084920000}"/>
    <cellStyle name="Normale 9 2" xfId="978" xr:uid="{00000000-0005-0000-0000-000085920000}"/>
    <cellStyle name="Normale 9 2 2" xfId="3693" xr:uid="{00000000-0005-0000-0000-000086920000}"/>
    <cellStyle name="Normale 9 3" xfId="979" xr:uid="{00000000-0005-0000-0000-000087920000}"/>
    <cellStyle name="Normale 9 3 2" xfId="3694" xr:uid="{00000000-0005-0000-0000-000088920000}"/>
    <cellStyle name="Normale 9 4" xfId="3692" xr:uid="{00000000-0005-0000-0000-000089920000}"/>
    <cellStyle name="Normale 9_EDEN industria 2008 rev" xfId="980" xr:uid="{00000000-0005-0000-0000-00008A920000}"/>
    <cellStyle name="Normale_B2020" xfId="981" xr:uid="{00000000-0005-0000-0000-00008B920000}"/>
    <cellStyle name="Nota" xfId="982" xr:uid="{00000000-0005-0000-0000-00008C920000}"/>
    <cellStyle name="Nota 2" xfId="983" xr:uid="{00000000-0005-0000-0000-00008D920000}"/>
    <cellStyle name="Nota 2 2" xfId="3695" xr:uid="{00000000-0005-0000-0000-00008E920000}"/>
    <cellStyle name="Nota 2 2 2" xfId="12365" xr:uid="{00000000-0005-0000-0000-00008F920000}"/>
    <cellStyle name="Nota 2 2 3" xfId="20734" xr:uid="{00000000-0005-0000-0000-000090920000}"/>
    <cellStyle name="Nota 2 2 4" xfId="21240" xr:uid="{00000000-0005-0000-0000-000091920000}"/>
    <cellStyle name="Nota 2 3" xfId="12273" xr:uid="{00000000-0005-0000-0000-000092920000}"/>
    <cellStyle name="Nota 2 4" xfId="11940" xr:uid="{00000000-0005-0000-0000-000093920000}"/>
    <cellStyle name="Nota 2 5" xfId="19722" xr:uid="{00000000-0005-0000-0000-000094920000}"/>
    <cellStyle name="Nota 3" xfId="984" xr:uid="{00000000-0005-0000-0000-000095920000}"/>
    <cellStyle name="Nota 3 2" xfId="985" xr:uid="{00000000-0005-0000-0000-000096920000}"/>
    <cellStyle name="Nota 3 2 2" xfId="12275" xr:uid="{00000000-0005-0000-0000-000097920000}"/>
    <cellStyle name="Nota 3 2 3" xfId="11938" xr:uid="{00000000-0005-0000-0000-000098920000}"/>
    <cellStyle name="Nota 3 2 4" xfId="19724" xr:uid="{00000000-0005-0000-0000-000099920000}"/>
    <cellStyle name="Nota 3 3" xfId="12274" xr:uid="{00000000-0005-0000-0000-00009A920000}"/>
    <cellStyle name="Nota 3 3 2" xfId="20736" xr:uid="{00000000-0005-0000-0000-00009B920000}"/>
    <cellStyle name="Nota 3 3 2 2" xfId="21242" xr:uid="{00000000-0005-0000-0000-00009C920000}"/>
    <cellStyle name="Nota 3 3 3" xfId="19725" xr:uid="{00000000-0005-0000-0000-00009D920000}"/>
    <cellStyle name="Nota 3 3 4" xfId="21237" xr:uid="{00000000-0005-0000-0000-00009E920000}"/>
    <cellStyle name="Nota 3 4" xfId="11939" xr:uid="{00000000-0005-0000-0000-00009F920000}"/>
    <cellStyle name="Nota 3 4 2" xfId="20735" xr:uid="{00000000-0005-0000-0000-0000A0920000}"/>
    <cellStyle name="Nota 3 4 3" xfId="21241" xr:uid="{00000000-0005-0000-0000-0000A1920000}"/>
    <cellStyle name="Nota 3 5" xfId="19723" xr:uid="{00000000-0005-0000-0000-0000A2920000}"/>
    <cellStyle name="Nota 3 6" xfId="21236" xr:uid="{00000000-0005-0000-0000-0000A3920000}"/>
    <cellStyle name="Nota 4" xfId="986" xr:uid="{00000000-0005-0000-0000-0000A4920000}"/>
    <cellStyle name="Nota 4 2" xfId="18969" xr:uid="{00000000-0005-0000-0000-0000A5920000}"/>
    <cellStyle name="Nota 4 2 2" xfId="20738" xr:uid="{00000000-0005-0000-0000-0000A6920000}"/>
    <cellStyle name="Nota 4 2 2 2" xfId="21244" xr:uid="{00000000-0005-0000-0000-0000A7920000}"/>
    <cellStyle name="Nota 4 2 3" xfId="19727" xr:uid="{00000000-0005-0000-0000-0000A8920000}"/>
    <cellStyle name="Nota 4 2 4" xfId="21239" xr:uid="{00000000-0005-0000-0000-0000A9920000}"/>
    <cellStyle name="Nota 4 3" xfId="11937" xr:uid="{00000000-0005-0000-0000-0000AA920000}"/>
    <cellStyle name="Nota 4 3 2" xfId="20737" xr:uid="{00000000-0005-0000-0000-0000AB920000}"/>
    <cellStyle name="Nota 4 3 3" xfId="21243" xr:uid="{00000000-0005-0000-0000-0000AC920000}"/>
    <cellStyle name="Nota 4 4" xfId="19726" xr:uid="{00000000-0005-0000-0000-0000AD920000}"/>
    <cellStyle name="Nota 4 5" xfId="21238" xr:uid="{00000000-0005-0000-0000-0000AE920000}"/>
    <cellStyle name="Nota 4 6" xfId="11711" xr:uid="{00000000-0005-0000-0000-0000AF920000}"/>
    <cellStyle name="Nota 4 6 2" xfId="30126" xr:uid="{00000000-0005-0000-0000-0000B0920000}"/>
    <cellStyle name="Nota 5" xfId="987" xr:uid="{00000000-0005-0000-0000-0000B1920000}"/>
    <cellStyle name="Nota 5 2" xfId="18970" xr:uid="{00000000-0005-0000-0000-0000B2920000}"/>
    <cellStyle name="Nota 5 3" xfId="11936" xr:uid="{00000000-0005-0000-0000-0000B3920000}"/>
    <cellStyle name="Nota 5 4" xfId="19728" xr:uid="{00000000-0005-0000-0000-0000B4920000}"/>
    <cellStyle name="Nota 5 5" xfId="11712" xr:uid="{00000000-0005-0000-0000-0000B5920000}"/>
    <cellStyle name="Nota 5 5 2" xfId="30127" xr:uid="{00000000-0005-0000-0000-0000B6920000}"/>
    <cellStyle name="Nota 6" xfId="988" xr:uid="{00000000-0005-0000-0000-0000B7920000}"/>
    <cellStyle name="Nota 6 2" xfId="12272" xr:uid="{00000000-0005-0000-0000-0000B8920000}"/>
    <cellStyle name="Nota 7" xfId="12366" xr:uid="{00000000-0005-0000-0000-0000B9920000}"/>
    <cellStyle name="Nota 8" xfId="19721" xr:uid="{00000000-0005-0000-0000-0000BA920000}"/>
    <cellStyle name="Note 2" xfId="2853" xr:uid="{00000000-0005-0000-0000-0000BB920000}"/>
    <cellStyle name="Note 2 2" xfId="2854" xr:uid="{00000000-0005-0000-0000-0000BC920000}"/>
    <cellStyle name="Note 2 2 2" xfId="7466" xr:uid="{00000000-0005-0000-0000-0000BD920000}"/>
    <cellStyle name="Note 2 2 3" xfId="22891" xr:uid="{00000000-0005-0000-0000-0000BE920000}"/>
    <cellStyle name="Note 2 3" xfId="7465" xr:uid="{00000000-0005-0000-0000-0000BF920000}"/>
    <cellStyle name="Note 2 4" xfId="11172" xr:uid="{00000000-0005-0000-0000-0000C0920000}"/>
    <cellStyle name="Note 2 4 2" xfId="18946" xr:uid="{00000000-0005-0000-0000-0000C1920000}"/>
    <cellStyle name="Note 2 4 2 2" xfId="37105" xr:uid="{00000000-0005-0000-0000-0000C2920000}"/>
    <cellStyle name="Note 2 4 3" xfId="30104" xr:uid="{00000000-0005-0000-0000-0000C3920000}"/>
    <cellStyle name="Note 2 5" xfId="12285" xr:uid="{00000000-0005-0000-0000-0000C4920000}"/>
    <cellStyle name="Note 2 5 2" xfId="30456" xr:uid="{00000000-0005-0000-0000-0000C5920000}"/>
    <cellStyle name="Note 2 6" xfId="3465" xr:uid="{00000000-0005-0000-0000-0000C6920000}"/>
    <cellStyle name="Note 2 6 2" xfId="23454" xr:uid="{00000000-0005-0000-0000-0000C7920000}"/>
    <cellStyle name="Note 2 7" xfId="22890" xr:uid="{00000000-0005-0000-0000-0000C8920000}"/>
    <cellStyle name="Note 2 8" xfId="39370" xr:uid="{00000000-0005-0000-0000-0000C9920000}"/>
    <cellStyle name="Note 3" xfId="11190" xr:uid="{00000000-0005-0000-0000-0000CA920000}"/>
    <cellStyle name="Note 4" xfId="12368" xr:uid="{00000000-0005-0000-0000-0000CB920000}"/>
    <cellStyle name="Note 5" xfId="3810" xr:uid="{00000000-0005-0000-0000-0000CC920000}"/>
    <cellStyle name="Nuovo" xfId="989" xr:uid="{00000000-0005-0000-0000-0000CD920000}"/>
    <cellStyle name="Nuovo 10" xfId="990" xr:uid="{00000000-0005-0000-0000-0000CE920000}"/>
    <cellStyle name="Nuovo 10 2" xfId="991" xr:uid="{00000000-0005-0000-0000-0000CF920000}"/>
    <cellStyle name="Nuovo 10 2 2" xfId="3696" xr:uid="{00000000-0005-0000-0000-0000D0920000}"/>
    <cellStyle name="Nuovo 10 3" xfId="992" xr:uid="{00000000-0005-0000-0000-0000D1920000}"/>
    <cellStyle name="Nuovo 10 3 2" xfId="993" xr:uid="{00000000-0005-0000-0000-0000D2920000}"/>
    <cellStyle name="Nuovo 10 3 3" xfId="19730" xr:uid="{00000000-0005-0000-0000-0000D3920000}"/>
    <cellStyle name="Nuovo 10 3 3 2" xfId="20740" xr:uid="{00000000-0005-0000-0000-0000D4920000}"/>
    <cellStyle name="Nuovo 10 3 4" xfId="20739" xr:uid="{00000000-0005-0000-0000-0000D5920000}"/>
    <cellStyle name="Nuovo 10 3 5" xfId="19729" xr:uid="{00000000-0005-0000-0000-0000D6920000}"/>
    <cellStyle name="Nuovo 10 4" xfId="994" xr:uid="{00000000-0005-0000-0000-0000D7920000}"/>
    <cellStyle name="Nuovo 10 4 2" xfId="19732" xr:uid="{00000000-0005-0000-0000-0000D8920000}"/>
    <cellStyle name="Nuovo 10 4 2 2" xfId="20742" xr:uid="{00000000-0005-0000-0000-0000D9920000}"/>
    <cellStyle name="Nuovo 10 4 3" xfId="20741" xr:uid="{00000000-0005-0000-0000-0000DA920000}"/>
    <cellStyle name="Nuovo 10 4 4" xfId="19731" xr:uid="{00000000-0005-0000-0000-0000DB920000}"/>
    <cellStyle name="Nuovo 10 4 5" xfId="11713" xr:uid="{00000000-0005-0000-0000-0000DC920000}"/>
    <cellStyle name="Nuovo 10 5" xfId="995" xr:uid="{00000000-0005-0000-0000-0000DD920000}"/>
    <cellStyle name="Nuovo 10 5 2" xfId="11714" xr:uid="{00000000-0005-0000-0000-0000DE920000}"/>
    <cellStyle name="Nuovo 10 6" xfId="996" xr:uid="{00000000-0005-0000-0000-0000DF920000}"/>
    <cellStyle name="Nuovo 10 6 2" xfId="21783" xr:uid="{00000000-0005-0000-0000-0000E0920000}"/>
    <cellStyle name="Nuovo 11" xfId="997" xr:uid="{00000000-0005-0000-0000-0000E1920000}"/>
    <cellStyle name="Nuovo 11 2" xfId="998" xr:uid="{00000000-0005-0000-0000-0000E2920000}"/>
    <cellStyle name="Nuovo 11 2 2" xfId="3697" xr:uid="{00000000-0005-0000-0000-0000E3920000}"/>
    <cellStyle name="Nuovo 11 3" xfId="999" xr:uid="{00000000-0005-0000-0000-0000E4920000}"/>
    <cellStyle name="Nuovo 11 3 2" xfId="1000" xr:uid="{00000000-0005-0000-0000-0000E5920000}"/>
    <cellStyle name="Nuovo 11 3 3" xfId="19734" xr:uid="{00000000-0005-0000-0000-0000E6920000}"/>
    <cellStyle name="Nuovo 11 3 3 2" xfId="20744" xr:uid="{00000000-0005-0000-0000-0000E7920000}"/>
    <cellStyle name="Nuovo 11 3 4" xfId="20743" xr:uid="{00000000-0005-0000-0000-0000E8920000}"/>
    <cellStyle name="Nuovo 11 3 5" xfId="19733" xr:uid="{00000000-0005-0000-0000-0000E9920000}"/>
    <cellStyle name="Nuovo 11 4" xfId="1001" xr:uid="{00000000-0005-0000-0000-0000EA920000}"/>
    <cellStyle name="Nuovo 11 4 2" xfId="19736" xr:uid="{00000000-0005-0000-0000-0000EB920000}"/>
    <cellStyle name="Nuovo 11 4 2 2" xfId="20746" xr:uid="{00000000-0005-0000-0000-0000EC920000}"/>
    <cellStyle name="Nuovo 11 4 3" xfId="20745" xr:uid="{00000000-0005-0000-0000-0000ED920000}"/>
    <cellStyle name="Nuovo 11 4 4" xfId="19735" xr:uid="{00000000-0005-0000-0000-0000EE920000}"/>
    <cellStyle name="Nuovo 11 4 5" xfId="11715" xr:uid="{00000000-0005-0000-0000-0000EF920000}"/>
    <cellStyle name="Nuovo 11 5" xfId="1002" xr:uid="{00000000-0005-0000-0000-0000F0920000}"/>
    <cellStyle name="Nuovo 11 5 2" xfId="11716" xr:uid="{00000000-0005-0000-0000-0000F1920000}"/>
    <cellStyle name="Nuovo 11 6" xfId="1003" xr:uid="{00000000-0005-0000-0000-0000F2920000}"/>
    <cellStyle name="Nuovo 11 6 2" xfId="21784" xr:uid="{00000000-0005-0000-0000-0000F3920000}"/>
    <cellStyle name="Nuovo 12" xfId="1004" xr:uid="{00000000-0005-0000-0000-0000F4920000}"/>
    <cellStyle name="Nuovo 12 2" xfId="1005" xr:uid="{00000000-0005-0000-0000-0000F5920000}"/>
    <cellStyle name="Nuovo 12 2 2" xfId="3698" xr:uid="{00000000-0005-0000-0000-0000F6920000}"/>
    <cellStyle name="Nuovo 12 3" xfId="1006" xr:uid="{00000000-0005-0000-0000-0000F7920000}"/>
    <cellStyle name="Nuovo 12 3 2" xfId="1007" xr:uid="{00000000-0005-0000-0000-0000F8920000}"/>
    <cellStyle name="Nuovo 12 3 3" xfId="19738" xr:uid="{00000000-0005-0000-0000-0000F9920000}"/>
    <cellStyle name="Nuovo 12 3 3 2" xfId="20748" xr:uid="{00000000-0005-0000-0000-0000FA920000}"/>
    <cellStyle name="Nuovo 12 3 4" xfId="20747" xr:uid="{00000000-0005-0000-0000-0000FB920000}"/>
    <cellStyle name="Nuovo 12 3 5" xfId="19737" xr:uid="{00000000-0005-0000-0000-0000FC920000}"/>
    <cellStyle name="Nuovo 12 4" xfId="1008" xr:uid="{00000000-0005-0000-0000-0000FD920000}"/>
    <cellStyle name="Nuovo 12 4 2" xfId="19740" xr:uid="{00000000-0005-0000-0000-0000FE920000}"/>
    <cellStyle name="Nuovo 12 4 2 2" xfId="20750" xr:uid="{00000000-0005-0000-0000-0000FF920000}"/>
    <cellStyle name="Nuovo 12 4 3" xfId="20749" xr:uid="{00000000-0005-0000-0000-000000930000}"/>
    <cellStyle name="Nuovo 12 4 4" xfId="19739" xr:uid="{00000000-0005-0000-0000-000001930000}"/>
    <cellStyle name="Nuovo 12 4 5" xfId="11717" xr:uid="{00000000-0005-0000-0000-000002930000}"/>
    <cellStyle name="Nuovo 12 5" xfId="1009" xr:uid="{00000000-0005-0000-0000-000003930000}"/>
    <cellStyle name="Nuovo 12 5 2" xfId="11718" xr:uid="{00000000-0005-0000-0000-000004930000}"/>
    <cellStyle name="Nuovo 12 6" xfId="1010" xr:uid="{00000000-0005-0000-0000-000005930000}"/>
    <cellStyle name="Nuovo 12 6 2" xfId="21785" xr:uid="{00000000-0005-0000-0000-000006930000}"/>
    <cellStyle name="Nuovo 13" xfId="1011" xr:uid="{00000000-0005-0000-0000-000007930000}"/>
    <cellStyle name="Nuovo 13 2" xfId="1012" xr:uid="{00000000-0005-0000-0000-000008930000}"/>
    <cellStyle name="Nuovo 13 2 2" xfId="3699" xr:uid="{00000000-0005-0000-0000-000009930000}"/>
    <cellStyle name="Nuovo 13 3" xfId="1013" xr:uid="{00000000-0005-0000-0000-00000A930000}"/>
    <cellStyle name="Nuovo 13 3 2" xfId="1014" xr:uid="{00000000-0005-0000-0000-00000B930000}"/>
    <cellStyle name="Nuovo 13 3 3" xfId="19742" xr:uid="{00000000-0005-0000-0000-00000C930000}"/>
    <cellStyle name="Nuovo 13 3 3 2" xfId="20752" xr:uid="{00000000-0005-0000-0000-00000D930000}"/>
    <cellStyle name="Nuovo 13 3 4" xfId="20751" xr:uid="{00000000-0005-0000-0000-00000E930000}"/>
    <cellStyle name="Nuovo 13 3 5" xfId="19741" xr:uid="{00000000-0005-0000-0000-00000F930000}"/>
    <cellStyle name="Nuovo 13 4" xfId="1015" xr:uid="{00000000-0005-0000-0000-000010930000}"/>
    <cellStyle name="Nuovo 13 4 2" xfId="19744" xr:uid="{00000000-0005-0000-0000-000011930000}"/>
    <cellStyle name="Nuovo 13 4 2 2" xfId="20754" xr:uid="{00000000-0005-0000-0000-000012930000}"/>
    <cellStyle name="Nuovo 13 4 3" xfId="20753" xr:uid="{00000000-0005-0000-0000-000013930000}"/>
    <cellStyle name="Nuovo 13 4 4" xfId="19743" xr:uid="{00000000-0005-0000-0000-000014930000}"/>
    <cellStyle name="Nuovo 13 4 5" xfId="11719" xr:uid="{00000000-0005-0000-0000-000015930000}"/>
    <cellStyle name="Nuovo 13 5" xfId="1016" xr:uid="{00000000-0005-0000-0000-000016930000}"/>
    <cellStyle name="Nuovo 13 5 2" xfId="11720" xr:uid="{00000000-0005-0000-0000-000017930000}"/>
    <cellStyle name="Nuovo 13 6" xfId="1017" xr:uid="{00000000-0005-0000-0000-000018930000}"/>
    <cellStyle name="Nuovo 13 6 2" xfId="21786" xr:uid="{00000000-0005-0000-0000-000019930000}"/>
    <cellStyle name="Nuovo 14" xfId="1018" xr:uid="{00000000-0005-0000-0000-00001A930000}"/>
    <cellStyle name="Nuovo 14 2" xfId="1019" xr:uid="{00000000-0005-0000-0000-00001B930000}"/>
    <cellStyle name="Nuovo 14 2 2" xfId="3700" xr:uid="{00000000-0005-0000-0000-00001C930000}"/>
    <cellStyle name="Nuovo 14 3" xfId="1020" xr:uid="{00000000-0005-0000-0000-00001D930000}"/>
    <cellStyle name="Nuovo 14 3 2" xfId="1021" xr:uid="{00000000-0005-0000-0000-00001E930000}"/>
    <cellStyle name="Nuovo 14 3 3" xfId="19746" xr:uid="{00000000-0005-0000-0000-00001F930000}"/>
    <cellStyle name="Nuovo 14 3 3 2" xfId="20756" xr:uid="{00000000-0005-0000-0000-000020930000}"/>
    <cellStyle name="Nuovo 14 3 4" xfId="20755" xr:uid="{00000000-0005-0000-0000-000021930000}"/>
    <cellStyle name="Nuovo 14 3 5" xfId="19745" xr:uid="{00000000-0005-0000-0000-000022930000}"/>
    <cellStyle name="Nuovo 14 4" xfId="1022" xr:uid="{00000000-0005-0000-0000-000023930000}"/>
    <cellStyle name="Nuovo 14 4 2" xfId="19748" xr:uid="{00000000-0005-0000-0000-000024930000}"/>
    <cellStyle name="Nuovo 14 4 2 2" xfId="20758" xr:uid="{00000000-0005-0000-0000-000025930000}"/>
    <cellStyle name="Nuovo 14 4 3" xfId="20757" xr:uid="{00000000-0005-0000-0000-000026930000}"/>
    <cellStyle name="Nuovo 14 4 4" xfId="19747" xr:uid="{00000000-0005-0000-0000-000027930000}"/>
    <cellStyle name="Nuovo 14 4 5" xfId="11721" xr:uid="{00000000-0005-0000-0000-000028930000}"/>
    <cellStyle name="Nuovo 14 5" xfId="1023" xr:uid="{00000000-0005-0000-0000-000029930000}"/>
    <cellStyle name="Nuovo 14 5 2" xfId="11722" xr:uid="{00000000-0005-0000-0000-00002A930000}"/>
    <cellStyle name="Nuovo 14 6" xfId="1024" xr:uid="{00000000-0005-0000-0000-00002B930000}"/>
    <cellStyle name="Nuovo 14 6 2" xfId="21787" xr:uid="{00000000-0005-0000-0000-00002C930000}"/>
    <cellStyle name="Nuovo 15" xfId="1025" xr:uid="{00000000-0005-0000-0000-00002D930000}"/>
    <cellStyle name="Nuovo 15 2" xfId="1026" xr:uid="{00000000-0005-0000-0000-00002E930000}"/>
    <cellStyle name="Nuovo 15 2 2" xfId="3701" xr:uid="{00000000-0005-0000-0000-00002F930000}"/>
    <cellStyle name="Nuovo 15 3" xfId="1027" xr:uid="{00000000-0005-0000-0000-000030930000}"/>
    <cellStyle name="Nuovo 15 3 2" xfId="1028" xr:uid="{00000000-0005-0000-0000-000031930000}"/>
    <cellStyle name="Nuovo 15 3 3" xfId="19750" xr:uid="{00000000-0005-0000-0000-000032930000}"/>
    <cellStyle name="Nuovo 15 3 3 2" xfId="20760" xr:uid="{00000000-0005-0000-0000-000033930000}"/>
    <cellStyle name="Nuovo 15 3 4" xfId="20759" xr:uid="{00000000-0005-0000-0000-000034930000}"/>
    <cellStyle name="Nuovo 15 3 5" xfId="19749" xr:uid="{00000000-0005-0000-0000-000035930000}"/>
    <cellStyle name="Nuovo 15 4" xfId="1029" xr:uid="{00000000-0005-0000-0000-000036930000}"/>
    <cellStyle name="Nuovo 15 4 2" xfId="19752" xr:uid="{00000000-0005-0000-0000-000037930000}"/>
    <cellStyle name="Nuovo 15 4 2 2" xfId="20762" xr:uid="{00000000-0005-0000-0000-000038930000}"/>
    <cellStyle name="Nuovo 15 4 3" xfId="20761" xr:uid="{00000000-0005-0000-0000-000039930000}"/>
    <cellStyle name="Nuovo 15 4 4" xfId="19751" xr:uid="{00000000-0005-0000-0000-00003A930000}"/>
    <cellStyle name="Nuovo 15 4 5" xfId="11723" xr:uid="{00000000-0005-0000-0000-00003B930000}"/>
    <cellStyle name="Nuovo 15 5" xfId="1030" xr:uid="{00000000-0005-0000-0000-00003C930000}"/>
    <cellStyle name="Nuovo 15 5 2" xfId="11724" xr:uid="{00000000-0005-0000-0000-00003D930000}"/>
    <cellStyle name="Nuovo 15 6" xfId="1031" xr:uid="{00000000-0005-0000-0000-00003E930000}"/>
    <cellStyle name="Nuovo 15 6 2" xfId="21788" xr:uid="{00000000-0005-0000-0000-00003F930000}"/>
    <cellStyle name="Nuovo 16" xfId="1032" xr:uid="{00000000-0005-0000-0000-000040930000}"/>
    <cellStyle name="Nuovo 16 2" xfId="1033" xr:uid="{00000000-0005-0000-0000-000041930000}"/>
    <cellStyle name="Nuovo 16 2 2" xfId="3702" xr:uid="{00000000-0005-0000-0000-000042930000}"/>
    <cellStyle name="Nuovo 16 3" xfId="1034" xr:uid="{00000000-0005-0000-0000-000043930000}"/>
    <cellStyle name="Nuovo 16 3 2" xfId="1035" xr:uid="{00000000-0005-0000-0000-000044930000}"/>
    <cellStyle name="Nuovo 16 3 3" xfId="19754" xr:uid="{00000000-0005-0000-0000-000045930000}"/>
    <cellStyle name="Nuovo 16 3 3 2" xfId="20764" xr:uid="{00000000-0005-0000-0000-000046930000}"/>
    <cellStyle name="Nuovo 16 3 4" xfId="20763" xr:uid="{00000000-0005-0000-0000-000047930000}"/>
    <cellStyle name="Nuovo 16 3 5" xfId="19753" xr:uid="{00000000-0005-0000-0000-000048930000}"/>
    <cellStyle name="Nuovo 16 4" xfId="1036" xr:uid="{00000000-0005-0000-0000-000049930000}"/>
    <cellStyle name="Nuovo 16 4 2" xfId="19756" xr:uid="{00000000-0005-0000-0000-00004A930000}"/>
    <cellStyle name="Nuovo 16 4 2 2" xfId="20766" xr:uid="{00000000-0005-0000-0000-00004B930000}"/>
    <cellStyle name="Nuovo 16 4 3" xfId="20765" xr:uid="{00000000-0005-0000-0000-00004C930000}"/>
    <cellStyle name="Nuovo 16 4 4" xfId="19755" xr:uid="{00000000-0005-0000-0000-00004D930000}"/>
    <cellStyle name="Nuovo 16 4 5" xfId="11725" xr:uid="{00000000-0005-0000-0000-00004E930000}"/>
    <cellStyle name="Nuovo 16 5" xfId="1037" xr:uid="{00000000-0005-0000-0000-00004F930000}"/>
    <cellStyle name="Nuovo 16 5 2" xfId="11726" xr:uid="{00000000-0005-0000-0000-000050930000}"/>
    <cellStyle name="Nuovo 16 6" xfId="1038" xr:uid="{00000000-0005-0000-0000-000051930000}"/>
    <cellStyle name="Nuovo 16 6 2" xfId="21789" xr:uid="{00000000-0005-0000-0000-000052930000}"/>
    <cellStyle name="Nuovo 17" xfId="1039" xr:uid="{00000000-0005-0000-0000-000053930000}"/>
    <cellStyle name="Nuovo 17 2" xfId="1040" xr:uid="{00000000-0005-0000-0000-000054930000}"/>
    <cellStyle name="Nuovo 17 2 2" xfId="3703" xr:uid="{00000000-0005-0000-0000-000055930000}"/>
    <cellStyle name="Nuovo 17 3" xfId="1041" xr:uid="{00000000-0005-0000-0000-000056930000}"/>
    <cellStyle name="Nuovo 17 3 2" xfId="1042" xr:uid="{00000000-0005-0000-0000-000057930000}"/>
    <cellStyle name="Nuovo 17 3 3" xfId="19758" xr:uid="{00000000-0005-0000-0000-000058930000}"/>
    <cellStyle name="Nuovo 17 3 3 2" xfId="20768" xr:uid="{00000000-0005-0000-0000-000059930000}"/>
    <cellStyle name="Nuovo 17 3 4" xfId="20767" xr:uid="{00000000-0005-0000-0000-00005A930000}"/>
    <cellStyle name="Nuovo 17 3 5" xfId="19757" xr:uid="{00000000-0005-0000-0000-00005B930000}"/>
    <cellStyle name="Nuovo 17 4" xfId="1043" xr:uid="{00000000-0005-0000-0000-00005C930000}"/>
    <cellStyle name="Nuovo 17 4 2" xfId="19760" xr:uid="{00000000-0005-0000-0000-00005D930000}"/>
    <cellStyle name="Nuovo 17 4 2 2" xfId="20770" xr:uid="{00000000-0005-0000-0000-00005E930000}"/>
    <cellStyle name="Nuovo 17 4 3" xfId="20769" xr:uid="{00000000-0005-0000-0000-00005F930000}"/>
    <cellStyle name="Nuovo 17 4 4" xfId="19759" xr:uid="{00000000-0005-0000-0000-000060930000}"/>
    <cellStyle name="Nuovo 17 4 5" xfId="11727" xr:uid="{00000000-0005-0000-0000-000061930000}"/>
    <cellStyle name="Nuovo 17 5" xfId="1044" xr:uid="{00000000-0005-0000-0000-000062930000}"/>
    <cellStyle name="Nuovo 17 5 2" xfId="11728" xr:uid="{00000000-0005-0000-0000-000063930000}"/>
    <cellStyle name="Nuovo 17 6" xfId="1045" xr:uid="{00000000-0005-0000-0000-000064930000}"/>
    <cellStyle name="Nuovo 17 6 2" xfId="21790" xr:uid="{00000000-0005-0000-0000-000065930000}"/>
    <cellStyle name="Nuovo 18" xfId="1046" xr:uid="{00000000-0005-0000-0000-000066930000}"/>
    <cellStyle name="Nuovo 18 2" xfId="1047" xr:uid="{00000000-0005-0000-0000-000067930000}"/>
    <cellStyle name="Nuovo 18 2 2" xfId="3704" xr:uid="{00000000-0005-0000-0000-000068930000}"/>
    <cellStyle name="Nuovo 18 3" xfId="1048" xr:uid="{00000000-0005-0000-0000-000069930000}"/>
    <cellStyle name="Nuovo 18 3 2" xfId="1049" xr:uid="{00000000-0005-0000-0000-00006A930000}"/>
    <cellStyle name="Nuovo 18 3 3" xfId="19762" xr:uid="{00000000-0005-0000-0000-00006B930000}"/>
    <cellStyle name="Nuovo 18 3 3 2" xfId="20772" xr:uid="{00000000-0005-0000-0000-00006C930000}"/>
    <cellStyle name="Nuovo 18 3 4" xfId="20771" xr:uid="{00000000-0005-0000-0000-00006D930000}"/>
    <cellStyle name="Nuovo 18 3 5" xfId="19761" xr:uid="{00000000-0005-0000-0000-00006E930000}"/>
    <cellStyle name="Nuovo 18 4" xfId="1050" xr:uid="{00000000-0005-0000-0000-00006F930000}"/>
    <cellStyle name="Nuovo 18 4 2" xfId="19764" xr:uid="{00000000-0005-0000-0000-000070930000}"/>
    <cellStyle name="Nuovo 18 4 2 2" xfId="20774" xr:uid="{00000000-0005-0000-0000-000071930000}"/>
    <cellStyle name="Nuovo 18 4 3" xfId="20773" xr:uid="{00000000-0005-0000-0000-000072930000}"/>
    <cellStyle name="Nuovo 18 4 4" xfId="19763" xr:uid="{00000000-0005-0000-0000-000073930000}"/>
    <cellStyle name="Nuovo 18 4 5" xfId="11729" xr:uid="{00000000-0005-0000-0000-000074930000}"/>
    <cellStyle name="Nuovo 18 5" xfId="1051" xr:uid="{00000000-0005-0000-0000-000075930000}"/>
    <cellStyle name="Nuovo 18 5 2" xfId="11730" xr:uid="{00000000-0005-0000-0000-000076930000}"/>
    <cellStyle name="Nuovo 18 6" xfId="1052" xr:uid="{00000000-0005-0000-0000-000077930000}"/>
    <cellStyle name="Nuovo 18 6 2" xfId="21791" xr:uid="{00000000-0005-0000-0000-000078930000}"/>
    <cellStyle name="Nuovo 19" xfId="1053" xr:uid="{00000000-0005-0000-0000-000079930000}"/>
    <cellStyle name="Nuovo 19 2" xfId="1054" xr:uid="{00000000-0005-0000-0000-00007A930000}"/>
    <cellStyle name="Nuovo 19 2 2" xfId="3705" xr:uid="{00000000-0005-0000-0000-00007B930000}"/>
    <cellStyle name="Nuovo 19 3" xfId="1055" xr:uid="{00000000-0005-0000-0000-00007C930000}"/>
    <cellStyle name="Nuovo 19 3 2" xfId="1056" xr:uid="{00000000-0005-0000-0000-00007D930000}"/>
    <cellStyle name="Nuovo 19 3 3" xfId="19766" xr:uid="{00000000-0005-0000-0000-00007E930000}"/>
    <cellStyle name="Nuovo 19 3 3 2" xfId="20776" xr:uid="{00000000-0005-0000-0000-00007F930000}"/>
    <cellStyle name="Nuovo 19 3 4" xfId="20775" xr:uid="{00000000-0005-0000-0000-000080930000}"/>
    <cellStyle name="Nuovo 19 3 5" xfId="19765" xr:uid="{00000000-0005-0000-0000-000081930000}"/>
    <cellStyle name="Nuovo 19 4" xfId="1057" xr:uid="{00000000-0005-0000-0000-000082930000}"/>
    <cellStyle name="Nuovo 19 4 2" xfId="19768" xr:uid="{00000000-0005-0000-0000-000083930000}"/>
    <cellStyle name="Nuovo 19 4 2 2" xfId="20778" xr:uid="{00000000-0005-0000-0000-000084930000}"/>
    <cellStyle name="Nuovo 19 4 3" xfId="20777" xr:uid="{00000000-0005-0000-0000-000085930000}"/>
    <cellStyle name="Nuovo 19 4 4" xfId="19767" xr:uid="{00000000-0005-0000-0000-000086930000}"/>
    <cellStyle name="Nuovo 19 4 5" xfId="11731" xr:uid="{00000000-0005-0000-0000-000087930000}"/>
    <cellStyle name="Nuovo 19 5" xfId="1058" xr:uid="{00000000-0005-0000-0000-000088930000}"/>
    <cellStyle name="Nuovo 19 5 2" xfId="11732" xr:uid="{00000000-0005-0000-0000-000089930000}"/>
    <cellStyle name="Nuovo 19 6" xfId="1059" xr:uid="{00000000-0005-0000-0000-00008A930000}"/>
    <cellStyle name="Nuovo 19 6 2" xfId="21792" xr:uid="{00000000-0005-0000-0000-00008B930000}"/>
    <cellStyle name="Nuovo 2" xfId="1060" xr:uid="{00000000-0005-0000-0000-00008C930000}"/>
    <cellStyle name="Nuovo 2 2" xfId="1061" xr:uid="{00000000-0005-0000-0000-00008D930000}"/>
    <cellStyle name="Nuovo 2 2 2" xfId="3706" xr:uid="{00000000-0005-0000-0000-00008E930000}"/>
    <cellStyle name="Nuovo 2 3" xfId="1062" xr:uid="{00000000-0005-0000-0000-00008F930000}"/>
    <cellStyle name="Nuovo 2 3 2" xfId="1063" xr:uid="{00000000-0005-0000-0000-000090930000}"/>
    <cellStyle name="Nuovo 2 3 3" xfId="19770" xr:uid="{00000000-0005-0000-0000-000091930000}"/>
    <cellStyle name="Nuovo 2 3 3 2" xfId="20780" xr:uid="{00000000-0005-0000-0000-000092930000}"/>
    <cellStyle name="Nuovo 2 3 4" xfId="20779" xr:uid="{00000000-0005-0000-0000-000093930000}"/>
    <cellStyle name="Nuovo 2 3 5" xfId="19769" xr:uid="{00000000-0005-0000-0000-000094930000}"/>
    <cellStyle name="Nuovo 2 4" xfId="1064" xr:uid="{00000000-0005-0000-0000-000095930000}"/>
    <cellStyle name="Nuovo 2 4 2" xfId="19772" xr:uid="{00000000-0005-0000-0000-000096930000}"/>
    <cellStyle name="Nuovo 2 4 2 2" xfId="20782" xr:uid="{00000000-0005-0000-0000-000097930000}"/>
    <cellStyle name="Nuovo 2 4 3" xfId="20781" xr:uid="{00000000-0005-0000-0000-000098930000}"/>
    <cellStyle name="Nuovo 2 4 4" xfId="19771" xr:uid="{00000000-0005-0000-0000-000099930000}"/>
    <cellStyle name="Nuovo 2 4 5" xfId="11733" xr:uid="{00000000-0005-0000-0000-00009A930000}"/>
    <cellStyle name="Nuovo 2 5" xfId="1065" xr:uid="{00000000-0005-0000-0000-00009B930000}"/>
    <cellStyle name="Nuovo 2 5 2" xfId="11734" xr:uid="{00000000-0005-0000-0000-00009C930000}"/>
    <cellStyle name="Nuovo 2 6" xfId="1066" xr:uid="{00000000-0005-0000-0000-00009D930000}"/>
    <cellStyle name="Nuovo 2 6 2" xfId="21793" xr:uid="{00000000-0005-0000-0000-00009E930000}"/>
    <cellStyle name="Nuovo 20" xfId="1067" xr:uid="{00000000-0005-0000-0000-00009F930000}"/>
    <cellStyle name="Nuovo 20 2" xfId="1068" xr:uid="{00000000-0005-0000-0000-0000A0930000}"/>
    <cellStyle name="Nuovo 20 2 2" xfId="3707" xr:uid="{00000000-0005-0000-0000-0000A1930000}"/>
    <cellStyle name="Nuovo 20 3" xfId="1069" xr:uid="{00000000-0005-0000-0000-0000A2930000}"/>
    <cellStyle name="Nuovo 20 3 2" xfId="1070" xr:uid="{00000000-0005-0000-0000-0000A3930000}"/>
    <cellStyle name="Nuovo 20 3 3" xfId="19774" xr:uid="{00000000-0005-0000-0000-0000A4930000}"/>
    <cellStyle name="Nuovo 20 3 3 2" xfId="20784" xr:uid="{00000000-0005-0000-0000-0000A5930000}"/>
    <cellStyle name="Nuovo 20 3 4" xfId="20783" xr:uid="{00000000-0005-0000-0000-0000A6930000}"/>
    <cellStyle name="Nuovo 20 3 5" xfId="19773" xr:uid="{00000000-0005-0000-0000-0000A7930000}"/>
    <cellStyle name="Nuovo 20 4" xfId="1071" xr:uid="{00000000-0005-0000-0000-0000A8930000}"/>
    <cellStyle name="Nuovo 20 4 2" xfId="19776" xr:uid="{00000000-0005-0000-0000-0000A9930000}"/>
    <cellStyle name="Nuovo 20 4 2 2" xfId="20786" xr:uid="{00000000-0005-0000-0000-0000AA930000}"/>
    <cellStyle name="Nuovo 20 4 3" xfId="20785" xr:uid="{00000000-0005-0000-0000-0000AB930000}"/>
    <cellStyle name="Nuovo 20 4 4" xfId="19775" xr:uid="{00000000-0005-0000-0000-0000AC930000}"/>
    <cellStyle name="Nuovo 20 4 5" xfId="11735" xr:uid="{00000000-0005-0000-0000-0000AD930000}"/>
    <cellStyle name="Nuovo 20 5" xfId="1072" xr:uid="{00000000-0005-0000-0000-0000AE930000}"/>
    <cellStyle name="Nuovo 20 5 2" xfId="11736" xr:uid="{00000000-0005-0000-0000-0000AF930000}"/>
    <cellStyle name="Nuovo 20 6" xfId="1073" xr:uid="{00000000-0005-0000-0000-0000B0930000}"/>
    <cellStyle name="Nuovo 20 6 2" xfId="21794" xr:uid="{00000000-0005-0000-0000-0000B1930000}"/>
    <cellStyle name="Nuovo 21" xfId="1074" xr:uid="{00000000-0005-0000-0000-0000B2930000}"/>
    <cellStyle name="Nuovo 21 2" xfId="1075" xr:uid="{00000000-0005-0000-0000-0000B3930000}"/>
    <cellStyle name="Nuovo 21 2 2" xfId="3708" xr:uid="{00000000-0005-0000-0000-0000B4930000}"/>
    <cellStyle name="Nuovo 21 3" xfId="1076" xr:uid="{00000000-0005-0000-0000-0000B5930000}"/>
    <cellStyle name="Nuovo 21 3 2" xfId="1077" xr:uid="{00000000-0005-0000-0000-0000B6930000}"/>
    <cellStyle name="Nuovo 21 3 3" xfId="19778" xr:uid="{00000000-0005-0000-0000-0000B7930000}"/>
    <cellStyle name="Nuovo 21 3 3 2" xfId="20788" xr:uid="{00000000-0005-0000-0000-0000B8930000}"/>
    <cellStyle name="Nuovo 21 3 4" xfId="20787" xr:uid="{00000000-0005-0000-0000-0000B9930000}"/>
    <cellStyle name="Nuovo 21 3 5" xfId="19777" xr:uid="{00000000-0005-0000-0000-0000BA930000}"/>
    <cellStyle name="Nuovo 21 4" xfId="1078" xr:uid="{00000000-0005-0000-0000-0000BB930000}"/>
    <cellStyle name="Nuovo 21 4 2" xfId="19780" xr:uid="{00000000-0005-0000-0000-0000BC930000}"/>
    <cellStyle name="Nuovo 21 4 2 2" xfId="20790" xr:uid="{00000000-0005-0000-0000-0000BD930000}"/>
    <cellStyle name="Nuovo 21 4 3" xfId="20789" xr:uid="{00000000-0005-0000-0000-0000BE930000}"/>
    <cellStyle name="Nuovo 21 4 4" xfId="19779" xr:uid="{00000000-0005-0000-0000-0000BF930000}"/>
    <cellStyle name="Nuovo 21 4 5" xfId="11737" xr:uid="{00000000-0005-0000-0000-0000C0930000}"/>
    <cellStyle name="Nuovo 21 5" xfId="1079" xr:uid="{00000000-0005-0000-0000-0000C1930000}"/>
    <cellStyle name="Nuovo 21 5 2" xfId="11738" xr:uid="{00000000-0005-0000-0000-0000C2930000}"/>
    <cellStyle name="Nuovo 21 6" xfId="1080" xr:uid="{00000000-0005-0000-0000-0000C3930000}"/>
    <cellStyle name="Nuovo 21 6 2" xfId="21795" xr:uid="{00000000-0005-0000-0000-0000C4930000}"/>
    <cellStyle name="Nuovo 22" xfId="1081" xr:uid="{00000000-0005-0000-0000-0000C5930000}"/>
    <cellStyle name="Nuovo 22 2" xfId="1082" xr:uid="{00000000-0005-0000-0000-0000C6930000}"/>
    <cellStyle name="Nuovo 22 2 2" xfId="3709" xr:uid="{00000000-0005-0000-0000-0000C7930000}"/>
    <cellStyle name="Nuovo 22 3" xfId="1083" xr:uid="{00000000-0005-0000-0000-0000C8930000}"/>
    <cellStyle name="Nuovo 22 3 2" xfId="1084" xr:uid="{00000000-0005-0000-0000-0000C9930000}"/>
    <cellStyle name="Nuovo 22 3 3" xfId="19782" xr:uid="{00000000-0005-0000-0000-0000CA930000}"/>
    <cellStyle name="Nuovo 22 3 3 2" xfId="20792" xr:uid="{00000000-0005-0000-0000-0000CB930000}"/>
    <cellStyle name="Nuovo 22 3 4" xfId="20791" xr:uid="{00000000-0005-0000-0000-0000CC930000}"/>
    <cellStyle name="Nuovo 22 3 5" xfId="19781" xr:uid="{00000000-0005-0000-0000-0000CD930000}"/>
    <cellStyle name="Nuovo 22 4" xfId="1085" xr:uid="{00000000-0005-0000-0000-0000CE930000}"/>
    <cellStyle name="Nuovo 22 4 2" xfId="19784" xr:uid="{00000000-0005-0000-0000-0000CF930000}"/>
    <cellStyle name="Nuovo 22 4 2 2" xfId="20794" xr:uid="{00000000-0005-0000-0000-0000D0930000}"/>
    <cellStyle name="Nuovo 22 4 3" xfId="20793" xr:uid="{00000000-0005-0000-0000-0000D1930000}"/>
    <cellStyle name="Nuovo 22 4 4" xfId="19783" xr:uid="{00000000-0005-0000-0000-0000D2930000}"/>
    <cellStyle name="Nuovo 22 4 5" xfId="11739" xr:uid="{00000000-0005-0000-0000-0000D3930000}"/>
    <cellStyle name="Nuovo 22 5" xfId="1086" xr:uid="{00000000-0005-0000-0000-0000D4930000}"/>
    <cellStyle name="Nuovo 22 5 2" xfId="11740" xr:uid="{00000000-0005-0000-0000-0000D5930000}"/>
    <cellStyle name="Nuovo 22 6" xfId="1087" xr:uid="{00000000-0005-0000-0000-0000D6930000}"/>
    <cellStyle name="Nuovo 22 6 2" xfId="21796" xr:uid="{00000000-0005-0000-0000-0000D7930000}"/>
    <cellStyle name="Nuovo 23" xfId="1088" xr:uid="{00000000-0005-0000-0000-0000D8930000}"/>
    <cellStyle name="Nuovo 23 2" xfId="1089" xr:uid="{00000000-0005-0000-0000-0000D9930000}"/>
    <cellStyle name="Nuovo 23 2 2" xfId="3710" xr:uid="{00000000-0005-0000-0000-0000DA930000}"/>
    <cellStyle name="Nuovo 23 3" xfId="1090" xr:uid="{00000000-0005-0000-0000-0000DB930000}"/>
    <cellStyle name="Nuovo 23 3 2" xfId="1091" xr:uid="{00000000-0005-0000-0000-0000DC930000}"/>
    <cellStyle name="Nuovo 23 3 3" xfId="19786" xr:uid="{00000000-0005-0000-0000-0000DD930000}"/>
    <cellStyle name="Nuovo 23 3 3 2" xfId="20796" xr:uid="{00000000-0005-0000-0000-0000DE930000}"/>
    <cellStyle name="Nuovo 23 3 4" xfId="20795" xr:uid="{00000000-0005-0000-0000-0000DF930000}"/>
    <cellStyle name="Nuovo 23 3 5" xfId="19785" xr:uid="{00000000-0005-0000-0000-0000E0930000}"/>
    <cellStyle name="Nuovo 23 4" xfId="1092" xr:uid="{00000000-0005-0000-0000-0000E1930000}"/>
    <cellStyle name="Nuovo 23 4 2" xfId="19788" xr:uid="{00000000-0005-0000-0000-0000E2930000}"/>
    <cellStyle name="Nuovo 23 4 2 2" xfId="20798" xr:uid="{00000000-0005-0000-0000-0000E3930000}"/>
    <cellStyle name="Nuovo 23 4 3" xfId="20797" xr:uid="{00000000-0005-0000-0000-0000E4930000}"/>
    <cellStyle name="Nuovo 23 4 4" xfId="19787" xr:uid="{00000000-0005-0000-0000-0000E5930000}"/>
    <cellStyle name="Nuovo 23 4 5" xfId="11741" xr:uid="{00000000-0005-0000-0000-0000E6930000}"/>
    <cellStyle name="Nuovo 23 5" xfId="1093" xr:uid="{00000000-0005-0000-0000-0000E7930000}"/>
    <cellStyle name="Nuovo 23 5 2" xfId="11742" xr:uid="{00000000-0005-0000-0000-0000E8930000}"/>
    <cellStyle name="Nuovo 23 6" xfId="1094" xr:uid="{00000000-0005-0000-0000-0000E9930000}"/>
    <cellStyle name="Nuovo 23 6 2" xfId="21797" xr:uid="{00000000-0005-0000-0000-0000EA930000}"/>
    <cellStyle name="Nuovo 24" xfId="1095" xr:uid="{00000000-0005-0000-0000-0000EB930000}"/>
    <cellStyle name="Nuovo 24 2" xfId="1096" xr:uid="{00000000-0005-0000-0000-0000EC930000}"/>
    <cellStyle name="Nuovo 24 2 2" xfId="3711" xr:uid="{00000000-0005-0000-0000-0000ED930000}"/>
    <cellStyle name="Nuovo 24 3" xfId="1097" xr:uid="{00000000-0005-0000-0000-0000EE930000}"/>
    <cellStyle name="Nuovo 24 3 2" xfId="1098" xr:uid="{00000000-0005-0000-0000-0000EF930000}"/>
    <cellStyle name="Nuovo 24 3 3" xfId="19790" xr:uid="{00000000-0005-0000-0000-0000F0930000}"/>
    <cellStyle name="Nuovo 24 3 3 2" xfId="20800" xr:uid="{00000000-0005-0000-0000-0000F1930000}"/>
    <cellStyle name="Nuovo 24 3 4" xfId="20799" xr:uid="{00000000-0005-0000-0000-0000F2930000}"/>
    <cellStyle name="Nuovo 24 3 5" xfId="19789" xr:uid="{00000000-0005-0000-0000-0000F3930000}"/>
    <cellStyle name="Nuovo 24 4" xfId="1099" xr:uid="{00000000-0005-0000-0000-0000F4930000}"/>
    <cellStyle name="Nuovo 24 4 2" xfId="19792" xr:uid="{00000000-0005-0000-0000-0000F5930000}"/>
    <cellStyle name="Nuovo 24 4 2 2" xfId="20802" xr:uid="{00000000-0005-0000-0000-0000F6930000}"/>
    <cellStyle name="Nuovo 24 4 3" xfId="20801" xr:uid="{00000000-0005-0000-0000-0000F7930000}"/>
    <cellStyle name="Nuovo 24 4 4" xfId="19791" xr:uid="{00000000-0005-0000-0000-0000F8930000}"/>
    <cellStyle name="Nuovo 24 4 5" xfId="11743" xr:uid="{00000000-0005-0000-0000-0000F9930000}"/>
    <cellStyle name="Nuovo 24 5" xfId="1100" xr:uid="{00000000-0005-0000-0000-0000FA930000}"/>
    <cellStyle name="Nuovo 24 5 2" xfId="11744" xr:uid="{00000000-0005-0000-0000-0000FB930000}"/>
    <cellStyle name="Nuovo 24 6" xfId="1101" xr:uid="{00000000-0005-0000-0000-0000FC930000}"/>
    <cellStyle name="Nuovo 24 6 2" xfId="21798" xr:uid="{00000000-0005-0000-0000-0000FD930000}"/>
    <cellStyle name="Nuovo 25" xfId="1102" xr:uid="{00000000-0005-0000-0000-0000FE930000}"/>
    <cellStyle name="Nuovo 25 2" xfId="1103" xr:uid="{00000000-0005-0000-0000-0000FF930000}"/>
    <cellStyle name="Nuovo 25 2 2" xfId="3712" xr:uid="{00000000-0005-0000-0000-000000940000}"/>
    <cellStyle name="Nuovo 25 3" xfId="1104" xr:uid="{00000000-0005-0000-0000-000001940000}"/>
    <cellStyle name="Nuovo 25 3 2" xfId="1105" xr:uid="{00000000-0005-0000-0000-000002940000}"/>
    <cellStyle name="Nuovo 25 3 3" xfId="19794" xr:uid="{00000000-0005-0000-0000-000003940000}"/>
    <cellStyle name="Nuovo 25 3 3 2" xfId="20804" xr:uid="{00000000-0005-0000-0000-000004940000}"/>
    <cellStyle name="Nuovo 25 3 4" xfId="20803" xr:uid="{00000000-0005-0000-0000-000005940000}"/>
    <cellStyle name="Nuovo 25 3 5" xfId="19793" xr:uid="{00000000-0005-0000-0000-000006940000}"/>
    <cellStyle name="Nuovo 25 4" xfId="1106" xr:uid="{00000000-0005-0000-0000-000007940000}"/>
    <cellStyle name="Nuovo 25 4 2" xfId="19796" xr:uid="{00000000-0005-0000-0000-000008940000}"/>
    <cellStyle name="Nuovo 25 4 2 2" xfId="20806" xr:uid="{00000000-0005-0000-0000-000009940000}"/>
    <cellStyle name="Nuovo 25 4 3" xfId="20805" xr:uid="{00000000-0005-0000-0000-00000A940000}"/>
    <cellStyle name="Nuovo 25 4 4" xfId="19795" xr:uid="{00000000-0005-0000-0000-00000B940000}"/>
    <cellStyle name="Nuovo 25 4 5" xfId="11745" xr:uid="{00000000-0005-0000-0000-00000C940000}"/>
    <cellStyle name="Nuovo 25 5" xfId="1107" xr:uid="{00000000-0005-0000-0000-00000D940000}"/>
    <cellStyle name="Nuovo 25 5 2" xfId="11746" xr:uid="{00000000-0005-0000-0000-00000E940000}"/>
    <cellStyle name="Nuovo 25 6" xfId="1108" xr:uid="{00000000-0005-0000-0000-00000F940000}"/>
    <cellStyle name="Nuovo 25 6 2" xfId="21799" xr:uid="{00000000-0005-0000-0000-000010940000}"/>
    <cellStyle name="Nuovo 26" xfId="1109" xr:uid="{00000000-0005-0000-0000-000011940000}"/>
    <cellStyle name="Nuovo 26 2" xfId="1110" xr:uid="{00000000-0005-0000-0000-000012940000}"/>
    <cellStyle name="Nuovo 26 2 2" xfId="3713" xr:uid="{00000000-0005-0000-0000-000013940000}"/>
    <cellStyle name="Nuovo 26 3" xfId="1111" xr:uid="{00000000-0005-0000-0000-000014940000}"/>
    <cellStyle name="Nuovo 26 3 2" xfId="1112" xr:uid="{00000000-0005-0000-0000-000015940000}"/>
    <cellStyle name="Nuovo 26 3 3" xfId="19798" xr:uid="{00000000-0005-0000-0000-000016940000}"/>
    <cellStyle name="Nuovo 26 3 3 2" xfId="20808" xr:uid="{00000000-0005-0000-0000-000017940000}"/>
    <cellStyle name="Nuovo 26 3 4" xfId="20807" xr:uid="{00000000-0005-0000-0000-000018940000}"/>
    <cellStyle name="Nuovo 26 3 5" xfId="19797" xr:uid="{00000000-0005-0000-0000-000019940000}"/>
    <cellStyle name="Nuovo 26 4" xfId="1113" xr:uid="{00000000-0005-0000-0000-00001A940000}"/>
    <cellStyle name="Nuovo 26 4 2" xfId="19800" xr:uid="{00000000-0005-0000-0000-00001B940000}"/>
    <cellStyle name="Nuovo 26 4 2 2" xfId="20810" xr:uid="{00000000-0005-0000-0000-00001C940000}"/>
    <cellStyle name="Nuovo 26 4 3" xfId="20809" xr:uid="{00000000-0005-0000-0000-00001D940000}"/>
    <cellStyle name="Nuovo 26 4 4" xfId="19799" xr:uid="{00000000-0005-0000-0000-00001E940000}"/>
    <cellStyle name="Nuovo 26 4 5" xfId="11747" xr:uid="{00000000-0005-0000-0000-00001F940000}"/>
    <cellStyle name="Nuovo 26 5" xfId="1114" xr:uid="{00000000-0005-0000-0000-000020940000}"/>
    <cellStyle name="Nuovo 26 5 2" xfId="11748" xr:uid="{00000000-0005-0000-0000-000021940000}"/>
    <cellStyle name="Nuovo 26 6" xfId="1115" xr:uid="{00000000-0005-0000-0000-000022940000}"/>
    <cellStyle name="Nuovo 26 6 2" xfId="21800" xr:uid="{00000000-0005-0000-0000-000023940000}"/>
    <cellStyle name="Nuovo 27" xfId="1116" xr:uid="{00000000-0005-0000-0000-000024940000}"/>
    <cellStyle name="Nuovo 27 2" xfId="1117" xr:uid="{00000000-0005-0000-0000-000025940000}"/>
    <cellStyle name="Nuovo 27 2 2" xfId="3714" xr:uid="{00000000-0005-0000-0000-000026940000}"/>
    <cellStyle name="Nuovo 27 3" xfId="1118" xr:uid="{00000000-0005-0000-0000-000027940000}"/>
    <cellStyle name="Nuovo 27 3 2" xfId="1119" xr:uid="{00000000-0005-0000-0000-000028940000}"/>
    <cellStyle name="Nuovo 27 3 3" xfId="19802" xr:uid="{00000000-0005-0000-0000-000029940000}"/>
    <cellStyle name="Nuovo 27 3 3 2" xfId="20812" xr:uid="{00000000-0005-0000-0000-00002A940000}"/>
    <cellStyle name="Nuovo 27 3 4" xfId="20811" xr:uid="{00000000-0005-0000-0000-00002B940000}"/>
    <cellStyle name="Nuovo 27 3 5" xfId="19801" xr:uid="{00000000-0005-0000-0000-00002C940000}"/>
    <cellStyle name="Nuovo 27 4" xfId="1120" xr:uid="{00000000-0005-0000-0000-00002D940000}"/>
    <cellStyle name="Nuovo 27 4 2" xfId="19804" xr:uid="{00000000-0005-0000-0000-00002E940000}"/>
    <cellStyle name="Nuovo 27 4 2 2" xfId="20814" xr:uid="{00000000-0005-0000-0000-00002F940000}"/>
    <cellStyle name="Nuovo 27 4 3" xfId="20813" xr:uid="{00000000-0005-0000-0000-000030940000}"/>
    <cellStyle name="Nuovo 27 4 4" xfId="19803" xr:uid="{00000000-0005-0000-0000-000031940000}"/>
    <cellStyle name="Nuovo 27 4 5" xfId="11749" xr:uid="{00000000-0005-0000-0000-000032940000}"/>
    <cellStyle name="Nuovo 27 5" xfId="1121" xr:uid="{00000000-0005-0000-0000-000033940000}"/>
    <cellStyle name="Nuovo 27 5 2" xfId="11750" xr:uid="{00000000-0005-0000-0000-000034940000}"/>
    <cellStyle name="Nuovo 27 6" xfId="1122" xr:uid="{00000000-0005-0000-0000-000035940000}"/>
    <cellStyle name="Nuovo 27 6 2" xfId="21801" xr:uid="{00000000-0005-0000-0000-000036940000}"/>
    <cellStyle name="Nuovo 28" xfId="1123" xr:uid="{00000000-0005-0000-0000-000037940000}"/>
    <cellStyle name="Nuovo 28 2" xfId="1124" xr:uid="{00000000-0005-0000-0000-000038940000}"/>
    <cellStyle name="Nuovo 28 2 2" xfId="3715" xr:uid="{00000000-0005-0000-0000-000039940000}"/>
    <cellStyle name="Nuovo 28 3" xfId="1125" xr:uid="{00000000-0005-0000-0000-00003A940000}"/>
    <cellStyle name="Nuovo 28 3 2" xfId="1126" xr:uid="{00000000-0005-0000-0000-00003B940000}"/>
    <cellStyle name="Nuovo 28 3 3" xfId="19806" xr:uid="{00000000-0005-0000-0000-00003C940000}"/>
    <cellStyle name="Nuovo 28 3 3 2" xfId="20816" xr:uid="{00000000-0005-0000-0000-00003D940000}"/>
    <cellStyle name="Nuovo 28 3 4" xfId="20815" xr:uid="{00000000-0005-0000-0000-00003E940000}"/>
    <cellStyle name="Nuovo 28 3 5" xfId="19805" xr:uid="{00000000-0005-0000-0000-00003F940000}"/>
    <cellStyle name="Nuovo 28 4" xfId="1127" xr:uid="{00000000-0005-0000-0000-000040940000}"/>
    <cellStyle name="Nuovo 28 4 2" xfId="19808" xr:uid="{00000000-0005-0000-0000-000041940000}"/>
    <cellStyle name="Nuovo 28 4 2 2" xfId="20818" xr:uid="{00000000-0005-0000-0000-000042940000}"/>
    <cellStyle name="Nuovo 28 4 3" xfId="20817" xr:uid="{00000000-0005-0000-0000-000043940000}"/>
    <cellStyle name="Nuovo 28 4 4" xfId="19807" xr:uid="{00000000-0005-0000-0000-000044940000}"/>
    <cellStyle name="Nuovo 28 4 5" xfId="11751" xr:uid="{00000000-0005-0000-0000-000045940000}"/>
    <cellStyle name="Nuovo 28 5" xfId="1128" xr:uid="{00000000-0005-0000-0000-000046940000}"/>
    <cellStyle name="Nuovo 28 5 2" xfId="11752" xr:uid="{00000000-0005-0000-0000-000047940000}"/>
    <cellStyle name="Nuovo 28 6" xfId="1129" xr:uid="{00000000-0005-0000-0000-000048940000}"/>
    <cellStyle name="Nuovo 28 6 2" xfId="21802" xr:uid="{00000000-0005-0000-0000-000049940000}"/>
    <cellStyle name="Nuovo 29" xfId="1130" xr:uid="{00000000-0005-0000-0000-00004A940000}"/>
    <cellStyle name="Nuovo 29 2" xfId="1131" xr:uid="{00000000-0005-0000-0000-00004B940000}"/>
    <cellStyle name="Nuovo 29 2 2" xfId="3716" xr:uid="{00000000-0005-0000-0000-00004C940000}"/>
    <cellStyle name="Nuovo 29 3" xfId="1132" xr:uid="{00000000-0005-0000-0000-00004D940000}"/>
    <cellStyle name="Nuovo 29 3 2" xfId="1133" xr:uid="{00000000-0005-0000-0000-00004E940000}"/>
    <cellStyle name="Nuovo 29 3 3" xfId="19810" xr:uid="{00000000-0005-0000-0000-00004F940000}"/>
    <cellStyle name="Nuovo 29 3 3 2" xfId="20820" xr:uid="{00000000-0005-0000-0000-000050940000}"/>
    <cellStyle name="Nuovo 29 3 4" xfId="20819" xr:uid="{00000000-0005-0000-0000-000051940000}"/>
    <cellStyle name="Nuovo 29 3 5" xfId="19809" xr:uid="{00000000-0005-0000-0000-000052940000}"/>
    <cellStyle name="Nuovo 29 4" xfId="1134" xr:uid="{00000000-0005-0000-0000-000053940000}"/>
    <cellStyle name="Nuovo 29 4 2" xfId="19812" xr:uid="{00000000-0005-0000-0000-000054940000}"/>
    <cellStyle name="Nuovo 29 4 2 2" xfId="20822" xr:uid="{00000000-0005-0000-0000-000055940000}"/>
    <cellStyle name="Nuovo 29 4 3" xfId="20821" xr:uid="{00000000-0005-0000-0000-000056940000}"/>
    <cellStyle name="Nuovo 29 4 4" xfId="19811" xr:uid="{00000000-0005-0000-0000-000057940000}"/>
    <cellStyle name="Nuovo 29 4 5" xfId="11753" xr:uid="{00000000-0005-0000-0000-000058940000}"/>
    <cellStyle name="Nuovo 29 5" xfId="1135" xr:uid="{00000000-0005-0000-0000-000059940000}"/>
    <cellStyle name="Nuovo 29 5 2" xfId="11754" xr:uid="{00000000-0005-0000-0000-00005A940000}"/>
    <cellStyle name="Nuovo 29 6" xfId="1136" xr:uid="{00000000-0005-0000-0000-00005B940000}"/>
    <cellStyle name="Nuovo 29 6 2" xfId="21803" xr:uid="{00000000-0005-0000-0000-00005C940000}"/>
    <cellStyle name="Nuovo 3" xfId="1137" xr:uid="{00000000-0005-0000-0000-00005D940000}"/>
    <cellStyle name="Nuovo 3 2" xfId="1138" xr:uid="{00000000-0005-0000-0000-00005E940000}"/>
    <cellStyle name="Nuovo 3 2 2" xfId="3717" xr:uid="{00000000-0005-0000-0000-00005F940000}"/>
    <cellStyle name="Nuovo 3 3" xfId="1139" xr:uid="{00000000-0005-0000-0000-000060940000}"/>
    <cellStyle name="Nuovo 3 3 2" xfId="1140" xr:uid="{00000000-0005-0000-0000-000061940000}"/>
    <cellStyle name="Nuovo 3 3 3" xfId="19814" xr:uid="{00000000-0005-0000-0000-000062940000}"/>
    <cellStyle name="Nuovo 3 3 3 2" xfId="20824" xr:uid="{00000000-0005-0000-0000-000063940000}"/>
    <cellStyle name="Nuovo 3 3 4" xfId="20823" xr:uid="{00000000-0005-0000-0000-000064940000}"/>
    <cellStyle name="Nuovo 3 3 5" xfId="19813" xr:uid="{00000000-0005-0000-0000-000065940000}"/>
    <cellStyle name="Nuovo 3 4" xfId="1141" xr:uid="{00000000-0005-0000-0000-000066940000}"/>
    <cellStyle name="Nuovo 3 4 2" xfId="19816" xr:uid="{00000000-0005-0000-0000-000067940000}"/>
    <cellStyle name="Nuovo 3 4 2 2" xfId="20826" xr:uid="{00000000-0005-0000-0000-000068940000}"/>
    <cellStyle name="Nuovo 3 4 3" xfId="20825" xr:uid="{00000000-0005-0000-0000-000069940000}"/>
    <cellStyle name="Nuovo 3 4 4" xfId="19815" xr:uid="{00000000-0005-0000-0000-00006A940000}"/>
    <cellStyle name="Nuovo 3 4 5" xfId="11755" xr:uid="{00000000-0005-0000-0000-00006B940000}"/>
    <cellStyle name="Nuovo 3 5" xfId="1142" xr:uid="{00000000-0005-0000-0000-00006C940000}"/>
    <cellStyle name="Nuovo 3 5 2" xfId="11756" xr:uid="{00000000-0005-0000-0000-00006D940000}"/>
    <cellStyle name="Nuovo 3 6" xfId="1143" xr:uid="{00000000-0005-0000-0000-00006E940000}"/>
    <cellStyle name="Nuovo 3 6 2" xfId="21804" xr:uid="{00000000-0005-0000-0000-00006F940000}"/>
    <cellStyle name="Nuovo 30" xfId="1144" xr:uid="{00000000-0005-0000-0000-000070940000}"/>
    <cellStyle name="Nuovo 30 2" xfId="1145" xr:uid="{00000000-0005-0000-0000-000071940000}"/>
    <cellStyle name="Nuovo 30 2 2" xfId="3718" xr:uid="{00000000-0005-0000-0000-000072940000}"/>
    <cellStyle name="Nuovo 30 3" xfId="1146" xr:uid="{00000000-0005-0000-0000-000073940000}"/>
    <cellStyle name="Nuovo 30 3 2" xfId="1147" xr:uid="{00000000-0005-0000-0000-000074940000}"/>
    <cellStyle name="Nuovo 30 3 3" xfId="19818" xr:uid="{00000000-0005-0000-0000-000075940000}"/>
    <cellStyle name="Nuovo 30 3 3 2" xfId="20828" xr:uid="{00000000-0005-0000-0000-000076940000}"/>
    <cellStyle name="Nuovo 30 3 4" xfId="20827" xr:uid="{00000000-0005-0000-0000-000077940000}"/>
    <cellStyle name="Nuovo 30 3 5" xfId="19817" xr:uid="{00000000-0005-0000-0000-000078940000}"/>
    <cellStyle name="Nuovo 30 4" xfId="1148" xr:uid="{00000000-0005-0000-0000-000079940000}"/>
    <cellStyle name="Nuovo 30 4 2" xfId="19820" xr:uid="{00000000-0005-0000-0000-00007A940000}"/>
    <cellStyle name="Nuovo 30 4 2 2" xfId="20830" xr:uid="{00000000-0005-0000-0000-00007B940000}"/>
    <cellStyle name="Nuovo 30 4 3" xfId="20829" xr:uid="{00000000-0005-0000-0000-00007C940000}"/>
    <cellStyle name="Nuovo 30 4 4" xfId="19819" xr:uid="{00000000-0005-0000-0000-00007D940000}"/>
    <cellStyle name="Nuovo 30 4 5" xfId="11757" xr:uid="{00000000-0005-0000-0000-00007E940000}"/>
    <cellStyle name="Nuovo 30 5" xfId="1149" xr:uid="{00000000-0005-0000-0000-00007F940000}"/>
    <cellStyle name="Nuovo 30 5 2" xfId="11758" xr:uid="{00000000-0005-0000-0000-000080940000}"/>
    <cellStyle name="Nuovo 30 6" xfId="1150" xr:uid="{00000000-0005-0000-0000-000081940000}"/>
    <cellStyle name="Nuovo 30 6 2" xfId="21805" xr:uid="{00000000-0005-0000-0000-000082940000}"/>
    <cellStyle name="Nuovo 31" xfId="1151" xr:uid="{00000000-0005-0000-0000-000083940000}"/>
    <cellStyle name="Nuovo 31 2" xfId="1152" xr:uid="{00000000-0005-0000-0000-000084940000}"/>
    <cellStyle name="Nuovo 31 2 2" xfId="3719" xr:uid="{00000000-0005-0000-0000-000085940000}"/>
    <cellStyle name="Nuovo 31 3" xfId="1153" xr:uid="{00000000-0005-0000-0000-000086940000}"/>
    <cellStyle name="Nuovo 31 3 2" xfId="1154" xr:uid="{00000000-0005-0000-0000-000087940000}"/>
    <cellStyle name="Nuovo 31 3 3" xfId="19822" xr:uid="{00000000-0005-0000-0000-000088940000}"/>
    <cellStyle name="Nuovo 31 3 3 2" xfId="20832" xr:uid="{00000000-0005-0000-0000-000089940000}"/>
    <cellStyle name="Nuovo 31 3 4" xfId="20831" xr:uid="{00000000-0005-0000-0000-00008A940000}"/>
    <cellStyle name="Nuovo 31 3 5" xfId="19821" xr:uid="{00000000-0005-0000-0000-00008B940000}"/>
    <cellStyle name="Nuovo 31 4" xfId="1155" xr:uid="{00000000-0005-0000-0000-00008C940000}"/>
    <cellStyle name="Nuovo 31 4 2" xfId="19824" xr:uid="{00000000-0005-0000-0000-00008D940000}"/>
    <cellStyle name="Nuovo 31 4 2 2" xfId="20834" xr:uid="{00000000-0005-0000-0000-00008E940000}"/>
    <cellStyle name="Nuovo 31 4 3" xfId="20833" xr:uid="{00000000-0005-0000-0000-00008F940000}"/>
    <cellStyle name="Nuovo 31 4 4" xfId="19823" xr:uid="{00000000-0005-0000-0000-000090940000}"/>
    <cellStyle name="Nuovo 31 4 5" xfId="11759" xr:uid="{00000000-0005-0000-0000-000091940000}"/>
    <cellStyle name="Nuovo 31 5" xfId="1156" xr:uid="{00000000-0005-0000-0000-000092940000}"/>
    <cellStyle name="Nuovo 31 5 2" xfId="11760" xr:uid="{00000000-0005-0000-0000-000093940000}"/>
    <cellStyle name="Nuovo 31 6" xfId="1157" xr:uid="{00000000-0005-0000-0000-000094940000}"/>
    <cellStyle name="Nuovo 31 6 2" xfId="21806" xr:uid="{00000000-0005-0000-0000-000095940000}"/>
    <cellStyle name="Nuovo 32" xfId="1158" xr:uid="{00000000-0005-0000-0000-000096940000}"/>
    <cellStyle name="Nuovo 32 2" xfId="1159" xr:uid="{00000000-0005-0000-0000-000097940000}"/>
    <cellStyle name="Nuovo 32 2 2" xfId="3720" xr:uid="{00000000-0005-0000-0000-000098940000}"/>
    <cellStyle name="Nuovo 32 3" xfId="1160" xr:uid="{00000000-0005-0000-0000-000099940000}"/>
    <cellStyle name="Nuovo 32 3 2" xfId="1161" xr:uid="{00000000-0005-0000-0000-00009A940000}"/>
    <cellStyle name="Nuovo 32 3 3" xfId="19826" xr:uid="{00000000-0005-0000-0000-00009B940000}"/>
    <cellStyle name="Nuovo 32 3 3 2" xfId="20836" xr:uid="{00000000-0005-0000-0000-00009C940000}"/>
    <cellStyle name="Nuovo 32 3 4" xfId="20835" xr:uid="{00000000-0005-0000-0000-00009D940000}"/>
    <cellStyle name="Nuovo 32 3 5" xfId="19825" xr:uid="{00000000-0005-0000-0000-00009E940000}"/>
    <cellStyle name="Nuovo 32 4" xfId="1162" xr:uid="{00000000-0005-0000-0000-00009F940000}"/>
    <cellStyle name="Nuovo 32 4 2" xfId="19828" xr:uid="{00000000-0005-0000-0000-0000A0940000}"/>
    <cellStyle name="Nuovo 32 4 2 2" xfId="20838" xr:uid="{00000000-0005-0000-0000-0000A1940000}"/>
    <cellStyle name="Nuovo 32 4 3" xfId="20837" xr:uid="{00000000-0005-0000-0000-0000A2940000}"/>
    <cellStyle name="Nuovo 32 4 4" xfId="19827" xr:uid="{00000000-0005-0000-0000-0000A3940000}"/>
    <cellStyle name="Nuovo 32 4 5" xfId="11761" xr:uid="{00000000-0005-0000-0000-0000A4940000}"/>
    <cellStyle name="Nuovo 32 5" xfId="1163" xr:uid="{00000000-0005-0000-0000-0000A5940000}"/>
    <cellStyle name="Nuovo 32 5 2" xfId="11762" xr:uid="{00000000-0005-0000-0000-0000A6940000}"/>
    <cellStyle name="Nuovo 32 6" xfId="1164" xr:uid="{00000000-0005-0000-0000-0000A7940000}"/>
    <cellStyle name="Nuovo 32 6 2" xfId="21807" xr:uid="{00000000-0005-0000-0000-0000A8940000}"/>
    <cellStyle name="Nuovo 33" xfId="1165" xr:uid="{00000000-0005-0000-0000-0000A9940000}"/>
    <cellStyle name="Nuovo 33 2" xfId="1166" xr:uid="{00000000-0005-0000-0000-0000AA940000}"/>
    <cellStyle name="Nuovo 33 2 2" xfId="3721" xr:uid="{00000000-0005-0000-0000-0000AB940000}"/>
    <cellStyle name="Nuovo 33 3" xfId="1167" xr:uid="{00000000-0005-0000-0000-0000AC940000}"/>
    <cellStyle name="Nuovo 33 3 2" xfId="1168" xr:uid="{00000000-0005-0000-0000-0000AD940000}"/>
    <cellStyle name="Nuovo 33 3 3" xfId="19830" xr:uid="{00000000-0005-0000-0000-0000AE940000}"/>
    <cellStyle name="Nuovo 33 3 3 2" xfId="20840" xr:uid="{00000000-0005-0000-0000-0000AF940000}"/>
    <cellStyle name="Nuovo 33 3 4" xfId="20839" xr:uid="{00000000-0005-0000-0000-0000B0940000}"/>
    <cellStyle name="Nuovo 33 3 5" xfId="19829" xr:uid="{00000000-0005-0000-0000-0000B1940000}"/>
    <cellStyle name="Nuovo 33 4" xfId="1169" xr:uid="{00000000-0005-0000-0000-0000B2940000}"/>
    <cellStyle name="Nuovo 33 4 2" xfId="19832" xr:uid="{00000000-0005-0000-0000-0000B3940000}"/>
    <cellStyle name="Nuovo 33 4 2 2" xfId="20842" xr:uid="{00000000-0005-0000-0000-0000B4940000}"/>
    <cellStyle name="Nuovo 33 4 3" xfId="20841" xr:uid="{00000000-0005-0000-0000-0000B5940000}"/>
    <cellStyle name="Nuovo 33 4 4" xfId="19831" xr:uid="{00000000-0005-0000-0000-0000B6940000}"/>
    <cellStyle name="Nuovo 33 4 5" xfId="11763" xr:uid="{00000000-0005-0000-0000-0000B7940000}"/>
    <cellStyle name="Nuovo 33 5" xfId="1170" xr:uid="{00000000-0005-0000-0000-0000B8940000}"/>
    <cellStyle name="Nuovo 33 5 2" xfId="11764" xr:uid="{00000000-0005-0000-0000-0000B9940000}"/>
    <cellStyle name="Nuovo 33 6" xfId="1171" xr:uid="{00000000-0005-0000-0000-0000BA940000}"/>
    <cellStyle name="Nuovo 33 6 2" xfId="21808" xr:uid="{00000000-0005-0000-0000-0000BB940000}"/>
    <cellStyle name="Nuovo 34" xfId="1172" xr:uid="{00000000-0005-0000-0000-0000BC940000}"/>
    <cellStyle name="Nuovo 34 2" xfId="1173" xr:uid="{00000000-0005-0000-0000-0000BD940000}"/>
    <cellStyle name="Nuovo 34 2 2" xfId="3722" xr:uid="{00000000-0005-0000-0000-0000BE940000}"/>
    <cellStyle name="Nuovo 34 3" xfId="1174" xr:uid="{00000000-0005-0000-0000-0000BF940000}"/>
    <cellStyle name="Nuovo 34 3 2" xfId="1175" xr:uid="{00000000-0005-0000-0000-0000C0940000}"/>
    <cellStyle name="Nuovo 34 3 3" xfId="19834" xr:uid="{00000000-0005-0000-0000-0000C1940000}"/>
    <cellStyle name="Nuovo 34 3 3 2" xfId="20844" xr:uid="{00000000-0005-0000-0000-0000C2940000}"/>
    <cellStyle name="Nuovo 34 3 4" xfId="20843" xr:uid="{00000000-0005-0000-0000-0000C3940000}"/>
    <cellStyle name="Nuovo 34 3 5" xfId="19833" xr:uid="{00000000-0005-0000-0000-0000C4940000}"/>
    <cellStyle name="Nuovo 34 4" xfId="1176" xr:uid="{00000000-0005-0000-0000-0000C5940000}"/>
    <cellStyle name="Nuovo 34 4 2" xfId="19836" xr:uid="{00000000-0005-0000-0000-0000C6940000}"/>
    <cellStyle name="Nuovo 34 4 2 2" xfId="20846" xr:uid="{00000000-0005-0000-0000-0000C7940000}"/>
    <cellStyle name="Nuovo 34 4 3" xfId="20845" xr:uid="{00000000-0005-0000-0000-0000C8940000}"/>
    <cellStyle name="Nuovo 34 4 4" xfId="19835" xr:uid="{00000000-0005-0000-0000-0000C9940000}"/>
    <cellStyle name="Nuovo 34 4 5" xfId="11765" xr:uid="{00000000-0005-0000-0000-0000CA940000}"/>
    <cellStyle name="Nuovo 34 5" xfId="1177" xr:uid="{00000000-0005-0000-0000-0000CB940000}"/>
    <cellStyle name="Nuovo 34 5 2" xfId="11766" xr:uid="{00000000-0005-0000-0000-0000CC940000}"/>
    <cellStyle name="Nuovo 34 6" xfId="1178" xr:uid="{00000000-0005-0000-0000-0000CD940000}"/>
    <cellStyle name="Nuovo 34 6 2" xfId="21809" xr:uid="{00000000-0005-0000-0000-0000CE940000}"/>
    <cellStyle name="Nuovo 35" xfId="1179" xr:uid="{00000000-0005-0000-0000-0000CF940000}"/>
    <cellStyle name="Nuovo 35 2" xfId="1180" xr:uid="{00000000-0005-0000-0000-0000D0940000}"/>
    <cellStyle name="Nuovo 35 2 2" xfId="3723" xr:uid="{00000000-0005-0000-0000-0000D1940000}"/>
    <cellStyle name="Nuovo 35 3" xfId="1181" xr:uid="{00000000-0005-0000-0000-0000D2940000}"/>
    <cellStyle name="Nuovo 35 3 2" xfId="1182" xr:uid="{00000000-0005-0000-0000-0000D3940000}"/>
    <cellStyle name="Nuovo 35 3 3" xfId="19838" xr:uid="{00000000-0005-0000-0000-0000D4940000}"/>
    <cellStyle name="Nuovo 35 3 3 2" xfId="20848" xr:uid="{00000000-0005-0000-0000-0000D5940000}"/>
    <cellStyle name="Nuovo 35 3 4" xfId="20847" xr:uid="{00000000-0005-0000-0000-0000D6940000}"/>
    <cellStyle name="Nuovo 35 3 5" xfId="19837" xr:uid="{00000000-0005-0000-0000-0000D7940000}"/>
    <cellStyle name="Nuovo 35 4" xfId="1183" xr:uid="{00000000-0005-0000-0000-0000D8940000}"/>
    <cellStyle name="Nuovo 35 4 2" xfId="19840" xr:uid="{00000000-0005-0000-0000-0000D9940000}"/>
    <cellStyle name="Nuovo 35 4 2 2" xfId="20850" xr:uid="{00000000-0005-0000-0000-0000DA940000}"/>
    <cellStyle name="Nuovo 35 4 3" xfId="20849" xr:uid="{00000000-0005-0000-0000-0000DB940000}"/>
    <cellStyle name="Nuovo 35 4 4" xfId="19839" xr:uid="{00000000-0005-0000-0000-0000DC940000}"/>
    <cellStyle name="Nuovo 35 4 5" xfId="11767" xr:uid="{00000000-0005-0000-0000-0000DD940000}"/>
    <cellStyle name="Nuovo 35 5" xfId="1184" xr:uid="{00000000-0005-0000-0000-0000DE940000}"/>
    <cellStyle name="Nuovo 35 5 2" xfId="11768" xr:uid="{00000000-0005-0000-0000-0000DF940000}"/>
    <cellStyle name="Nuovo 35 6" xfId="1185" xr:uid="{00000000-0005-0000-0000-0000E0940000}"/>
    <cellStyle name="Nuovo 35 6 2" xfId="21810" xr:uid="{00000000-0005-0000-0000-0000E1940000}"/>
    <cellStyle name="Nuovo 36" xfId="1186" xr:uid="{00000000-0005-0000-0000-0000E2940000}"/>
    <cellStyle name="Nuovo 36 2" xfId="1187" xr:uid="{00000000-0005-0000-0000-0000E3940000}"/>
    <cellStyle name="Nuovo 36 2 2" xfId="3724" xr:uid="{00000000-0005-0000-0000-0000E4940000}"/>
    <cellStyle name="Nuovo 36 3" xfId="1188" xr:uid="{00000000-0005-0000-0000-0000E5940000}"/>
    <cellStyle name="Nuovo 36 3 2" xfId="1189" xr:uid="{00000000-0005-0000-0000-0000E6940000}"/>
    <cellStyle name="Nuovo 36 3 3" xfId="19842" xr:uid="{00000000-0005-0000-0000-0000E7940000}"/>
    <cellStyle name="Nuovo 36 3 3 2" xfId="20852" xr:uid="{00000000-0005-0000-0000-0000E8940000}"/>
    <cellStyle name="Nuovo 36 3 4" xfId="20851" xr:uid="{00000000-0005-0000-0000-0000E9940000}"/>
    <cellStyle name="Nuovo 36 3 5" xfId="19841" xr:uid="{00000000-0005-0000-0000-0000EA940000}"/>
    <cellStyle name="Nuovo 36 4" xfId="1190" xr:uid="{00000000-0005-0000-0000-0000EB940000}"/>
    <cellStyle name="Nuovo 36 4 2" xfId="19844" xr:uid="{00000000-0005-0000-0000-0000EC940000}"/>
    <cellStyle name="Nuovo 36 4 2 2" xfId="20854" xr:uid="{00000000-0005-0000-0000-0000ED940000}"/>
    <cellStyle name="Nuovo 36 4 3" xfId="20853" xr:uid="{00000000-0005-0000-0000-0000EE940000}"/>
    <cellStyle name="Nuovo 36 4 4" xfId="19843" xr:uid="{00000000-0005-0000-0000-0000EF940000}"/>
    <cellStyle name="Nuovo 36 4 5" xfId="11769" xr:uid="{00000000-0005-0000-0000-0000F0940000}"/>
    <cellStyle name="Nuovo 36 5" xfId="1191" xr:uid="{00000000-0005-0000-0000-0000F1940000}"/>
    <cellStyle name="Nuovo 36 5 2" xfId="11770" xr:uid="{00000000-0005-0000-0000-0000F2940000}"/>
    <cellStyle name="Nuovo 36 6" xfId="1192" xr:uid="{00000000-0005-0000-0000-0000F3940000}"/>
    <cellStyle name="Nuovo 36 6 2" xfId="21811" xr:uid="{00000000-0005-0000-0000-0000F4940000}"/>
    <cellStyle name="Nuovo 37" xfId="1193" xr:uid="{00000000-0005-0000-0000-0000F5940000}"/>
    <cellStyle name="Nuovo 37 2" xfId="1194" xr:uid="{00000000-0005-0000-0000-0000F6940000}"/>
    <cellStyle name="Nuovo 37 2 2" xfId="3725" xr:uid="{00000000-0005-0000-0000-0000F7940000}"/>
    <cellStyle name="Nuovo 37 3" xfId="1195" xr:uid="{00000000-0005-0000-0000-0000F8940000}"/>
    <cellStyle name="Nuovo 37 3 2" xfId="1196" xr:uid="{00000000-0005-0000-0000-0000F9940000}"/>
    <cellStyle name="Nuovo 37 3 3" xfId="19846" xr:uid="{00000000-0005-0000-0000-0000FA940000}"/>
    <cellStyle name="Nuovo 37 3 3 2" xfId="20856" xr:uid="{00000000-0005-0000-0000-0000FB940000}"/>
    <cellStyle name="Nuovo 37 3 4" xfId="20855" xr:uid="{00000000-0005-0000-0000-0000FC940000}"/>
    <cellStyle name="Nuovo 37 3 5" xfId="19845" xr:uid="{00000000-0005-0000-0000-0000FD940000}"/>
    <cellStyle name="Nuovo 37 4" xfId="1197" xr:uid="{00000000-0005-0000-0000-0000FE940000}"/>
    <cellStyle name="Nuovo 37 4 2" xfId="19848" xr:uid="{00000000-0005-0000-0000-0000FF940000}"/>
    <cellStyle name="Nuovo 37 4 2 2" xfId="20858" xr:uid="{00000000-0005-0000-0000-000000950000}"/>
    <cellStyle name="Nuovo 37 4 3" xfId="20857" xr:uid="{00000000-0005-0000-0000-000001950000}"/>
    <cellStyle name="Nuovo 37 4 4" xfId="19847" xr:uid="{00000000-0005-0000-0000-000002950000}"/>
    <cellStyle name="Nuovo 37 4 5" xfId="11771" xr:uid="{00000000-0005-0000-0000-000003950000}"/>
    <cellStyle name="Nuovo 37 5" xfId="1198" xr:uid="{00000000-0005-0000-0000-000004950000}"/>
    <cellStyle name="Nuovo 37 5 2" xfId="11772" xr:uid="{00000000-0005-0000-0000-000005950000}"/>
    <cellStyle name="Nuovo 37 6" xfId="1199" xr:uid="{00000000-0005-0000-0000-000006950000}"/>
    <cellStyle name="Nuovo 37 6 2" xfId="21812" xr:uid="{00000000-0005-0000-0000-000007950000}"/>
    <cellStyle name="Nuovo 38" xfId="1200" xr:uid="{00000000-0005-0000-0000-000008950000}"/>
    <cellStyle name="Nuovo 38 2" xfId="1201" xr:uid="{00000000-0005-0000-0000-000009950000}"/>
    <cellStyle name="Nuovo 38 2 2" xfId="3726" xr:uid="{00000000-0005-0000-0000-00000A950000}"/>
    <cellStyle name="Nuovo 38 3" xfId="1202" xr:uid="{00000000-0005-0000-0000-00000B950000}"/>
    <cellStyle name="Nuovo 38 3 2" xfId="1203" xr:uid="{00000000-0005-0000-0000-00000C950000}"/>
    <cellStyle name="Nuovo 38 3 3" xfId="19850" xr:uid="{00000000-0005-0000-0000-00000D950000}"/>
    <cellStyle name="Nuovo 38 3 3 2" xfId="20860" xr:uid="{00000000-0005-0000-0000-00000E950000}"/>
    <cellStyle name="Nuovo 38 3 4" xfId="20859" xr:uid="{00000000-0005-0000-0000-00000F950000}"/>
    <cellStyle name="Nuovo 38 3 5" xfId="19849" xr:uid="{00000000-0005-0000-0000-000010950000}"/>
    <cellStyle name="Nuovo 38 4" xfId="1204" xr:uid="{00000000-0005-0000-0000-000011950000}"/>
    <cellStyle name="Nuovo 38 4 2" xfId="19852" xr:uid="{00000000-0005-0000-0000-000012950000}"/>
    <cellStyle name="Nuovo 38 4 2 2" xfId="20862" xr:uid="{00000000-0005-0000-0000-000013950000}"/>
    <cellStyle name="Nuovo 38 4 3" xfId="20861" xr:uid="{00000000-0005-0000-0000-000014950000}"/>
    <cellStyle name="Nuovo 38 4 4" xfId="19851" xr:uid="{00000000-0005-0000-0000-000015950000}"/>
    <cellStyle name="Nuovo 38 4 5" xfId="11773" xr:uid="{00000000-0005-0000-0000-000016950000}"/>
    <cellStyle name="Nuovo 38 5" xfId="1205" xr:uid="{00000000-0005-0000-0000-000017950000}"/>
    <cellStyle name="Nuovo 38 5 2" xfId="11774" xr:uid="{00000000-0005-0000-0000-000018950000}"/>
    <cellStyle name="Nuovo 38 6" xfId="1206" xr:uid="{00000000-0005-0000-0000-000019950000}"/>
    <cellStyle name="Nuovo 38 6 2" xfId="21813" xr:uid="{00000000-0005-0000-0000-00001A950000}"/>
    <cellStyle name="Nuovo 39" xfId="1207" xr:uid="{00000000-0005-0000-0000-00001B950000}"/>
    <cellStyle name="Nuovo 39 2" xfId="1208" xr:uid="{00000000-0005-0000-0000-00001C950000}"/>
    <cellStyle name="Nuovo 39 2 2" xfId="3727" xr:uid="{00000000-0005-0000-0000-00001D950000}"/>
    <cellStyle name="Nuovo 39 3" xfId="1209" xr:uid="{00000000-0005-0000-0000-00001E950000}"/>
    <cellStyle name="Nuovo 39 3 2" xfId="1210" xr:uid="{00000000-0005-0000-0000-00001F950000}"/>
    <cellStyle name="Nuovo 39 3 3" xfId="19854" xr:uid="{00000000-0005-0000-0000-000020950000}"/>
    <cellStyle name="Nuovo 39 3 3 2" xfId="20864" xr:uid="{00000000-0005-0000-0000-000021950000}"/>
    <cellStyle name="Nuovo 39 3 4" xfId="20863" xr:uid="{00000000-0005-0000-0000-000022950000}"/>
    <cellStyle name="Nuovo 39 3 5" xfId="19853" xr:uid="{00000000-0005-0000-0000-000023950000}"/>
    <cellStyle name="Nuovo 39 4" xfId="1211" xr:uid="{00000000-0005-0000-0000-000024950000}"/>
    <cellStyle name="Nuovo 39 4 2" xfId="19856" xr:uid="{00000000-0005-0000-0000-000025950000}"/>
    <cellStyle name="Nuovo 39 4 2 2" xfId="20866" xr:uid="{00000000-0005-0000-0000-000026950000}"/>
    <cellStyle name="Nuovo 39 4 3" xfId="20865" xr:uid="{00000000-0005-0000-0000-000027950000}"/>
    <cellStyle name="Nuovo 39 4 4" xfId="19855" xr:uid="{00000000-0005-0000-0000-000028950000}"/>
    <cellStyle name="Nuovo 39 4 5" xfId="11775" xr:uid="{00000000-0005-0000-0000-000029950000}"/>
    <cellStyle name="Nuovo 39 5" xfId="1212" xr:uid="{00000000-0005-0000-0000-00002A950000}"/>
    <cellStyle name="Nuovo 39 5 2" xfId="11776" xr:uid="{00000000-0005-0000-0000-00002B950000}"/>
    <cellStyle name="Nuovo 39 6" xfId="1213" xr:uid="{00000000-0005-0000-0000-00002C950000}"/>
    <cellStyle name="Nuovo 39 6 2" xfId="21814" xr:uid="{00000000-0005-0000-0000-00002D950000}"/>
    <cellStyle name="Nuovo 4" xfId="1214" xr:uid="{00000000-0005-0000-0000-00002E950000}"/>
    <cellStyle name="Nuovo 4 2" xfId="1215" xr:uid="{00000000-0005-0000-0000-00002F950000}"/>
    <cellStyle name="Nuovo 4 2 2" xfId="3728" xr:uid="{00000000-0005-0000-0000-000030950000}"/>
    <cellStyle name="Nuovo 4 3" xfId="1216" xr:uid="{00000000-0005-0000-0000-000031950000}"/>
    <cellStyle name="Nuovo 4 3 2" xfId="1217" xr:uid="{00000000-0005-0000-0000-000032950000}"/>
    <cellStyle name="Nuovo 4 3 3" xfId="19858" xr:uid="{00000000-0005-0000-0000-000033950000}"/>
    <cellStyle name="Nuovo 4 3 3 2" xfId="20868" xr:uid="{00000000-0005-0000-0000-000034950000}"/>
    <cellStyle name="Nuovo 4 3 4" xfId="20867" xr:uid="{00000000-0005-0000-0000-000035950000}"/>
    <cellStyle name="Nuovo 4 3 5" xfId="19857" xr:uid="{00000000-0005-0000-0000-000036950000}"/>
    <cellStyle name="Nuovo 4 4" xfId="1218" xr:uid="{00000000-0005-0000-0000-000037950000}"/>
    <cellStyle name="Nuovo 4 4 2" xfId="19860" xr:uid="{00000000-0005-0000-0000-000038950000}"/>
    <cellStyle name="Nuovo 4 4 2 2" xfId="20870" xr:uid="{00000000-0005-0000-0000-000039950000}"/>
    <cellStyle name="Nuovo 4 4 3" xfId="20869" xr:uid="{00000000-0005-0000-0000-00003A950000}"/>
    <cellStyle name="Nuovo 4 4 4" xfId="19859" xr:uid="{00000000-0005-0000-0000-00003B950000}"/>
    <cellStyle name="Nuovo 4 4 5" xfId="11777" xr:uid="{00000000-0005-0000-0000-00003C950000}"/>
    <cellStyle name="Nuovo 4 5" xfId="1219" xr:uid="{00000000-0005-0000-0000-00003D950000}"/>
    <cellStyle name="Nuovo 4 5 2" xfId="11778" xr:uid="{00000000-0005-0000-0000-00003E950000}"/>
    <cellStyle name="Nuovo 4 6" xfId="1220" xr:uid="{00000000-0005-0000-0000-00003F950000}"/>
    <cellStyle name="Nuovo 4 6 2" xfId="21815" xr:uid="{00000000-0005-0000-0000-000040950000}"/>
    <cellStyle name="Nuovo 40" xfId="1221" xr:uid="{00000000-0005-0000-0000-000041950000}"/>
    <cellStyle name="Nuovo 40 2" xfId="1222" xr:uid="{00000000-0005-0000-0000-000042950000}"/>
    <cellStyle name="Nuovo 40 2 2" xfId="3729" xr:uid="{00000000-0005-0000-0000-000043950000}"/>
    <cellStyle name="Nuovo 40 3" xfId="1223" xr:uid="{00000000-0005-0000-0000-000044950000}"/>
    <cellStyle name="Nuovo 40 3 2" xfId="1224" xr:uid="{00000000-0005-0000-0000-000045950000}"/>
    <cellStyle name="Nuovo 40 3 3" xfId="19862" xr:uid="{00000000-0005-0000-0000-000046950000}"/>
    <cellStyle name="Nuovo 40 3 3 2" xfId="20872" xr:uid="{00000000-0005-0000-0000-000047950000}"/>
    <cellStyle name="Nuovo 40 3 4" xfId="20871" xr:uid="{00000000-0005-0000-0000-000048950000}"/>
    <cellStyle name="Nuovo 40 3 5" xfId="19861" xr:uid="{00000000-0005-0000-0000-000049950000}"/>
    <cellStyle name="Nuovo 40 4" xfId="1225" xr:uid="{00000000-0005-0000-0000-00004A950000}"/>
    <cellStyle name="Nuovo 40 4 2" xfId="19864" xr:uid="{00000000-0005-0000-0000-00004B950000}"/>
    <cellStyle name="Nuovo 40 4 2 2" xfId="20874" xr:uid="{00000000-0005-0000-0000-00004C950000}"/>
    <cellStyle name="Nuovo 40 4 3" xfId="20873" xr:uid="{00000000-0005-0000-0000-00004D950000}"/>
    <cellStyle name="Nuovo 40 4 4" xfId="19863" xr:uid="{00000000-0005-0000-0000-00004E950000}"/>
    <cellStyle name="Nuovo 40 4 5" xfId="11779" xr:uid="{00000000-0005-0000-0000-00004F950000}"/>
    <cellStyle name="Nuovo 40 5" xfId="1226" xr:uid="{00000000-0005-0000-0000-000050950000}"/>
    <cellStyle name="Nuovo 40 5 2" xfId="11780" xr:uid="{00000000-0005-0000-0000-000051950000}"/>
    <cellStyle name="Nuovo 40 6" xfId="1227" xr:uid="{00000000-0005-0000-0000-000052950000}"/>
    <cellStyle name="Nuovo 40 6 2" xfId="21816" xr:uid="{00000000-0005-0000-0000-000053950000}"/>
    <cellStyle name="Nuovo 41" xfId="1228" xr:uid="{00000000-0005-0000-0000-000054950000}"/>
    <cellStyle name="Nuovo 41 2" xfId="1229" xr:uid="{00000000-0005-0000-0000-000055950000}"/>
    <cellStyle name="Nuovo 41 2 2" xfId="3730" xr:uid="{00000000-0005-0000-0000-000056950000}"/>
    <cellStyle name="Nuovo 41 3" xfId="1230" xr:uid="{00000000-0005-0000-0000-000057950000}"/>
    <cellStyle name="Nuovo 41 3 2" xfId="1231" xr:uid="{00000000-0005-0000-0000-000058950000}"/>
    <cellStyle name="Nuovo 41 3 3" xfId="19866" xr:uid="{00000000-0005-0000-0000-000059950000}"/>
    <cellStyle name="Nuovo 41 3 3 2" xfId="20876" xr:uid="{00000000-0005-0000-0000-00005A950000}"/>
    <cellStyle name="Nuovo 41 3 4" xfId="20875" xr:uid="{00000000-0005-0000-0000-00005B950000}"/>
    <cellStyle name="Nuovo 41 3 5" xfId="19865" xr:uid="{00000000-0005-0000-0000-00005C950000}"/>
    <cellStyle name="Nuovo 41 4" xfId="1232" xr:uid="{00000000-0005-0000-0000-00005D950000}"/>
    <cellStyle name="Nuovo 41 4 2" xfId="19868" xr:uid="{00000000-0005-0000-0000-00005E950000}"/>
    <cellStyle name="Nuovo 41 4 2 2" xfId="20878" xr:uid="{00000000-0005-0000-0000-00005F950000}"/>
    <cellStyle name="Nuovo 41 4 3" xfId="20877" xr:uid="{00000000-0005-0000-0000-000060950000}"/>
    <cellStyle name="Nuovo 41 4 4" xfId="19867" xr:uid="{00000000-0005-0000-0000-000061950000}"/>
    <cellStyle name="Nuovo 41 4 5" xfId="11781" xr:uid="{00000000-0005-0000-0000-000062950000}"/>
    <cellStyle name="Nuovo 41 5" xfId="1233" xr:uid="{00000000-0005-0000-0000-000063950000}"/>
    <cellStyle name="Nuovo 41 5 2" xfId="11782" xr:uid="{00000000-0005-0000-0000-000064950000}"/>
    <cellStyle name="Nuovo 41 6" xfId="1234" xr:uid="{00000000-0005-0000-0000-000065950000}"/>
    <cellStyle name="Nuovo 41 6 2" xfId="21817" xr:uid="{00000000-0005-0000-0000-000066950000}"/>
    <cellStyle name="Nuovo 42" xfId="1235" xr:uid="{00000000-0005-0000-0000-000067950000}"/>
    <cellStyle name="Nuovo 42 2" xfId="1236" xr:uid="{00000000-0005-0000-0000-000068950000}"/>
    <cellStyle name="Nuovo 42 2 2" xfId="3731" xr:uid="{00000000-0005-0000-0000-000069950000}"/>
    <cellStyle name="Nuovo 42 3" xfId="1237" xr:uid="{00000000-0005-0000-0000-00006A950000}"/>
    <cellStyle name="Nuovo 42 3 2" xfId="1238" xr:uid="{00000000-0005-0000-0000-00006B950000}"/>
    <cellStyle name="Nuovo 42 3 3" xfId="19870" xr:uid="{00000000-0005-0000-0000-00006C950000}"/>
    <cellStyle name="Nuovo 42 3 3 2" xfId="20880" xr:uid="{00000000-0005-0000-0000-00006D950000}"/>
    <cellStyle name="Nuovo 42 3 4" xfId="20879" xr:uid="{00000000-0005-0000-0000-00006E950000}"/>
    <cellStyle name="Nuovo 42 3 5" xfId="19869" xr:uid="{00000000-0005-0000-0000-00006F950000}"/>
    <cellStyle name="Nuovo 42 4" xfId="1239" xr:uid="{00000000-0005-0000-0000-000070950000}"/>
    <cellStyle name="Nuovo 42 4 2" xfId="19872" xr:uid="{00000000-0005-0000-0000-000071950000}"/>
    <cellStyle name="Nuovo 42 4 2 2" xfId="20882" xr:uid="{00000000-0005-0000-0000-000072950000}"/>
    <cellStyle name="Nuovo 42 4 3" xfId="20881" xr:uid="{00000000-0005-0000-0000-000073950000}"/>
    <cellStyle name="Nuovo 42 4 4" xfId="19871" xr:uid="{00000000-0005-0000-0000-000074950000}"/>
    <cellStyle name="Nuovo 42 4 5" xfId="11783" xr:uid="{00000000-0005-0000-0000-000075950000}"/>
    <cellStyle name="Nuovo 42 5" xfId="1240" xr:uid="{00000000-0005-0000-0000-000076950000}"/>
    <cellStyle name="Nuovo 42 5 2" xfId="11784" xr:uid="{00000000-0005-0000-0000-000077950000}"/>
    <cellStyle name="Nuovo 42 6" xfId="1241" xr:uid="{00000000-0005-0000-0000-000078950000}"/>
    <cellStyle name="Nuovo 42 6 2" xfId="21818" xr:uid="{00000000-0005-0000-0000-000079950000}"/>
    <cellStyle name="Nuovo 43" xfId="1242" xr:uid="{00000000-0005-0000-0000-00007A950000}"/>
    <cellStyle name="Nuovo 43 2" xfId="1243" xr:uid="{00000000-0005-0000-0000-00007B950000}"/>
    <cellStyle name="Nuovo 43 2 2" xfId="3732" xr:uid="{00000000-0005-0000-0000-00007C950000}"/>
    <cellStyle name="Nuovo 43 3" xfId="1244" xr:uid="{00000000-0005-0000-0000-00007D950000}"/>
    <cellStyle name="Nuovo 43 3 2" xfId="1245" xr:uid="{00000000-0005-0000-0000-00007E950000}"/>
    <cellStyle name="Nuovo 43 3 3" xfId="19874" xr:uid="{00000000-0005-0000-0000-00007F950000}"/>
    <cellStyle name="Nuovo 43 3 3 2" xfId="20884" xr:uid="{00000000-0005-0000-0000-000080950000}"/>
    <cellStyle name="Nuovo 43 3 4" xfId="20883" xr:uid="{00000000-0005-0000-0000-000081950000}"/>
    <cellStyle name="Nuovo 43 3 5" xfId="19873" xr:uid="{00000000-0005-0000-0000-000082950000}"/>
    <cellStyle name="Nuovo 43 4" xfId="1246" xr:uid="{00000000-0005-0000-0000-000083950000}"/>
    <cellStyle name="Nuovo 43 4 2" xfId="19876" xr:uid="{00000000-0005-0000-0000-000084950000}"/>
    <cellStyle name="Nuovo 43 4 2 2" xfId="20886" xr:uid="{00000000-0005-0000-0000-000085950000}"/>
    <cellStyle name="Nuovo 43 4 3" xfId="20885" xr:uid="{00000000-0005-0000-0000-000086950000}"/>
    <cellStyle name="Nuovo 43 4 4" xfId="19875" xr:uid="{00000000-0005-0000-0000-000087950000}"/>
    <cellStyle name="Nuovo 43 4 5" xfId="11785" xr:uid="{00000000-0005-0000-0000-000088950000}"/>
    <cellStyle name="Nuovo 43 5" xfId="1247" xr:uid="{00000000-0005-0000-0000-000089950000}"/>
    <cellStyle name="Nuovo 43 5 2" xfId="11786" xr:uid="{00000000-0005-0000-0000-00008A950000}"/>
    <cellStyle name="Nuovo 43 6" xfId="1248" xr:uid="{00000000-0005-0000-0000-00008B950000}"/>
    <cellStyle name="Nuovo 43 6 2" xfId="21819" xr:uid="{00000000-0005-0000-0000-00008C950000}"/>
    <cellStyle name="Nuovo 44" xfId="1249" xr:uid="{00000000-0005-0000-0000-00008D950000}"/>
    <cellStyle name="Nuovo 44 2" xfId="1250" xr:uid="{00000000-0005-0000-0000-00008E950000}"/>
    <cellStyle name="Nuovo 44 2 2" xfId="3733" xr:uid="{00000000-0005-0000-0000-00008F950000}"/>
    <cellStyle name="Nuovo 44 3" xfId="1251" xr:uid="{00000000-0005-0000-0000-000090950000}"/>
    <cellStyle name="Nuovo 44 3 2" xfId="1252" xr:uid="{00000000-0005-0000-0000-000091950000}"/>
    <cellStyle name="Nuovo 44 3 3" xfId="19878" xr:uid="{00000000-0005-0000-0000-000092950000}"/>
    <cellStyle name="Nuovo 44 3 3 2" xfId="20888" xr:uid="{00000000-0005-0000-0000-000093950000}"/>
    <cellStyle name="Nuovo 44 3 4" xfId="20887" xr:uid="{00000000-0005-0000-0000-000094950000}"/>
    <cellStyle name="Nuovo 44 3 5" xfId="19877" xr:uid="{00000000-0005-0000-0000-000095950000}"/>
    <cellStyle name="Nuovo 44 4" xfId="1253" xr:uid="{00000000-0005-0000-0000-000096950000}"/>
    <cellStyle name="Nuovo 44 4 2" xfId="19880" xr:uid="{00000000-0005-0000-0000-000097950000}"/>
    <cellStyle name="Nuovo 44 4 2 2" xfId="20890" xr:uid="{00000000-0005-0000-0000-000098950000}"/>
    <cellStyle name="Nuovo 44 4 3" xfId="20889" xr:uid="{00000000-0005-0000-0000-000099950000}"/>
    <cellStyle name="Nuovo 44 4 4" xfId="19879" xr:uid="{00000000-0005-0000-0000-00009A950000}"/>
    <cellStyle name="Nuovo 44 4 5" xfId="11787" xr:uid="{00000000-0005-0000-0000-00009B950000}"/>
    <cellStyle name="Nuovo 44 5" xfId="1254" xr:uid="{00000000-0005-0000-0000-00009C950000}"/>
    <cellStyle name="Nuovo 44 5 2" xfId="11788" xr:uid="{00000000-0005-0000-0000-00009D950000}"/>
    <cellStyle name="Nuovo 44 6" xfId="1255" xr:uid="{00000000-0005-0000-0000-00009E950000}"/>
    <cellStyle name="Nuovo 44 6 2" xfId="21820" xr:uid="{00000000-0005-0000-0000-00009F950000}"/>
    <cellStyle name="Nuovo 45" xfId="1256" xr:uid="{00000000-0005-0000-0000-0000A0950000}"/>
    <cellStyle name="Nuovo 45 2" xfId="3734" xr:uid="{00000000-0005-0000-0000-0000A1950000}"/>
    <cellStyle name="Nuovo 46" xfId="1257" xr:uid="{00000000-0005-0000-0000-0000A2950000}"/>
    <cellStyle name="Nuovo 46 2" xfId="1258" xr:uid="{00000000-0005-0000-0000-0000A3950000}"/>
    <cellStyle name="Nuovo 46 3" xfId="19882" xr:uid="{00000000-0005-0000-0000-0000A4950000}"/>
    <cellStyle name="Nuovo 46 3 2" xfId="20892" xr:uid="{00000000-0005-0000-0000-0000A5950000}"/>
    <cellStyle name="Nuovo 46 4" xfId="20891" xr:uid="{00000000-0005-0000-0000-0000A6950000}"/>
    <cellStyle name="Nuovo 46 5" xfId="19881" xr:uid="{00000000-0005-0000-0000-0000A7950000}"/>
    <cellStyle name="Nuovo 47" xfId="1259" xr:uid="{00000000-0005-0000-0000-0000A8950000}"/>
    <cellStyle name="Nuovo 47 2" xfId="19884" xr:uid="{00000000-0005-0000-0000-0000A9950000}"/>
    <cellStyle name="Nuovo 47 2 2" xfId="20894" xr:uid="{00000000-0005-0000-0000-0000AA950000}"/>
    <cellStyle name="Nuovo 47 3" xfId="20893" xr:uid="{00000000-0005-0000-0000-0000AB950000}"/>
    <cellStyle name="Nuovo 47 4" xfId="19883" xr:uid="{00000000-0005-0000-0000-0000AC950000}"/>
    <cellStyle name="Nuovo 47 5" xfId="11789" xr:uid="{00000000-0005-0000-0000-0000AD950000}"/>
    <cellStyle name="Nuovo 48" xfId="1260" xr:uid="{00000000-0005-0000-0000-0000AE950000}"/>
    <cellStyle name="Nuovo 48 2" xfId="11790" xr:uid="{00000000-0005-0000-0000-0000AF950000}"/>
    <cellStyle name="Nuovo 49" xfId="1261" xr:uid="{00000000-0005-0000-0000-0000B0950000}"/>
    <cellStyle name="Nuovo 49 2" xfId="21821" xr:uid="{00000000-0005-0000-0000-0000B1950000}"/>
    <cellStyle name="Nuovo 5" xfId="1262" xr:uid="{00000000-0005-0000-0000-0000B2950000}"/>
    <cellStyle name="Nuovo 5 2" xfId="1263" xr:uid="{00000000-0005-0000-0000-0000B3950000}"/>
    <cellStyle name="Nuovo 5 2 2" xfId="3735" xr:uid="{00000000-0005-0000-0000-0000B4950000}"/>
    <cellStyle name="Nuovo 5 3" xfId="1264" xr:uid="{00000000-0005-0000-0000-0000B5950000}"/>
    <cellStyle name="Nuovo 5 3 2" xfId="1265" xr:uid="{00000000-0005-0000-0000-0000B6950000}"/>
    <cellStyle name="Nuovo 5 3 3" xfId="19886" xr:uid="{00000000-0005-0000-0000-0000B7950000}"/>
    <cellStyle name="Nuovo 5 3 3 2" xfId="20896" xr:uid="{00000000-0005-0000-0000-0000B8950000}"/>
    <cellStyle name="Nuovo 5 3 4" xfId="20895" xr:uid="{00000000-0005-0000-0000-0000B9950000}"/>
    <cellStyle name="Nuovo 5 3 5" xfId="19885" xr:uid="{00000000-0005-0000-0000-0000BA950000}"/>
    <cellStyle name="Nuovo 5 4" xfId="1266" xr:uid="{00000000-0005-0000-0000-0000BB950000}"/>
    <cellStyle name="Nuovo 5 4 2" xfId="19888" xr:uid="{00000000-0005-0000-0000-0000BC950000}"/>
    <cellStyle name="Nuovo 5 4 2 2" xfId="20898" xr:uid="{00000000-0005-0000-0000-0000BD950000}"/>
    <cellStyle name="Nuovo 5 4 3" xfId="20897" xr:uid="{00000000-0005-0000-0000-0000BE950000}"/>
    <cellStyle name="Nuovo 5 4 4" xfId="19887" xr:uid="{00000000-0005-0000-0000-0000BF950000}"/>
    <cellStyle name="Nuovo 5 4 5" xfId="11791" xr:uid="{00000000-0005-0000-0000-0000C0950000}"/>
    <cellStyle name="Nuovo 5 5" xfId="1267" xr:uid="{00000000-0005-0000-0000-0000C1950000}"/>
    <cellStyle name="Nuovo 5 5 2" xfId="11792" xr:uid="{00000000-0005-0000-0000-0000C2950000}"/>
    <cellStyle name="Nuovo 5 6" xfId="1268" xr:uid="{00000000-0005-0000-0000-0000C3950000}"/>
    <cellStyle name="Nuovo 5 6 2" xfId="21822" xr:uid="{00000000-0005-0000-0000-0000C4950000}"/>
    <cellStyle name="Nuovo 6" xfId="1269" xr:uid="{00000000-0005-0000-0000-0000C5950000}"/>
    <cellStyle name="Nuovo 6 2" xfId="1270" xr:uid="{00000000-0005-0000-0000-0000C6950000}"/>
    <cellStyle name="Nuovo 6 2 2" xfId="3736" xr:uid="{00000000-0005-0000-0000-0000C7950000}"/>
    <cellStyle name="Nuovo 6 3" xfId="1271" xr:uid="{00000000-0005-0000-0000-0000C8950000}"/>
    <cellStyle name="Nuovo 6 3 2" xfId="1272" xr:uid="{00000000-0005-0000-0000-0000C9950000}"/>
    <cellStyle name="Nuovo 6 3 3" xfId="19890" xr:uid="{00000000-0005-0000-0000-0000CA950000}"/>
    <cellStyle name="Nuovo 6 3 3 2" xfId="20900" xr:uid="{00000000-0005-0000-0000-0000CB950000}"/>
    <cellStyle name="Nuovo 6 3 4" xfId="20899" xr:uid="{00000000-0005-0000-0000-0000CC950000}"/>
    <cellStyle name="Nuovo 6 3 5" xfId="19889" xr:uid="{00000000-0005-0000-0000-0000CD950000}"/>
    <cellStyle name="Nuovo 6 4" xfId="1273" xr:uid="{00000000-0005-0000-0000-0000CE950000}"/>
    <cellStyle name="Nuovo 6 4 2" xfId="19892" xr:uid="{00000000-0005-0000-0000-0000CF950000}"/>
    <cellStyle name="Nuovo 6 4 2 2" xfId="20902" xr:uid="{00000000-0005-0000-0000-0000D0950000}"/>
    <cellStyle name="Nuovo 6 4 3" xfId="20901" xr:uid="{00000000-0005-0000-0000-0000D1950000}"/>
    <cellStyle name="Nuovo 6 4 4" xfId="19891" xr:uid="{00000000-0005-0000-0000-0000D2950000}"/>
    <cellStyle name="Nuovo 6 4 5" xfId="11793" xr:uid="{00000000-0005-0000-0000-0000D3950000}"/>
    <cellStyle name="Nuovo 6 5" xfId="1274" xr:uid="{00000000-0005-0000-0000-0000D4950000}"/>
    <cellStyle name="Nuovo 6 5 2" xfId="11794" xr:uid="{00000000-0005-0000-0000-0000D5950000}"/>
    <cellStyle name="Nuovo 6 6" xfId="1275" xr:uid="{00000000-0005-0000-0000-0000D6950000}"/>
    <cellStyle name="Nuovo 6 6 2" xfId="21823" xr:uid="{00000000-0005-0000-0000-0000D7950000}"/>
    <cellStyle name="Nuovo 7" xfId="1276" xr:uid="{00000000-0005-0000-0000-0000D8950000}"/>
    <cellStyle name="Nuovo 7 2" xfId="1277" xr:uid="{00000000-0005-0000-0000-0000D9950000}"/>
    <cellStyle name="Nuovo 7 2 2" xfId="3737" xr:uid="{00000000-0005-0000-0000-0000DA950000}"/>
    <cellStyle name="Nuovo 7 3" xfId="1278" xr:uid="{00000000-0005-0000-0000-0000DB950000}"/>
    <cellStyle name="Nuovo 7 3 2" xfId="1279" xr:uid="{00000000-0005-0000-0000-0000DC950000}"/>
    <cellStyle name="Nuovo 7 3 3" xfId="19894" xr:uid="{00000000-0005-0000-0000-0000DD950000}"/>
    <cellStyle name="Nuovo 7 3 3 2" xfId="20904" xr:uid="{00000000-0005-0000-0000-0000DE950000}"/>
    <cellStyle name="Nuovo 7 3 4" xfId="20903" xr:uid="{00000000-0005-0000-0000-0000DF950000}"/>
    <cellStyle name="Nuovo 7 3 5" xfId="19893" xr:uid="{00000000-0005-0000-0000-0000E0950000}"/>
    <cellStyle name="Nuovo 7 4" xfId="1280" xr:uid="{00000000-0005-0000-0000-0000E1950000}"/>
    <cellStyle name="Nuovo 7 4 2" xfId="19896" xr:uid="{00000000-0005-0000-0000-0000E2950000}"/>
    <cellStyle name="Nuovo 7 4 2 2" xfId="20906" xr:uid="{00000000-0005-0000-0000-0000E3950000}"/>
    <cellStyle name="Nuovo 7 4 3" xfId="20905" xr:uid="{00000000-0005-0000-0000-0000E4950000}"/>
    <cellStyle name="Nuovo 7 4 4" xfId="19895" xr:uid="{00000000-0005-0000-0000-0000E5950000}"/>
    <cellStyle name="Nuovo 7 4 5" xfId="11795" xr:uid="{00000000-0005-0000-0000-0000E6950000}"/>
    <cellStyle name="Nuovo 7 5" xfId="1281" xr:uid="{00000000-0005-0000-0000-0000E7950000}"/>
    <cellStyle name="Nuovo 7 5 2" xfId="11796" xr:uid="{00000000-0005-0000-0000-0000E8950000}"/>
    <cellStyle name="Nuovo 7 6" xfId="1282" xr:uid="{00000000-0005-0000-0000-0000E9950000}"/>
    <cellStyle name="Nuovo 7 6 2" xfId="21824" xr:uid="{00000000-0005-0000-0000-0000EA950000}"/>
    <cellStyle name="Nuovo 8" xfId="1283" xr:uid="{00000000-0005-0000-0000-0000EB950000}"/>
    <cellStyle name="Nuovo 8 2" xfId="1284" xr:uid="{00000000-0005-0000-0000-0000EC950000}"/>
    <cellStyle name="Nuovo 8 2 2" xfId="3738" xr:uid="{00000000-0005-0000-0000-0000ED950000}"/>
    <cellStyle name="Nuovo 8 3" xfId="1285" xr:uid="{00000000-0005-0000-0000-0000EE950000}"/>
    <cellStyle name="Nuovo 8 3 2" xfId="1286" xr:uid="{00000000-0005-0000-0000-0000EF950000}"/>
    <cellStyle name="Nuovo 8 3 3" xfId="19898" xr:uid="{00000000-0005-0000-0000-0000F0950000}"/>
    <cellStyle name="Nuovo 8 3 3 2" xfId="20908" xr:uid="{00000000-0005-0000-0000-0000F1950000}"/>
    <cellStyle name="Nuovo 8 3 4" xfId="20907" xr:uid="{00000000-0005-0000-0000-0000F2950000}"/>
    <cellStyle name="Nuovo 8 3 5" xfId="19897" xr:uid="{00000000-0005-0000-0000-0000F3950000}"/>
    <cellStyle name="Nuovo 8 4" xfId="1287" xr:uid="{00000000-0005-0000-0000-0000F4950000}"/>
    <cellStyle name="Nuovo 8 4 2" xfId="19900" xr:uid="{00000000-0005-0000-0000-0000F5950000}"/>
    <cellStyle name="Nuovo 8 4 2 2" xfId="20910" xr:uid="{00000000-0005-0000-0000-0000F6950000}"/>
    <cellStyle name="Nuovo 8 4 3" xfId="20909" xr:uid="{00000000-0005-0000-0000-0000F7950000}"/>
    <cellStyle name="Nuovo 8 4 4" xfId="19899" xr:uid="{00000000-0005-0000-0000-0000F8950000}"/>
    <cellStyle name="Nuovo 8 4 5" xfId="11797" xr:uid="{00000000-0005-0000-0000-0000F9950000}"/>
    <cellStyle name="Nuovo 8 5" xfId="1288" xr:uid="{00000000-0005-0000-0000-0000FA950000}"/>
    <cellStyle name="Nuovo 8 5 2" xfId="11798" xr:uid="{00000000-0005-0000-0000-0000FB950000}"/>
    <cellStyle name="Nuovo 8 6" xfId="1289" xr:uid="{00000000-0005-0000-0000-0000FC950000}"/>
    <cellStyle name="Nuovo 8 6 2" xfId="21825" xr:uid="{00000000-0005-0000-0000-0000FD950000}"/>
    <cellStyle name="Nuovo 9" xfId="1290" xr:uid="{00000000-0005-0000-0000-0000FE950000}"/>
    <cellStyle name="Nuovo 9 2" xfId="1291" xr:uid="{00000000-0005-0000-0000-0000FF950000}"/>
    <cellStyle name="Nuovo 9 2 2" xfId="3739" xr:uid="{00000000-0005-0000-0000-000000960000}"/>
    <cellStyle name="Nuovo 9 3" xfId="1292" xr:uid="{00000000-0005-0000-0000-000001960000}"/>
    <cellStyle name="Nuovo 9 3 2" xfId="1293" xr:uid="{00000000-0005-0000-0000-000002960000}"/>
    <cellStyle name="Nuovo 9 3 3" xfId="19902" xr:uid="{00000000-0005-0000-0000-000003960000}"/>
    <cellStyle name="Nuovo 9 3 3 2" xfId="20912" xr:uid="{00000000-0005-0000-0000-000004960000}"/>
    <cellStyle name="Nuovo 9 3 4" xfId="20911" xr:uid="{00000000-0005-0000-0000-000005960000}"/>
    <cellStyle name="Nuovo 9 3 5" xfId="19901" xr:uid="{00000000-0005-0000-0000-000006960000}"/>
    <cellStyle name="Nuovo 9 4" xfId="1294" xr:uid="{00000000-0005-0000-0000-000007960000}"/>
    <cellStyle name="Nuovo 9 4 2" xfId="19904" xr:uid="{00000000-0005-0000-0000-000008960000}"/>
    <cellStyle name="Nuovo 9 4 2 2" xfId="20914" xr:uid="{00000000-0005-0000-0000-000009960000}"/>
    <cellStyle name="Nuovo 9 4 3" xfId="20913" xr:uid="{00000000-0005-0000-0000-00000A960000}"/>
    <cellStyle name="Nuovo 9 4 4" xfId="19903" xr:uid="{00000000-0005-0000-0000-00000B960000}"/>
    <cellStyle name="Nuovo 9 4 5" xfId="11799" xr:uid="{00000000-0005-0000-0000-00000C960000}"/>
    <cellStyle name="Nuovo 9 5" xfId="1295" xr:uid="{00000000-0005-0000-0000-00000D960000}"/>
    <cellStyle name="Nuovo 9 5 2" xfId="11800" xr:uid="{00000000-0005-0000-0000-00000E960000}"/>
    <cellStyle name="Nuovo 9 6" xfId="1296" xr:uid="{00000000-0005-0000-0000-00000F960000}"/>
    <cellStyle name="Nuovo 9 6 2" xfId="21826" xr:uid="{00000000-0005-0000-0000-000010960000}"/>
    <cellStyle name="Output 2" xfId="1297" xr:uid="{00000000-0005-0000-0000-000011960000}"/>
    <cellStyle name="Output 2 2" xfId="2855" xr:uid="{00000000-0005-0000-0000-000012960000}"/>
    <cellStyle name="Output 2 2 2" xfId="7468" xr:uid="{00000000-0005-0000-0000-000013960000}"/>
    <cellStyle name="Output 2 2 3" xfId="22892" xr:uid="{00000000-0005-0000-0000-000014960000}"/>
    <cellStyle name="Output 2 3" xfId="12277" xr:uid="{00000000-0005-0000-0000-000015960000}"/>
    <cellStyle name="Output 2 4" xfId="11935" xr:uid="{00000000-0005-0000-0000-000016960000}"/>
    <cellStyle name="Output 2 5" xfId="19906" xr:uid="{00000000-0005-0000-0000-000017960000}"/>
    <cellStyle name="Output 3" xfId="3462" xr:uid="{00000000-0005-0000-0000-000018960000}"/>
    <cellStyle name="Output 3 2" xfId="7469" xr:uid="{00000000-0005-0000-0000-000019960000}"/>
    <cellStyle name="Output 4" xfId="7470" xr:uid="{00000000-0005-0000-0000-00001A960000}"/>
    <cellStyle name="Output 5" xfId="7471" xr:uid="{00000000-0005-0000-0000-00001B960000}"/>
    <cellStyle name="Output 5 2" xfId="10657" xr:uid="{00000000-0005-0000-0000-00001C960000}"/>
    <cellStyle name="Output 6" xfId="7607" xr:uid="{00000000-0005-0000-0000-00001D960000}"/>
    <cellStyle name="Output 7" xfId="7467" xr:uid="{00000000-0005-0000-0000-00001E960000}"/>
    <cellStyle name="Output 8" xfId="12276" xr:uid="{00000000-0005-0000-0000-00001F960000}"/>
    <cellStyle name="Output 9" xfId="19905" xr:uid="{00000000-0005-0000-0000-000020960000}"/>
    <cellStyle name="Overskrift 1 2" xfId="1766" xr:uid="{00000000-0005-0000-0000-000021960000}"/>
    <cellStyle name="Overskrift 1 2 2" xfId="19907" xr:uid="{00000000-0005-0000-0000-000022960000}"/>
    <cellStyle name="Overskrift 1 2 3" xfId="7473" xr:uid="{00000000-0005-0000-0000-000023960000}"/>
    <cellStyle name="Overskrift 1 3" xfId="7474" xr:uid="{00000000-0005-0000-0000-000024960000}"/>
    <cellStyle name="Overskrift 1 4" xfId="7475" xr:uid="{00000000-0005-0000-0000-000025960000}"/>
    <cellStyle name="Overskrift 1 5" xfId="7476" xr:uid="{00000000-0005-0000-0000-000026960000}"/>
    <cellStyle name="Overskrift 1 5 2" xfId="10477" xr:uid="{00000000-0005-0000-0000-000027960000}"/>
    <cellStyle name="Overskrift 1 6" xfId="7599" xr:uid="{00000000-0005-0000-0000-000028960000}"/>
    <cellStyle name="Overskrift 1 7" xfId="7472" xr:uid="{00000000-0005-0000-0000-000029960000}"/>
    <cellStyle name="Overskrift 2 2" xfId="2856" xr:uid="{00000000-0005-0000-0000-00002A960000}"/>
    <cellStyle name="Overskrift 2 2 2" xfId="19908" xr:uid="{00000000-0005-0000-0000-00002B960000}"/>
    <cellStyle name="Overskrift 2 2 3" xfId="7478" xr:uid="{00000000-0005-0000-0000-00002C960000}"/>
    <cellStyle name="Overskrift 2 3" xfId="7479" xr:uid="{00000000-0005-0000-0000-00002D960000}"/>
    <cellStyle name="Overskrift 2 4" xfId="7480" xr:uid="{00000000-0005-0000-0000-00002E960000}"/>
    <cellStyle name="Overskrift 2 5" xfId="7481" xr:uid="{00000000-0005-0000-0000-00002F960000}"/>
    <cellStyle name="Overskrift 2 5 2" xfId="8953" xr:uid="{00000000-0005-0000-0000-000030960000}"/>
    <cellStyle name="Overskrift 2 6" xfId="7600" xr:uid="{00000000-0005-0000-0000-000031960000}"/>
    <cellStyle name="Overskrift 2 7" xfId="7477" xr:uid="{00000000-0005-0000-0000-000032960000}"/>
    <cellStyle name="Overskrift 3 2" xfId="2857" xr:uid="{00000000-0005-0000-0000-000033960000}"/>
    <cellStyle name="Overskrift 3 2 2" xfId="19909" xr:uid="{00000000-0005-0000-0000-000034960000}"/>
    <cellStyle name="Overskrift 3 2 3" xfId="7483" xr:uid="{00000000-0005-0000-0000-000035960000}"/>
    <cellStyle name="Overskrift 3 3" xfId="7484" xr:uid="{00000000-0005-0000-0000-000036960000}"/>
    <cellStyle name="Overskrift 3 4" xfId="7485" xr:uid="{00000000-0005-0000-0000-000037960000}"/>
    <cellStyle name="Overskrift 3 5" xfId="7486" xr:uid="{00000000-0005-0000-0000-000038960000}"/>
    <cellStyle name="Overskrift 3 5 2" xfId="8968" xr:uid="{00000000-0005-0000-0000-000039960000}"/>
    <cellStyle name="Overskrift 3 6" xfId="7601" xr:uid="{00000000-0005-0000-0000-00003A960000}"/>
    <cellStyle name="Overskrift 3 7" xfId="7482" xr:uid="{00000000-0005-0000-0000-00003B960000}"/>
    <cellStyle name="Overskrift 4 2" xfId="2858" xr:uid="{00000000-0005-0000-0000-00003C960000}"/>
    <cellStyle name="Overskrift 4 2 2" xfId="19910" xr:uid="{00000000-0005-0000-0000-00003D960000}"/>
    <cellStyle name="Overskrift 4 2 3" xfId="7488" xr:uid="{00000000-0005-0000-0000-00003E960000}"/>
    <cellStyle name="Overskrift 4 3" xfId="7489" xr:uid="{00000000-0005-0000-0000-00003F960000}"/>
    <cellStyle name="Overskrift 4 4" xfId="7490" xr:uid="{00000000-0005-0000-0000-000040960000}"/>
    <cellStyle name="Overskrift 4 5" xfId="7491" xr:uid="{00000000-0005-0000-0000-000041960000}"/>
    <cellStyle name="Overskrift 4 5 2" xfId="10757" xr:uid="{00000000-0005-0000-0000-000042960000}"/>
    <cellStyle name="Overskrift 4 6" xfId="7602" xr:uid="{00000000-0005-0000-0000-000043960000}"/>
    <cellStyle name="Overskrift 4 7" xfId="7487" xr:uid="{00000000-0005-0000-0000-000044960000}"/>
    <cellStyle name="Pattern" xfId="1298" xr:uid="{00000000-0005-0000-0000-000045960000}"/>
    <cellStyle name="Pattern 2" xfId="12278" xr:uid="{00000000-0005-0000-0000-000046960000}"/>
    <cellStyle name="Percen - Type1" xfId="1299" xr:uid="{00000000-0005-0000-0000-000047960000}"/>
    <cellStyle name="Percen - Typografi2" xfId="7492" xr:uid="{00000000-0005-0000-0000-000048960000}"/>
    <cellStyle name="Percent 2" xfId="1300" xr:uid="{00000000-0005-0000-0000-000049960000}"/>
    <cellStyle name="Percent 2 2" xfId="2859" xr:uid="{00000000-0005-0000-0000-00004A960000}"/>
    <cellStyle name="Percent 2 2 2" xfId="3740" xr:uid="{00000000-0005-0000-0000-00004B960000}"/>
    <cellStyle name="Percent 3" xfId="1301" xr:uid="{00000000-0005-0000-0000-00004C960000}"/>
    <cellStyle name="Percent 3 2" xfId="1302" xr:uid="{00000000-0005-0000-0000-00004D960000}"/>
    <cellStyle name="Percent 3 3" xfId="1303" xr:uid="{00000000-0005-0000-0000-00004E960000}"/>
    <cellStyle name="Percent 3 3 2" xfId="1304" xr:uid="{00000000-0005-0000-0000-00004F960000}"/>
    <cellStyle name="Percent 3 3 3" xfId="19912" xr:uid="{00000000-0005-0000-0000-000050960000}"/>
    <cellStyle name="Percent 3 3 3 2" xfId="20916" xr:uid="{00000000-0005-0000-0000-000051960000}"/>
    <cellStyle name="Percent 3 3 4" xfId="20915" xr:uid="{00000000-0005-0000-0000-000052960000}"/>
    <cellStyle name="Percent 3 3 5" xfId="19911" xr:uid="{00000000-0005-0000-0000-000053960000}"/>
    <cellStyle name="Percent 3 4" xfId="1305" xr:uid="{00000000-0005-0000-0000-000054960000}"/>
    <cellStyle name="Percent 3 4 2" xfId="11803" xr:uid="{00000000-0005-0000-0000-000055960000}"/>
    <cellStyle name="Percent 3 5" xfId="11802" xr:uid="{00000000-0005-0000-0000-000056960000}"/>
    <cellStyle name="Percent 3 5 2" xfId="20917" xr:uid="{00000000-0005-0000-0000-000057960000}"/>
    <cellStyle name="Percent 4" xfId="1306" xr:uid="{00000000-0005-0000-0000-000058960000}"/>
    <cellStyle name="Percent 4 2" xfId="1307" xr:uid="{00000000-0005-0000-0000-000059960000}"/>
    <cellStyle name="Percent 4 2 2" xfId="11189" xr:uid="{00000000-0005-0000-0000-00005A960000}"/>
    <cellStyle name="Percent 4 2 2 2" xfId="18963" xr:uid="{00000000-0005-0000-0000-00005B960000}"/>
    <cellStyle name="Percent 4 2 2 2 2" xfId="37122" xr:uid="{00000000-0005-0000-0000-00005C960000}"/>
    <cellStyle name="Percent 4 2 2 3" xfId="20919" xr:uid="{00000000-0005-0000-0000-00005D960000}"/>
    <cellStyle name="Percent 4 2 2 4" xfId="30121" xr:uid="{00000000-0005-0000-0000-00005E960000}"/>
    <cellStyle name="Percent 4 2 3" xfId="12367" xr:uid="{00000000-0005-0000-0000-00005F960000}"/>
    <cellStyle name="Percent 4 2 3 2" xfId="30535" xr:uid="{00000000-0005-0000-0000-000060960000}"/>
    <cellStyle name="Percent 4 2 4" xfId="19913" xr:uid="{00000000-0005-0000-0000-000061960000}"/>
    <cellStyle name="Percent 4 2 5" xfId="3741" xr:uid="{00000000-0005-0000-0000-000062960000}"/>
    <cellStyle name="Percent 4 2 5 2" xfId="23533" xr:uid="{00000000-0005-0000-0000-000063960000}"/>
    <cellStyle name="Percent 4 2 6" xfId="21827" xr:uid="{00000000-0005-0000-0000-000064960000}"/>
    <cellStyle name="Percent 4 2 7" xfId="39449" xr:uid="{00000000-0005-0000-0000-000065960000}"/>
    <cellStyle name="Percent 4 2 8" xfId="39936" xr:uid="{00000000-0005-0000-0000-000066960000}"/>
    <cellStyle name="Percent 4 2 9" xfId="40422" xr:uid="{00000000-0005-0000-0000-000067960000}"/>
    <cellStyle name="Percent 4 3" xfId="11157" xr:uid="{00000000-0005-0000-0000-000068960000}"/>
    <cellStyle name="Percent 4 3 2" xfId="18932" xr:uid="{00000000-0005-0000-0000-000069960000}"/>
    <cellStyle name="Percent 4 3 2 2" xfId="37091" xr:uid="{00000000-0005-0000-0000-00006A960000}"/>
    <cellStyle name="Percent 4 3 3" xfId="20918" xr:uid="{00000000-0005-0000-0000-00006B960000}"/>
    <cellStyle name="Percent 4 3 4" xfId="30090" xr:uid="{00000000-0005-0000-0000-00006C960000}"/>
    <cellStyle name="Percent 4 4" xfId="11804" xr:uid="{00000000-0005-0000-0000-00006D960000}"/>
    <cellStyle name="Percent 4 5" xfId="12279" xr:uid="{00000000-0005-0000-0000-00006E960000}"/>
    <cellStyle name="Percent 4 5 2" xfId="30454" xr:uid="{00000000-0005-0000-0000-00006F960000}"/>
    <cellStyle name="Percent 4 6" xfId="3452" xr:uid="{00000000-0005-0000-0000-000070960000}"/>
    <cellStyle name="Percent 4 6 2" xfId="23452" xr:uid="{00000000-0005-0000-0000-000071960000}"/>
    <cellStyle name="Percent 4 7" xfId="39356" xr:uid="{00000000-0005-0000-0000-000072960000}"/>
    <cellStyle name="Percent 5" xfId="1308" xr:uid="{00000000-0005-0000-0000-000073960000}"/>
    <cellStyle name="Percent 5 2" xfId="1309" xr:uid="{00000000-0005-0000-0000-000074960000}"/>
    <cellStyle name="Percent 5 2 2" xfId="11805" xr:uid="{00000000-0005-0000-0000-000075960000}"/>
    <cellStyle name="Percent 5 3" xfId="12280" xr:uid="{00000000-0005-0000-0000-000076960000}"/>
    <cellStyle name="Percent 6" xfId="1310" xr:uid="{00000000-0005-0000-0000-000077960000}"/>
    <cellStyle name="Percent 6 2" xfId="18918" xr:uid="{00000000-0005-0000-0000-000078960000}"/>
    <cellStyle name="Percent 6 2 2" xfId="37078" xr:uid="{00000000-0005-0000-0000-000079960000}"/>
    <cellStyle name="Percent 6 3" xfId="11069" xr:uid="{00000000-0005-0000-0000-00007A960000}"/>
    <cellStyle name="Percent 6 3 2" xfId="30077" xr:uid="{00000000-0005-0000-0000-00007B960000}"/>
    <cellStyle name="Percent 6 4" xfId="21828" xr:uid="{00000000-0005-0000-0000-00007C960000}"/>
    <cellStyle name="Percent 7" xfId="11801" xr:uid="{00000000-0005-0000-0000-00007D960000}"/>
    <cellStyle name="Percent 7 2" xfId="18971" xr:uid="{00000000-0005-0000-0000-00007E960000}"/>
    <cellStyle name="Percent 7 2 2" xfId="37127" xr:uid="{00000000-0005-0000-0000-00007F960000}"/>
    <cellStyle name="Percent 7 3" xfId="30128" xr:uid="{00000000-0005-0000-0000-000080960000}"/>
    <cellStyle name="Percent 8" xfId="11941" xr:uid="{00000000-0005-0000-0000-000081960000}"/>
    <cellStyle name="Percent 8 2" xfId="30133" xr:uid="{00000000-0005-0000-0000-000082960000}"/>
    <cellStyle name="Percentuale 10" xfId="1311" xr:uid="{00000000-0005-0000-0000-000083960000}"/>
    <cellStyle name="Percentuale 10 2" xfId="1312" xr:uid="{00000000-0005-0000-0000-000084960000}"/>
    <cellStyle name="Percentuale 10 2 2" xfId="3742" xr:uid="{00000000-0005-0000-0000-000085960000}"/>
    <cellStyle name="Percentuale 10 3" xfId="1313" xr:uid="{00000000-0005-0000-0000-000086960000}"/>
    <cellStyle name="Percentuale 10 3 2" xfId="1314" xr:uid="{00000000-0005-0000-0000-000087960000}"/>
    <cellStyle name="Percentuale 10 3 3" xfId="19915" xr:uid="{00000000-0005-0000-0000-000088960000}"/>
    <cellStyle name="Percentuale 10 3 3 2" xfId="20921" xr:uid="{00000000-0005-0000-0000-000089960000}"/>
    <cellStyle name="Percentuale 10 3 4" xfId="20920" xr:uid="{00000000-0005-0000-0000-00008A960000}"/>
    <cellStyle name="Percentuale 10 3 5" xfId="19914" xr:uid="{00000000-0005-0000-0000-00008B960000}"/>
    <cellStyle name="Percentuale 10 4" xfId="1315" xr:uid="{00000000-0005-0000-0000-00008C960000}"/>
    <cellStyle name="Percentuale 10 4 2" xfId="19917" xr:uid="{00000000-0005-0000-0000-00008D960000}"/>
    <cellStyle name="Percentuale 10 4 2 2" xfId="20923" xr:uid="{00000000-0005-0000-0000-00008E960000}"/>
    <cellStyle name="Percentuale 10 4 3" xfId="20922" xr:uid="{00000000-0005-0000-0000-00008F960000}"/>
    <cellStyle name="Percentuale 10 4 4" xfId="19916" xr:uid="{00000000-0005-0000-0000-000090960000}"/>
    <cellStyle name="Percentuale 10 4 5" xfId="11806" xr:uid="{00000000-0005-0000-0000-000091960000}"/>
    <cellStyle name="Percentuale 10 5" xfId="1316" xr:uid="{00000000-0005-0000-0000-000092960000}"/>
    <cellStyle name="Percentuale 10 5 2" xfId="11807" xr:uid="{00000000-0005-0000-0000-000093960000}"/>
    <cellStyle name="Percentuale 10 6" xfId="1317" xr:uid="{00000000-0005-0000-0000-000094960000}"/>
    <cellStyle name="Percentuale 10 6 2" xfId="21829" xr:uid="{00000000-0005-0000-0000-000095960000}"/>
    <cellStyle name="Percentuale 11" xfId="1318" xr:uid="{00000000-0005-0000-0000-000096960000}"/>
    <cellStyle name="Percentuale 11 2" xfId="1319" xr:uid="{00000000-0005-0000-0000-000097960000}"/>
    <cellStyle name="Percentuale 11 2 2" xfId="3743" xr:uid="{00000000-0005-0000-0000-000098960000}"/>
    <cellStyle name="Percentuale 11 3" xfId="1320" xr:uid="{00000000-0005-0000-0000-000099960000}"/>
    <cellStyle name="Percentuale 11 3 2" xfId="1321" xr:uid="{00000000-0005-0000-0000-00009A960000}"/>
    <cellStyle name="Percentuale 11 3 3" xfId="19919" xr:uid="{00000000-0005-0000-0000-00009B960000}"/>
    <cellStyle name="Percentuale 11 3 3 2" xfId="20925" xr:uid="{00000000-0005-0000-0000-00009C960000}"/>
    <cellStyle name="Percentuale 11 3 4" xfId="20924" xr:uid="{00000000-0005-0000-0000-00009D960000}"/>
    <cellStyle name="Percentuale 11 3 5" xfId="19918" xr:uid="{00000000-0005-0000-0000-00009E960000}"/>
    <cellStyle name="Percentuale 11 4" xfId="1322" xr:uid="{00000000-0005-0000-0000-00009F960000}"/>
    <cellStyle name="Percentuale 11 4 2" xfId="19921" xr:uid="{00000000-0005-0000-0000-0000A0960000}"/>
    <cellStyle name="Percentuale 11 4 2 2" xfId="20927" xr:uid="{00000000-0005-0000-0000-0000A1960000}"/>
    <cellStyle name="Percentuale 11 4 3" xfId="20926" xr:uid="{00000000-0005-0000-0000-0000A2960000}"/>
    <cellStyle name="Percentuale 11 4 4" xfId="19920" xr:uid="{00000000-0005-0000-0000-0000A3960000}"/>
    <cellStyle name="Percentuale 11 4 5" xfId="11808" xr:uid="{00000000-0005-0000-0000-0000A4960000}"/>
    <cellStyle name="Percentuale 11 5" xfId="1323" xr:uid="{00000000-0005-0000-0000-0000A5960000}"/>
    <cellStyle name="Percentuale 11 5 2" xfId="11809" xr:uid="{00000000-0005-0000-0000-0000A6960000}"/>
    <cellStyle name="Percentuale 11 6" xfId="1324" xr:uid="{00000000-0005-0000-0000-0000A7960000}"/>
    <cellStyle name="Percentuale 11 6 2" xfId="21830" xr:uid="{00000000-0005-0000-0000-0000A8960000}"/>
    <cellStyle name="Percentuale 12" xfId="1325" xr:uid="{00000000-0005-0000-0000-0000A9960000}"/>
    <cellStyle name="Percentuale 12 2" xfId="1326" xr:uid="{00000000-0005-0000-0000-0000AA960000}"/>
    <cellStyle name="Percentuale 12 2 2" xfId="3744" xr:uid="{00000000-0005-0000-0000-0000AB960000}"/>
    <cellStyle name="Percentuale 12 3" xfId="1327" xr:uid="{00000000-0005-0000-0000-0000AC960000}"/>
    <cellStyle name="Percentuale 12 3 2" xfId="1328" xr:uid="{00000000-0005-0000-0000-0000AD960000}"/>
    <cellStyle name="Percentuale 12 3 3" xfId="19923" xr:uid="{00000000-0005-0000-0000-0000AE960000}"/>
    <cellStyle name="Percentuale 12 3 3 2" xfId="20929" xr:uid="{00000000-0005-0000-0000-0000AF960000}"/>
    <cellStyle name="Percentuale 12 3 4" xfId="20928" xr:uid="{00000000-0005-0000-0000-0000B0960000}"/>
    <cellStyle name="Percentuale 12 3 5" xfId="19922" xr:uid="{00000000-0005-0000-0000-0000B1960000}"/>
    <cellStyle name="Percentuale 12 4" xfId="1329" xr:uid="{00000000-0005-0000-0000-0000B2960000}"/>
    <cellStyle name="Percentuale 12 4 2" xfId="19925" xr:uid="{00000000-0005-0000-0000-0000B3960000}"/>
    <cellStyle name="Percentuale 12 4 2 2" xfId="20931" xr:uid="{00000000-0005-0000-0000-0000B4960000}"/>
    <cellStyle name="Percentuale 12 4 3" xfId="20930" xr:uid="{00000000-0005-0000-0000-0000B5960000}"/>
    <cellStyle name="Percentuale 12 4 4" xfId="19924" xr:uid="{00000000-0005-0000-0000-0000B6960000}"/>
    <cellStyle name="Percentuale 12 4 5" xfId="11810" xr:uid="{00000000-0005-0000-0000-0000B7960000}"/>
    <cellStyle name="Percentuale 12 5" xfId="1330" xr:uid="{00000000-0005-0000-0000-0000B8960000}"/>
    <cellStyle name="Percentuale 12 5 2" xfId="11811" xr:uid="{00000000-0005-0000-0000-0000B9960000}"/>
    <cellStyle name="Percentuale 12 6" xfId="1331" xr:uid="{00000000-0005-0000-0000-0000BA960000}"/>
    <cellStyle name="Percentuale 12 6 2" xfId="21831" xr:uid="{00000000-0005-0000-0000-0000BB960000}"/>
    <cellStyle name="Percentuale 13" xfId="1332" xr:uid="{00000000-0005-0000-0000-0000BC960000}"/>
    <cellStyle name="Percentuale 13 2" xfId="1333" xr:uid="{00000000-0005-0000-0000-0000BD960000}"/>
    <cellStyle name="Percentuale 13 2 2" xfId="3745" xr:uid="{00000000-0005-0000-0000-0000BE960000}"/>
    <cellStyle name="Percentuale 13 3" xfId="1334" xr:uid="{00000000-0005-0000-0000-0000BF960000}"/>
    <cellStyle name="Percentuale 13 3 2" xfId="1335" xr:uid="{00000000-0005-0000-0000-0000C0960000}"/>
    <cellStyle name="Percentuale 13 3 3" xfId="19927" xr:uid="{00000000-0005-0000-0000-0000C1960000}"/>
    <cellStyle name="Percentuale 13 3 3 2" xfId="20933" xr:uid="{00000000-0005-0000-0000-0000C2960000}"/>
    <cellStyle name="Percentuale 13 3 4" xfId="20932" xr:uid="{00000000-0005-0000-0000-0000C3960000}"/>
    <cellStyle name="Percentuale 13 3 5" xfId="19926" xr:uid="{00000000-0005-0000-0000-0000C4960000}"/>
    <cellStyle name="Percentuale 13 4" xfId="1336" xr:uid="{00000000-0005-0000-0000-0000C5960000}"/>
    <cellStyle name="Percentuale 13 4 2" xfId="19929" xr:uid="{00000000-0005-0000-0000-0000C6960000}"/>
    <cellStyle name="Percentuale 13 4 2 2" xfId="20935" xr:uid="{00000000-0005-0000-0000-0000C7960000}"/>
    <cellStyle name="Percentuale 13 4 3" xfId="20934" xr:uid="{00000000-0005-0000-0000-0000C8960000}"/>
    <cellStyle name="Percentuale 13 4 4" xfId="19928" xr:uid="{00000000-0005-0000-0000-0000C9960000}"/>
    <cellStyle name="Percentuale 13 4 5" xfId="11812" xr:uid="{00000000-0005-0000-0000-0000CA960000}"/>
    <cellStyle name="Percentuale 13 5" xfId="1337" xr:uid="{00000000-0005-0000-0000-0000CB960000}"/>
    <cellStyle name="Percentuale 13 5 2" xfId="11813" xr:uid="{00000000-0005-0000-0000-0000CC960000}"/>
    <cellStyle name="Percentuale 13 6" xfId="1338" xr:uid="{00000000-0005-0000-0000-0000CD960000}"/>
    <cellStyle name="Percentuale 13 6 2" xfId="21832" xr:uid="{00000000-0005-0000-0000-0000CE960000}"/>
    <cellStyle name="Percentuale 14" xfId="1339" xr:uid="{00000000-0005-0000-0000-0000CF960000}"/>
    <cellStyle name="Percentuale 14 2" xfId="1340" xr:uid="{00000000-0005-0000-0000-0000D0960000}"/>
    <cellStyle name="Percentuale 14 2 2" xfId="3746" xr:uid="{00000000-0005-0000-0000-0000D1960000}"/>
    <cellStyle name="Percentuale 14 3" xfId="1341" xr:uid="{00000000-0005-0000-0000-0000D2960000}"/>
    <cellStyle name="Percentuale 14 3 2" xfId="1342" xr:uid="{00000000-0005-0000-0000-0000D3960000}"/>
    <cellStyle name="Percentuale 14 3 3" xfId="19931" xr:uid="{00000000-0005-0000-0000-0000D4960000}"/>
    <cellStyle name="Percentuale 14 3 3 2" xfId="20937" xr:uid="{00000000-0005-0000-0000-0000D5960000}"/>
    <cellStyle name="Percentuale 14 3 4" xfId="20936" xr:uid="{00000000-0005-0000-0000-0000D6960000}"/>
    <cellStyle name="Percentuale 14 3 5" xfId="19930" xr:uid="{00000000-0005-0000-0000-0000D7960000}"/>
    <cellStyle name="Percentuale 14 4" xfId="1343" xr:uid="{00000000-0005-0000-0000-0000D8960000}"/>
    <cellStyle name="Percentuale 14 4 2" xfId="19933" xr:uid="{00000000-0005-0000-0000-0000D9960000}"/>
    <cellStyle name="Percentuale 14 4 2 2" xfId="20939" xr:uid="{00000000-0005-0000-0000-0000DA960000}"/>
    <cellStyle name="Percentuale 14 4 3" xfId="20938" xr:uid="{00000000-0005-0000-0000-0000DB960000}"/>
    <cellStyle name="Percentuale 14 4 4" xfId="19932" xr:uid="{00000000-0005-0000-0000-0000DC960000}"/>
    <cellStyle name="Percentuale 14 4 5" xfId="11814" xr:uid="{00000000-0005-0000-0000-0000DD960000}"/>
    <cellStyle name="Percentuale 14 5" xfId="1344" xr:uid="{00000000-0005-0000-0000-0000DE960000}"/>
    <cellStyle name="Percentuale 14 5 2" xfId="11815" xr:uid="{00000000-0005-0000-0000-0000DF960000}"/>
    <cellStyle name="Percentuale 14 6" xfId="1345" xr:uid="{00000000-0005-0000-0000-0000E0960000}"/>
    <cellStyle name="Percentuale 14 6 2" xfId="21833" xr:uid="{00000000-0005-0000-0000-0000E1960000}"/>
    <cellStyle name="Percentuale 15" xfId="1346" xr:uid="{00000000-0005-0000-0000-0000E2960000}"/>
    <cellStyle name="Percentuale 15 2" xfId="1347" xr:uid="{00000000-0005-0000-0000-0000E3960000}"/>
    <cellStyle name="Percentuale 15 2 2" xfId="3747" xr:uid="{00000000-0005-0000-0000-0000E4960000}"/>
    <cellStyle name="Percentuale 15 3" xfId="1348" xr:uid="{00000000-0005-0000-0000-0000E5960000}"/>
    <cellStyle name="Percentuale 15 3 2" xfId="1349" xr:uid="{00000000-0005-0000-0000-0000E6960000}"/>
    <cellStyle name="Percentuale 15 3 3" xfId="19935" xr:uid="{00000000-0005-0000-0000-0000E7960000}"/>
    <cellStyle name="Percentuale 15 3 3 2" xfId="20941" xr:uid="{00000000-0005-0000-0000-0000E8960000}"/>
    <cellStyle name="Percentuale 15 3 4" xfId="20940" xr:uid="{00000000-0005-0000-0000-0000E9960000}"/>
    <cellStyle name="Percentuale 15 3 5" xfId="19934" xr:uid="{00000000-0005-0000-0000-0000EA960000}"/>
    <cellStyle name="Percentuale 15 4" xfId="1350" xr:uid="{00000000-0005-0000-0000-0000EB960000}"/>
    <cellStyle name="Percentuale 15 4 2" xfId="19937" xr:uid="{00000000-0005-0000-0000-0000EC960000}"/>
    <cellStyle name="Percentuale 15 4 2 2" xfId="20943" xr:uid="{00000000-0005-0000-0000-0000ED960000}"/>
    <cellStyle name="Percentuale 15 4 3" xfId="20942" xr:uid="{00000000-0005-0000-0000-0000EE960000}"/>
    <cellStyle name="Percentuale 15 4 4" xfId="19936" xr:uid="{00000000-0005-0000-0000-0000EF960000}"/>
    <cellStyle name="Percentuale 15 4 5" xfId="11816" xr:uid="{00000000-0005-0000-0000-0000F0960000}"/>
    <cellStyle name="Percentuale 15 5" xfId="1351" xr:uid="{00000000-0005-0000-0000-0000F1960000}"/>
    <cellStyle name="Percentuale 15 5 2" xfId="11817" xr:uid="{00000000-0005-0000-0000-0000F2960000}"/>
    <cellStyle name="Percentuale 15 6" xfId="1352" xr:uid="{00000000-0005-0000-0000-0000F3960000}"/>
    <cellStyle name="Percentuale 15 6 2" xfId="21834" xr:uid="{00000000-0005-0000-0000-0000F4960000}"/>
    <cellStyle name="Percentuale 16" xfId="1353" xr:uid="{00000000-0005-0000-0000-0000F5960000}"/>
    <cellStyle name="Percentuale 16 2" xfId="1354" xr:uid="{00000000-0005-0000-0000-0000F6960000}"/>
    <cellStyle name="Percentuale 16 2 2" xfId="3748" xr:uid="{00000000-0005-0000-0000-0000F7960000}"/>
    <cellStyle name="Percentuale 16 3" xfId="1355" xr:uid="{00000000-0005-0000-0000-0000F8960000}"/>
    <cellStyle name="Percentuale 16 3 2" xfId="1356" xr:uid="{00000000-0005-0000-0000-0000F9960000}"/>
    <cellStyle name="Percentuale 16 3 3" xfId="19939" xr:uid="{00000000-0005-0000-0000-0000FA960000}"/>
    <cellStyle name="Percentuale 16 3 3 2" xfId="20945" xr:uid="{00000000-0005-0000-0000-0000FB960000}"/>
    <cellStyle name="Percentuale 16 3 4" xfId="20944" xr:uid="{00000000-0005-0000-0000-0000FC960000}"/>
    <cellStyle name="Percentuale 16 3 5" xfId="19938" xr:uid="{00000000-0005-0000-0000-0000FD960000}"/>
    <cellStyle name="Percentuale 16 4" xfId="1357" xr:uid="{00000000-0005-0000-0000-0000FE960000}"/>
    <cellStyle name="Percentuale 16 4 2" xfId="19941" xr:uid="{00000000-0005-0000-0000-0000FF960000}"/>
    <cellStyle name="Percentuale 16 4 2 2" xfId="20947" xr:uid="{00000000-0005-0000-0000-000000970000}"/>
    <cellStyle name="Percentuale 16 4 3" xfId="20946" xr:uid="{00000000-0005-0000-0000-000001970000}"/>
    <cellStyle name="Percentuale 16 4 4" xfId="19940" xr:uid="{00000000-0005-0000-0000-000002970000}"/>
    <cellStyle name="Percentuale 16 4 5" xfId="11818" xr:uid="{00000000-0005-0000-0000-000003970000}"/>
    <cellStyle name="Percentuale 16 5" xfId="1358" xr:uid="{00000000-0005-0000-0000-000004970000}"/>
    <cellStyle name="Percentuale 16 5 2" xfId="11819" xr:uid="{00000000-0005-0000-0000-000005970000}"/>
    <cellStyle name="Percentuale 16 6" xfId="1359" xr:uid="{00000000-0005-0000-0000-000006970000}"/>
    <cellStyle name="Percentuale 16 6 2" xfId="21835" xr:uid="{00000000-0005-0000-0000-000007970000}"/>
    <cellStyle name="Percentuale 17" xfId="1360" xr:uid="{00000000-0005-0000-0000-000008970000}"/>
    <cellStyle name="Percentuale 17 2" xfId="1361" xr:uid="{00000000-0005-0000-0000-000009970000}"/>
    <cellStyle name="Percentuale 17 2 2" xfId="3749" xr:uid="{00000000-0005-0000-0000-00000A970000}"/>
    <cellStyle name="Percentuale 17 3" xfId="1362" xr:uid="{00000000-0005-0000-0000-00000B970000}"/>
    <cellStyle name="Percentuale 17 3 2" xfId="1363" xr:uid="{00000000-0005-0000-0000-00000C970000}"/>
    <cellStyle name="Percentuale 17 3 3" xfId="19943" xr:uid="{00000000-0005-0000-0000-00000D970000}"/>
    <cellStyle name="Percentuale 17 3 3 2" xfId="20949" xr:uid="{00000000-0005-0000-0000-00000E970000}"/>
    <cellStyle name="Percentuale 17 3 4" xfId="20948" xr:uid="{00000000-0005-0000-0000-00000F970000}"/>
    <cellStyle name="Percentuale 17 3 5" xfId="19942" xr:uid="{00000000-0005-0000-0000-000010970000}"/>
    <cellStyle name="Percentuale 17 4" xfId="1364" xr:uid="{00000000-0005-0000-0000-000011970000}"/>
    <cellStyle name="Percentuale 17 4 2" xfId="19945" xr:uid="{00000000-0005-0000-0000-000012970000}"/>
    <cellStyle name="Percentuale 17 4 2 2" xfId="20951" xr:uid="{00000000-0005-0000-0000-000013970000}"/>
    <cellStyle name="Percentuale 17 4 3" xfId="20950" xr:uid="{00000000-0005-0000-0000-000014970000}"/>
    <cellStyle name="Percentuale 17 4 4" xfId="19944" xr:uid="{00000000-0005-0000-0000-000015970000}"/>
    <cellStyle name="Percentuale 17 4 5" xfId="11820" xr:uid="{00000000-0005-0000-0000-000016970000}"/>
    <cellStyle name="Percentuale 17 5" xfId="1365" xr:uid="{00000000-0005-0000-0000-000017970000}"/>
    <cellStyle name="Percentuale 17 5 2" xfId="11821" xr:uid="{00000000-0005-0000-0000-000018970000}"/>
    <cellStyle name="Percentuale 17 6" xfId="1366" xr:uid="{00000000-0005-0000-0000-000019970000}"/>
    <cellStyle name="Percentuale 17 6 2" xfId="21836" xr:uid="{00000000-0005-0000-0000-00001A970000}"/>
    <cellStyle name="Percentuale 18" xfId="1367" xr:uid="{00000000-0005-0000-0000-00001B970000}"/>
    <cellStyle name="Percentuale 18 2" xfId="1368" xr:uid="{00000000-0005-0000-0000-00001C970000}"/>
    <cellStyle name="Percentuale 18 2 2" xfId="3750" xr:uid="{00000000-0005-0000-0000-00001D970000}"/>
    <cellStyle name="Percentuale 18 3" xfId="1369" xr:uid="{00000000-0005-0000-0000-00001E970000}"/>
    <cellStyle name="Percentuale 18 3 2" xfId="1370" xr:uid="{00000000-0005-0000-0000-00001F970000}"/>
    <cellStyle name="Percentuale 18 3 3" xfId="19947" xr:uid="{00000000-0005-0000-0000-000020970000}"/>
    <cellStyle name="Percentuale 18 3 3 2" xfId="20953" xr:uid="{00000000-0005-0000-0000-000021970000}"/>
    <cellStyle name="Percentuale 18 3 4" xfId="20952" xr:uid="{00000000-0005-0000-0000-000022970000}"/>
    <cellStyle name="Percentuale 18 3 5" xfId="19946" xr:uid="{00000000-0005-0000-0000-000023970000}"/>
    <cellStyle name="Percentuale 18 4" xfId="1371" xr:uid="{00000000-0005-0000-0000-000024970000}"/>
    <cellStyle name="Percentuale 18 4 2" xfId="19949" xr:uid="{00000000-0005-0000-0000-000025970000}"/>
    <cellStyle name="Percentuale 18 4 2 2" xfId="20955" xr:uid="{00000000-0005-0000-0000-000026970000}"/>
    <cellStyle name="Percentuale 18 4 3" xfId="20954" xr:uid="{00000000-0005-0000-0000-000027970000}"/>
    <cellStyle name="Percentuale 18 4 4" xfId="19948" xr:uid="{00000000-0005-0000-0000-000028970000}"/>
    <cellStyle name="Percentuale 18 4 5" xfId="11822" xr:uid="{00000000-0005-0000-0000-000029970000}"/>
    <cellStyle name="Percentuale 18 5" xfId="1372" xr:uid="{00000000-0005-0000-0000-00002A970000}"/>
    <cellStyle name="Percentuale 18 5 2" xfId="11823" xr:uid="{00000000-0005-0000-0000-00002B970000}"/>
    <cellStyle name="Percentuale 18 6" xfId="1373" xr:uid="{00000000-0005-0000-0000-00002C970000}"/>
    <cellStyle name="Percentuale 18 6 2" xfId="21837" xr:uid="{00000000-0005-0000-0000-00002D970000}"/>
    <cellStyle name="Percentuale 19" xfId="1374" xr:uid="{00000000-0005-0000-0000-00002E970000}"/>
    <cellStyle name="Percentuale 19 2" xfId="1375" xr:uid="{00000000-0005-0000-0000-00002F970000}"/>
    <cellStyle name="Percentuale 19 2 2" xfId="3751" xr:uid="{00000000-0005-0000-0000-000030970000}"/>
    <cellStyle name="Percentuale 19 3" xfId="1376" xr:uid="{00000000-0005-0000-0000-000031970000}"/>
    <cellStyle name="Percentuale 19 3 2" xfId="1377" xr:uid="{00000000-0005-0000-0000-000032970000}"/>
    <cellStyle name="Percentuale 19 3 3" xfId="19951" xr:uid="{00000000-0005-0000-0000-000033970000}"/>
    <cellStyle name="Percentuale 19 3 3 2" xfId="20957" xr:uid="{00000000-0005-0000-0000-000034970000}"/>
    <cellStyle name="Percentuale 19 3 4" xfId="20956" xr:uid="{00000000-0005-0000-0000-000035970000}"/>
    <cellStyle name="Percentuale 19 3 5" xfId="19950" xr:uid="{00000000-0005-0000-0000-000036970000}"/>
    <cellStyle name="Percentuale 19 4" xfId="1378" xr:uid="{00000000-0005-0000-0000-000037970000}"/>
    <cellStyle name="Percentuale 19 4 2" xfId="19953" xr:uid="{00000000-0005-0000-0000-000038970000}"/>
    <cellStyle name="Percentuale 19 4 2 2" xfId="20959" xr:uid="{00000000-0005-0000-0000-000039970000}"/>
    <cellStyle name="Percentuale 19 4 3" xfId="20958" xr:uid="{00000000-0005-0000-0000-00003A970000}"/>
    <cellStyle name="Percentuale 19 4 4" xfId="19952" xr:uid="{00000000-0005-0000-0000-00003B970000}"/>
    <cellStyle name="Percentuale 19 4 5" xfId="11824" xr:uid="{00000000-0005-0000-0000-00003C970000}"/>
    <cellStyle name="Percentuale 19 5" xfId="1379" xr:uid="{00000000-0005-0000-0000-00003D970000}"/>
    <cellStyle name="Percentuale 19 5 2" xfId="11825" xr:uid="{00000000-0005-0000-0000-00003E970000}"/>
    <cellStyle name="Percentuale 19 6" xfId="1380" xr:uid="{00000000-0005-0000-0000-00003F970000}"/>
    <cellStyle name="Percentuale 19 6 2" xfId="21838" xr:uid="{00000000-0005-0000-0000-000040970000}"/>
    <cellStyle name="Percentuale 2" xfId="1381" xr:uid="{00000000-0005-0000-0000-000041970000}"/>
    <cellStyle name="Percentuale 2 2" xfId="1382" xr:uid="{00000000-0005-0000-0000-000042970000}"/>
    <cellStyle name="Percentuale 2 2 2" xfId="3752" xr:uid="{00000000-0005-0000-0000-000043970000}"/>
    <cellStyle name="Percentuale 2 3" xfId="1383" xr:uid="{00000000-0005-0000-0000-000044970000}"/>
    <cellStyle name="Percentuale 2 3 2" xfId="1384" xr:uid="{00000000-0005-0000-0000-000045970000}"/>
    <cellStyle name="Percentuale 2 3 3" xfId="19955" xr:uid="{00000000-0005-0000-0000-000046970000}"/>
    <cellStyle name="Percentuale 2 3 3 2" xfId="20961" xr:uid="{00000000-0005-0000-0000-000047970000}"/>
    <cellStyle name="Percentuale 2 3 4" xfId="20960" xr:uid="{00000000-0005-0000-0000-000048970000}"/>
    <cellStyle name="Percentuale 2 3 5" xfId="19954" xr:uid="{00000000-0005-0000-0000-000049970000}"/>
    <cellStyle name="Percentuale 2 4" xfId="1385" xr:uid="{00000000-0005-0000-0000-00004A970000}"/>
    <cellStyle name="Percentuale 2 4 2" xfId="19957" xr:uid="{00000000-0005-0000-0000-00004B970000}"/>
    <cellStyle name="Percentuale 2 4 2 2" xfId="20963" xr:uid="{00000000-0005-0000-0000-00004C970000}"/>
    <cellStyle name="Percentuale 2 4 3" xfId="20962" xr:uid="{00000000-0005-0000-0000-00004D970000}"/>
    <cellStyle name="Percentuale 2 4 4" xfId="19956" xr:uid="{00000000-0005-0000-0000-00004E970000}"/>
    <cellStyle name="Percentuale 2 4 5" xfId="11826" xr:uid="{00000000-0005-0000-0000-00004F970000}"/>
    <cellStyle name="Percentuale 2 5" xfId="1386" xr:uid="{00000000-0005-0000-0000-000050970000}"/>
    <cellStyle name="Percentuale 2 5 2" xfId="11827" xr:uid="{00000000-0005-0000-0000-000051970000}"/>
    <cellStyle name="Percentuale 2 6" xfId="1387" xr:uid="{00000000-0005-0000-0000-000052970000}"/>
    <cellStyle name="Percentuale 2 6 2" xfId="21839" xr:uid="{00000000-0005-0000-0000-000053970000}"/>
    <cellStyle name="Percentuale 20" xfId="1388" xr:uid="{00000000-0005-0000-0000-000054970000}"/>
    <cellStyle name="Percentuale 20 2" xfId="1389" xr:uid="{00000000-0005-0000-0000-000055970000}"/>
    <cellStyle name="Percentuale 20 2 2" xfId="3753" xr:uid="{00000000-0005-0000-0000-000056970000}"/>
    <cellStyle name="Percentuale 20 3" xfId="1390" xr:uid="{00000000-0005-0000-0000-000057970000}"/>
    <cellStyle name="Percentuale 20 3 2" xfId="1391" xr:uid="{00000000-0005-0000-0000-000058970000}"/>
    <cellStyle name="Percentuale 20 3 3" xfId="19959" xr:uid="{00000000-0005-0000-0000-000059970000}"/>
    <cellStyle name="Percentuale 20 3 3 2" xfId="20965" xr:uid="{00000000-0005-0000-0000-00005A970000}"/>
    <cellStyle name="Percentuale 20 3 4" xfId="20964" xr:uid="{00000000-0005-0000-0000-00005B970000}"/>
    <cellStyle name="Percentuale 20 3 5" xfId="19958" xr:uid="{00000000-0005-0000-0000-00005C970000}"/>
    <cellStyle name="Percentuale 20 4" xfId="1392" xr:uid="{00000000-0005-0000-0000-00005D970000}"/>
    <cellStyle name="Percentuale 20 4 2" xfId="19961" xr:uid="{00000000-0005-0000-0000-00005E970000}"/>
    <cellStyle name="Percentuale 20 4 2 2" xfId="20967" xr:uid="{00000000-0005-0000-0000-00005F970000}"/>
    <cellStyle name="Percentuale 20 4 3" xfId="20966" xr:uid="{00000000-0005-0000-0000-000060970000}"/>
    <cellStyle name="Percentuale 20 4 4" xfId="19960" xr:uid="{00000000-0005-0000-0000-000061970000}"/>
    <cellStyle name="Percentuale 20 4 5" xfId="11828" xr:uid="{00000000-0005-0000-0000-000062970000}"/>
    <cellStyle name="Percentuale 20 5" xfId="1393" xr:uid="{00000000-0005-0000-0000-000063970000}"/>
    <cellStyle name="Percentuale 20 5 2" xfId="11829" xr:uid="{00000000-0005-0000-0000-000064970000}"/>
    <cellStyle name="Percentuale 20 6" xfId="1394" xr:uid="{00000000-0005-0000-0000-000065970000}"/>
    <cellStyle name="Percentuale 20 6 2" xfId="21840" xr:uid="{00000000-0005-0000-0000-000066970000}"/>
    <cellStyle name="Percentuale 21" xfId="1395" xr:uid="{00000000-0005-0000-0000-000067970000}"/>
    <cellStyle name="Percentuale 21 2" xfId="1396" xr:uid="{00000000-0005-0000-0000-000068970000}"/>
    <cellStyle name="Percentuale 21 2 2" xfId="3754" xr:uid="{00000000-0005-0000-0000-000069970000}"/>
    <cellStyle name="Percentuale 21 3" xfId="1397" xr:uid="{00000000-0005-0000-0000-00006A970000}"/>
    <cellStyle name="Percentuale 21 3 2" xfId="1398" xr:uid="{00000000-0005-0000-0000-00006B970000}"/>
    <cellStyle name="Percentuale 21 3 3" xfId="19963" xr:uid="{00000000-0005-0000-0000-00006C970000}"/>
    <cellStyle name="Percentuale 21 3 3 2" xfId="20969" xr:uid="{00000000-0005-0000-0000-00006D970000}"/>
    <cellStyle name="Percentuale 21 3 4" xfId="20968" xr:uid="{00000000-0005-0000-0000-00006E970000}"/>
    <cellStyle name="Percentuale 21 3 5" xfId="19962" xr:uid="{00000000-0005-0000-0000-00006F970000}"/>
    <cellStyle name="Percentuale 21 4" xfId="1399" xr:uid="{00000000-0005-0000-0000-000070970000}"/>
    <cellStyle name="Percentuale 21 4 2" xfId="19965" xr:uid="{00000000-0005-0000-0000-000071970000}"/>
    <cellStyle name="Percentuale 21 4 2 2" xfId="20971" xr:uid="{00000000-0005-0000-0000-000072970000}"/>
    <cellStyle name="Percentuale 21 4 3" xfId="20970" xr:uid="{00000000-0005-0000-0000-000073970000}"/>
    <cellStyle name="Percentuale 21 4 4" xfId="19964" xr:uid="{00000000-0005-0000-0000-000074970000}"/>
    <cellStyle name="Percentuale 21 4 5" xfId="11830" xr:uid="{00000000-0005-0000-0000-000075970000}"/>
    <cellStyle name="Percentuale 21 5" xfId="1400" xr:uid="{00000000-0005-0000-0000-000076970000}"/>
    <cellStyle name="Percentuale 21 5 2" xfId="11831" xr:uid="{00000000-0005-0000-0000-000077970000}"/>
    <cellStyle name="Percentuale 21 6" xfId="1401" xr:uid="{00000000-0005-0000-0000-000078970000}"/>
    <cellStyle name="Percentuale 21 6 2" xfId="21841" xr:uid="{00000000-0005-0000-0000-000079970000}"/>
    <cellStyle name="Percentuale 22" xfId="1402" xr:uid="{00000000-0005-0000-0000-00007A970000}"/>
    <cellStyle name="Percentuale 22 2" xfId="1403" xr:uid="{00000000-0005-0000-0000-00007B970000}"/>
    <cellStyle name="Percentuale 22 2 2" xfId="3755" xr:uid="{00000000-0005-0000-0000-00007C970000}"/>
    <cellStyle name="Percentuale 22 3" xfId="1404" xr:uid="{00000000-0005-0000-0000-00007D970000}"/>
    <cellStyle name="Percentuale 22 3 2" xfId="1405" xr:uid="{00000000-0005-0000-0000-00007E970000}"/>
    <cellStyle name="Percentuale 22 3 3" xfId="19967" xr:uid="{00000000-0005-0000-0000-00007F970000}"/>
    <cellStyle name="Percentuale 22 3 3 2" xfId="20973" xr:uid="{00000000-0005-0000-0000-000080970000}"/>
    <cellStyle name="Percentuale 22 3 4" xfId="20972" xr:uid="{00000000-0005-0000-0000-000081970000}"/>
    <cellStyle name="Percentuale 22 3 5" xfId="19966" xr:uid="{00000000-0005-0000-0000-000082970000}"/>
    <cellStyle name="Percentuale 22 4" xfId="1406" xr:uid="{00000000-0005-0000-0000-000083970000}"/>
    <cellStyle name="Percentuale 22 4 2" xfId="19969" xr:uid="{00000000-0005-0000-0000-000084970000}"/>
    <cellStyle name="Percentuale 22 4 2 2" xfId="20975" xr:uid="{00000000-0005-0000-0000-000085970000}"/>
    <cellStyle name="Percentuale 22 4 3" xfId="20974" xr:uid="{00000000-0005-0000-0000-000086970000}"/>
    <cellStyle name="Percentuale 22 4 4" xfId="19968" xr:uid="{00000000-0005-0000-0000-000087970000}"/>
    <cellStyle name="Percentuale 22 4 5" xfId="11832" xr:uid="{00000000-0005-0000-0000-000088970000}"/>
    <cellStyle name="Percentuale 22 5" xfId="1407" xr:uid="{00000000-0005-0000-0000-000089970000}"/>
    <cellStyle name="Percentuale 22 5 2" xfId="11833" xr:uid="{00000000-0005-0000-0000-00008A970000}"/>
    <cellStyle name="Percentuale 22 6" xfId="1408" xr:uid="{00000000-0005-0000-0000-00008B970000}"/>
    <cellStyle name="Percentuale 22 6 2" xfId="21842" xr:uid="{00000000-0005-0000-0000-00008C970000}"/>
    <cellStyle name="Percentuale 23" xfId="1409" xr:uid="{00000000-0005-0000-0000-00008D970000}"/>
    <cellStyle name="Percentuale 23 2" xfId="1410" xr:uid="{00000000-0005-0000-0000-00008E970000}"/>
    <cellStyle name="Percentuale 23 2 2" xfId="3756" xr:uid="{00000000-0005-0000-0000-00008F970000}"/>
    <cellStyle name="Percentuale 23 3" xfId="1411" xr:uid="{00000000-0005-0000-0000-000090970000}"/>
    <cellStyle name="Percentuale 23 3 2" xfId="1412" xr:uid="{00000000-0005-0000-0000-000091970000}"/>
    <cellStyle name="Percentuale 23 3 3" xfId="19971" xr:uid="{00000000-0005-0000-0000-000092970000}"/>
    <cellStyle name="Percentuale 23 3 3 2" xfId="20977" xr:uid="{00000000-0005-0000-0000-000093970000}"/>
    <cellStyle name="Percentuale 23 3 4" xfId="20976" xr:uid="{00000000-0005-0000-0000-000094970000}"/>
    <cellStyle name="Percentuale 23 3 5" xfId="19970" xr:uid="{00000000-0005-0000-0000-000095970000}"/>
    <cellStyle name="Percentuale 23 4" xfId="1413" xr:uid="{00000000-0005-0000-0000-000096970000}"/>
    <cellStyle name="Percentuale 23 4 2" xfId="19973" xr:uid="{00000000-0005-0000-0000-000097970000}"/>
    <cellStyle name="Percentuale 23 4 2 2" xfId="20979" xr:uid="{00000000-0005-0000-0000-000098970000}"/>
    <cellStyle name="Percentuale 23 4 3" xfId="20978" xr:uid="{00000000-0005-0000-0000-000099970000}"/>
    <cellStyle name="Percentuale 23 4 4" xfId="19972" xr:uid="{00000000-0005-0000-0000-00009A970000}"/>
    <cellStyle name="Percentuale 23 4 5" xfId="11834" xr:uid="{00000000-0005-0000-0000-00009B970000}"/>
    <cellStyle name="Percentuale 23 5" xfId="1414" xr:uid="{00000000-0005-0000-0000-00009C970000}"/>
    <cellStyle name="Percentuale 23 5 2" xfId="11835" xr:uid="{00000000-0005-0000-0000-00009D970000}"/>
    <cellStyle name="Percentuale 23 6" xfId="1415" xr:uid="{00000000-0005-0000-0000-00009E970000}"/>
    <cellStyle name="Percentuale 23 6 2" xfId="21843" xr:uid="{00000000-0005-0000-0000-00009F970000}"/>
    <cellStyle name="Percentuale 24" xfId="1416" xr:uid="{00000000-0005-0000-0000-0000A0970000}"/>
    <cellStyle name="Percentuale 24 2" xfId="1417" xr:uid="{00000000-0005-0000-0000-0000A1970000}"/>
    <cellStyle name="Percentuale 24 2 2" xfId="3757" xr:uid="{00000000-0005-0000-0000-0000A2970000}"/>
    <cellStyle name="Percentuale 24 3" xfId="1418" xr:uid="{00000000-0005-0000-0000-0000A3970000}"/>
    <cellStyle name="Percentuale 24 3 2" xfId="1419" xr:uid="{00000000-0005-0000-0000-0000A4970000}"/>
    <cellStyle name="Percentuale 24 3 3" xfId="19975" xr:uid="{00000000-0005-0000-0000-0000A5970000}"/>
    <cellStyle name="Percentuale 24 3 3 2" xfId="20981" xr:uid="{00000000-0005-0000-0000-0000A6970000}"/>
    <cellStyle name="Percentuale 24 3 4" xfId="20980" xr:uid="{00000000-0005-0000-0000-0000A7970000}"/>
    <cellStyle name="Percentuale 24 3 5" xfId="19974" xr:uid="{00000000-0005-0000-0000-0000A8970000}"/>
    <cellStyle name="Percentuale 24 4" xfId="1420" xr:uid="{00000000-0005-0000-0000-0000A9970000}"/>
    <cellStyle name="Percentuale 24 4 2" xfId="19977" xr:uid="{00000000-0005-0000-0000-0000AA970000}"/>
    <cellStyle name="Percentuale 24 4 2 2" xfId="20983" xr:uid="{00000000-0005-0000-0000-0000AB970000}"/>
    <cellStyle name="Percentuale 24 4 3" xfId="20982" xr:uid="{00000000-0005-0000-0000-0000AC970000}"/>
    <cellStyle name="Percentuale 24 4 4" xfId="19976" xr:uid="{00000000-0005-0000-0000-0000AD970000}"/>
    <cellStyle name="Percentuale 24 4 5" xfId="11836" xr:uid="{00000000-0005-0000-0000-0000AE970000}"/>
    <cellStyle name="Percentuale 24 5" xfId="1421" xr:uid="{00000000-0005-0000-0000-0000AF970000}"/>
    <cellStyle name="Percentuale 24 5 2" xfId="11837" xr:uid="{00000000-0005-0000-0000-0000B0970000}"/>
    <cellStyle name="Percentuale 24 6" xfId="1422" xr:uid="{00000000-0005-0000-0000-0000B1970000}"/>
    <cellStyle name="Percentuale 24 6 2" xfId="21844" xr:uid="{00000000-0005-0000-0000-0000B2970000}"/>
    <cellStyle name="Percentuale 25" xfId="1423" xr:uid="{00000000-0005-0000-0000-0000B3970000}"/>
    <cellStyle name="Percentuale 25 2" xfId="1424" xr:uid="{00000000-0005-0000-0000-0000B4970000}"/>
    <cellStyle name="Percentuale 25 2 2" xfId="3758" xr:uid="{00000000-0005-0000-0000-0000B5970000}"/>
    <cellStyle name="Percentuale 25 3" xfId="1425" xr:uid="{00000000-0005-0000-0000-0000B6970000}"/>
    <cellStyle name="Percentuale 25 3 2" xfId="1426" xr:uid="{00000000-0005-0000-0000-0000B7970000}"/>
    <cellStyle name="Percentuale 25 3 3" xfId="19979" xr:uid="{00000000-0005-0000-0000-0000B8970000}"/>
    <cellStyle name="Percentuale 25 3 3 2" xfId="20985" xr:uid="{00000000-0005-0000-0000-0000B9970000}"/>
    <cellStyle name="Percentuale 25 3 4" xfId="20984" xr:uid="{00000000-0005-0000-0000-0000BA970000}"/>
    <cellStyle name="Percentuale 25 3 5" xfId="19978" xr:uid="{00000000-0005-0000-0000-0000BB970000}"/>
    <cellStyle name="Percentuale 25 4" xfId="1427" xr:uid="{00000000-0005-0000-0000-0000BC970000}"/>
    <cellStyle name="Percentuale 25 4 2" xfId="19981" xr:uid="{00000000-0005-0000-0000-0000BD970000}"/>
    <cellStyle name="Percentuale 25 4 2 2" xfId="20987" xr:uid="{00000000-0005-0000-0000-0000BE970000}"/>
    <cellStyle name="Percentuale 25 4 3" xfId="20986" xr:uid="{00000000-0005-0000-0000-0000BF970000}"/>
    <cellStyle name="Percentuale 25 4 4" xfId="19980" xr:uid="{00000000-0005-0000-0000-0000C0970000}"/>
    <cellStyle name="Percentuale 25 4 5" xfId="11838" xr:uid="{00000000-0005-0000-0000-0000C1970000}"/>
    <cellStyle name="Percentuale 25 5" xfId="1428" xr:uid="{00000000-0005-0000-0000-0000C2970000}"/>
    <cellStyle name="Percentuale 25 5 2" xfId="11839" xr:uid="{00000000-0005-0000-0000-0000C3970000}"/>
    <cellStyle name="Percentuale 25 6" xfId="1429" xr:uid="{00000000-0005-0000-0000-0000C4970000}"/>
    <cellStyle name="Percentuale 25 6 2" xfId="21845" xr:uid="{00000000-0005-0000-0000-0000C5970000}"/>
    <cellStyle name="Percentuale 26" xfId="1430" xr:uid="{00000000-0005-0000-0000-0000C6970000}"/>
    <cellStyle name="Percentuale 26 2" xfId="1431" xr:uid="{00000000-0005-0000-0000-0000C7970000}"/>
    <cellStyle name="Percentuale 26 2 2" xfId="3759" xr:uid="{00000000-0005-0000-0000-0000C8970000}"/>
    <cellStyle name="Percentuale 26 3" xfId="1432" xr:uid="{00000000-0005-0000-0000-0000C9970000}"/>
    <cellStyle name="Percentuale 26 3 2" xfId="1433" xr:uid="{00000000-0005-0000-0000-0000CA970000}"/>
    <cellStyle name="Percentuale 26 3 3" xfId="19983" xr:uid="{00000000-0005-0000-0000-0000CB970000}"/>
    <cellStyle name="Percentuale 26 3 3 2" xfId="20989" xr:uid="{00000000-0005-0000-0000-0000CC970000}"/>
    <cellStyle name="Percentuale 26 3 4" xfId="20988" xr:uid="{00000000-0005-0000-0000-0000CD970000}"/>
    <cellStyle name="Percentuale 26 3 5" xfId="19982" xr:uid="{00000000-0005-0000-0000-0000CE970000}"/>
    <cellStyle name="Percentuale 26 4" xfId="1434" xr:uid="{00000000-0005-0000-0000-0000CF970000}"/>
    <cellStyle name="Percentuale 26 4 2" xfId="19985" xr:uid="{00000000-0005-0000-0000-0000D0970000}"/>
    <cellStyle name="Percentuale 26 4 2 2" xfId="20991" xr:uid="{00000000-0005-0000-0000-0000D1970000}"/>
    <cellStyle name="Percentuale 26 4 3" xfId="20990" xr:uid="{00000000-0005-0000-0000-0000D2970000}"/>
    <cellStyle name="Percentuale 26 4 4" xfId="19984" xr:uid="{00000000-0005-0000-0000-0000D3970000}"/>
    <cellStyle name="Percentuale 26 4 5" xfId="11840" xr:uid="{00000000-0005-0000-0000-0000D4970000}"/>
    <cellStyle name="Percentuale 26 5" xfId="1435" xr:uid="{00000000-0005-0000-0000-0000D5970000}"/>
    <cellStyle name="Percentuale 26 5 2" xfId="11841" xr:uid="{00000000-0005-0000-0000-0000D6970000}"/>
    <cellStyle name="Percentuale 26 6" xfId="1436" xr:uid="{00000000-0005-0000-0000-0000D7970000}"/>
    <cellStyle name="Percentuale 26 6 2" xfId="21846" xr:uid="{00000000-0005-0000-0000-0000D8970000}"/>
    <cellStyle name="Percentuale 27" xfId="1437" xr:uid="{00000000-0005-0000-0000-0000D9970000}"/>
    <cellStyle name="Percentuale 27 2" xfId="1438" xr:uid="{00000000-0005-0000-0000-0000DA970000}"/>
    <cellStyle name="Percentuale 27 2 2" xfId="3760" xr:uid="{00000000-0005-0000-0000-0000DB970000}"/>
    <cellStyle name="Percentuale 27 3" xfId="1439" xr:uid="{00000000-0005-0000-0000-0000DC970000}"/>
    <cellStyle name="Percentuale 27 3 2" xfId="1440" xr:uid="{00000000-0005-0000-0000-0000DD970000}"/>
    <cellStyle name="Percentuale 27 3 3" xfId="19987" xr:uid="{00000000-0005-0000-0000-0000DE970000}"/>
    <cellStyle name="Percentuale 27 3 3 2" xfId="20993" xr:uid="{00000000-0005-0000-0000-0000DF970000}"/>
    <cellStyle name="Percentuale 27 3 4" xfId="20992" xr:uid="{00000000-0005-0000-0000-0000E0970000}"/>
    <cellStyle name="Percentuale 27 3 5" xfId="19986" xr:uid="{00000000-0005-0000-0000-0000E1970000}"/>
    <cellStyle name="Percentuale 27 4" xfId="1441" xr:uid="{00000000-0005-0000-0000-0000E2970000}"/>
    <cellStyle name="Percentuale 27 4 2" xfId="19989" xr:uid="{00000000-0005-0000-0000-0000E3970000}"/>
    <cellStyle name="Percentuale 27 4 2 2" xfId="20995" xr:uid="{00000000-0005-0000-0000-0000E4970000}"/>
    <cellStyle name="Percentuale 27 4 3" xfId="20994" xr:uid="{00000000-0005-0000-0000-0000E5970000}"/>
    <cellStyle name="Percentuale 27 4 4" xfId="19988" xr:uid="{00000000-0005-0000-0000-0000E6970000}"/>
    <cellStyle name="Percentuale 27 4 5" xfId="11842" xr:uid="{00000000-0005-0000-0000-0000E7970000}"/>
    <cellStyle name="Percentuale 27 5" xfId="1442" xr:uid="{00000000-0005-0000-0000-0000E8970000}"/>
    <cellStyle name="Percentuale 27 5 2" xfId="11843" xr:uid="{00000000-0005-0000-0000-0000E9970000}"/>
    <cellStyle name="Percentuale 27 6" xfId="1443" xr:uid="{00000000-0005-0000-0000-0000EA970000}"/>
    <cellStyle name="Percentuale 27 6 2" xfId="21847" xr:uid="{00000000-0005-0000-0000-0000EB970000}"/>
    <cellStyle name="Percentuale 28" xfId="1444" xr:uid="{00000000-0005-0000-0000-0000EC970000}"/>
    <cellStyle name="Percentuale 28 2" xfId="1445" xr:uid="{00000000-0005-0000-0000-0000ED970000}"/>
    <cellStyle name="Percentuale 28 2 2" xfId="3761" xr:uid="{00000000-0005-0000-0000-0000EE970000}"/>
    <cellStyle name="Percentuale 28 3" xfId="1446" xr:uid="{00000000-0005-0000-0000-0000EF970000}"/>
    <cellStyle name="Percentuale 28 3 2" xfId="1447" xr:uid="{00000000-0005-0000-0000-0000F0970000}"/>
    <cellStyle name="Percentuale 28 3 3" xfId="19991" xr:uid="{00000000-0005-0000-0000-0000F1970000}"/>
    <cellStyle name="Percentuale 28 3 3 2" xfId="20997" xr:uid="{00000000-0005-0000-0000-0000F2970000}"/>
    <cellStyle name="Percentuale 28 3 4" xfId="20996" xr:uid="{00000000-0005-0000-0000-0000F3970000}"/>
    <cellStyle name="Percentuale 28 3 5" xfId="19990" xr:uid="{00000000-0005-0000-0000-0000F4970000}"/>
    <cellStyle name="Percentuale 28 4" xfId="1448" xr:uid="{00000000-0005-0000-0000-0000F5970000}"/>
    <cellStyle name="Percentuale 28 4 2" xfId="19993" xr:uid="{00000000-0005-0000-0000-0000F6970000}"/>
    <cellStyle name="Percentuale 28 4 2 2" xfId="20999" xr:uid="{00000000-0005-0000-0000-0000F7970000}"/>
    <cellStyle name="Percentuale 28 4 3" xfId="20998" xr:uid="{00000000-0005-0000-0000-0000F8970000}"/>
    <cellStyle name="Percentuale 28 4 4" xfId="19992" xr:uid="{00000000-0005-0000-0000-0000F9970000}"/>
    <cellStyle name="Percentuale 28 4 5" xfId="11844" xr:uid="{00000000-0005-0000-0000-0000FA970000}"/>
    <cellStyle name="Percentuale 28 5" xfId="1449" xr:uid="{00000000-0005-0000-0000-0000FB970000}"/>
    <cellStyle name="Percentuale 28 5 2" xfId="11845" xr:uid="{00000000-0005-0000-0000-0000FC970000}"/>
    <cellStyle name="Percentuale 28 6" xfId="1450" xr:uid="{00000000-0005-0000-0000-0000FD970000}"/>
    <cellStyle name="Percentuale 28 6 2" xfId="21848" xr:uid="{00000000-0005-0000-0000-0000FE970000}"/>
    <cellStyle name="Percentuale 29" xfId="1451" xr:uid="{00000000-0005-0000-0000-0000FF970000}"/>
    <cellStyle name="Percentuale 29 2" xfId="1452" xr:uid="{00000000-0005-0000-0000-000000980000}"/>
    <cellStyle name="Percentuale 29 2 2" xfId="3762" xr:uid="{00000000-0005-0000-0000-000001980000}"/>
    <cellStyle name="Percentuale 29 3" xfId="1453" xr:uid="{00000000-0005-0000-0000-000002980000}"/>
    <cellStyle name="Percentuale 29 3 2" xfId="1454" xr:uid="{00000000-0005-0000-0000-000003980000}"/>
    <cellStyle name="Percentuale 29 3 3" xfId="19995" xr:uid="{00000000-0005-0000-0000-000004980000}"/>
    <cellStyle name="Percentuale 29 3 3 2" xfId="21001" xr:uid="{00000000-0005-0000-0000-000005980000}"/>
    <cellStyle name="Percentuale 29 3 4" xfId="21000" xr:uid="{00000000-0005-0000-0000-000006980000}"/>
    <cellStyle name="Percentuale 29 3 5" xfId="19994" xr:uid="{00000000-0005-0000-0000-000007980000}"/>
    <cellStyle name="Percentuale 29 4" xfId="1455" xr:uid="{00000000-0005-0000-0000-000008980000}"/>
    <cellStyle name="Percentuale 29 4 2" xfId="19997" xr:uid="{00000000-0005-0000-0000-000009980000}"/>
    <cellStyle name="Percentuale 29 4 2 2" xfId="21003" xr:uid="{00000000-0005-0000-0000-00000A980000}"/>
    <cellStyle name="Percentuale 29 4 3" xfId="21002" xr:uid="{00000000-0005-0000-0000-00000B980000}"/>
    <cellStyle name="Percentuale 29 4 4" xfId="19996" xr:uid="{00000000-0005-0000-0000-00000C980000}"/>
    <cellStyle name="Percentuale 29 4 5" xfId="11846" xr:uid="{00000000-0005-0000-0000-00000D980000}"/>
    <cellStyle name="Percentuale 29 5" xfId="1456" xr:uid="{00000000-0005-0000-0000-00000E980000}"/>
    <cellStyle name="Percentuale 29 5 2" xfId="11847" xr:uid="{00000000-0005-0000-0000-00000F980000}"/>
    <cellStyle name="Percentuale 29 6" xfId="1457" xr:uid="{00000000-0005-0000-0000-000010980000}"/>
    <cellStyle name="Percentuale 29 6 2" xfId="21849" xr:uid="{00000000-0005-0000-0000-000011980000}"/>
    <cellStyle name="Percentuale 3" xfId="1458" xr:uid="{00000000-0005-0000-0000-000012980000}"/>
    <cellStyle name="Percentuale 3 2" xfId="1459" xr:uid="{00000000-0005-0000-0000-000013980000}"/>
    <cellStyle name="Percentuale 3 2 2" xfId="3763" xr:uid="{00000000-0005-0000-0000-000014980000}"/>
    <cellStyle name="Percentuale 3 3" xfId="1460" xr:uid="{00000000-0005-0000-0000-000015980000}"/>
    <cellStyle name="Percentuale 3 3 2" xfId="1461" xr:uid="{00000000-0005-0000-0000-000016980000}"/>
    <cellStyle name="Percentuale 3 3 3" xfId="19999" xr:uid="{00000000-0005-0000-0000-000017980000}"/>
    <cellStyle name="Percentuale 3 3 3 2" xfId="21005" xr:uid="{00000000-0005-0000-0000-000018980000}"/>
    <cellStyle name="Percentuale 3 3 4" xfId="21004" xr:uid="{00000000-0005-0000-0000-000019980000}"/>
    <cellStyle name="Percentuale 3 3 5" xfId="19998" xr:uid="{00000000-0005-0000-0000-00001A980000}"/>
    <cellStyle name="Percentuale 3 4" xfId="1462" xr:uid="{00000000-0005-0000-0000-00001B980000}"/>
    <cellStyle name="Percentuale 3 4 2" xfId="20001" xr:uid="{00000000-0005-0000-0000-00001C980000}"/>
    <cellStyle name="Percentuale 3 4 2 2" xfId="21007" xr:uid="{00000000-0005-0000-0000-00001D980000}"/>
    <cellStyle name="Percentuale 3 4 3" xfId="21006" xr:uid="{00000000-0005-0000-0000-00001E980000}"/>
    <cellStyle name="Percentuale 3 4 4" xfId="20000" xr:uid="{00000000-0005-0000-0000-00001F980000}"/>
    <cellStyle name="Percentuale 3 4 5" xfId="11848" xr:uid="{00000000-0005-0000-0000-000020980000}"/>
    <cellStyle name="Percentuale 3 5" xfId="1463" xr:uid="{00000000-0005-0000-0000-000021980000}"/>
    <cellStyle name="Percentuale 3 5 2" xfId="11849" xr:uid="{00000000-0005-0000-0000-000022980000}"/>
    <cellStyle name="Percentuale 3 6" xfId="1464" xr:uid="{00000000-0005-0000-0000-000023980000}"/>
    <cellStyle name="Percentuale 3 6 2" xfId="21850" xr:uid="{00000000-0005-0000-0000-000024980000}"/>
    <cellStyle name="Percentuale 30" xfId="1465" xr:uid="{00000000-0005-0000-0000-000025980000}"/>
    <cellStyle name="Percentuale 30 2" xfId="1466" xr:uid="{00000000-0005-0000-0000-000026980000}"/>
    <cellStyle name="Percentuale 30 2 2" xfId="3764" xr:uid="{00000000-0005-0000-0000-000027980000}"/>
    <cellStyle name="Percentuale 30 3" xfId="1467" xr:uid="{00000000-0005-0000-0000-000028980000}"/>
    <cellStyle name="Percentuale 30 3 2" xfId="1468" xr:uid="{00000000-0005-0000-0000-000029980000}"/>
    <cellStyle name="Percentuale 30 3 3" xfId="20003" xr:uid="{00000000-0005-0000-0000-00002A980000}"/>
    <cellStyle name="Percentuale 30 3 3 2" xfId="21009" xr:uid="{00000000-0005-0000-0000-00002B980000}"/>
    <cellStyle name="Percentuale 30 3 4" xfId="21008" xr:uid="{00000000-0005-0000-0000-00002C980000}"/>
    <cellStyle name="Percentuale 30 3 5" xfId="20002" xr:uid="{00000000-0005-0000-0000-00002D980000}"/>
    <cellStyle name="Percentuale 30 4" xfId="1469" xr:uid="{00000000-0005-0000-0000-00002E980000}"/>
    <cellStyle name="Percentuale 30 4 2" xfId="20005" xr:uid="{00000000-0005-0000-0000-00002F980000}"/>
    <cellStyle name="Percentuale 30 4 2 2" xfId="21011" xr:uid="{00000000-0005-0000-0000-000030980000}"/>
    <cellStyle name="Percentuale 30 4 3" xfId="21010" xr:uid="{00000000-0005-0000-0000-000031980000}"/>
    <cellStyle name="Percentuale 30 4 4" xfId="20004" xr:uid="{00000000-0005-0000-0000-000032980000}"/>
    <cellStyle name="Percentuale 30 4 5" xfId="11850" xr:uid="{00000000-0005-0000-0000-000033980000}"/>
    <cellStyle name="Percentuale 30 5" xfId="1470" xr:uid="{00000000-0005-0000-0000-000034980000}"/>
    <cellStyle name="Percentuale 30 5 2" xfId="11851" xr:uid="{00000000-0005-0000-0000-000035980000}"/>
    <cellStyle name="Percentuale 30 6" xfId="1471" xr:uid="{00000000-0005-0000-0000-000036980000}"/>
    <cellStyle name="Percentuale 30 6 2" xfId="21851" xr:uid="{00000000-0005-0000-0000-000037980000}"/>
    <cellStyle name="Percentuale 31" xfId="1472" xr:uid="{00000000-0005-0000-0000-000038980000}"/>
    <cellStyle name="Percentuale 31 2" xfId="1473" xr:uid="{00000000-0005-0000-0000-000039980000}"/>
    <cellStyle name="Percentuale 31 2 2" xfId="3765" xr:uid="{00000000-0005-0000-0000-00003A980000}"/>
    <cellStyle name="Percentuale 31 3" xfId="1474" xr:uid="{00000000-0005-0000-0000-00003B980000}"/>
    <cellStyle name="Percentuale 31 3 2" xfId="1475" xr:uid="{00000000-0005-0000-0000-00003C980000}"/>
    <cellStyle name="Percentuale 31 3 3" xfId="20007" xr:uid="{00000000-0005-0000-0000-00003D980000}"/>
    <cellStyle name="Percentuale 31 3 3 2" xfId="21013" xr:uid="{00000000-0005-0000-0000-00003E980000}"/>
    <cellStyle name="Percentuale 31 3 4" xfId="21012" xr:uid="{00000000-0005-0000-0000-00003F980000}"/>
    <cellStyle name="Percentuale 31 3 5" xfId="20006" xr:uid="{00000000-0005-0000-0000-000040980000}"/>
    <cellStyle name="Percentuale 31 4" xfId="1476" xr:uid="{00000000-0005-0000-0000-000041980000}"/>
    <cellStyle name="Percentuale 31 4 2" xfId="20009" xr:uid="{00000000-0005-0000-0000-000042980000}"/>
    <cellStyle name="Percentuale 31 4 2 2" xfId="21015" xr:uid="{00000000-0005-0000-0000-000043980000}"/>
    <cellStyle name="Percentuale 31 4 3" xfId="21014" xr:uid="{00000000-0005-0000-0000-000044980000}"/>
    <cellStyle name="Percentuale 31 4 4" xfId="20008" xr:uid="{00000000-0005-0000-0000-000045980000}"/>
    <cellStyle name="Percentuale 31 4 5" xfId="11852" xr:uid="{00000000-0005-0000-0000-000046980000}"/>
    <cellStyle name="Percentuale 31 5" xfId="1477" xr:uid="{00000000-0005-0000-0000-000047980000}"/>
    <cellStyle name="Percentuale 31 5 2" xfId="11853" xr:uid="{00000000-0005-0000-0000-000048980000}"/>
    <cellStyle name="Percentuale 31 6" xfId="1478" xr:uid="{00000000-0005-0000-0000-000049980000}"/>
    <cellStyle name="Percentuale 31 6 2" xfId="21852" xr:uid="{00000000-0005-0000-0000-00004A980000}"/>
    <cellStyle name="Percentuale 32" xfId="1479" xr:uid="{00000000-0005-0000-0000-00004B980000}"/>
    <cellStyle name="Percentuale 32 2" xfId="1480" xr:uid="{00000000-0005-0000-0000-00004C980000}"/>
    <cellStyle name="Percentuale 32 2 2" xfId="3766" xr:uid="{00000000-0005-0000-0000-00004D980000}"/>
    <cellStyle name="Percentuale 32 3" xfId="1481" xr:uid="{00000000-0005-0000-0000-00004E980000}"/>
    <cellStyle name="Percentuale 32 3 2" xfId="1482" xr:uid="{00000000-0005-0000-0000-00004F980000}"/>
    <cellStyle name="Percentuale 32 3 3" xfId="20011" xr:uid="{00000000-0005-0000-0000-000050980000}"/>
    <cellStyle name="Percentuale 32 3 3 2" xfId="21017" xr:uid="{00000000-0005-0000-0000-000051980000}"/>
    <cellStyle name="Percentuale 32 3 4" xfId="21016" xr:uid="{00000000-0005-0000-0000-000052980000}"/>
    <cellStyle name="Percentuale 32 3 5" xfId="20010" xr:uid="{00000000-0005-0000-0000-000053980000}"/>
    <cellStyle name="Percentuale 32 4" xfId="1483" xr:uid="{00000000-0005-0000-0000-000054980000}"/>
    <cellStyle name="Percentuale 32 4 2" xfId="20013" xr:uid="{00000000-0005-0000-0000-000055980000}"/>
    <cellStyle name="Percentuale 32 4 2 2" xfId="21019" xr:uid="{00000000-0005-0000-0000-000056980000}"/>
    <cellStyle name="Percentuale 32 4 3" xfId="21018" xr:uid="{00000000-0005-0000-0000-000057980000}"/>
    <cellStyle name="Percentuale 32 4 4" xfId="20012" xr:uid="{00000000-0005-0000-0000-000058980000}"/>
    <cellStyle name="Percentuale 32 4 5" xfId="11854" xr:uid="{00000000-0005-0000-0000-000059980000}"/>
    <cellStyle name="Percentuale 32 5" xfId="1484" xr:uid="{00000000-0005-0000-0000-00005A980000}"/>
    <cellStyle name="Percentuale 32 5 2" xfId="11855" xr:uid="{00000000-0005-0000-0000-00005B980000}"/>
    <cellStyle name="Percentuale 32 6" xfId="1485" xr:uid="{00000000-0005-0000-0000-00005C980000}"/>
    <cellStyle name="Percentuale 32 6 2" xfId="21853" xr:uid="{00000000-0005-0000-0000-00005D980000}"/>
    <cellStyle name="Percentuale 33" xfId="1486" xr:uid="{00000000-0005-0000-0000-00005E980000}"/>
    <cellStyle name="Percentuale 33 2" xfId="1487" xr:uid="{00000000-0005-0000-0000-00005F980000}"/>
    <cellStyle name="Percentuale 33 2 2" xfId="3767" xr:uid="{00000000-0005-0000-0000-000060980000}"/>
    <cellStyle name="Percentuale 33 3" xfId="1488" xr:uid="{00000000-0005-0000-0000-000061980000}"/>
    <cellStyle name="Percentuale 33 3 2" xfId="1489" xr:uid="{00000000-0005-0000-0000-000062980000}"/>
    <cellStyle name="Percentuale 33 3 3" xfId="20015" xr:uid="{00000000-0005-0000-0000-000063980000}"/>
    <cellStyle name="Percentuale 33 3 3 2" xfId="21021" xr:uid="{00000000-0005-0000-0000-000064980000}"/>
    <cellStyle name="Percentuale 33 3 4" xfId="21020" xr:uid="{00000000-0005-0000-0000-000065980000}"/>
    <cellStyle name="Percentuale 33 3 5" xfId="20014" xr:uid="{00000000-0005-0000-0000-000066980000}"/>
    <cellStyle name="Percentuale 33 4" xfId="1490" xr:uid="{00000000-0005-0000-0000-000067980000}"/>
    <cellStyle name="Percentuale 33 4 2" xfId="20017" xr:uid="{00000000-0005-0000-0000-000068980000}"/>
    <cellStyle name="Percentuale 33 4 2 2" xfId="21023" xr:uid="{00000000-0005-0000-0000-000069980000}"/>
    <cellStyle name="Percentuale 33 4 3" xfId="21022" xr:uid="{00000000-0005-0000-0000-00006A980000}"/>
    <cellStyle name="Percentuale 33 4 4" xfId="20016" xr:uid="{00000000-0005-0000-0000-00006B980000}"/>
    <cellStyle name="Percentuale 33 4 5" xfId="11856" xr:uid="{00000000-0005-0000-0000-00006C980000}"/>
    <cellStyle name="Percentuale 33 5" xfId="1491" xr:uid="{00000000-0005-0000-0000-00006D980000}"/>
    <cellStyle name="Percentuale 33 5 2" xfId="11857" xr:uid="{00000000-0005-0000-0000-00006E980000}"/>
    <cellStyle name="Percentuale 33 6" xfId="1492" xr:uid="{00000000-0005-0000-0000-00006F980000}"/>
    <cellStyle name="Percentuale 33 6 2" xfId="21854" xr:uid="{00000000-0005-0000-0000-000070980000}"/>
    <cellStyle name="Percentuale 34" xfId="1493" xr:uid="{00000000-0005-0000-0000-000071980000}"/>
    <cellStyle name="Percentuale 34 2" xfId="1494" xr:uid="{00000000-0005-0000-0000-000072980000}"/>
    <cellStyle name="Percentuale 34 2 2" xfId="3768" xr:uid="{00000000-0005-0000-0000-000073980000}"/>
    <cellStyle name="Percentuale 34 3" xfId="1495" xr:uid="{00000000-0005-0000-0000-000074980000}"/>
    <cellStyle name="Percentuale 34 3 2" xfId="1496" xr:uid="{00000000-0005-0000-0000-000075980000}"/>
    <cellStyle name="Percentuale 34 3 3" xfId="20019" xr:uid="{00000000-0005-0000-0000-000076980000}"/>
    <cellStyle name="Percentuale 34 3 3 2" xfId="21025" xr:uid="{00000000-0005-0000-0000-000077980000}"/>
    <cellStyle name="Percentuale 34 3 4" xfId="21024" xr:uid="{00000000-0005-0000-0000-000078980000}"/>
    <cellStyle name="Percentuale 34 3 5" xfId="20018" xr:uid="{00000000-0005-0000-0000-000079980000}"/>
    <cellStyle name="Percentuale 34 4" xfId="1497" xr:uid="{00000000-0005-0000-0000-00007A980000}"/>
    <cellStyle name="Percentuale 34 4 2" xfId="20021" xr:uid="{00000000-0005-0000-0000-00007B980000}"/>
    <cellStyle name="Percentuale 34 4 2 2" xfId="21027" xr:uid="{00000000-0005-0000-0000-00007C980000}"/>
    <cellStyle name="Percentuale 34 4 3" xfId="21026" xr:uid="{00000000-0005-0000-0000-00007D980000}"/>
    <cellStyle name="Percentuale 34 4 4" xfId="20020" xr:uid="{00000000-0005-0000-0000-00007E980000}"/>
    <cellStyle name="Percentuale 34 4 5" xfId="11858" xr:uid="{00000000-0005-0000-0000-00007F980000}"/>
    <cellStyle name="Percentuale 34 5" xfId="1498" xr:uid="{00000000-0005-0000-0000-000080980000}"/>
    <cellStyle name="Percentuale 34 5 2" xfId="11859" xr:uid="{00000000-0005-0000-0000-000081980000}"/>
    <cellStyle name="Percentuale 34 6" xfId="1499" xr:uid="{00000000-0005-0000-0000-000082980000}"/>
    <cellStyle name="Percentuale 34 6 2" xfId="21855" xr:uid="{00000000-0005-0000-0000-000083980000}"/>
    <cellStyle name="Percentuale 35" xfId="1500" xr:uid="{00000000-0005-0000-0000-000084980000}"/>
    <cellStyle name="Percentuale 35 2" xfId="1501" xr:uid="{00000000-0005-0000-0000-000085980000}"/>
    <cellStyle name="Percentuale 35 2 2" xfId="3769" xr:uid="{00000000-0005-0000-0000-000086980000}"/>
    <cellStyle name="Percentuale 35 3" xfId="1502" xr:uid="{00000000-0005-0000-0000-000087980000}"/>
    <cellStyle name="Percentuale 35 3 2" xfId="1503" xr:uid="{00000000-0005-0000-0000-000088980000}"/>
    <cellStyle name="Percentuale 35 3 3" xfId="20023" xr:uid="{00000000-0005-0000-0000-000089980000}"/>
    <cellStyle name="Percentuale 35 3 3 2" xfId="21029" xr:uid="{00000000-0005-0000-0000-00008A980000}"/>
    <cellStyle name="Percentuale 35 3 4" xfId="21028" xr:uid="{00000000-0005-0000-0000-00008B980000}"/>
    <cellStyle name="Percentuale 35 3 5" xfId="20022" xr:uid="{00000000-0005-0000-0000-00008C980000}"/>
    <cellStyle name="Percentuale 35 4" xfId="1504" xr:uid="{00000000-0005-0000-0000-00008D980000}"/>
    <cellStyle name="Percentuale 35 4 2" xfId="20025" xr:uid="{00000000-0005-0000-0000-00008E980000}"/>
    <cellStyle name="Percentuale 35 4 2 2" xfId="21031" xr:uid="{00000000-0005-0000-0000-00008F980000}"/>
    <cellStyle name="Percentuale 35 4 3" xfId="21030" xr:uid="{00000000-0005-0000-0000-000090980000}"/>
    <cellStyle name="Percentuale 35 4 4" xfId="20024" xr:uid="{00000000-0005-0000-0000-000091980000}"/>
    <cellStyle name="Percentuale 35 4 5" xfId="11860" xr:uid="{00000000-0005-0000-0000-000092980000}"/>
    <cellStyle name="Percentuale 35 5" xfId="1505" xr:uid="{00000000-0005-0000-0000-000093980000}"/>
    <cellStyle name="Percentuale 35 5 2" xfId="11861" xr:uid="{00000000-0005-0000-0000-000094980000}"/>
    <cellStyle name="Percentuale 35 6" xfId="1506" xr:uid="{00000000-0005-0000-0000-000095980000}"/>
    <cellStyle name="Percentuale 35 6 2" xfId="21856" xr:uid="{00000000-0005-0000-0000-000096980000}"/>
    <cellStyle name="Percentuale 36" xfId="1507" xr:uid="{00000000-0005-0000-0000-000097980000}"/>
    <cellStyle name="Percentuale 36 2" xfId="1508" xr:uid="{00000000-0005-0000-0000-000098980000}"/>
    <cellStyle name="Percentuale 36 2 2" xfId="3770" xr:uid="{00000000-0005-0000-0000-000099980000}"/>
    <cellStyle name="Percentuale 36 3" xfId="1509" xr:uid="{00000000-0005-0000-0000-00009A980000}"/>
    <cellStyle name="Percentuale 36 3 2" xfId="1510" xr:uid="{00000000-0005-0000-0000-00009B980000}"/>
    <cellStyle name="Percentuale 36 3 3" xfId="20027" xr:uid="{00000000-0005-0000-0000-00009C980000}"/>
    <cellStyle name="Percentuale 36 3 3 2" xfId="21033" xr:uid="{00000000-0005-0000-0000-00009D980000}"/>
    <cellStyle name="Percentuale 36 3 4" xfId="21032" xr:uid="{00000000-0005-0000-0000-00009E980000}"/>
    <cellStyle name="Percentuale 36 3 5" xfId="20026" xr:uid="{00000000-0005-0000-0000-00009F980000}"/>
    <cellStyle name="Percentuale 36 4" xfId="1511" xr:uid="{00000000-0005-0000-0000-0000A0980000}"/>
    <cellStyle name="Percentuale 36 4 2" xfId="20029" xr:uid="{00000000-0005-0000-0000-0000A1980000}"/>
    <cellStyle name="Percentuale 36 4 2 2" xfId="21035" xr:uid="{00000000-0005-0000-0000-0000A2980000}"/>
    <cellStyle name="Percentuale 36 4 3" xfId="21034" xr:uid="{00000000-0005-0000-0000-0000A3980000}"/>
    <cellStyle name="Percentuale 36 4 4" xfId="20028" xr:uid="{00000000-0005-0000-0000-0000A4980000}"/>
    <cellStyle name="Percentuale 36 4 5" xfId="11862" xr:uid="{00000000-0005-0000-0000-0000A5980000}"/>
    <cellStyle name="Percentuale 36 5" xfId="1512" xr:uid="{00000000-0005-0000-0000-0000A6980000}"/>
    <cellStyle name="Percentuale 36 5 2" xfId="11863" xr:uid="{00000000-0005-0000-0000-0000A7980000}"/>
    <cellStyle name="Percentuale 36 6" xfId="1513" xr:uid="{00000000-0005-0000-0000-0000A8980000}"/>
    <cellStyle name="Percentuale 36 6 2" xfId="21857" xr:uid="{00000000-0005-0000-0000-0000A9980000}"/>
    <cellStyle name="Percentuale 37" xfId="1514" xr:uid="{00000000-0005-0000-0000-0000AA980000}"/>
    <cellStyle name="Percentuale 37 2" xfId="1515" xr:uid="{00000000-0005-0000-0000-0000AB980000}"/>
    <cellStyle name="Percentuale 37 2 2" xfId="3771" xr:uid="{00000000-0005-0000-0000-0000AC980000}"/>
    <cellStyle name="Percentuale 37 3" xfId="1516" xr:uid="{00000000-0005-0000-0000-0000AD980000}"/>
    <cellStyle name="Percentuale 37 3 2" xfId="1517" xr:uid="{00000000-0005-0000-0000-0000AE980000}"/>
    <cellStyle name="Percentuale 37 3 3" xfId="20031" xr:uid="{00000000-0005-0000-0000-0000AF980000}"/>
    <cellStyle name="Percentuale 37 3 3 2" xfId="21037" xr:uid="{00000000-0005-0000-0000-0000B0980000}"/>
    <cellStyle name="Percentuale 37 3 4" xfId="21036" xr:uid="{00000000-0005-0000-0000-0000B1980000}"/>
    <cellStyle name="Percentuale 37 3 5" xfId="20030" xr:uid="{00000000-0005-0000-0000-0000B2980000}"/>
    <cellStyle name="Percentuale 37 4" xfId="1518" xr:uid="{00000000-0005-0000-0000-0000B3980000}"/>
    <cellStyle name="Percentuale 37 4 2" xfId="20033" xr:uid="{00000000-0005-0000-0000-0000B4980000}"/>
    <cellStyle name="Percentuale 37 4 2 2" xfId="21039" xr:uid="{00000000-0005-0000-0000-0000B5980000}"/>
    <cellStyle name="Percentuale 37 4 3" xfId="21038" xr:uid="{00000000-0005-0000-0000-0000B6980000}"/>
    <cellStyle name="Percentuale 37 4 4" xfId="20032" xr:uid="{00000000-0005-0000-0000-0000B7980000}"/>
    <cellStyle name="Percentuale 37 4 5" xfId="11864" xr:uid="{00000000-0005-0000-0000-0000B8980000}"/>
    <cellStyle name="Percentuale 37 5" xfId="1519" xr:uid="{00000000-0005-0000-0000-0000B9980000}"/>
    <cellStyle name="Percentuale 37 5 2" xfId="11865" xr:uid="{00000000-0005-0000-0000-0000BA980000}"/>
    <cellStyle name="Percentuale 37 6" xfId="1520" xr:uid="{00000000-0005-0000-0000-0000BB980000}"/>
    <cellStyle name="Percentuale 37 6 2" xfId="21858" xr:uid="{00000000-0005-0000-0000-0000BC980000}"/>
    <cellStyle name="Percentuale 38" xfId="1521" xr:uid="{00000000-0005-0000-0000-0000BD980000}"/>
    <cellStyle name="Percentuale 38 2" xfId="1522" xr:uid="{00000000-0005-0000-0000-0000BE980000}"/>
    <cellStyle name="Percentuale 38 2 2" xfId="3772" xr:uid="{00000000-0005-0000-0000-0000BF980000}"/>
    <cellStyle name="Percentuale 38 3" xfId="1523" xr:uid="{00000000-0005-0000-0000-0000C0980000}"/>
    <cellStyle name="Percentuale 38 3 2" xfId="1524" xr:uid="{00000000-0005-0000-0000-0000C1980000}"/>
    <cellStyle name="Percentuale 38 3 3" xfId="20035" xr:uid="{00000000-0005-0000-0000-0000C2980000}"/>
    <cellStyle name="Percentuale 38 3 3 2" xfId="21041" xr:uid="{00000000-0005-0000-0000-0000C3980000}"/>
    <cellStyle name="Percentuale 38 3 4" xfId="21040" xr:uid="{00000000-0005-0000-0000-0000C4980000}"/>
    <cellStyle name="Percentuale 38 3 5" xfId="20034" xr:uid="{00000000-0005-0000-0000-0000C5980000}"/>
    <cellStyle name="Percentuale 38 4" xfId="1525" xr:uid="{00000000-0005-0000-0000-0000C6980000}"/>
    <cellStyle name="Percentuale 38 4 2" xfId="20037" xr:uid="{00000000-0005-0000-0000-0000C7980000}"/>
    <cellStyle name="Percentuale 38 4 2 2" xfId="21043" xr:uid="{00000000-0005-0000-0000-0000C8980000}"/>
    <cellStyle name="Percentuale 38 4 3" xfId="21042" xr:uid="{00000000-0005-0000-0000-0000C9980000}"/>
    <cellStyle name="Percentuale 38 4 4" xfId="20036" xr:uid="{00000000-0005-0000-0000-0000CA980000}"/>
    <cellStyle name="Percentuale 38 4 5" xfId="11866" xr:uid="{00000000-0005-0000-0000-0000CB980000}"/>
    <cellStyle name="Percentuale 38 5" xfId="1526" xr:uid="{00000000-0005-0000-0000-0000CC980000}"/>
    <cellStyle name="Percentuale 38 5 2" xfId="11867" xr:uid="{00000000-0005-0000-0000-0000CD980000}"/>
    <cellStyle name="Percentuale 38 6" xfId="1527" xr:uid="{00000000-0005-0000-0000-0000CE980000}"/>
    <cellStyle name="Percentuale 38 6 2" xfId="21859" xr:uid="{00000000-0005-0000-0000-0000CF980000}"/>
    <cellStyle name="Percentuale 39" xfId="1528" xr:uid="{00000000-0005-0000-0000-0000D0980000}"/>
    <cellStyle name="Percentuale 39 2" xfId="1529" xr:uid="{00000000-0005-0000-0000-0000D1980000}"/>
    <cellStyle name="Percentuale 39 2 2" xfId="3773" xr:uid="{00000000-0005-0000-0000-0000D2980000}"/>
    <cellStyle name="Percentuale 39 3" xfId="1530" xr:uid="{00000000-0005-0000-0000-0000D3980000}"/>
    <cellStyle name="Percentuale 39 3 2" xfId="1531" xr:uid="{00000000-0005-0000-0000-0000D4980000}"/>
    <cellStyle name="Percentuale 39 3 3" xfId="20039" xr:uid="{00000000-0005-0000-0000-0000D5980000}"/>
    <cellStyle name="Percentuale 39 3 3 2" xfId="21045" xr:uid="{00000000-0005-0000-0000-0000D6980000}"/>
    <cellStyle name="Percentuale 39 3 4" xfId="21044" xr:uid="{00000000-0005-0000-0000-0000D7980000}"/>
    <cellStyle name="Percentuale 39 3 5" xfId="20038" xr:uid="{00000000-0005-0000-0000-0000D8980000}"/>
    <cellStyle name="Percentuale 39 4" xfId="1532" xr:uid="{00000000-0005-0000-0000-0000D9980000}"/>
    <cellStyle name="Percentuale 39 4 2" xfId="20041" xr:uid="{00000000-0005-0000-0000-0000DA980000}"/>
    <cellStyle name="Percentuale 39 4 2 2" xfId="21047" xr:uid="{00000000-0005-0000-0000-0000DB980000}"/>
    <cellStyle name="Percentuale 39 4 3" xfId="21046" xr:uid="{00000000-0005-0000-0000-0000DC980000}"/>
    <cellStyle name="Percentuale 39 4 4" xfId="20040" xr:uid="{00000000-0005-0000-0000-0000DD980000}"/>
    <cellStyle name="Percentuale 39 4 5" xfId="11868" xr:uid="{00000000-0005-0000-0000-0000DE980000}"/>
    <cellStyle name="Percentuale 39 5" xfId="1533" xr:uid="{00000000-0005-0000-0000-0000DF980000}"/>
    <cellStyle name="Percentuale 39 5 2" xfId="11869" xr:uid="{00000000-0005-0000-0000-0000E0980000}"/>
    <cellStyle name="Percentuale 39 6" xfId="1534" xr:uid="{00000000-0005-0000-0000-0000E1980000}"/>
    <cellStyle name="Percentuale 39 6 2" xfId="21860" xr:uid="{00000000-0005-0000-0000-0000E2980000}"/>
    <cellStyle name="Percentuale 4" xfId="1535" xr:uid="{00000000-0005-0000-0000-0000E3980000}"/>
    <cellStyle name="Percentuale 4 2" xfId="1536" xr:uid="{00000000-0005-0000-0000-0000E4980000}"/>
    <cellStyle name="Percentuale 4 2 2" xfId="3774" xr:uid="{00000000-0005-0000-0000-0000E5980000}"/>
    <cellStyle name="Percentuale 4 3" xfId="1537" xr:uid="{00000000-0005-0000-0000-0000E6980000}"/>
    <cellStyle name="Percentuale 4 3 2" xfId="1538" xr:uid="{00000000-0005-0000-0000-0000E7980000}"/>
    <cellStyle name="Percentuale 4 3 3" xfId="20043" xr:uid="{00000000-0005-0000-0000-0000E8980000}"/>
    <cellStyle name="Percentuale 4 3 3 2" xfId="21049" xr:uid="{00000000-0005-0000-0000-0000E9980000}"/>
    <cellStyle name="Percentuale 4 3 4" xfId="21048" xr:uid="{00000000-0005-0000-0000-0000EA980000}"/>
    <cellStyle name="Percentuale 4 3 5" xfId="20042" xr:uid="{00000000-0005-0000-0000-0000EB980000}"/>
    <cellStyle name="Percentuale 4 4" xfId="1539" xr:uid="{00000000-0005-0000-0000-0000EC980000}"/>
    <cellStyle name="Percentuale 4 4 2" xfId="20045" xr:uid="{00000000-0005-0000-0000-0000ED980000}"/>
    <cellStyle name="Percentuale 4 4 2 2" xfId="21051" xr:uid="{00000000-0005-0000-0000-0000EE980000}"/>
    <cellStyle name="Percentuale 4 4 3" xfId="21050" xr:uid="{00000000-0005-0000-0000-0000EF980000}"/>
    <cellStyle name="Percentuale 4 4 4" xfId="20044" xr:uid="{00000000-0005-0000-0000-0000F0980000}"/>
    <cellStyle name="Percentuale 4 4 5" xfId="11870" xr:uid="{00000000-0005-0000-0000-0000F1980000}"/>
    <cellStyle name="Percentuale 4 5" xfId="1540" xr:uid="{00000000-0005-0000-0000-0000F2980000}"/>
    <cellStyle name="Percentuale 4 5 2" xfId="11871" xr:uid="{00000000-0005-0000-0000-0000F3980000}"/>
    <cellStyle name="Percentuale 4 6" xfId="1541" xr:uid="{00000000-0005-0000-0000-0000F4980000}"/>
    <cellStyle name="Percentuale 4 6 2" xfId="21861" xr:uid="{00000000-0005-0000-0000-0000F5980000}"/>
    <cellStyle name="Percentuale 40" xfId="1542" xr:uid="{00000000-0005-0000-0000-0000F6980000}"/>
    <cellStyle name="Percentuale 40 2" xfId="1543" xr:uid="{00000000-0005-0000-0000-0000F7980000}"/>
    <cellStyle name="Percentuale 40 2 2" xfId="3775" xr:uid="{00000000-0005-0000-0000-0000F8980000}"/>
    <cellStyle name="Percentuale 40 3" xfId="1544" xr:uid="{00000000-0005-0000-0000-0000F9980000}"/>
    <cellStyle name="Percentuale 40 3 2" xfId="1545" xr:uid="{00000000-0005-0000-0000-0000FA980000}"/>
    <cellStyle name="Percentuale 40 3 3" xfId="20047" xr:uid="{00000000-0005-0000-0000-0000FB980000}"/>
    <cellStyle name="Percentuale 40 3 3 2" xfId="21053" xr:uid="{00000000-0005-0000-0000-0000FC980000}"/>
    <cellStyle name="Percentuale 40 3 4" xfId="21052" xr:uid="{00000000-0005-0000-0000-0000FD980000}"/>
    <cellStyle name="Percentuale 40 3 5" xfId="20046" xr:uid="{00000000-0005-0000-0000-0000FE980000}"/>
    <cellStyle name="Percentuale 40 4" xfId="1546" xr:uid="{00000000-0005-0000-0000-0000FF980000}"/>
    <cellStyle name="Percentuale 40 4 2" xfId="20049" xr:uid="{00000000-0005-0000-0000-000000990000}"/>
    <cellStyle name="Percentuale 40 4 2 2" xfId="21055" xr:uid="{00000000-0005-0000-0000-000001990000}"/>
    <cellStyle name="Percentuale 40 4 3" xfId="21054" xr:uid="{00000000-0005-0000-0000-000002990000}"/>
    <cellStyle name="Percentuale 40 4 4" xfId="20048" xr:uid="{00000000-0005-0000-0000-000003990000}"/>
    <cellStyle name="Percentuale 40 4 5" xfId="11872" xr:uid="{00000000-0005-0000-0000-000004990000}"/>
    <cellStyle name="Percentuale 40 5" xfId="1547" xr:uid="{00000000-0005-0000-0000-000005990000}"/>
    <cellStyle name="Percentuale 40 5 2" xfId="11873" xr:uid="{00000000-0005-0000-0000-000006990000}"/>
    <cellStyle name="Percentuale 40 6" xfId="1548" xr:uid="{00000000-0005-0000-0000-000007990000}"/>
    <cellStyle name="Percentuale 40 6 2" xfId="21862" xr:uid="{00000000-0005-0000-0000-000008990000}"/>
    <cellStyle name="Percentuale 41" xfId="1549" xr:uid="{00000000-0005-0000-0000-000009990000}"/>
    <cellStyle name="Percentuale 41 2" xfId="1550" xr:uid="{00000000-0005-0000-0000-00000A990000}"/>
    <cellStyle name="Percentuale 41 2 2" xfId="3776" xr:uid="{00000000-0005-0000-0000-00000B990000}"/>
    <cellStyle name="Percentuale 41 3" xfId="1551" xr:uid="{00000000-0005-0000-0000-00000C990000}"/>
    <cellStyle name="Percentuale 41 3 2" xfId="1552" xr:uid="{00000000-0005-0000-0000-00000D990000}"/>
    <cellStyle name="Percentuale 41 3 3" xfId="20051" xr:uid="{00000000-0005-0000-0000-00000E990000}"/>
    <cellStyle name="Percentuale 41 3 3 2" xfId="21057" xr:uid="{00000000-0005-0000-0000-00000F990000}"/>
    <cellStyle name="Percentuale 41 3 4" xfId="21056" xr:uid="{00000000-0005-0000-0000-000010990000}"/>
    <cellStyle name="Percentuale 41 3 5" xfId="20050" xr:uid="{00000000-0005-0000-0000-000011990000}"/>
    <cellStyle name="Percentuale 41 4" xfId="1553" xr:uid="{00000000-0005-0000-0000-000012990000}"/>
    <cellStyle name="Percentuale 41 4 2" xfId="20053" xr:uid="{00000000-0005-0000-0000-000013990000}"/>
    <cellStyle name="Percentuale 41 4 2 2" xfId="21059" xr:uid="{00000000-0005-0000-0000-000014990000}"/>
    <cellStyle name="Percentuale 41 4 3" xfId="21058" xr:uid="{00000000-0005-0000-0000-000015990000}"/>
    <cellStyle name="Percentuale 41 4 4" xfId="20052" xr:uid="{00000000-0005-0000-0000-000016990000}"/>
    <cellStyle name="Percentuale 41 4 5" xfId="11874" xr:uid="{00000000-0005-0000-0000-000017990000}"/>
    <cellStyle name="Percentuale 41 5" xfId="1554" xr:uid="{00000000-0005-0000-0000-000018990000}"/>
    <cellStyle name="Percentuale 41 5 2" xfId="11875" xr:uid="{00000000-0005-0000-0000-000019990000}"/>
    <cellStyle name="Percentuale 41 6" xfId="1555" xr:uid="{00000000-0005-0000-0000-00001A990000}"/>
    <cellStyle name="Percentuale 41 6 2" xfId="21863" xr:uid="{00000000-0005-0000-0000-00001B990000}"/>
    <cellStyle name="Percentuale 42" xfId="1556" xr:uid="{00000000-0005-0000-0000-00001C990000}"/>
    <cellStyle name="Percentuale 42 2" xfId="1557" xr:uid="{00000000-0005-0000-0000-00001D990000}"/>
    <cellStyle name="Percentuale 42 2 2" xfId="3777" xr:uid="{00000000-0005-0000-0000-00001E990000}"/>
    <cellStyle name="Percentuale 42 3" xfId="1558" xr:uid="{00000000-0005-0000-0000-00001F990000}"/>
    <cellStyle name="Percentuale 42 3 2" xfId="1559" xr:uid="{00000000-0005-0000-0000-000020990000}"/>
    <cellStyle name="Percentuale 42 3 3" xfId="20055" xr:uid="{00000000-0005-0000-0000-000021990000}"/>
    <cellStyle name="Percentuale 42 3 3 2" xfId="21061" xr:uid="{00000000-0005-0000-0000-000022990000}"/>
    <cellStyle name="Percentuale 42 3 4" xfId="21060" xr:uid="{00000000-0005-0000-0000-000023990000}"/>
    <cellStyle name="Percentuale 42 3 5" xfId="20054" xr:uid="{00000000-0005-0000-0000-000024990000}"/>
    <cellStyle name="Percentuale 42 4" xfId="1560" xr:uid="{00000000-0005-0000-0000-000025990000}"/>
    <cellStyle name="Percentuale 42 4 2" xfId="20057" xr:uid="{00000000-0005-0000-0000-000026990000}"/>
    <cellStyle name="Percentuale 42 4 2 2" xfId="21063" xr:uid="{00000000-0005-0000-0000-000027990000}"/>
    <cellStyle name="Percentuale 42 4 3" xfId="21062" xr:uid="{00000000-0005-0000-0000-000028990000}"/>
    <cellStyle name="Percentuale 42 4 4" xfId="20056" xr:uid="{00000000-0005-0000-0000-000029990000}"/>
    <cellStyle name="Percentuale 42 4 5" xfId="11876" xr:uid="{00000000-0005-0000-0000-00002A990000}"/>
    <cellStyle name="Percentuale 42 5" xfId="1561" xr:uid="{00000000-0005-0000-0000-00002B990000}"/>
    <cellStyle name="Percentuale 42 5 2" xfId="11877" xr:uid="{00000000-0005-0000-0000-00002C990000}"/>
    <cellStyle name="Percentuale 42 6" xfId="1562" xr:uid="{00000000-0005-0000-0000-00002D990000}"/>
    <cellStyle name="Percentuale 42 6 2" xfId="21864" xr:uid="{00000000-0005-0000-0000-00002E990000}"/>
    <cellStyle name="Percentuale 43" xfId="1563" xr:uid="{00000000-0005-0000-0000-00002F990000}"/>
    <cellStyle name="Percentuale 43 2" xfId="1564" xr:uid="{00000000-0005-0000-0000-000030990000}"/>
    <cellStyle name="Percentuale 43 2 2" xfId="3778" xr:uid="{00000000-0005-0000-0000-000031990000}"/>
    <cellStyle name="Percentuale 43 3" xfId="1565" xr:uid="{00000000-0005-0000-0000-000032990000}"/>
    <cellStyle name="Percentuale 43 3 2" xfId="1566" xr:uid="{00000000-0005-0000-0000-000033990000}"/>
    <cellStyle name="Percentuale 43 3 3" xfId="20059" xr:uid="{00000000-0005-0000-0000-000034990000}"/>
    <cellStyle name="Percentuale 43 3 3 2" xfId="21065" xr:uid="{00000000-0005-0000-0000-000035990000}"/>
    <cellStyle name="Percentuale 43 3 4" xfId="21064" xr:uid="{00000000-0005-0000-0000-000036990000}"/>
    <cellStyle name="Percentuale 43 3 5" xfId="20058" xr:uid="{00000000-0005-0000-0000-000037990000}"/>
    <cellStyle name="Percentuale 43 4" xfId="1567" xr:uid="{00000000-0005-0000-0000-000038990000}"/>
    <cellStyle name="Percentuale 43 4 2" xfId="20061" xr:uid="{00000000-0005-0000-0000-000039990000}"/>
    <cellStyle name="Percentuale 43 4 2 2" xfId="21067" xr:uid="{00000000-0005-0000-0000-00003A990000}"/>
    <cellStyle name="Percentuale 43 4 3" xfId="21066" xr:uid="{00000000-0005-0000-0000-00003B990000}"/>
    <cellStyle name="Percentuale 43 4 4" xfId="20060" xr:uid="{00000000-0005-0000-0000-00003C990000}"/>
    <cellStyle name="Percentuale 43 4 5" xfId="11878" xr:uid="{00000000-0005-0000-0000-00003D990000}"/>
    <cellStyle name="Percentuale 43 5" xfId="1568" xr:uid="{00000000-0005-0000-0000-00003E990000}"/>
    <cellStyle name="Percentuale 43 5 2" xfId="11879" xr:uid="{00000000-0005-0000-0000-00003F990000}"/>
    <cellStyle name="Percentuale 43 6" xfId="1569" xr:uid="{00000000-0005-0000-0000-000040990000}"/>
    <cellStyle name="Percentuale 43 6 2" xfId="21865" xr:uid="{00000000-0005-0000-0000-000041990000}"/>
    <cellStyle name="Percentuale 44" xfId="1570" xr:uid="{00000000-0005-0000-0000-000042990000}"/>
    <cellStyle name="Percentuale 44 2" xfId="1571" xr:uid="{00000000-0005-0000-0000-000043990000}"/>
    <cellStyle name="Percentuale 44 2 2" xfId="3779" xr:uid="{00000000-0005-0000-0000-000044990000}"/>
    <cellStyle name="Percentuale 44 3" xfId="1572" xr:uid="{00000000-0005-0000-0000-000045990000}"/>
    <cellStyle name="Percentuale 44 3 2" xfId="1573" xr:uid="{00000000-0005-0000-0000-000046990000}"/>
    <cellStyle name="Percentuale 44 3 3" xfId="20063" xr:uid="{00000000-0005-0000-0000-000047990000}"/>
    <cellStyle name="Percentuale 44 3 3 2" xfId="21069" xr:uid="{00000000-0005-0000-0000-000048990000}"/>
    <cellStyle name="Percentuale 44 3 4" xfId="21068" xr:uid="{00000000-0005-0000-0000-000049990000}"/>
    <cellStyle name="Percentuale 44 3 5" xfId="20062" xr:uid="{00000000-0005-0000-0000-00004A990000}"/>
    <cellStyle name="Percentuale 44 4" xfId="1574" xr:uid="{00000000-0005-0000-0000-00004B990000}"/>
    <cellStyle name="Percentuale 44 4 2" xfId="20065" xr:uid="{00000000-0005-0000-0000-00004C990000}"/>
    <cellStyle name="Percentuale 44 4 2 2" xfId="21071" xr:uid="{00000000-0005-0000-0000-00004D990000}"/>
    <cellStyle name="Percentuale 44 4 3" xfId="21070" xr:uid="{00000000-0005-0000-0000-00004E990000}"/>
    <cellStyle name="Percentuale 44 4 4" xfId="20064" xr:uid="{00000000-0005-0000-0000-00004F990000}"/>
    <cellStyle name="Percentuale 44 4 5" xfId="11880" xr:uid="{00000000-0005-0000-0000-000050990000}"/>
    <cellStyle name="Percentuale 44 5" xfId="1575" xr:uid="{00000000-0005-0000-0000-000051990000}"/>
    <cellStyle name="Percentuale 44 5 2" xfId="11881" xr:uid="{00000000-0005-0000-0000-000052990000}"/>
    <cellStyle name="Percentuale 44 6" xfId="1576" xr:uid="{00000000-0005-0000-0000-000053990000}"/>
    <cellStyle name="Percentuale 44 6 2" xfId="21866" xr:uid="{00000000-0005-0000-0000-000054990000}"/>
    <cellStyle name="Percentuale 45" xfId="1577" xr:uid="{00000000-0005-0000-0000-000055990000}"/>
    <cellStyle name="Percentuale 45 2" xfId="1578" xr:uid="{00000000-0005-0000-0000-000056990000}"/>
    <cellStyle name="Percentuale 45 2 2" xfId="3780" xr:uid="{00000000-0005-0000-0000-000057990000}"/>
    <cellStyle name="Percentuale 45 3" xfId="1579" xr:uid="{00000000-0005-0000-0000-000058990000}"/>
    <cellStyle name="Percentuale 45 3 2" xfId="1580" xr:uid="{00000000-0005-0000-0000-000059990000}"/>
    <cellStyle name="Percentuale 45 3 3" xfId="20067" xr:uid="{00000000-0005-0000-0000-00005A990000}"/>
    <cellStyle name="Percentuale 45 3 3 2" xfId="21073" xr:uid="{00000000-0005-0000-0000-00005B990000}"/>
    <cellStyle name="Percentuale 45 3 4" xfId="21072" xr:uid="{00000000-0005-0000-0000-00005C990000}"/>
    <cellStyle name="Percentuale 45 3 5" xfId="20066" xr:uid="{00000000-0005-0000-0000-00005D990000}"/>
    <cellStyle name="Percentuale 45 4" xfId="1581" xr:uid="{00000000-0005-0000-0000-00005E990000}"/>
    <cellStyle name="Percentuale 45 4 2" xfId="20069" xr:uid="{00000000-0005-0000-0000-00005F990000}"/>
    <cellStyle name="Percentuale 45 4 2 2" xfId="21075" xr:uid="{00000000-0005-0000-0000-000060990000}"/>
    <cellStyle name="Percentuale 45 4 3" xfId="21074" xr:uid="{00000000-0005-0000-0000-000061990000}"/>
    <cellStyle name="Percentuale 45 4 4" xfId="20068" xr:uid="{00000000-0005-0000-0000-000062990000}"/>
    <cellStyle name="Percentuale 45 4 5" xfId="11882" xr:uid="{00000000-0005-0000-0000-000063990000}"/>
    <cellStyle name="Percentuale 45 5" xfId="1582" xr:uid="{00000000-0005-0000-0000-000064990000}"/>
    <cellStyle name="Percentuale 45 5 2" xfId="11883" xr:uid="{00000000-0005-0000-0000-000065990000}"/>
    <cellStyle name="Percentuale 45 6" xfId="1583" xr:uid="{00000000-0005-0000-0000-000066990000}"/>
    <cellStyle name="Percentuale 45 6 2" xfId="21867" xr:uid="{00000000-0005-0000-0000-000067990000}"/>
    <cellStyle name="Percentuale 46" xfId="1584" xr:uid="{00000000-0005-0000-0000-000068990000}"/>
    <cellStyle name="Percentuale 46 2" xfId="1585" xr:uid="{00000000-0005-0000-0000-000069990000}"/>
    <cellStyle name="Percentuale 46 2 2" xfId="3781" xr:uid="{00000000-0005-0000-0000-00006A990000}"/>
    <cellStyle name="Percentuale 46 3" xfId="1586" xr:uid="{00000000-0005-0000-0000-00006B990000}"/>
    <cellStyle name="Percentuale 46 3 2" xfId="1587" xr:uid="{00000000-0005-0000-0000-00006C990000}"/>
    <cellStyle name="Percentuale 46 3 3" xfId="20071" xr:uid="{00000000-0005-0000-0000-00006D990000}"/>
    <cellStyle name="Percentuale 46 3 3 2" xfId="21077" xr:uid="{00000000-0005-0000-0000-00006E990000}"/>
    <cellStyle name="Percentuale 46 3 4" xfId="21076" xr:uid="{00000000-0005-0000-0000-00006F990000}"/>
    <cellStyle name="Percentuale 46 3 5" xfId="20070" xr:uid="{00000000-0005-0000-0000-000070990000}"/>
    <cellStyle name="Percentuale 46 4" xfId="1588" xr:uid="{00000000-0005-0000-0000-000071990000}"/>
    <cellStyle name="Percentuale 46 4 2" xfId="20073" xr:uid="{00000000-0005-0000-0000-000072990000}"/>
    <cellStyle name="Percentuale 46 4 2 2" xfId="21079" xr:uid="{00000000-0005-0000-0000-000073990000}"/>
    <cellStyle name="Percentuale 46 4 3" xfId="21078" xr:uid="{00000000-0005-0000-0000-000074990000}"/>
    <cellStyle name="Percentuale 46 4 4" xfId="20072" xr:uid="{00000000-0005-0000-0000-000075990000}"/>
    <cellStyle name="Percentuale 46 4 5" xfId="11884" xr:uid="{00000000-0005-0000-0000-000076990000}"/>
    <cellStyle name="Percentuale 46 5" xfId="1589" xr:uid="{00000000-0005-0000-0000-000077990000}"/>
    <cellStyle name="Percentuale 46 5 2" xfId="11885" xr:uid="{00000000-0005-0000-0000-000078990000}"/>
    <cellStyle name="Percentuale 46 6" xfId="1590" xr:uid="{00000000-0005-0000-0000-000079990000}"/>
    <cellStyle name="Percentuale 46 6 2" xfId="21868" xr:uid="{00000000-0005-0000-0000-00007A990000}"/>
    <cellStyle name="Percentuale 47" xfId="1591" xr:uid="{00000000-0005-0000-0000-00007B990000}"/>
    <cellStyle name="Percentuale 47 2" xfId="1592" xr:uid="{00000000-0005-0000-0000-00007C990000}"/>
    <cellStyle name="Percentuale 47 2 2" xfId="3782" xr:uid="{00000000-0005-0000-0000-00007D990000}"/>
    <cellStyle name="Percentuale 47 3" xfId="1593" xr:uid="{00000000-0005-0000-0000-00007E990000}"/>
    <cellStyle name="Percentuale 47 3 2" xfId="1594" xr:uid="{00000000-0005-0000-0000-00007F990000}"/>
    <cellStyle name="Percentuale 47 3 3" xfId="20075" xr:uid="{00000000-0005-0000-0000-000080990000}"/>
    <cellStyle name="Percentuale 47 3 3 2" xfId="21081" xr:uid="{00000000-0005-0000-0000-000081990000}"/>
    <cellStyle name="Percentuale 47 3 4" xfId="21080" xr:uid="{00000000-0005-0000-0000-000082990000}"/>
    <cellStyle name="Percentuale 47 3 5" xfId="20074" xr:uid="{00000000-0005-0000-0000-000083990000}"/>
    <cellStyle name="Percentuale 47 4" xfId="1595" xr:uid="{00000000-0005-0000-0000-000084990000}"/>
    <cellStyle name="Percentuale 47 4 2" xfId="20077" xr:uid="{00000000-0005-0000-0000-000085990000}"/>
    <cellStyle name="Percentuale 47 4 2 2" xfId="21083" xr:uid="{00000000-0005-0000-0000-000086990000}"/>
    <cellStyle name="Percentuale 47 4 3" xfId="21082" xr:uid="{00000000-0005-0000-0000-000087990000}"/>
    <cellStyle name="Percentuale 47 4 4" xfId="20076" xr:uid="{00000000-0005-0000-0000-000088990000}"/>
    <cellStyle name="Percentuale 47 4 5" xfId="11886" xr:uid="{00000000-0005-0000-0000-000089990000}"/>
    <cellStyle name="Percentuale 47 5" xfId="1596" xr:uid="{00000000-0005-0000-0000-00008A990000}"/>
    <cellStyle name="Percentuale 47 5 2" xfId="11887" xr:uid="{00000000-0005-0000-0000-00008B990000}"/>
    <cellStyle name="Percentuale 47 6" xfId="1597" xr:uid="{00000000-0005-0000-0000-00008C990000}"/>
    <cellStyle name="Percentuale 47 6 2" xfId="21869" xr:uid="{00000000-0005-0000-0000-00008D990000}"/>
    <cellStyle name="Percentuale 48" xfId="1598" xr:uid="{00000000-0005-0000-0000-00008E990000}"/>
    <cellStyle name="Percentuale 48 2" xfId="1599" xr:uid="{00000000-0005-0000-0000-00008F990000}"/>
    <cellStyle name="Percentuale 48 2 2" xfId="3783" xr:uid="{00000000-0005-0000-0000-000090990000}"/>
    <cellStyle name="Percentuale 48 3" xfId="1600" xr:uid="{00000000-0005-0000-0000-000091990000}"/>
    <cellStyle name="Percentuale 48 3 2" xfId="1601" xr:uid="{00000000-0005-0000-0000-000092990000}"/>
    <cellStyle name="Percentuale 48 3 3" xfId="20079" xr:uid="{00000000-0005-0000-0000-000093990000}"/>
    <cellStyle name="Percentuale 48 3 3 2" xfId="21085" xr:uid="{00000000-0005-0000-0000-000094990000}"/>
    <cellStyle name="Percentuale 48 3 4" xfId="21084" xr:uid="{00000000-0005-0000-0000-000095990000}"/>
    <cellStyle name="Percentuale 48 3 5" xfId="20078" xr:uid="{00000000-0005-0000-0000-000096990000}"/>
    <cellStyle name="Percentuale 48 4" xfId="1602" xr:uid="{00000000-0005-0000-0000-000097990000}"/>
    <cellStyle name="Percentuale 48 4 2" xfId="20081" xr:uid="{00000000-0005-0000-0000-000098990000}"/>
    <cellStyle name="Percentuale 48 4 2 2" xfId="21087" xr:uid="{00000000-0005-0000-0000-000099990000}"/>
    <cellStyle name="Percentuale 48 4 3" xfId="21086" xr:uid="{00000000-0005-0000-0000-00009A990000}"/>
    <cellStyle name="Percentuale 48 4 4" xfId="20080" xr:uid="{00000000-0005-0000-0000-00009B990000}"/>
    <cellStyle name="Percentuale 48 4 5" xfId="11888" xr:uid="{00000000-0005-0000-0000-00009C990000}"/>
    <cellStyle name="Percentuale 48 5" xfId="1603" xr:uid="{00000000-0005-0000-0000-00009D990000}"/>
    <cellStyle name="Percentuale 48 5 2" xfId="11889" xr:uid="{00000000-0005-0000-0000-00009E990000}"/>
    <cellStyle name="Percentuale 48 6" xfId="1604" xr:uid="{00000000-0005-0000-0000-00009F990000}"/>
    <cellStyle name="Percentuale 48 6 2" xfId="21870" xr:uid="{00000000-0005-0000-0000-0000A0990000}"/>
    <cellStyle name="Percentuale 49" xfId="1605" xr:uid="{00000000-0005-0000-0000-0000A1990000}"/>
    <cellStyle name="Percentuale 49 2" xfId="1606" xr:uid="{00000000-0005-0000-0000-0000A2990000}"/>
    <cellStyle name="Percentuale 49 2 2" xfId="3784" xr:uid="{00000000-0005-0000-0000-0000A3990000}"/>
    <cellStyle name="Percentuale 49 3" xfId="1607" xr:uid="{00000000-0005-0000-0000-0000A4990000}"/>
    <cellStyle name="Percentuale 49 3 2" xfId="1608" xr:uid="{00000000-0005-0000-0000-0000A5990000}"/>
    <cellStyle name="Percentuale 49 3 3" xfId="20083" xr:uid="{00000000-0005-0000-0000-0000A6990000}"/>
    <cellStyle name="Percentuale 49 3 3 2" xfId="21089" xr:uid="{00000000-0005-0000-0000-0000A7990000}"/>
    <cellStyle name="Percentuale 49 3 4" xfId="21088" xr:uid="{00000000-0005-0000-0000-0000A8990000}"/>
    <cellStyle name="Percentuale 49 3 5" xfId="20082" xr:uid="{00000000-0005-0000-0000-0000A9990000}"/>
    <cellStyle name="Percentuale 49 4" xfId="1609" xr:uid="{00000000-0005-0000-0000-0000AA990000}"/>
    <cellStyle name="Percentuale 49 4 2" xfId="20085" xr:uid="{00000000-0005-0000-0000-0000AB990000}"/>
    <cellStyle name="Percentuale 49 4 2 2" xfId="21091" xr:uid="{00000000-0005-0000-0000-0000AC990000}"/>
    <cellStyle name="Percentuale 49 4 3" xfId="21090" xr:uid="{00000000-0005-0000-0000-0000AD990000}"/>
    <cellStyle name="Percentuale 49 4 4" xfId="20084" xr:uid="{00000000-0005-0000-0000-0000AE990000}"/>
    <cellStyle name="Percentuale 49 4 5" xfId="11890" xr:uid="{00000000-0005-0000-0000-0000AF990000}"/>
    <cellStyle name="Percentuale 49 5" xfId="1610" xr:uid="{00000000-0005-0000-0000-0000B0990000}"/>
    <cellStyle name="Percentuale 49 5 2" xfId="11891" xr:uid="{00000000-0005-0000-0000-0000B1990000}"/>
    <cellStyle name="Percentuale 49 6" xfId="1611" xr:uid="{00000000-0005-0000-0000-0000B2990000}"/>
    <cellStyle name="Percentuale 49 6 2" xfId="21871" xr:uid="{00000000-0005-0000-0000-0000B3990000}"/>
    <cellStyle name="Percentuale 5" xfId="1612" xr:uid="{00000000-0005-0000-0000-0000B4990000}"/>
    <cellStyle name="Percentuale 5 2" xfId="1613" xr:uid="{00000000-0005-0000-0000-0000B5990000}"/>
    <cellStyle name="Percentuale 5 2 2" xfId="3785" xr:uid="{00000000-0005-0000-0000-0000B6990000}"/>
    <cellStyle name="Percentuale 5 3" xfId="1614" xr:uid="{00000000-0005-0000-0000-0000B7990000}"/>
    <cellStyle name="Percentuale 5 3 2" xfId="1615" xr:uid="{00000000-0005-0000-0000-0000B8990000}"/>
    <cellStyle name="Percentuale 5 3 3" xfId="20087" xr:uid="{00000000-0005-0000-0000-0000B9990000}"/>
    <cellStyle name="Percentuale 5 3 3 2" xfId="21093" xr:uid="{00000000-0005-0000-0000-0000BA990000}"/>
    <cellStyle name="Percentuale 5 3 4" xfId="21092" xr:uid="{00000000-0005-0000-0000-0000BB990000}"/>
    <cellStyle name="Percentuale 5 3 5" xfId="20086" xr:uid="{00000000-0005-0000-0000-0000BC990000}"/>
    <cellStyle name="Percentuale 5 4" xfId="1616" xr:uid="{00000000-0005-0000-0000-0000BD990000}"/>
    <cellStyle name="Percentuale 5 4 2" xfId="20089" xr:uid="{00000000-0005-0000-0000-0000BE990000}"/>
    <cellStyle name="Percentuale 5 4 2 2" xfId="21095" xr:uid="{00000000-0005-0000-0000-0000BF990000}"/>
    <cellStyle name="Percentuale 5 4 3" xfId="21094" xr:uid="{00000000-0005-0000-0000-0000C0990000}"/>
    <cellStyle name="Percentuale 5 4 4" xfId="20088" xr:uid="{00000000-0005-0000-0000-0000C1990000}"/>
    <cellStyle name="Percentuale 5 4 5" xfId="11892" xr:uid="{00000000-0005-0000-0000-0000C2990000}"/>
    <cellStyle name="Percentuale 5 5" xfId="1617" xr:uid="{00000000-0005-0000-0000-0000C3990000}"/>
    <cellStyle name="Percentuale 5 5 2" xfId="11893" xr:uid="{00000000-0005-0000-0000-0000C4990000}"/>
    <cellStyle name="Percentuale 5 6" xfId="1618" xr:uid="{00000000-0005-0000-0000-0000C5990000}"/>
    <cellStyle name="Percentuale 5 6 2" xfId="21872" xr:uid="{00000000-0005-0000-0000-0000C6990000}"/>
    <cellStyle name="Percentuale 50" xfId="1619" xr:uid="{00000000-0005-0000-0000-0000C7990000}"/>
    <cellStyle name="Percentuale 50 2" xfId="1620" xr:uid="{00000000-0005-0000-0000-0000C8990000}"/>
    <cellStyle name="Percentuale 50 2 2" xfId="3786" xr:uid="{00000000-0005-0000-0000-0000C9990000}"/>
    <cellStyle name="Percentuale 50 3" xfId="1621" xr:uid="{00000000-0005-0000-0000-0000CA990000}"/>
    <cellStyle name="Percentuale 50 3 2" xfId="1622" xr:uid="{00000000-0005-0000-0000-0000CB990000}"/>
    <cellStyle name="Percentuale 50 3 3" xfId="20091" xr:uid="{00000000-0005-0000-0000-0000CC990000}"/>
    <cellStyle name="Percentuale 50 3 3 2" xfId="21097" xr:uid="{00000000-0005-0000-0000-0000CD990000}"/>
    <cellStyle name="Percentuale 50 3 4" xfId="21096" xr:uid="{00000000-0005-0000-0000-0000CE990000}"/>
    <cellStyle name="Percentuale 50 3 5" xfId="20090" xr:uid="{00000000-0005-0000-0000-0000CF990000}"/>
    <cellStyle name="Percentuale 50 4" xfId="1623" xr:uid="{00000000-0005-0000-0000-0000D0990000}"/>
    <cellStyle name="Percentuale 50 4 2" xfId="20093" xr:uid="{00000000-0005-0000-0000-0000D1990000}"/>
    <cellStyle name="Percentuale 50 4 2 2" xfId="21099" xr:uid="{00000000-0005-0000-0000-0000D2990000}"/>
    <cellStyle name="Percentuale 50 4 3" xfId="21098" xr:uid="{00000000-0005-0000-0000-0000D3990000}"/>
    <cellStyle name="Percentuale 50 4 4" xfId="20092" xr:uid="{00000000-0005-0000-0000-0000D4990000}"/>
    <cellStyle name="Percentuale 50 4 5" xfId="11894" xr:uid="{00000000-0005-0000-0000-0000D5990000}"/>
    <cellStyle name="Percentuale 50 5" xfId="1624" xr:uid="{00000000-0005-0000-0000-0000D6990000}"/>
    <cellStyle name="Percentuale 50 5 2" xfId="11895" xr:uid="{00000000-0005-0000-0000-0000D7990000}"/>
    <cellStyle name="Percentuale 50 6" xfId="1625" xr:uid="{00000000-0005-0000-0000-0000D8990000}"/>
    <cellStyle name="Percentuale 50 6 2" xfId="21873" xr:uid="{00000000-0005-0000-0000-0000D9990000}"/>
    <cellStyle name="Percentuale 51" xfId="1626" xr:uid="{00000000-0005-0000-0000-0000DA990000}"/>
    <cellStyle name="Percentuale 51 2" xfId="1627" xr:uid="{00000000-0005-0000-0000-0000DB990000}"/>
    <cellStyle name="Percentuale 51 2 2" xfId="3787" xr:uid="{00000000-0005-0000-0000-0000DC990000}"/>
    <cellStyle name="Percentuale 51 3" xfId="1628" xr:uid="{00000000-0005-0000-0000-0000DD990000}"/>
    <cellStyle name="Percentuale 51 3 2" xfId="1629" xr:uid="{00000000-0005-0000-0000-0000DE990000}"/>
    <cellStyle name="Percentuale 51 3 3" xfId="20095" xr:uid="{00000000-0005-0000-0000-0000DF990000}"/>
    <cellStyle name="Percentuale 51 3 3 2" xfId="21101" xr:uid="{00000000-0005-0000-0000-0000E0990000}"/>
    <cellStyle name="Percentuale 51 3 4" xfId="21100" xr:uid="{00000000-0005-0000-0000-0000E1990000}"/>
    <cellStyle name="Percentuale 51 3 5" xfId="20094" xr:uid="{00000000-0005-0000-0000-0000E2990000}"/>
    <cellStyle name="Percentuale 51 4" xfId="1630" xr:uid="{00000000-0005-0000-0000-0000E3990000}"/>
    <cellStyle name="Percentuale 51 4 2" xfId="20097" xr:uid="{00000000-0005-0000-0000-0000E4990000}"/>
    <cellStyle name="Percentuale 51 4 2 2" xfId="21103" xr:uid="{00000000-0005-0000-0000-0000E5990000}"/>
    <cellStyle name="Percentuale 51 4 3" xfId="21102" xr:uid="{00000000-0005-0000-0000-0000E6990000}"/>
    <cellStyle name="Percentuale 51 4 4" xfId="20096" xr:uid="{00000000-0005-0000-0000-0000E7990000}"/>
    <cellStyle name="Percentuale 51 4 5" xfId="11896" xr:uid="{00000000-0005-0000-0000-0000E8990000}"/>
    <cellStyle name="Percentuale 51 5" xfId="1631" xr:uid="{00000000-0005-0000-0000-0000E9990000}"/>
    <cellStyle name="Percentuale 51 5 2" xfId="11897" xr:uid="{00000000-0005-0000-0000-0000EA990000}"/>
    <cellStyle name="Percentuale 51 6" xfId="1632" xr:uid="{00000000-0005-0000-0000-0000EB990000}"/>
    <cellStyle name="Percentuale 51 6 2" xfId="21874" xr:uid="{00000000-0005-0000-0000-0000EC990000}"/>
    <cellStyle name="Percentuale 52" xfId="1633" xr:uid="{00000000-0005-0000-0000-0000ED990000}"/>
    <cellStyle name="Percentuale 52 2" xfId="1634" xr:uid="{00000000-0005-0000-0000-0000EE990000}"/>
    <cellStyle name="Percentuale 52 2 2" xfId="3788" xr:uid="{00000000-0005-0000-0000-0000EF990000}"/>
    <cellStyle name="Percentuale 52 3" xfId="1635" xr:uid="{00000000-0005-0000-0000-0000F0990000}"/>
    <cellStyle name="Percentuale 52 3 2" xfId="1636" xr:uid="{00000000-0005-0000-0000-0000F1990000}"/>
    <cellStyle name="Percentuale 52 3 3" xfId="20099" xr:uid="{00000000-0005-0000-0000-0000F2990000}"/>
    <cellStyle name="Percentuale 52 3 3 2" xfId="21105" xr:uid="{00000000-0005-0000-0000-0000F3990000}"/>
    <cellStyle name="Percentuale 52 3 4" xfId="21104" xr:uid="{00000000-0005-0000-0000-0000F4990000}"/>
    <cellStyle name="Percentuale 52 3 5" xfId="20098" xr:uid="{00000000-0005-0000-0000-0000F5990000}"/>
    <cellStyle name="Percentuale 52 4" xfId="1637" xr:uid="{00000000-0005-0000-0000-0000F6990000}"/>
    <cellStyle name="Percentuale 52 4 2" xfId="20101" xr:uid="{00000000-0005-0000-0000-0000F7990000}"/>
    <cellStyle name="Percentuale 52 4 2 2" xfId="21107" xr:uid="{00000000-0005-0000-0000-0000F8990000}"/>
    <cellStyle name="Percentuale 52 4 3" xfId="21106" xr:uid="{00000000-0005-0000-0000-0000F9990000}"/>
    <cellStyle name="Percentuale 52 4 4" xfId="20100" xr:uid="{00000000-0005-0000-0000-0000FA990000}"/>
    <cellStyle name="Percentuale 52 4 5" xfId="11898" xr:uid="{00000000-0005-0000-0000-0000FB990000}"/>
    <cellStyle name="Percentuale 52 5" xfId="1638" xr:uid="{00000000-0005-0000-0000-0000FC990000}"/>
    <cellStyle name="Percentuale 52 5 2" xfId="11899" xr:uid="{00000000-0005-0000-0000-0000FD990000}"/>
    <cellStyle name="Percentuale 52 6" xfId="1639" xr:uid="{00000000-0005-0000-0000-0000FE990000}"/>
    <cellStyle name="Percentuale 52 6 2" xfId="21875" xr:uid="{00000000-0005-0000-0000-0000FF990000}"/>
    <cellStyle name="Percentuale 53" xfId="1640" xr:uid="{00000000-0005-0000-0000-0000009A0000}"/>
    <cellStyle name="Percentuale 53 2" xfId="1641" xr:uid="{00000000-0005-0000-0000-0000019A0000}"/>
    <cellStyle name="Percentuale 53 2 2" xfId="3789" xr:uid="{00000000-0005-0000-0000-0000029A0000}"/>
    <cellStyle name="Percentuale 53 3" xfId="1642" xr:uid="{00000000-0005-0000-0000-0000039A0000}"/>
    <cellStyle name="Percentuale 53 3 2" xfId="1643" xr:uid="{00000000-0005-0000-0000-0000049A0000}"/>
    <cellStyle name="Percentuale 53 3 3" xfId="20103" xr:uid="{00000000-0005-0000-0000-0000059A0000}"/>
    <cellStyle name="Percentuale 53 3 3 2" xfId="21109" xr:uid="{00000000-0005-0000-0000-0000069A0000}"/>
    <cellStyle name="Percentuale 53 3 4" xfId="21108" xr:uid="{00000000-0005-0000-0000-0000079A0000}"/>
    <cellStyle name="Percentuale 53 3 5" xfId="20102" xr:uid="{00000000-0005-0000-0000-0000089A0000}"/>
    <cellStyle name="Percentuale 53 4" xfId="1644" xr:uid="{00000000-0005-0000-0000-0000099A0000}"/>
    <cellStyle name="Percentuale 53 4 2" xfId="20105" xr:uid="{00000000-0005-0000-0000-00000A9A0000}"/>
    <cellStyle name="Percentuale 53 4 2 2" xfId="21111" xr:uid="{00000000-0005-0000-0000-00000B9A0000}"/>
    <cellStyle name="Percentuale 53 4 3" xfId="21110" xr:uid="{00000000-0005-0000-0000-00000C9A0000}"/>
    <cellStyle name="Percentuale 53 4 4" xfId="20104" xr:uid="{00000000-0005-0000-0000-00000D9A0000}"/>
    <cellStyle name="Percentuale 53 4 5" xfId="11900" xr:uid="{00000000-0005-0000-0000-00000E9A0000}"/>
    <cellStyle name="Percentuale 53 5" xfId="1645" xr:uid="{00000000-0005-0000-0000-00000F9A0000}"/>
    <cellStyle name="Percentuale 53 5 2" xfId="11901" xr:uid="{00000000-0005-0000-0000-0000109A0000}"/>
    <cellStyle name="Percentuale 53 6" xfId="1646" xr:uid="{00000000-0005-0000-0000-0000119A0000}"/>
    <cellStyle name="Percentuale 53 6 2" xfId="21876" xr:uid="{00000000-0005-0000-0000-0000129A0000}"/>
    <cellStyle name="Percentuale 54" xfId="1647" xr:uid="{00000000-0005-0000-0000-0000139A0000}"/>
    <cellStyle name="Percentuale 54 2" xfId="1648" xr:uid="{00000000-0005-0000-0000-0000149A0000}"/>
    <cellStyle name="Percentuale 54 2 2" xfId="3790" xr:uid="{00000000-0005-0000-0000-0000159A0000}"/>
    <cellStyle name="Percentuale 54 3" xfId="1649" xr:uid="{00000000-0005-0000-0000-0000169A0000}"/>
    <cellStyle name="Percentuale 54 3 2" xfId="1650" xr:uid="{00000000-0005-0000-0000-0000179A0000}"/>
    <cellStyle name="Percentuale 54 3 3" xfId="20107" xr:uid="{00000000-0005-0000-0000-0000189A0000}"/>
    <cellStyle name="Percentuale 54 3 3 2" xfId="21113" xr:uid="{00000000-0005-0000-0000-0000199A0000}"/>
    <cellStyle name="Percentuale 54 3 4" xfId="21112" xr:uid="{00000000-0005-0000-0000-00001A9A0000}"/>
    <cellStyle name="Percentuale 54 3 5" xfId="20106" xr:uid="{00000000-0005-0000-0000-00001B9A0000}"/>
    <cellStyle name="Percentuale 54 4" xfId="1651" xr:uid="{00000000-0005-0000-0000-00001C9A0000}"/>
    <cellStyle name="Percentuale 54 4 2" xfId="20109" xr:uid="{00000000-0005-0000-0000-00001D9A0000}"/>
    <cellStyle name="Percentuale 54 4 2 2" xfId="21115" xr:uid="{00000000-0005-0000-0000-00001E9A0000}"/>
    <cellStyle name="Percentuale 54 4 3" xfId="21114" xr:uid="{00000000-0005-0000-0000-00001F9A0000}"/>
    <cellStyle name="Percentuale 54 4 4" xfId="20108" xr:uid="{00000000-0005-0000-0000-0000209A0000}"/>
    <cellStyle name="Percentuale 54 4 5" xfId="11902" xr:uid="{00000000-0005-0000-0000-0000219A0000}"/>
    <cellStyle name="Percentuale 54 5" xfId="1652" xr:uid="{00000000-0005-0000-0000-0000229A0000}"/>
    <cellStyle name="Percentuale 54 5 2" xfId="11903" xr:uid="{00000000-0005-0000-0000-0000239A0000}"/>
    <cellStyle name="Percentuale 54 6" xfId="1653" xr:uid="{00000000-0005-0000-0000-0000249A0000}"/>
    <cellStyle name="Percentuale 54 6 2" xfId="21877" xr:uid="{00000000-0005-0000-0000-0000259A0000}"/>
    <cellStyle name="Percentuale 55" xfId="1654" xr:uid="{00000000-0005-0000-0000-0000269A0000}"/>
    <cellStyle name="Percentuale 55 2" xfId="1655" xr:uid="{00000000-0005-0000-0000-0000279A0000}"/>
    <cellStyle name="Percentuale 55 2 2" xfId="3791" xr:uid="{00000000-0005-0000-0000-0000289A0000}"/>
    <cellStyle name="Percentuale 55 3" xfId="1656" xr:uid="{00000000-0005-0000-0000-0000299A0000}"/>
    <cellStyle name="Percentuale 55 3 2" xfId="1657" xr:uid="{00000000-0005-0000-0000-00002A9A0000}"/>
    <cellStyle name="Percentuale 55 3 3" xfId="20111" xr:uid="{00000000-0005-0000-0000-00002B9A0000}"/>
    <cellStyle name="Percentuale 55 3 3 2" xfId="21117" xr:uid="{00000000-0005-0000-0000-00002C9A0000}"/>
    <cellStyle name="Percentuale 55 3 4" xfId="21116" xr:uid="{00000000-0005-0000-0000-00002D9A0000}"/>
    <cellStyle name="Percentuale 55 3 5" xfId="20110" xr:uid="{00000000-0005-0000-0000-00002E9A0000}"/>
    <cellStyle name="Percentuale 55 4" xfId="1658" xr:uid="{00000000-0005-0000-0000-00002F9A0000}"/>
    <cellStyle name="Percentuale 55 4 2" xfId="20113" xr:uid="{00000000-0005-0000-0000-0000309A0000}"/>
    <cellStyle name="Percentuale 55 4 2 2" xfId="21119" xr:uid="{00000000-0005-0000-0000-0000319A0000}"/>
    <cellStyle name="Percentuale 55 4 3" xfId="21118" xr:uid="{00000000-0005-0000-0000-0000329A0000}"/>
    <cellStyle name="Percentuale 55 4 4" xfId="20112" xr:uid="{00000000-0005-0000-0000-0000339A0000}"/>
    <cellStyle name="Percentuale 55 4 5" xfId="11904" xr:uid="{00000000-0005-0000-0000-0000349A0000}"/>
    <cellStyle name="Percentuale 55 5" xfId="1659" xr:uid="{00000000-0005-0000-0000-0000359A0000}"/>
    <cellStyle name="Percentuale 55 5 2" xfId="11905" xr:uid="{00000000-0005-0000-0000-0000369A0000}"/>
    <cellStyle name="Percentuale 55 6" xfId="1660" xr:uid="{00000000-0005-0000-0000-0000379A0000}"/>
    <cellStyle name="Percentuale 55 6 2" xfId="21878" xr:uid="{00000000-0005-0000-0000-0000389A0000}"/>
    <cellStyle name="Percentuale 56" xfId="1661" xr:uid="{00000000-0005-0000-0000-0000399A0000}"/>
    <cellStyle name="Percentuale 56 2" xfId="1662" xr:uid="{00000000-0005-0000-0000-00003A9A0000}"/>
    <cellStyle name="Percentuale 56 2 2" xfId="3792" xr:uid="{00000000-0005-0000-0000-00003B9A0000}"/>
    <cellStyle name="Percentuale 56 3" xfId="1663" xr:uid="{00000000-0005-0000-0000-00003C9A0000}"/>
    <cellStyle name="Percentuale 56 3 2" xfId="1664" xr:uid="{00000000-0005-0000-0000-00003D9A0000}"/>
    <cellStyle name="Percentuale 56 3 3" xfId="20115" xr:uid="{00000000-0005-0000-0000-00003E9A0000}"/>
    <cellStyle name="Percentuale 56 3 3 2" xfId="21121" xr:uid="{00000000-0005-0000-0000-00003F9A0000}"/>
    <cellStyle name="Percentuale 56 3 4" xfId="21120" xr:uid="{00000000-0005-0000-0000-0000409A0000}"/>
    <cellStyle name="Percentuale 56 3 5" xfId="20114" xr:uid="{00000000-0005-0000-0000-0000419A0000}"/>
    <cellStyle name="Percentuale 56 4" xfId="1665" xr:uid="{00000000-0005-0000-0000-0000429A0000}"/>
    <cellStyle name="Percentuale 56 4 2" xfId="20117" xr:uid="{00000000-0005-0000-0000-0000439A0000}"/>
    <cellStyle name="Percentuale 56 4 2 2" xfId="21123" xr:uid="{00000000-0005-0000-0000-0000449A0000}"/>
    <cellStyle name="Percentuale 56 4 3" xfId="21122" xr:uid="{00000000-0005-0000-0000-0000459A0000}"/>
    <cellStyle name="Percentuale 56 4 4" xfId="20116" xr:uid="{00000000-0005-0000-0000-0000469A0000}"/>
    <cellStyle name="Percentuale 56 4 5" xfId="11906" xr:uid="{00000000-0005-0000-0000-0000479A0000}"/>
    <cellStyle name="Percentuale 56 5" xfId="1666" xr:uid="{00000000-0005-0000-0000-0000489A0000}"/>
    <cellStyle name="Percentuale 56 5 2" xfId="11907" xr:uid="{00000000-0005-0000-0000-0000499A0000}"/>
    <cellStyle name="Percentuale 56 6" xfId="1667" xr:uid="{00000000-0005-0000-0000-00004A9A0000}"/>
    <cellStyle name="Percentuale 56 6 2" xfId="21879" xr:uid="{00000000-0005-0000-0000-00004B9A0000}"/>
    <cellStyle name="Percentuale 57" xfId="1668" xr:uid="{00000000-0005-0000-0000-00004C9A0000}"/>
    <cellStyle name="Percentuale 57 2" xfId="1669" xr:uid="{00000000-0005-0000-0000-00004D9A0000}"/>
    <cellStyle name="Percentuale 57 2 2" xfId="3793" xr:uid="{00000000-0005-0000-0000-00004E9A0000}"/>
    <cellStyle name="Percentuale 57 3" xfId="1670" xr:uid="{00000000-0005-0000-0000-00004F9A0000}"/>
    <cellStyle name="Percentuale 57 3 2" xfId="1671" xr:uid="{00000000-0005-0000-0000-0000509A0000}"/>
    <cellStyle name="Percentuale 57 3 3" xfId="20119" xr:uid="{00000000-0005-0000-0000-0000519A0000}"/>
    <cellStyle name="Percentuale 57 3 3 2" xfId="21125" xr:uid="{00000000-0005-0000-0000-0000529A0000}"/>
    <cellStyle name="Percentuale 57 3 4" xfId="21124" xr:uid="{00000000-0005-0000-0000-0000539A0000}"/>
    <cellStyle name="Percentuale 57 3 5" xfId="20118" xr:uid="{00000000-0005-0000-0000-0000549A0000}"/>
    <cellStyle name="Percentuale 57 4" xfId="1672" xr:uid="{00000000-0005-0000-0000-0000559A0000}"/>
    <cellStyle name="Percentuale 57 4 2" xfId="20121" xr:uid="{00000000-0005-0000-0000-0000569A0000}"/>
    <cellStyle name="Percentuale 57 4 2 2" xfId="21127" xr:uid="{00000000-0005-0000-0000-0000579A0000}"/>
    <cellStyle name="Percentuale 57 4 3" xfId="21126" xr:uid="{00000000-0005-0000-0000-0000589A0000}"/>
    <cellStyle name="Percentuale 57 4 4" xfId="20120" xr:uid="{00000000-0005-0000-0000-0000599A0000}"/>
    <cellStyle name="Percentuale 57 4 5" xfId="11908" xr:uid="{00000000-0005-0000-0000-00005A9A0000}"/>
    <cellStyle name="Percentuale 57 5" xfId="1673" xr:uid="{00000000-0005-0000-0000-00005B9A0000}"/>
    <cellStyle name="Percentuale 57 5 2" xfId="11909" xr:uid="{00000000-0005-0000-0000-00005C9A0000}"/>
    <cellStyle name="Percentuale 57 6" xfId="1674" xr:uid="{00000000-0005-0000-0000-00005D9A0000}"/>
    <cellStyle name="Percentuale 57 6 2" xfId="21880" xr:uid="{00000000-0005-0000-0000-00005E9A0000}"/>
    <cellStyle name="Percentuale 58" xfId="1675" xr:uid="{00000000-0005-0000-0000-00005F9A0000}"/>
    <cellStyle name="Percentuale 58 2" xfId="1676" xr:uid="{00000000-0005-0000-0000-0000609A0000}"/>
    <cellStyle name="Percentuale 58 2 2" xfId="3794" xr:uid="{00000000-0005-0000-0000-0000619A0000}"/>
    <cellStyle name="Percentuale 58 3" xfId="1677" xr:uid="{00000000-0005-0000-0000-0000629A0000}"/>
    <cellStyle name="Percentuale 58 3 2" xfId="1678" xr:uid="{00000000-0005-0000-0000-0000639A0000}"/>
    <cellStyle name="Percentuale 58 3 3" xfId="20123" xr:uid="{00000000-0005-0000-0000-0000649A0000}"/>
    <cellStyle name="Percentuale 58 3 3 2" xfId="21129" xr:uid="{00000000-0005-0000-0000-0000659A0000}"/>
    <cellStyle name="Percentuale 58 3 4" xfId="21128" xr:uid="{00000000-0005-0000-0000-0000669A0000}"/>
    <cellStyle name="Percentuale 58 3 5" xfId="20122" xr:uid="{00000000-0005-0000-0000-0000679A0000}"/>
    <cellStyle name="Percentuale 58 4" xfId="1679" xr:uid="{00000000-0005-0000-0000-0000689A0000}"/>
    <cellStyle name="Percentuale 58 4 2" xfId="20125" xr:uid="{00000000-0005-0000-0000-0000699A0000}"/>
    <cellStyle name="Percentuale 58 4 2 2" xfId="21131" xr:uid="{00000000-0005-0000-0000-00006A9A0000}"/>
    <cellStyle name="Percentuale 58 4 3" xfId="21130" xr:uid="{00000000-0005-0000-0000-00006B9A0000}"/>
    <cellStyle name="Percentuale 58 4 4" xfId="20124" xr:uid="{00000000-0005-0000-0000-00006C9A0000}"/>
    <cellStyle name="Percentuale 58 4 5" xfId="11910" xr:uid="{00000000-0005-0000-0000-00006D9A0000}"/>
    <cellStyle name="Percentuale 58 5" xfId="1680" xr:uid="{00000000-0005-0000-0000-00006E9A0000}"/>
    <cellStyle name="Percentuale 58 5 2" xfId="11911" xr:uid="{00000000-0005-0000-0000-00006F9A0000}"/>
    <cellStyle name="Percentuale 58 6" xfId="1681" xr:uid="{00000000-0005-0000-0000-0000709A0000}"/>
    <cellStyle name="Percentuale 58 6 2" xfId="21881" xr:uid="{00000000-0005-0000-0000-0000719A0000}"/>
    <cellStyle name="Percentuale 59" xfId="1682" xr:uid="{00000000-0005-0000-0000-0000729A0000}"/>
    <cellStyle name="Percentuale 59 2" xfId="1683" xr:uid="{00000000-0005-0000-0000-0000739A0000}"/>
    <cellStyle name="Percentuale 59 2 2" xfId="3795" xr:uid="{00000000-0005-0000-0000-0000749A0000}"/>
    <cellStyle name="Percentuale 59 3" xfId="1684" xr:uid="{00000000-0005-0000-0000-0000759A0000}"/>
    <cellStyle name="Percentuale 59 3 2" xfId="1685" xr:uid="{00000000-0005-0000-0000-0000769A0000}"/>
    <cellStyle name="Percentuale 59 3 3" xfId="20127" xr:uid="{00000000-0005-0000-0000-0000779A0000}"/>
    <cellStyle name="Percentuale 59 3 3 2" xfId="21133" xr:uid="{00000000-0005-0000-0000-0000789A0000}"/>
    <cellStyle name="Percentuale 59 3 4" xfId="21132" xr:uid="{00000000-0005-0000-0000-0000799A0000}"/>
    <cellStyle name="Percentuale 59 3 5" xfId="20126" xr:uid="{00000000-0005-0000-0000-00007A9A0000}"/>
    <cellStyle name="Percentuale 59 4" xfId="1686" xr:uid="{00000000-0005-0000-0000-00007B9A0000}"/>
    <cellStyle name="Percentuale 59 4 2" xfId="20129" xr:uid="{00000000-0005-0000-0000-00007C9A0000}"/>
    <cellStyle name="Percentuale 59 4 2 2" xfId="21135" xr:uid="{00000000-0005-0000-0000-00007D9A0000}"/>
    <cellStyle name="Percentuale 59 4 3" xfId="21134" xr:uid="{00000000-0005-0000-0000-00007E9A0000}"/>
    <cellStyle name="Percentuale 59 4 4" xfId="20128" xr:uid="{00000000-0005-0000-0000-00007F9A0000}"/>
    <cellStyle name="Percentuale 59 4 5" xfId="11912" xr:uid="{00000000-0005-0000-0000-0000809A0000}"/>
    <cellStyle name="Percentuale 59 5" xfId="1687" xr:uid="{00000000-0005-0000-0000-0000819A0000}"/>
    <cellStyle name="Percentuale 59 5 2" xfId="11913" xr:uid="{00000000-0005-0000-0000-0000829A0000}"/>
    <cellStyle name="Percentuale 59 6" xfId="1688" xr:uid="{00000000-0005-0000-0000-0000839A0000}"/>
    <cellStyle name="Percentuale 59 6 2" xfId="21882" xr:uid="{00000000-0005-0000-0000-0000849A0000}"/>
    <cellStyle name="Percentuale 6" xfId="1689" xr:uid="{00000000-0005-0000-0000-0000859A0000}"/>
    <cellStyle name="Percentuale 6 2" xfId="1690" xr:uid="{00000000-0005-0000-0000-0000869A0000}"/>
    <cellStyle name="Percentuale 6 2 2" xfId="3796" xr:uid="{00000000-0005-0000-0000-0000879A0000}"/>
    <cellStyle name="Percentuale 6 3" xfId="1691" xr:uid="{00000000-0005-0000-0000-0000889A0000}"/>
    <cellStyle name="Percentuale 6 3 2" xfId="1692" xr:uid="{00000000-0005-0000-0000-0000899A0000}"/>
    <cellStyle name="Percentuale 6 3 3" xfId="20132" xr:uid="{00000000-0005-0000-0000-00008A9A0000}"/>
    <cellStyle name="Percentuale 6 3 3 2" xfId="21137" xr:uid="{00000000-0005-0000-0000-00008B9A0000}"/>
    <cellStyle name="Percentuale 6 3 4" xfId="21136" xr:uid="{00000000-0005-0000-0000-00008C9A0000}"/>
    <cellStyle name="Percentuale 6 3 5" xfId="20130" xr:uid="{00000000-0005-0000-0000-00008D9A0000}"/>
    <cellStyle name="Percentuale 6 4" xfId="1693" xr:uid="{00000000-0005-0000-0000-00008E9A0000}"/>
    <cellStyle name="Percentuale 6 4 2" xfId="20134" xr:uid="{00000000-0005-0000-0000-00008F9A0000}"/>
    <cellStyle name="Percentuale 6 4 2 2" xfId="21139" xr:uid="{00000000-0005-0000-0000-0000909A0000}"/>
    <cellStyle name="Percentuale 6 4 3" xfId="21138" xr:uid="{00000000-0005-0000-0000-0000919A0000}"/>
    <cellStyle name="Percentuale 6 4 4" xfId="20133" xr:uid="{00000000-0005-0000-0000-0000929A0000}"/>
    <cellStyle name="Percentuale 6 4 5" xfId="11914" xr:uid="{00000000-0005-0000-0000-0000939A0000}"/>
    <cellStyle name="Percentuale 6 5" xfId="1694" xr:uid="{00000000-0005-0000-0000-0000949A0000}"/>
    <cellStyle name="Percentuale 6 5 2" xfId="11915" xr:uid="{00000000-0005-0000-0000-0000959A0000}"/>
    <cellStyle name="Percentuale 6 6" xfId="1695" xr:uid="{00000000-0005-0000-0000-0000969A0000}"/>
    <cellStyle name="Percentuale 6 6 2" xfId="21883" xr:uid="{00000000-0005-0000-0000-0000979A0000}"/>
    <cellStyle name="Percentuale 60" xfId="1696" xr:uid="{00000000-0005-0000-0000-0000989A0000}"/>
    <cellStyle name="Percentuale 60 2" xfId="1697" xr:uid="{00000000-0005-0000-0000-0000999A0000}"/>
    <cellStyle name="Percentuale 60 2 2" xfId="3797" xr:uid="{00000000-0005-0000-0000-00009A9A0000}"/>
    <cellStyle name="Percentuale 60 3" xfId="1698" xr:uid="{00000000-0005-0000-0000-00009B9A0000}"/>
    <cellStyle name="Percentuale 60 3 2" xfId="1699" xr:uid="{00000000-0005-0000-0000-00009C9A0000}"/>
    <cellStyle name="Percentuale 60 3 3" xfId="20136" xr:uid="{00000000-0005-0000-0000-00009D9A0000}"/>
    <cellStyle name="Percentuale 60 3 3 2" xfId="21141" xr:uid="{00000000-0005-0000-0000-00009E9A0000}"/>
    <cellStyle name="Percentuale 60 3 4" xfId="21140" xr:uid="{00000000-0005-0000-0000-00009F9A0000}"/>
    <cellStyle name="Percentuale 60 3 5" xfId="20135" xr:uid="{00000000-0005-0000-0000-0000A09A0000}"/>
    <cellStyle name="Percentuale 60 4" xfId="1700" xr:uid="{00000000-0005-0000-0000-0000A19A0000}"/>
    <cellStyle name="Percentuale 60 4 2" xfId="20138" xr:uid="{00000000-0005-0000-0000-0000A29A0000}"/>
    <cellStyle name="Percentuale 60 4 2 2" xfId="21143" xr:uid="{00000000-0005-0000-0000-0000A39A0000}"/>
    <cellStyle name="Percentuale 60 4 3" xfId="21142" xr:uid="{00000000-0005-0000-0000-0000A49A0000}"/>
    <cellStyle name="Percentuale 60 4 4" xfId="20137" xr:uid="{00000000-0005-0000-0000-0000A59A0000}"/>
    <cellStyle name="Percentuale 60 4 5" xfId="11916" xr:uid="{00000000-0005-0000-0000-0000A69A0000}"/>
    <cellStyle name="Percentuale 60 5" xfId="1701" xr:uid="{00000000-0005-0000-0000-0000A79A0000}"/>
    <cellStyle name="Percentuale 60 5 2" xfId="11917" xr:uid="{00000000-0005-0000-0000-0000A89A0000}"/>
    <cellStyle name="Percentuale 60 6" xfId="1702" xr:uid="{00000000-0005-0000-0000-0000A99A0000}"/>
    <cellStyle name="Percentuale 60 6 2" xfId="21884" xr:uid="{00000000-0005-0000-0000-0000AA9A0000}"/>
    <cellStyle name="Percentuale 61" xfId="1703" xr:uid="{00000000-0005-0000-0000-0000AB9A0000}"/>
    <cellStyle name="Percentuale 61 2" xfId="1704" xr:uid="{00000000-0005-0000-0000-0000AC9A0000}"/>
    <cellStyle name="Percentuale 61 2 2" xfId="3798" xr:uid="{00000000-0005-0000-0000-0000AD9A0000}"/>
    <cellStyle name="Percentuale 61 3" xfId="1705" xr:uid="{00000000-0005-0000-0000-0000AE9A0000}"/>
    <cellStyle name="Percentuale 61 3 2" xfId="1706" xr:uid="{00000000-0005-0000-0000-0000AF9A0000}"/>
    <cellStyle name="Percentuale 61 3 3" xfId="20140" xr:uid="{00000000-0005-0000-0000-0000B09A0000}"/>
    <cellStyle name="Percentuale 61 3 3 2" xfId="21145" xr:uid="{00000000-0005-0000-0000-0000B19A0000}"/>
    <cellStyle name="Percentuale 61 3 4" xfId="21144" xr:uid="{00000000-0005-0000-0000-0000B29A0000}"/>
    <cellStyle name="Percentuale 61 3 5" xfId="20139" xr:uid="{00000000-0005-0000-0000-0000B39A0000}"/>
    <cellStyle name="Percentuale 61 4" xfId="1707" xr:uid="{00000000-0005-0000-0000-0000B49A0000}"/>
    <cellStyle name="Percentuale 61 4 2" xfId="20142" xr:uid="{00000000-0005-0000-0000-0000B59A0000}"/>
    <cellStyle name="Percentuale 61 4 2 2" xfId="21147" xr:uid="{00000000-0005-0000-0000-0000B69A0000}"/>
    <cellStyle name="Percentuale 61 4 3" xfId="21146" xr:uid="{00000000-0005-0000-0000-0000B79A0000}"/>
    <cellStyle name="Percentuale 61 4 4" xfId="20141" xr:uid="{00000000-0005-0000-0000-0000B89A0000}"/>
    <cellStyle name="Percentuale 61 4 5" xfId="11918" xr:uid="{00000000-0005-0000-0000-0000B99A0000}"/>
    <cellStyle name="Percentuale 61 5" xfId="1708" xr:uid="{00000000-0005-0000-0000-0000BA9A0000}"/>
    <cellStyle name="Percentuale 61 5 2" xfId="11919" xr:uid="{00000000-0005-0000-0000-0000BB9A0000}"/>
    <cellStyle name="Percentuale 61 6" xfId="1709" xr:uid="{00000000-0005-0000-0000-0000BC9A0000}"/>
    <cellStyle name="Percentuale 61 6 2" xfId="21885" xr:uid="{00000000-0005-0000-0000-0000BD9A0000}"/>
    <cellStyle name="Percentuale 62" xfId="1710" xr:uid="{00000000-0005-0000-0000-0000BE9A0000}"/>
    <cellStyle name="Percentuale 62 2" xfId="3799" xr:uid="{00000000-0005-0000-0000-0000BF9A0000}"/>
    <cellStyle name="Percentuale 63" xfId="1711" xr:uid="{00000000-0005-0000-0000-0000C09A0000}"/>
    <cellStyle name="Percentuale 63 2" xfId="3800" xr:uid="{00000000-0005-0000-0000-0000C19A0000}"/>
    <cellStyle name="Percentuale 64" xfId="1712" xr:uid="{00000000-0005-0000-0000-0000C29A0000}"/>
    <cellStyle name="Percentuale 64 2" xfId="3801" xr:uid="{00000000-0005-0000-0000-0000C39A0000}"/>
    <cellStyle name="Percentuale 65" xfId="1713" xr:uid="{00000000-0005-0000-0000-0000C49A0000}"/>
    <cellStyle name="Percentuale 65 2" xfId="3802" xr:uid="{00000000-0005-0000-0000-0000C59A0000}"/>
    <cellStyle name="Percentuale 66" xfId="1714" xr:uid="{00000000-0005-0000-0000-0000C69A0000}"/>
    <cellStyle name="Percentuale 66 2" xfId="3803" xr:uid="{00000000-0005-0000-0000-0000C79A0000}"/>
    <cellStyle name="Percentuale 67" xfId="1715" xr:uid="{00000000-0005-0000-0000-0000C89A0000}"/>
    <cellStyle name="Percentuale 67 2" xfId="3804" xr:uid="{00000000-0005-0000-0000-0000C99A0000}"/>
    <cellStyle name="Percentuale 68" xfId="1716" xr:uid="{00000000-0005-0000-0000-0000CA9A0000}"/>
    <cellStyle name="Percentuale 68 2" xfId="1717" xr:uid="{00000000-0005-0000-0000-0000CB9A0000}"/>
    <cellStyle name="Percentuale 68 2 2" xfId="3805" xr:uid="{00000000-0005-0000-0000-0000CC9A0000}"/>
    <cellStyle name="Percentuale 68 3" xfId="1718" xr:uid="{00000000-0005-0000-0000-0000CD9A0000}"/>
    <cellStyle name="Percentuale 68 3 2" xfId="1719" xr:uid="{00000000-0005-0000-0000-0000CE9A0000}"/>
    <cellStyle name="Percentuale 68 3 3" xfId="20144" xr:uid="{00000000-0005-0000-0000-0000CF9A0000}"/>
    <cellStyle name="Percentuale 68 3 3 2" xfId="21149" xr:uid="{00000000-0005-0000-0000-0000D09A0000}"/>
    <cellStyle name="Percentuale 68 3 4" xfId="21148" xr:uid="{00000000-0005-0000-0000-0000D19A0000}"/>
    <cellStyle name="Percentuale 68 3 5" xfId="20143" xr:uid="{00000000-0005-0000-0000-0000D29A0000}"/>
    <cellStyle name="Percentuale 68 4" xfId="1720" xr:uid="{00000000-0005-0000-0000-0000D39A0000}"/>
    <cellStyle name="Percentuale 68 4 2" xfId="20146" xr:uid="{00000000-0005-0000-0000-0000D49A0000}"/>
    <cellStyle name="Percentuale 68 4 2 2" xfId="21151" xr:uid="{00000000-0005-0000-0000-0000D59A0000}"/>
    <cellStyle name="Percentuale 68 4 3" xfId="21150" xr:uid="{00000000-0005-0000-0000-0000D69A0000}"/>
    <cellStyle name="Percentuale 68 4 4" xfId="20145" xr:uid="{00000000-0005-0000-0000-0000D79A0000}"/>
    <cellStyle name="Percentuale 68 4 5" xfId="11920" xr:uid="{00000000-0005-0000-0000-0000D89A0000}"/>
    <cellStyle name="Percentuale 68 5" xfId="1721" xr:uid="{00000000-0005-0000-0000-0000D99A0000}"/>
    <cellStyle name="Percentuale 68 5 2" xfId="11921" xr:uid="{00000000-0005-0000-0000-0000DA9A0000}"/>
    <cellStyle name="Percentuale 68 6" xfId="1722" xr:uid="{00000000-0005-0000-0000-0000DB9A0000}"/>
    <cellStyle name="Percentuale 68 6 2" xfId="21886" xr:uid="{00000000-0005-0000-0000-0000DC9A0000}"/>
    <cellStyle name="Percentuale 69" xfId="1723" xr:uid="{00000000-0005-0000-0000-0000DD9A0000}"/>
    <cellStyle name="Percentuale 69 2" xfId="1724" xr:uid="{00000000-0005-0000-0000-0000DE9A0000}"/>
    <cellStyle name="Percentuale 69 2 2" xfId="3806" xr:uid="{00000000-0005-0000-0000-0000DF9A0000}"/>
    <cellStyle name="Percentuale 69 3" xfId="1725" xr:uid="{00000000-0005-0000-0000-0000E09A0000}"/>
    <cellStyle name="Percentuale 69 3 2" xfId="1726" xr:uid="{00000000-0005-0000-0000-0000E19A0000}"/>
    <cellStyle name="Percentuale 69 3 3" xfId="20148" xr:uid="{00000000-0005-0000-0000-0000E29A0000}"/>
    <cellStyle name="Percentuale 69 3 3 2" xfId="21153" xr:uid="{00000000-0005-0000-0000-0000E39A0000}"/>
    <cellStyle name="Percentuale 69 3 4" xfId="21152" xr:uid="{00000000-0005-0000-0000-0000E49A0000}"/>
    <cellStyle name="Percentuale 69 3 5" xfId="20147" xr:uid="{00000000-0005-0000-0000-0000E59A0000}"/>
    <cellStyle name="Percentuale 69 4" xfId="1727" xr:uid="{00000000-0005-0000-0000-0000E69A0000}"/>
    <cellStyle name="Percentuale 69 4 2" xfId="20150" xr:uid="{00000000-0005-0000-0000-0000E79A0000}"/>
    <cellStyle name="Percentuale 69 4 2 2" xfId="21155" xr:uid="{00000000-0005-0000-0000-0000E89A0000}"/>
    <cellStyle name="Percentuale 69 4 3" xfId="21154" xr:uid="{00000000-0005-0000-0000-0000E99A0000}"/>
    <cellStyle name="Percentuale 69 4 4" xfId="20149" xr:uid="{00000000-0005-0000-0000-0000EA9A0000}"/>
    <cellStyle name="Percentuale 69 4 5" xfId="11922" xr:uid="{00000000-0005-0000-0000-0000EB9A0000}"/>
    <cellStyle name="Percentuale 69 5" xfId="1728" xr:uid="{00000000-0005-0000-0000-0000EC9A0000}"/>
    <cellStyle name="Percentuale 69 5 2" xfId="11923" xr:uid="{00000000-0005-0000-0000-0000ED9A0000}"/>
    <cellStyle name="Percentuale 69 6" xfId="1729" xr:uid="{00000000-0005-0000-0000-0000EE9A0000}"/>
    <cellStyle name="Percentuale 69 6 2" xfId="21887" xr:uid="{00000000-0005-0000-0000-0000EF9A0000}"/>
    <cellStyle name="Percentuale 7" xfId="1730" xr:uid="{00000000-0005-0000-0000-0000F09A0000}"/>
    <cellStyle name="Percentuale 7 2" xfId="1731" xr:uid="{00000000-0005-0000-0000-0000F19A0000}"/>
    <cellStyle name="Percentuale 7 2 2" xfId="3807" xr:uid="{00000000-0005-0000-0000-0000F29A0000}"/>
    <cellStyle name="Percentuale 7 3" xfId="1732" xr:uid="{00000000-0005-0000-0000-0000F39A0000}"/>
    <cellStyle name="Percentuale 7 3 2" xfId="1733" xr:uid="{00000000-0005-0000-0000-0000F49A0000}"/>
    <cellStyle name="Percentuale 7 3 3" xfId="20152" xr:uid="{00000000-0005-0000-0000-0000F59A0000}"/>
    <cellStyle name="Percentuale 7 3 3 2" xfId="21157" xr:uid="{00000000-0005-0000-0000-0000F69A0000}"/>
    <cellStyle name="Percentuale 7 3 4" xfId="21156" xr:uid="{00000000-0005-0000-0000-0000F79A0000}"/>
    <cellStyle name="Percentuale 7 3 5" xfId="20151" xr:uid="{00000000-0005-0000-0000-0000F89A0000}"/>
    <cellStyle name="Percentuale 7 4" xfId="1734" xr:uid="{00000000-0005-0000-0000-0000F99A0000}"/>
    <cellStyle name="Percentuale 7 4 2" xfId="20154" xr:uid="{00000000-0005-0000-0000-0000FA9A0000}"/>
    <cellStyle name="Percentuale 7 4 2 2" xfId="21159" xr:uid="{00000000-0005-0000-0000-0000FB9A0000}"/>
    <cellStyle name="Percentuale 7 4 3" xfId="21158" xr:uid="{00000000-0005-0000-0000-0000FC9A0000}"/>
    <cellStyle name="Percentuale 7 4 4" xfId="20153" xr:uid="{00000000-0005-0000-0000-0000FD9A0000}"/>
    <cellStyle name="Percentuale 7 4 5" xfId="11924" xr:uid="{00000000-0005-0000-0000-0000FE9A0000}"/>
    <cellStyle name="Percentuale 7 5" xfId="1735" xr:uid="{00000000-0005-0000-0000-0000FF9A0000}"/>
    <cellStyle name="Percentuale 7 5 2" xfId="11925" xr:uid="{00000000-0005-0000-0000-0000009B0000}"/>
    <cellStyle name="Percentuale 7 6" xfId="1736" xr:uid="{00000000-0005-0000-0000-0000019B0000}"/>
    <cellStyle name="Percentuale 7 6 2" xfId="21888" xr:uid="{00000000-0005-0000-0000-0000029B0000}"/>
    <cellStyle name="Percentuale 8" xfId="1737" xr:uid="{00000000-0005-0000-0000-0000039B0000}"/>
    <cellStyle name="Percentuale 8 2" xfId="1738" xr:uid="{00000000-0005-0000-0000-0000049B0000}"/>
    <cellStyle name="Percentuale 8 2 2" xfId="3808" xr:uid="{00000000-0005-0000-0000-0000059B0000}"/>
    <cellStyle name="Percentuale 8 3" xfId="1739" xr:uid="{00000000-0005-0000-0000-0000069B0000}"/>
    <cellStyle name="Percentuale 8 3 2" xfId="1740" xr:uid="{00000000-0005-0000-0000-0000079B0000}"/>
    <cellStyle name="Percentuale 8 3 3" xfId="20156" xr:uid="{00000000-0005-0000-0000-0000089B0000}"/>
    <cellStyle name="Percentuale 8 3 3 2" xfId="21161" xr:uid="{00000000-0005-0000-0000-0000099B0000}"/>
    <cellStyle name="Percentuale 8 3 4" xfId="21160" xr:uid="{00000000-0005-0000-0000-00000A9B0000}"/>
    <cellStyle name="Percentuale 8 3 5" xfId="20155" xr:uid="{00000000-0005-0000-0000-00000B9B0000}"/>
    <cellStyle name="Percentuale 8 4" xfId="1741" xr:uid="{00000000-0005-0000-0000-00000C9B0000}"/>
    <cellStyle name="Percentuale 8 4 2" xfId="20158" xr:uid="{00000000-0005-0000-0000-00000D9B0000}"/>
    <cellStyle name="Percentuale 8 4 2 2" xfId="21163" xr:uid="{00000000-0005-0000-0000-00000E9B0000}"/>
    <cellStyle name="Percentuale 8 4 3" xfId="21162" xr:uid="{00000000-0005-0000-0000-00000F9B0000}"/>
    <cellStyle name="Percentuale 8 4 4" xfId="20157" xr:uid="{00000000-0005-0000-0000-0000109B0000}"/>
    <cellStyle name="Percentuale 8 4 5" xfId="11926" xr:uid="{00000000-0005-0000-0000-0000119B0000}"/>
    <cellStyle name="Percentuale 8 5" xfId="1742" xr:uid="{00000000-0005-0000-0000-0000129B0000}"/>
    <cellStyle name="Percentuale 8 5 2" xfId="11927" xr:uid="{00000000-0005-0000-0000-0000139B0000}"/>
    <cellStyle name="Percentuale 8 6" xfId="1743" xr:uid="{00000000-0005-0000-0000-0000149B0000}"/>
    <cellStyle name="Percentuale 8 6 2" xfId="21889" xr:uid="{00000000-0005-0000-0000-0000159B0000}"/>
    <cellStyle name="Percentuale 9" xfId="1744" xr:uid="{00000000-0005-0000-0000-0000169B0000}"/>
    <cellStyle name="Percentuale 9 2" xfId="1745" xr:uid="{00000000-0005-0000-0000-0000179B0000}"/>
    <cellStyle name="Percentuale 9 2 2" xfId="3809" xr:uid="{00000000-0005-0000-0000-0000189B0000}"/>
    <cellStyle name="Percentuale 9 3" xfId="1746" xr:uid="{00000000-0005-0000-0000-0000199B0000}"/>
    <cellStyle name="Percentuale 9 3 2" xfId="1747" xr:uid="{00000000-0005-0000-0000-00001A9B0000}"/>
    <cellStyle name="Percentuale 9 3 3" xfId="20160" xr:uid="{00000000-0005-0000-0000-00001B9B0000}"/>
    <cellStyle name="Percentuale 9 3 3 2" xfId="21165" xr:uid="{00000000-0005-0000-0000-00001C9B0000}"/>
    <cellStyle name="Percentuale 9 3 4" xfId="21164" xr:uid="{00000000-0005-0000-0000-00001D9B0000}"/>
    <cellStyle name="Percentuale 9 3 5" xfId="20159" xr:uid="{00000000-0005-0000-0000-00001E9B0000}"/>
    <cellStyle name="Percentuale 9 4" xfId="1748" xr:uid="{00000000-0005-0000-0000-00001F9B0000}"/>
    <cellStyle name="Percentuale 9 4 2" xfId="20162" xr:uid="{00000000-0005-0000-0000-0000209B0000}"/>
    <cellStyle name="Percentuale 9 4 2 2" xfId="21167" xr:uid="{00000000-0005-0000-0000-0000219B0000}"/>
    <cellStyle name="Percentuale 9 4 3" xfId="21166" xr:uid="{00000000-0005-0000-0000-0000229B0000}"/>
    <cellStyle name="Percentuale 9 4 4" xfId="20161" xr:uid="{00000000-0005-0000-0000-0000239B0000}"/>
    <cellStyle name="Percentuale 9 4 5" xfId="11928" xr:uid="{00000000-0005-0000-0000-0000249B0000}"/>
    <cellStyle name="Percentuale 9 5" xfId="1749" xr:uid="{00000000-0005-0000-0000-0000259B0000}"/>
    <cellStyle name="Percentuale 9 5 2" xfId="11929" xr:uid="{00000000-0005-0000-0000-0000269B0000}"/>
    <cellStyle name="Percentuale 9 6" xfId="1750" xr:uid="{00000000-0005-0000-0000-0000279B0000}"/>
    <cellStyle name="Percentuale 9 6 2" xfId="21890" xr:uid="{00000000-0005-0000-0000-0000289B0000}"/>
    <cellStyle name="Preliminary data" xfId="3475" xr:uid="{00000000-0005-0000-0000-0000299B0000}"/>
    <cellStyle name="Preliminary data 2" xfId="12294" xr:uid="{00000000-0005-0000-0000-00002A9B0000}"/>
    <cellStyle name="Procent 10" xfId="2860" xr:uid="{00000000-0005-0000-0000-00002B9B0000}"/>
    <cellStyle name="Procent 10 2" xfId="2861" xr:uid="{00000000-0005-0000-0000-00002C9B0000}"/>
    <cellStyle name="Procent 10 2 2" xfId="2862" xr:uid="{00000000-0005-0000-0000-00002D9B0000}"/>
    <cellStyle name="Procent 10 2 2 2" xfId="22895" xr:uid="{00000000-0005-0000-0000-00002E9B0000}"/>
    <cellStyle name="Procent 10 2 3" xfId="22894" xr:uid="{00000000-0005-0000-0000-00002F9B0000}"/>
    <cellStyle name="Procent 10 3" xfId="2863" xr:uid="{00000000-0005-0000-0000-0000309B0000}"/>
    <cellStyle name="Procent 10 3 2" xfId="2864" xr:uid="{00000000-0005-0000-0000-0000319B0000}"/>
    <cellStyle name="Procent 10 3 2 2" xfId="22897" xr:uid="{00000000-0005-0000-0000-0000329B0000}"/>
    <cellStyle name="Procent 10 3 3" xfId="22896" xr:uid="{00000000-0005-0000-0000-0000339B0000}"/>
    <cellStyle name="Procent 10 4" xfId="2865" xr:uid="{00000000-0005-0000-0000-0000349B0000}"/>
    <cellStyle name="Procent 10 4 2" xfId="2866" xr:uid="{00000000-0005-0000-0000-0000359B0000}"/>
    <cellStyle name="Procent 10 4 2 2" xfId="22899" xr:uid="{00000000-0005-0000-0000-0000369B0000}"/>
    <cellStyle name="Procent 10 4 3" xfId="22898" xr:uid="{00000000-0005-0000-0000-0000379B0000}"/>
    <cellStyle name="Procent 10 5" xfId="2867" xr:uid="{00000000-0005-0000-0000-0000389B0000}"/>
    <cellStyle name="Procent 10 5 2" xfId="22900" xr:uid="{00000000-0005-0000-0000-0000399B0000}"/>
    <cellStyle name="Procent 10 6" xfId="7494" xr:uid="{00000000-0005-0000-0000-00003A9B0000}"/>
    <cellStyle name="Procent 10 7" xfId="22893" xr:uid="{00000000-0005-0000-0000-00003B9B0000}"/>
    <cellStyle name="Procent 11" xfId="2868" xr:uid="{00000000-0005-0000-0000-00003C9B0000}"/>
    <cellStyle name="Procent 11 2" xfId="2869" xr:uid="{00000000-0005-0000-0000-00003D9B0000}"/>
    <cellStyle name="Procent 11 2 2" xfId="22902" xr:uid="{00000000-0005-0000-0000-00003E9B0000}"/>
    <cellStyle name="Procent 11 3" xfId="7495" xr:uid="{00000000-0005-0000-0000-00003F9B0000}"/>
    <cellStyle name="Procent 11 4" xfId="22901" xr:uid="{00000000-0005-0000-0000-0000409B0000}"/>
    <cellStyle name="Procent 12" xfId="2870" xr:uid="{00000000-0005-0000-0000-0000419B0000}"/>
    <cellStyle name="Procent 12 2" xfId="2871" xr:uid="{00000000-0005-0000-0000-0000429B0000}"/>
    <cellStyle name="Procent 12 2 2" xfId="7497" xr:uid="{00000000-0005-0000-0000-0000439B0000}"/>
    <cellStyle name="Procent 12 2 3" xfId="22904" xr:uid="{00000000-0005-0000-0000-0000449B0000}"/>
    <cellStyle name="Procent 12 3" xfId="7496" xr:uid="{00000000-0005-0000-0000-0000459B0000}"/>
    <cellStyle name="Procent 12 4" xfId="22903" xr:uid="{00000000-0005-0000-0000-0000469B0000}"/>
    <cellStyle name="Procent 13" xfId="2872" xr:uid="{00000000-0005-0000-0000-0000479B0000}"/>
    <cellStyle name="Procent 13 2" xfId="7498" xr:uid="{00000000-0005-0000-0000-0000489B0000}"/>
    <cellStyle name="Procent 14" xfId="7499" xr:uid="{00000000-0005-0000-0000-0000499B0000}"/>
    <cellStyle name="Procent 15" xfId="7493" xr:uid="{00000000-0005-0000-0000-00004A9B0000}"/>
    <cellStyle name="Procent 16" xfId="3816" xr:uid="{00000000-0005-0000-0000-00004B9B0000}"/>
    <cellStyle name="Procent 16 2" xfId="11149" xr:uid="{00000000-0005-0000-0000-00004C9B0000}"/>
    <cellStyle name="Procent 17" xfId="11073" xr:uid="{00000000-0005-0000-0000-00004D9B0000}"/>
    <cellStyle name="Procent 2" xfId="2873" xr:uid="{00000000-0005-0000-0000-00004E9B0000}"/>
    <cellStyle name="Procent 2 10" xfId="2874" xr:uid="{00000000-0005-0000-0000-00004F9B0000}"/>
    <cellStyle name="Procent 2 10 2" xfId="2875" xr:uid="{00000000-0005-0000-0000-0000509B0000}"/>
    <cellStyle name="Procent 2 10 2 2" xfId="2876" xr:uid="{00000000-0005-0000-0000-0000519B0000}"/>
    <cellStyle name="Procent 2 10 2 2 2" xfId="22908" xr:uid="{00000000-0005-0000-0000-0000529B0000}"/>
    <cellStyle name="Procent 2 10 2 3" xfId="22907" xr:uid="{00000000-0005-0000-0000-0000539B0000}"/>
    <cellStyle name="Procent 2 10 3" xfId="2877" xr:uid="{00000000-0005-0000-0000-0000549B0000}"/>
    <cellStyle name="Procent 2 10 3 2" xfId="22909" xr:uid="{00000000-0005-0000-0000-0000559B0000}"/>
    <cellStyle name="Procent 2 10 4" xfId="22906" xr:uid="{00000000-0005-0000-0000-0000569B0000}"/>
    <cellStyle name="Procent 2 11" xfId="2878" xr:uid="{00000000-0005-0000-0000-0000579B0000}"/>
    <cellStyle name="Procent 2 11 2" xfId="2879" xr:uid="{00000000-0005-0000-0000-0000589B0000}"/>
    <cellStyle name="Procent 2 11 2 2" xfId="22911" xr:uid="{00000000-0005-0000-0000-0000599B0000}"/>
    <cellStyle name="Procent 2 11 3" xfId="22910" xr:uid="{00000000-0005-0000-0000-00005A9B0000}"/>
    <cellStyle name="Procent 2 12" xfId="2880" xr:uid="{00000000-0005-0000-0000-00005B9B0000}"/>
    <cellStyle name="Procent 2 12 2" xfId="2881" xr:uid="{00000000-0005-0000-0000-00005C9B0000}"/>
    <cellStyle name="Procent 2 12 2 2" xfId="22913" xr:uid="{00000000-0005-0000-0000-00005D9B0000}"/>
    <cellStyle name="Procent 2 12 3" xfId="22912" xr:uid="{00000000-0005-0000-0000-00005E9B0000}"/>
    <cellStyle name="Procent 2 13" xfId="2882" xr:uid="{00000000-0005-0000-0000-00005F9B0000}"/>
    <cellStyle name="Procent 2 13 2" xfId="2883" xr:uid="{00000000-0005-0000-0000-0000609B0000}"/>
    <cellStyle name="Procent 2 13 2 2" xfId="22915" xr:uid="{00000000-0005-0000-0000-0000619B0000}"/>
    <cellStyle name="Procent 2 13 3" xfId="22914" xr:uid="{00000000-0005-0000-0000-0000629B0000}"/>
    <cellStyle name="Procent 2 14" xfId="2884" xr:uid="{00000000-0005-0000-0000-0000639B0000}"/>
    <cellStyle name="Procent 2 14 2" xfId="2885" xr:uid="{00000000-0005-0000-0000-0000649B0000}"/>
    <cellStyle name="Procent 2 14 2 2" xfId="22917" xr:uid="{00000000-0005-0000-0000-0000659B0000}"/>
    <cellStyle name="Procent 2 14 3" xfId="22916" xr:uid="{00000000-0005-0000-0000-0000669B0000}"/>
    <cellStyle name="Procent 2 15" xfId="2886" xr:uid="{00000000-0005-0000-0000-0000679B0000}"/>
    <cellStyle name="Procent 2 15 2" xfId="22918" xr:uid="{00000000-0005-0000-0000-0000689B0000}"/>
    <cellStyle name="Procent 2 16" xfId="22905" xr:uid="{00000000-0005-0000-0000-0000699B0000}"/>
    <cellStyle name="Procent 2 2" xfId="2887" xr:uid="{00000000-0005-0000-0000-00006A9B0000}"/>
    <cellStyle name="Procent 2 2 10" xfId="22919" xr:uid="{00000000-0005-0000-0000-00006B9B0000}"/>
    <cellStyle name="Procent 2 2 11" xfId="39380" xr:uid="{00000000-0005-0000-0000-00006C9B0000}"/>
    <cellStyle name="Procent 2 2 2" xfId="2888" xr:uid="{00000000-0005-0000-0000-00006D9B0000}"/>
    <cellStyle name="Procent 2 2 2 2" xfId="2889" xr:uid="{00000000-0005-0000-0000-00006E9B0000}"/>
    <cellStyle name="Procent 2 2 2 2 2" xfId="2890" xr:uid="{00000000-0005-0000-0000-00006F9B0000}"/>
    <cellStyle name="Procent 2 2 2 2 2 2" xfId="22922" xr:uid="{00000000-0005-0000-0000-0000709B0000}"/>
    <cellStyle name="Procent 2 2 2 2 3" xfId="18915" xr:uid="{00000000-0005-0000-0000-0000719B0000}"/>
    <cellStyle name="Procent 2 2 2 2 3 2" xfId="37075" xr:uid="{00000000-0005-0000-0000-0000729B0000}"/>
    <cellStyle name="Procent 2 2 2 2 4" xfId="22921" xr:uid="{00000000-0005-0000-0000-0000739B0000}"/>
    <cellStyle name="Procent 2 2 2 3" xfId="2891" xr:uid="{00000000-0005-0000-0000-0000749B0000}"/>
    <cellStyle name="Procent 2 2 2 3 2" xfId="2892" xr:uid="{00000000-0005-0000-0000-0000759B0000}"/>
    <cellStyle name="Procent 2 2 2 3 2 2" xfId="22924" xr:uid="{00000000-0005-0000-0000-0000769B0000}"/>
    <cellStyle name="Procent 2 2 2 3 3" xfId="22923" xr:uid="{00000000-0005-0000-0000-0000779B0000}"/>
    <cellStyle name="Procent 2 2 2 4" xfId="2893" xr:uid="{00000000-0005-0000-0000-0000789B0000}"/>
    <cellStyle name="Procent 2 2 2 4 2" xfId="2894" xr:uid="{00000000-0005-0000-0000-0000799B0000}"/>
    <cellStyle name="Procent 2 2 2 4 2 2" xfId="22926" xr:uid="{00000000-0005-0000-0000-00007A9B0000}"/>
    <cellStyle name="Procent 2 2 2 4 3" xfId="22925" xr:uid="{00000000-0005-0000-0000-00007B9B0000}"/>
    <cellStyle name="Procent 2 2 2 5" xfId="2895" xr:uid="{00000000-0005-0000-0000-00007C9B0000}"/>
    <cellStyle name="Procent 2 2 2 5 2" xfId="2896" xr:uid="{00000000-0005-0000-0000-00007D9B0000}"/>
    <cellStyle name="Procent 2 2 2 5 2 2" xfId="22928" xr:uid="{00000000-0005-0000-0000-00007E9B0000}"/>
    <cellStyle name="Procent 2 2 2 5 3" xfId="22927" xr:uid="{00000000-0005-0000-0000-00007F9B0000}"/>
    <cellStyle name="Procent 2 2 2 6" xfId="2897" xr:uid="{00000000-0005-0000-0000-0000809B0000}"/>
    <cellStyle name="Procent 2 2 2 6 2" xfId="22929" xr:uid="{00000000-0005-0000-0000-0000819B0000}"/>
    <cellStyle name="Procent 2 2 2 7" xfId="11066" xr:uid="{00000000-0005-0000-0000-0000829B0000}"/>
    <cellStyle name="Procent 2 2 2 7 2" xfId="30074" xr:uid="{00000000-0005-0000-0000-0000839B0000}"/>
    <cellStyle name="Procent 2 2 2 8" xfId="22920" xr:uid="{00000000-0005-0000-0000-0000849B0000}"/>
    <cellStyle name="Procent 2 2 3" xfId="2898" xr:uid="{00000000-0005-0000-0000-0000859B0000}"/>
    <cellStyle name="Procent 2 2 3 2" xfId="2899" xr:uid="{00000000-0005-0000-0000-0000869B0000}"/>
    <cellStyle name="Procent 2 2 3 2 2" xfId="2900" xr:uid="{00000000-0005-0000-0000-0000879B0000}"/>
    <cellStyle name="Procent 2 2 3 2 2 2" xfId="22932" xr:uid="{00000000-0005-0000-0000-0000889B0000}"/>
    <cellStyle name="Procent 2 2 3 2 3" xfId="22931" xr:uid="{00000000-0005-0000-0000-0000899B0000}"/>
    <cellStyle name="Procent 2 2 3 3" xfId="2901" xr:uid="{00000000-0005-0000-0000-00008A9B0000}"/>
    <cellStyle name="Procent 2 2 3 3 2" xfId="22933" xr:uid="{00000000-0005-0000-0000-00008B9B0000}"/>
    <cellStyle name="Procent 2 2 3 4" xfId="7500" xr:uid="{00000000-0005-0000-0000-00008C9B0000}"/>
    <cellStyle name="Procent 2 2 3 5" xfId="22930" xr:uid="{00000000-0005-0000-0000-00008D9B0000}"/>
    <cellStyle name="Procent 2 2 4" xfId="2902" xr:uid="{00000000-0005-0000-0000-00008E9B0000}"/>
    <cellStyle name="Procent 2 2 4 2" xfId="2903" xr:uid="{00000000-0005-0000-0000-00008F9B0000}"/>
    <cellStyle name="Procent 2 2 4 2 2" xfId="18956" xr:uid="{00000000-0005-0000-0000-0000909B0000}"/>
    <cellStyle name="Procent 2 2 4 2 2 2" xfId="37115" xr:uid="{00000000-0005-0000-0000-0000919B0000}"/>
    <cellStyle name="Procent 2 2 4 2 3" xfId="22935" xr:uid="{00000000-0005-0000-0000-0000929B0000}"/>
    <cellStyle name="Procent 2 2 4 3" xfId="11182" xr:uid="{00000000-0005-0000-0000-0000939B0000}"/>
    <cellStyle name="Procent 2 2 4 3 2" xfId="30114" xr:uid="{00000000-0005-0000-0000-0000949B0000}"/>
    <cellStyle name="Procent 2 2 4 4" xfId="22934" xr:uid="{00000000-0005-0000-0000-0000959B0000}"/>
    <cellStyle name="Procent 2 2 5" xfId="2904" xr:uid="{00000000-0005-0000-0000-0000969B0000}"/>
    <cellStyle name="Procent 2 2 5 2" xfId="2905" xr:uid="{00000000-0005-0000-0000-0000979B0000}"/>
    <cellStyle name="Procent 2 2 5 2 2" xfId="22937" xr:uid="{00000000-0005-0000-0000-0000989B0000}"/>
    <cellStyle name="Procent 2 2 5 3" xfId="12296" xr:uid="{00000000-0005-0000-0000-0000999B0000}"/>
    <cellStyle name="Procent 2 2 5 3 2" xfId="30466" xr:uid="{00000000-0005-0000-0000-00009A9B0000}"/>
    <cellStyle name="Procent 2 2 5 4" xfId="22936" xr:uid="{00000000-0005-0000-0000-00009B9B0000}"/>
    <cellStyle name="Procent 2 2 6" xfId="2906" xr:uid="{00000000-0005-0000-0000-00009C9B0000}"/>
    <cellStyle name="Procent 2 2 6 2" xfId="2907" xr:uid="{00000000-0005-0000-0000-00009D9B0000}"/>
    <cellStyle name="Procent 2 2 6 2 2" xfId="22939" xr:uid="{00000000-0005-0000-0000-00009E9B0000}"/>
    <cellStyle name="Procent 2 2 6 3" xfId="21168" xr:uid="{00000000-0005-0000-0000-00009F9B0000}"/>
    <cellStyle name="Procent 2 2 6 4" xfId="22938" xr:uid="{00000000-0005-0000-0000-0000A09B0000}"/>
    <cellStyle name="Procent 2 2 7" xfId="2908" xr:uid="{00000000-0005-0000-0000-0000A19B0000}"/>
    <cellStyle name="Procent 2 2 7 2" xfId="2909" xr:uid="{00000000-0005-0000-0000-0000A29B0000}"/>
    <cellStyle name="Procent 2 2 7 2 2" xfId="22941" xr:uid="{00000000-0005-0000-0000-0000A39B0000}"/>
    <cellStyle name="Procent 2 2 7 3" xfId="22940" xr:uid="{00000000-0005-0000-0000-0000A49B0000}"/>
    <cellStyle name="Procent 2 2 8" xfId="2910" xr:uid="{00000000-0005-0000-0000-0000A59B0000}"/>
    <cellStyle name="Procent 2 2 8 2" xfId="22942" xr:uid="{00000000-0005-0000-0000-0000A69B0000}"/>
    <cellStyle name="Procent 2 2 9" xfId="3487" xr:uid="{00000000-0005-0000-0000-0000A79B0000}"/>
    <cellStyle name="Procent 2 2 9 2" xfId="23464" xr:uid="{00000000-0005-0000-0000-0000A89B0000}"/>
    <cellStyle name="Procent 2 3" xfId="2911" xr:uid="{00000000-0005-0000-0000-0000A99B0000}"/>
    <cellStyle name="Procent 2 3 10" xfId="22943" xr:uid="{00000000-0005-0000-0000-0000AA9B0000}"/>
    <cellStyle name="Procent 2 3 2" xfId="2912" xr:uid="{00000000-0005-0000-0000-0000AB9B0000}"/>
    <cellStyle name="Procent 2 3 2 2" xfId="2913" xr:uid="{00000000-0005-0000-0000-0000AC9B0000}"/>
    <cellStyle name="Procent 2 3 2 2 2" xfId="2914" xr:uid="{00000000-0005-0000-0000-0000AD9B0000}"/>
    <cellStyle name="Procent 2 3 2 2 2 2" xfId="22946" xr:uid="{00000000-0005-0000-0000-0000AE9B0000}"/>
    <cellStyle name="Procent 2 3 2 2 3" xfId="22945" xr:uid="{00000000-0005-0000-0000-0000AF9B0000}"/>
    <cellStyle name="Procent 2 3 2 3" xfId="2915" xr:uid="{00000000-0005-0000-0000-0000B09B0000}"/>
    <cellStyle name="Procent 2 3 2 3 2" xfId="2916" xr:uid="{00000000-0005-0000-0000-0000B19B0000}"/>
    <cellStyle name="Procent 2 3 2 3 2 2" xfId="22948" xr:uid="{00000000-0005-0000-0000-0000B29B0000}"/>
    <cellStyle name="Procent 2 3 2 3 3" xfId="22947" xr:uid="{00000000-0005-0000-0000-0000B39B0000}"/>
    <cellStyle name="Procent 2 3 2 4" xfId="2917" xr:uid="{00000000-0005-0000-0000-0000B49B0000}"/>
    <cellStyle name="Procent 2 3 2 4 2" xfId="22949" xr:uid="{00000000-0005-0000-0000-0000B59B0000}"/>
    <cellStyle name="Procent 2 3 2 5" xfId="22944" xr:uid="{00000000-0005-0000-0000-0000B69B0000}"/>
    <cellStyle name="Procent 2 3 3" xfId="2918" xr:uid="{00000000-0005-0000-0000-0000B79B0000}"/>
    <cellStyle name="Procent 2 3 3 2" xfId="2919" xr:uid="{00000000-0005-0000-0000-0000B89B0000}"/>
    <cellStyle name="Procent 2 3 3 2 2" xfId="22951" xr:uid="{00000000-0005-0000-0000-0000B99B0000}"/>
    <cellStyle name="Procent 2 3 3 3" xfId="22950" xr:uid="{00000000-0005-0000-0000-0000BA9B0000}"/>
    <cellStyle name="Procent 2 3 4" xfId="2920" xr:uid="{00000000-0005-0000-0000-0000BB9B0000}"/>
    <cellStyle name="Procent 2 3 4 2" xfId="2921" xr:uid="{00000000-0005-0000-0000-0000BC9B0000}"/>
    <cellStyle name="Procent 2 3 4 2 2" xfId="22953" xr:uid="{00000000-0005-0000-0000-0000BD9B0000}"/>
    <cellStyle name="Procent 2 3 4 3" xfId="22952" xr:uid="{00000000-0005-0000-0000-0000BE9B0000}"/>
    <cellStyle name="Procent 2 3 5" xfId="2922" xr:uid="{00000000-0005-0000-0000-0000BF9B0000}"/>
    <cellStyle name="Procent 2 3 5 2" xfId="2923" xr:uid="{00000000-0005-0000-0000-0000C09B0000}"/>
    <cellStyle name="Procent 2 3 5 2 2" xfId="22955" xr:uid="{00000000-0005-0000-0000-0000C19B0000}"/>
    <cellStyle name="Procent 2 3 5 3" xfId="22954" xr:uid="{00000000-0005-0000-0000-0000C29B0000}"/>
    <cellStyle name="Procent 2 3 6" xfId="2924" xr:uid="{00000000-0005-0000-0000-0000C39B0000}"/>
    <cellStyle name="Procent 2 3 6 2" xfId="2925" xr:uid="{00000000-0005-0000-0000-0000C49B0000}"/>
    <cellStyle name="Procent 2 3 6 2 2" xfId="22957" xr:uid="{00000000-0005-0000-0000-0000C59B0000}"/>
    <cellStyle name="Procent 2 3 6 3" xfId="22956" xr:uid="{00000000-0005-0000-0000-0000C69B0000}"/>
    <cellStyle name="Procent 2 3 7" xfId="2926" xr:uid="{00000000-0005-0000-0000-0000C79B0000}"/>
    <cellStyle name="Procent 2 3 7 2" xfId="2927" xr:uid="{00000000-0005-0000-0000-0000C89B0000}"/>
    <cellStyle name="Procent 2 3 7 2 2" xfId="22959" xr:uid="{00000000-0005-0000-0000-0000C99B0000}"/>
    <cellStyle name="Procent 2 3 7 3" xfId="22958" xr:uid="{00000000-0005-0000-0000-0000CA9B0000}"/>
    <cellStyle name="Procent 2 3 8" xfId="2928" xr:uid="{00000000-0005-0000-0000-0000CB9B0000}"/>
    <cellStyle name="Procent 2 3 8 2" xfId="22960" xr:uid="{00000000-0005-0000-0000-0000CC9B0000}"/>
    <cellStyle name="Procent 2 3 9" xfId="7501" xr:uid="{00000000-0005-0000-0000-0000CD9B0000}"/>
    <cellStyle name="Procent 2 4" xfId="2929" xr:uid="{00000000-0005-0000-0000-0000CE9B0000}"/>
    <cellStyle name="Procent 2 4 10" xfId="22961" xr:uid="{00000000-0005-0000-0000-0000CF9B0000}"/>
    <cellStyle name="Procent 2 4 2" xfId="2930" xr:uid="{00000000-0005-0000-0000-0000D09B0000}"/>
    <cellStyle name="Procent 2 4 2 2" xfId="2931" xr:uid="{00000000-0005-0000-0000-0000D19B0000}"/>
    <cellStyle name="Procent 2 4 2 2 2" xfId="2932" xr:uid="{00000000-0005-0000-0000-0000D29B0000}"/>
    <cellStyle name="Procent 2 4 2 2 2 2" xfId="22964" xr:uid="{00000000-0005-0000-0000-0000D39B0000}"/>
    <cellStyle name="Procent 2 4 2 2 3" xfId="22963" xr:uid="{00000000-0005-0000-0000-0000D49B0000}"/>
    <cellStyle name="Procent 2 4 2 3" xfId="2933" xr:uid="{00000000-0005-0000-0000-0000D59B0000}"/>
    <cellStyle name="Procent 2 4 2 3 2" xfId="2934" xr:uid="{00000000-0005-0000-0000-0000D69B0000}"/>
    <cellStyle name="Procent 2 4 2 3 2 2" xfId="22966" xr:uid="{00000000-0005-0000-0000-0000D79B0000}"/>
    <cellStyle name="Procent 2 4 2 3 3" xfId="22965" xr:uid="{00000000-0005-0000-0000-0000D89B0000}"/>
    <cellStyle name="Procent 2 4 2 4" xfId="2935" xr:uid="{00000000-0005-0000-0000-0000D99B0000}"/>
    <cellStyle name="Procent 2 4 2 4 2" xfId="22967" xr:uid="{00000000-0005-0000-0000-0000DA9B0000}"/>
    <cellStyle name="Procent 2 4 2 5" xfId="7503" xr:uid="{00000000-0005-0000-0000-0000DB9B0000}"/>
    <cellStyle name="Procent 2 4 2 6" xfId="22962" xr:uid="{00000000-0005-0000-0000-0000DC9B0000}"/>
    <cellStyle name="Procent 2 4 3" xfId="2936" xr:uid="{00000000-0005-0000-0000-0000DD9B0000}"/>
    <cellStyle name="Procent 2 4 3 2" xfId="2937" xr:uid="{00000000-0005-0000-0000-0000DE9B0000}"/>
    <cellStyle name="Procent 2 4 3 2 2" xfId="22969" xr:uid="{00000000-0005-0000-0000-0000DF9B0000}"/>
    <cellStyle name="Procent 2 4 3 3" xfId="22968" xr:uid="{00000000-0005-0000-0000-0000E09B0000}"/>
    <cellStyle name="Procent 2 4 4" xfId="2938" xr:uid="{00000000-0005-0000-0000-0000E19B0000}"/>
    <cellStyle name="Procent 2 4 4 2" xfId="2939" xr:uid="{00000000-0005-0000-0000-0000E29B0000}"/>
    <cellStyle name="Procent 2 4 4 2 2" xfId="22971" xr:uid="{00000000-0005-0000-0000-0000E39B0000}"/>
    <cellStyle name="Procent 2 4 4 3" xfId="22970" xr:uid="{00000000-0005-0000-0000-0000E49B0000}"/>
    <cellStyle name="Procent 2 4 5" xfId="2940" xr:uid="{00000000-0005-0000-0000-0000E59B0000}"/>
    <cellStyle name="Procent 2 4 5 2" xfId="2941" xr:uid="{00000000-0005-0000-0000-0000E69B0000}"/>
    <cellStyle name="Procent 2 4 5 2 2" xfId="22973" xr:uid="{00000000-0005-0000-0000-0000E79B0000}"/>
    <cellStyle name="Procent 2 4 5 3" xfId="22972" xr:uid="{00000000-0005-0000-0000-0000E89B0000}"/>
    <cellStyle name="Procent 2 4 6" xfId="2942" xr:uid="{00000000-0005-0000-0000-0000E99B0000}"/>
    <cellStyle name="Procent 2 4 6 2" xfId="2943" xr:uid="{00000000-0005-0000-0000-0000EA9B0000}"/>
    <cellStyle name="Procent 2 4 6 2 2" xfId="22975" xr:uid="{00000000-0005-0000-0000-0000EB9B0000}"/>
    <cellStyle name="Procent 2 4 6 3" xfId="22974" xr:uid="{00000000-0005-0000-0000-0000EC9B0000}"/>
    <cellStyle name="Procent 2 4 7" xfId="2944" xr:uid="{00000000-0005-0000-0000-0000ED9B0000}"/>
    <cellStyle name="Procent 2 4 7 2" xfId="2945" xr:uid="{00000000-0005-0000-0000-0000EE9B0000}"/>
    <cellStyle name="Procent 2 4 7 2 2" xfId="22977" xr:uid="{00000000-0005-0000-0000-0000EF9B0000}"/>
    <cellStyle name="Procent 2 4 7 3" xfId="22976" xr:uid="{00000000-0005-0000-0000-0000F09B0000}"/>
    <cellStyle name="Procent 2 4 8" xfId="2946" xr:uid="{00000000-0005-0000-0000-0000F19B0000}"/>
    <cellStyle name="Procent 2 4 8 2" xfId="22978" xr:uid="{00000000-0005-0000-0000-0000F29B0000}"/>
    <cellStyle name="Procent 2 4 9" xfId="7502" xr:uid="{00000000-0005-0000-0000-0000F39B0000}"/>
    <cellStyle name="Procent 2 5" xfId="1751" xr:uid="{00000000-0005-0000-0000-0000F49B0000}"/>
    <cellStyle name="Procent 2 5 2" xfId="2947" xr:uid="{00000000-0005-0000-0000-0000F59B0000}"/>
    <cellStyle name="Procent 2 5 2 2" xfId="2948" xr:uid="{00000000-0005-0000-0000-0000F69B0000}"/>
    <cellStyle name="Procent 2 5 2 2 2" xfId="2949" xr:uid="{00000000-0005-0000-0000-0000F79B0000}"/>
    <cellStyle name="Procent 2 5 2 2 2 2" xfId="22981" xr:uid="{00000000-0005-0000-0000-0000F89B0000}"/>
    <cellStyle name="Procent 2 5 2 2 3" xfId="22980" xr:uid="{00000000-0005-0000-0000-0000F99B0000}"/>
    <cellStyle name="Procent 2 5 2 3" xfId="2950" xr:uid="{00000000-0005-0000-0000-0000FA9B0000}"/>
    <cellStyle name="Procent 2 5 2 3 2" xfId="2951" xr:uid="{00000000-0005-0000-0000-0000FB9B0000}"/>
    <cellStyle name="Procent 2 5 2 3 2 2" xfId="22983" xr:uid="{00000000-0005-0000-0000-0000FC9B0000}"/>
    <cellStyle name="Procent 2 5 2 3 3" xfId="22982" xr:uid="{00000000-0005-0000-0000-0000FD9B0000}"/>
    <cellStyle name="Procent 2 5 2 4" xfId="2952" xr:uid="{00000000-0005-0000-0000-0000FE9B0000}"/>
    <cellStyle name="Procent 2 5 2 4 2" xfId="22984" xr:uid="{00000000-0005-0000-0000-0000FF9B0000}"/>
    <cellStyle name="Procent 2 5 2 5" xfId="11119" xr:uid="{00000000-0005-0000-0000-0000009C0000}"/>
    <cellStyle name="Procent 2 5 2 6" xfId="22979" xr:uid="{00000000-0005-0000-0000-0000019C0000}"/>
    <cellStyle name="Procent 2 5 3" xfId="2953" xr:uid="{00000000-0005-0000-0000-0000029C0000}"/>
    <cellStyle name="Procent 2 5 3 2" xfId="2954" xr:uid="{00000000-0005-0000-0000-0000039C0000}"/>
    <cellStyle name="Procent 2 5 3 2 2" xfId="22986" xr:uid="{00000000-0005-0000-0000-0000049C0000}"/>
    <cellStyle name="Procent 2 5 3 3" xfId="22985" xr:uid="{00000000-0005-0000-0000-0000059C0000}"/>
    <cellStyle name="Procent 2 5 4" xfId="2955" xr:uid="{00000000-0005-0000-0000-0000069C0000}"/>
    <cellStyle name="Procent 2 5 4 2" xfId="2956" xr:uid="{00000000-0005-0000-0000-0000079C0000}"/>
    <cellStyle name="Procent 2 5 4 2 2" xfId="22988" xr:uid="{00000000-0005-0000-0000-0000089C0000}"/>
    <cellStyle name="Procent 2 5 4 3" xfId="22987" xr:uid="{00000000-0005-0000-0000-0000099C0000}"/>
    <cellStyle name="Procent 2 5 5" xfId="2957" xr:uid="{00000000-0005-0000-0000-00000A9C0000}"/>
    <cellStyle name="Procent 2 5 5 2" xfId="2958" xr:uid="{00000000-0005-0000-0000-00000B9C0000}"/>
    <cellStyle name="Procent 2 5 5 2 2" xfId="22990" xr:uid="{00000000-0005-0000-0000-00000C9C0000}"/>
    <cellStyle name="Procent 2 5 5 3" xfId="22989" xr:uid="{00000000-0005-0000-0000-00000D9C0000}"/>
    <cellStyle name="Procent 2 5 6" xfId="2959" xr:uid="{00000000-0005-0000-0000-00000E9C0000}"/>
    <cellStyle name="Procent 2 5 6 2" xfId="2960" xr:uid="{00000000-0005-0000-0000-00000F9C0000}"/>
    <cellStyle name="Procent 2 5 6 2 2" xfId="22992" xr:uid="{00000000-0005-0000-0000-0000109C0000}"/>
    <cellStyle name="Procent 2 5 6 3" xfId="22991" xr:uid="{00000000-0005-0000-0000-0000119C0000}"/>
    <cellStyle name="Procent 2 6" xfId="2961" xr:uid="{00000000-0005-0000-0000-0000129C0000}"/>
    <cellStyle name="Procent 2 6 2" xfId="2962" xr:uid="{00000000-0005-0000-0000-0000139C0000}"/>
    <cellStyle name="Procent 2 6 2 2" xfId="2963" xr:uid="{00000000-0005-0000-0000-0000149C0000}"/>
    <cellStyle name="Procent 2 6 2 2 2" xfId="2964" xr:uid="{00000000-0005-0000-0000-0000159C0000}"/>
    <cellStyle name="Procent 2 6 2 2 2 2" xfId="22996" xr:uid="{00000000-0005-0000-0000-0000169C0000}"/>
    <cellStyle name="Procent 2 6 2 2 3" xfId="22995" xr:uid="{00000000-0005-0000-0000-0000179C0000}"/>
    <cellStyle name="Procent 2 6 2 3" xfId="2965" xr:uid="{00000000-0005-0000-0000-0000189C0000}"/>
    <cellStyle name="Procent 2 6 2 3 2" xfId="2966" xr:uid="{00000000-0005-0000-0000-0000199C0000}"/>
    <cellStyle name="Procent 2 6 2 3 2 2" xfId="22998" xr:uid="{00000000-0005-0000-0000-00001A9C0000}"/>
    <cellStyle name="Procent 2 6 2 3 3" xfId="22997" xr:uid="{00000000-0005-0000-0000-00001B9C0000}"/>
    <cellStyle name="Procent 2 6 2 4" xfId="2967" xr:uid="{00000000-0005-0000-0000-00001C9C0000}"/>
    <cellStyle name="Procent 2 6 2 4 2" xfId="22999" xr:uid="{00000000-0005-0000-0000-00001D9C0000}"/>
    <cellStyle name="Procent 2 6 2 5" xfId="12374" xr:uid="{00000000-0005-0000-0000-00001E9C0000}"/>
    <cellStyle name="Procent 2 6 2 5 2" xfId="30541" xr:uid="{00000000-0005-0000-0000-00001F9C0000}"/>
    <cellStyle name="Procent 2 6 2 6" xfId="22994" xr:uid="{00000000-0005-0000-0000-0000209C0000}"/>
    <cellStyle name="Procent 2 6 3" xfId="2968" xr:uid="{00000000-0005-0000-0000-0000219C0000}"/>
    <cellStyle name="Procent 2 6 3 2" xfId="2969" xr:uid="{00000000-0005-0000-0000-0000229C0000}"/>
    <cellStyle name="Procent 2 6 3 2 2" xfId="23001" xr:uid="{00000000-0005-0000-0000-0000239C0000}"/>
    <cellStyle name="Procent 2 6 3 3" xfId="23000" xr:uid="{00000000-0005-0000-0000-0000249C0000}"/>
    <cellStyle name="Procent 2 6 4" xfId="2970" xr:uid="{00000000-0005-0000-0000-0000259C0000}"/>
    <cellStyle name="Procent 2 6 4 2" xfId="2971" xr:uid="{00000000-0005-0000-0000-0000269C0000}"/>
    <cellStyle name="Procent 2 6 4 2 2" xfId="23003" xr:uid="{00000000-0005-0000-0000-0000279C0000}"/>
    <cellStyle name="Procent 2 6 4 3" xfId="23002" xr:uid="{00000000-0005-0000-0000-0000289C0000}"/>
    <cellStyle name="Procent 2 6 5" xfId="2972" xr:uid="{00000000-0005-0000-0000-0000299C0000}"/>
    <cellStyle name="Procent 2 6 5 2" xfId="2973" xr:uid="{00000000-0005-0000-0000-00002A9C0000}"/>
    <cellStyle name="Procent 2 6 5 2 2" xfId="23005" xr:uid="{00000000-0005-0000-0000-00002B9C0000}"/>
    <cellStyle name="Procent 2 6 5 3" xfId="23004" xr:uid="{00000000-0005-0000-0000-00002C9C0000}"/>
    <cellStyle name="Procent 2 6 6" xfId="2974" xr:uid="{00000000-0005-0000-0000-00002D9C0000}"/>
    <cellStyle name="Procent 2 6 6 2" xfId="23006" xr:uid="{00000000-0005-0000-0000-00002E9C0000}"/>
    <cellStyle name="Procent 2 6 7" xfId="3818" xr:uid="{00000000-0005-0000-0000-00002F9C0000}"/>
    <cellStyle name="Procent 2 6 7 2" xfId="23539" xr:uid="{00000000-0005-0000-0000-0000309C0000}"/>
    <cellStyle name="Procent 2 6 8" xfId="22993" xr:uid="{00000000-0005-0000-0000-0000319C0000}"/>
    <cellStyle name="Procent 2 7" xfId="2975" xr:uid="{00000000-0005-0000-0000-0000329C0000}"/>
    <cellStyle name="Procent 2 7 2" xfId="2976" xr:uid="{00000000-0005-0000-0000-0000339C0000}"/>
    <cellStyle name="Procent 2 7 2 2" xfId="2977" xr:uid="{00000000-0005-0000-0000-0000349C0000}"/>
    <cellStyle name="Procent 2 7 2 2 2" xfId="2978" xr:uid="{00000000-0005-0000-0000-0000359C0000}"/>
    <cellStyle name="Procent 2 7 2 2 2 2" xfId="23010" xr:uid="{00000000-0005-0000-0000-0000369C0000}"/>
    <cellStyle name="Procent 2 7 2 2 3" xfId="23009" xr:uid="{00000000-0005-0000-0000-0000379C0000}"/>
    <cellStyle name="Procent 2 7 2 3" xfId="2979" xr:uid="{00000000-0005-0000-0000-0000389C0000}"/>
    <cellStyle name="Procent 2 7 2 3 2" xfId="2980" xr:uid="{00000000-0005-0000-0000-0000399C0000}"/>
    <cellStyle name="Procent 2 7 2 3 2 2" xfId="23012" xr:uid="{00000000-0005-0000-0000-00003A9C0000}"/>
    <cellStyle name="Procent 2 7 2 3 3" xfId="23011" xr:uid="{00000000-0005-0000-0000-00003B9C0000}"/>
    <cellStyle name="Procent 2 7 2 4" xfId="2981" xr:uid="{00000000-0005-0000-0000-00003C9C0000}"/>
    <cellStyle name="Procent 2 7 2 4 2" xfId="23013" xr:uid="{00000000-0005-0000-0000-00003D9C0000}"/>
    <cellStyle name="Procent 2 7 2 5" xfId="23008" xr:uid="{00000000-0005-0000-0000-00003E9C0000}"/>
    <cellStyle name="Procent 2 7 3" xfId="2982" xr:uid="{00000000-0005-0000-0000-00003F9C0000}"/>
    <cellStyle name="Procent 2 7 3 2" xfId="2983" xr:uid="{00000000-0005-0000-0000-0000409C0000}"/>
    <cellStyle name="Procent 2 7 3 2 2" xfId="23015" xr:uid="{00000000-0005-0000-0000-0000419C0000}"/>
    <cellStyle name="Procent 2 7 3 3" xfId="23014" xr:uid="{00000000-0005-0000-0000-0000429C0000}"/>
    <cellStyle name="Procent 2 7 4" xfId="2984" xr:uid="{00000000-0005-0000-0000-0000439C0000}"/>
    <cellStyle name="Procent 2 7 4 2" xfId="2985" xr:uid="{00000000-0005-0000-0000-0000449C0000}"/>
    <cellStyle name="Procent 2 7 4 2 2" xfId="23017" xr:uid="{00000000-0005-0000-0000-0000459C0000}"/>
    <cellStyle name="Procent 2 7 4 3" xfId="23016" xr:uid="{00000000-0005-0000-0000-0000469C0000}"/>
    <cellStyle name="Procent 2 7 5" xfId="2986" xr:uid="{00000000-0005-0000-0000-0000479C0000}"/>
    <cellStyle name="Procent 2 7 5 2" xfId="2987" xr:uid="{00000000-0005-0000-0000-0000489C0000}"/>
    <cellStyle name="Procent 2 7 5 2 2" xfId="23019" xr:uid="{00000000-0005-0000-0000-0000499C0000}"/>
    <cellStyle name="Procent 2 7 5 3" xfId="23018" xr:uid="{00000000-0005-0000-0000-00004A9C0000}"/>
    <cellStyle name="Procent 2 7 6" xfId="2988" xr:uid="{00000000-0005-0000-0000-00004B9C0000}"/>
    <cellStyle name="Procent 2 7 6 2" xfId="23020" xr:uid="{00000000-0005-0000-0000-00004C9C0000}"/>
    <cellStyle name="Procent 2 7 7" xfId="23007" xr:uid="{00000000-0005-0000-0000-00004D9C0000}"/>
    <cellStyle name="Procent 2 8" xfId="2989" xr:uid="{00000000-0005-0000-0000-00004E9C0000}"/>
    <cellStyle name="Procent 2 8 2" xfId="2990" xr:uid="{00000000-0005-0000-0000-00004F9C0000}"/>
    <cellStyle name="Procent 2 8 2 2" xfId="2991" xr:uid="{00000000-0005-0000-0000-0000509C0000}"/>
    <cellStyle name="Procent 2 8 2 2 2" xfId="2992" xr:uid="{00000000-0005-0000-0000-0000519C0000}"/>
    <cellStyle name="Procent 2 8 2 2 2 2" xfId="23024" xr:uid="{00000000-0005-0000-0000-0000529C0000}"/>
    <cellStyle name="Procent 2 8 2 2 3" xfId="23023" xr:uid="{00000000-0005-0000-0000-0000539C0000}"/>
    <cellStyle name="Procent 2 8 2 3" xfId="2993" xr:uid="{00000000-0005-0000-0000-0000549C0000}"/>
    <cellStyle name="Procent 2 8 2 3 2" xfId="2994" xr:uid="{00000000-0005-0000-0000-0000559C0000}"/>
    <cellStyle name="Procent 2 8 2 3 2 2" xfId="23026" xr:uid="{00000000-0005-0000-0000-0000569C0000}"/>
    <cellStyle name="Procent 2 8 2 3 3" xfId="23025" xr:uid="{00000000-0005-0000-0000-0000579C0000}"/>
    <cellStyle name="Procent 2 8 2 4" xfId="2995" xr:uid="{00000000-0005-0000-0000-0000589C0000}"/>
    <cellStyle name="Procent 2 8 2 4 2" xfId="23027" xr:uid="{00000000-0005-0000-0000-0000599C0000}"/>
    <cellStyle name="Procent 2 8 2 5" xfId="23022" xr:uid="{00000000-0005-0000-0000-00005A9C0000}"/>
    <cellStyle name="Procent 2 8 3" xfId="2996" xr:uid="{00000000-0005-0000-0000-00005B9C0000}"/>
    <cellStyle name="Procent 2 8 3 2" xfId="2997" xr:uid="{00000000-0005-0000-0000-00005C9C0000}"/>
    <cellStyle name="Procent 2 8 3 2 2" xfId="23029" xr:uid="{00000000-0005-0000-0000-00005D9C0000}"/>
    <cellStyle name="Procent 2 8 3 3" xfId="23028" xr:uid="{00000000-0005-0000-0000-00005E9C0000}"/>
    <cellStyle name="Procent 2 8 4" xfId="2998" xr:uid="{00000000-0005-0000-0000-00005F9C0000}"/>
    <cellStyle name="Procent 2 8 4 2" xfId="2999" xr:uid="{00000000-0005-0000-0000-0000609C0000}"/>
    <cellStyle name="Procent 2 8 4 2 2" xfId="23031" xr:uid="{00000000-0005-0000-0000-0000619C0000}"/>
    <cellStyle name="Procent 2 8 4 3" xfId="23030" xr:uid="{00000000-0005-0000-0000-0000629C0000}"/>
    <cellStyle name="Procent 2 8 5" xfId="3000" xr:uid="{00000000-0005-0000-0000-0000639C0000}"/>
    <cellStyle name="Procent 2 8 5 2" xfId="3001" xr:uid="{00000000-0005-0000-0000-0000649C0000}"/>
    <cellStyle name="Procent 2 8 5 2 2" xfId="23033" xr:uid="{00000000-0005-0000-0000-0000659C0000}"/>
    <cellStyle name="Procent 2 8 5 3" xfId="23032" xr:uid="{00000000-0005-0000-0000-0000669C0000}"/>
    <cellStyle name="Procent 2 8 6" xfId="3002" xr:uid="{00000000-0005-0000-0000-0000679C0000}"/>
    <cellStyle name="Procent 2 8 6 2" xfId="23034" xr:uid="{00000000-0005-0000-0000-0000689C0000}"/>
    <cellStyle name="Procent 2 8 7" xfId="23021" xr:uid="{00000000-0005-0000-0000-0000699C0000}"/>
    <cellStyle name="Procent 2 9" xfId="3003" xr:uid="{00000000-0005-0000-0000-00006A9C0000}"/>
    <cellStyle name="Procent 2 9 2" xfId="3004" xr:uid="{00000000-0005-0000-0000-00006B9C0000}"/>
    <cellStyle name="Procent 2 9 2 2" xfId="3005" xr:uid="{00000000-0005-0000-0000-00006C9C0000}"/>
    <cellStyle name="Procent 2 9 2 2 2" xfId="23037" xr:uid="{00000000-0005-0000-0000-00006D9C0000}"/>
    <cellStyle name="Procent 2 9 2 3" xfId="23036" xr:uid="{00000000-0005-0000-0000-00006E9C0000}"/>
    <cellStyle name="Procent 2 9 3" xfId="3006" xr:uid="{00000000-0005-0000-0000-00006F9C0000}"/>
    <cellStyle name="Procent 2 9 3 2" xfId="3007" xr:uid="{00000000-0005-0000-0000-0000709C0000}"/>
    <cellStyle name="Procent 2 9 3 2 2" xfId="23039" xr:uid="{00000000-0005-0000-0000-0000719C0000}"/>
    <cellStyle name="Procent 2 9 3 3" xfId="23038" xr:uid="{00000000-0005-0000-0000-0000729C0000}"/>
    <cellStyle name="Procent 2 9 4" xfId="3008" xr:uid="{00000000-0005-0000-0000-0000739C0000}"/>
    <cellStyle name="Procent 2 9 4 2" xfId="23040" xr:uid="{00000000-0005-0000-0000-0000749C0000}"/>
    <cellStyle name="Procent 2 9 5" xfId="23035" xr:uid="{00000000-0005-0000-0000-0000759C0000}"/>
    <cellStyle name="Procent 3" xfId="3009" xr:uid="{00000000-0005-0000-0000-0000769C0000}"/>
    <cellStyle name="Procent 3 2" xfId="3010" xr:uid="{00000000-0005-0000-0000-0000779C0000}"/>
    <cellStyle name="Procent 3 2 2" xfId="3011" xr:uid="{00000000-0005-0000-0000-0000789C0000}"/>
    <cellStyle name="Procent 3 2 2 2" xfId="3012" xr:uid="{00000000-0005-0000-0000-0000799C0000}"/>
    <cellStyle name="Procent 3 2 2 2 2" xfId="23044" xr:uid="{00000000-0005-0000-0000-00007A9C0000}"/>
    <cellStyle name="Procent 3 2 2 3" xfId="20164" xr:uid="{00000000-0005-0000-0000-00007B9C0000}"/>
    <cellStyle name="Procent 3 2 2 4" xfId="23043" xr:uid="{00000000-0005-0000-0000-00007C9C0000}"/>
    <cellStyle name="Procent 3 2 3" xfId="3013" xr:uid="{00000000-0005-0000-0000-00007D9C0000}"/>
    <cellStyle name="Procent 3 2 3 2" xfId="3014" xr:uid="{00000000-0005-0000-0000-00007E9C0000}"/>
    <cellStyle name="Procent 3 2 3 2 2" xfId="23046" xr:uid="{00000000-0005-0000-0000-00007F9C0000}"/>
    <cellStyle name="Procent 3 2 3 3" xfId="23045" xr:uid="{00000000-0005-0000-0000-0000809C0000}"/>
    <cellStyle name="Procent 3 2 4" xfId="3015" xr:uid="{00000000-0005-0000-0000-0000819C0000}"/>
    <cellStyle name="Procent 3 2 4 2" xfId="23047" xr:uid="{00000000-0005-0000-0000-0000829C0000}"/>
    <cellStyle name="Procent 3 2 5" xfId="7505" xr:uid="{00000000-0005-0000-0000-0000839C0000}"/>
    <cellStyle name="Procent 3 2 6" xfId="23042" xr:uid="{00000000-0005-0000-0000-0000849C0000}"/>
    <cellStyle name="Procent 3 3" xfId="3016" xr:uid="{00000000-0005-0000-0000-0000859C0000}"/>
    <cellStyle name="Procent 3 3 2" xfId="3017" xr:uid="{00000000-0005-0000-0000-0000869C0000}"/>
    <cellStyle name="Procent 3 3 2 2" xfId="23049" xr:uid="{00000000-0005-0000-0000-0000879C0000}"/>
    <cellStyle name="Procent 3 3 3" xfId="7504" xr:uid="{00000000-0005-0000-0000-0000889C0000}"/>
    <cellStyle name="Procent 3 3 4" xfId="23048" xr:uid="{00000000-0005-0000-0000-0000899C0000}"/>
    <cellStyle name="Procent 3 4" xfId="3018" xr:uid="{00000000-0005-0000-0000-00008A9C0000}"/>
    <cellStyle name="Procent 3 4 2" xfId="3019" xr:uid="{00000000-0005-0000-0000-00008B9C0000}"/>
    <cellStyle name="Procent 3 4 2 2" xfId="23051" xr:uid="{00000000-0005-0000-0000-00008C9C0000}"/>
    <cellStyle name="Procent 3 4 3" xfId="20163" xr:uid="{00000000-0005-0000-0000-00008D9C0000}"/>
    <cellStyle name="Procent 3 4 4" xfId="23050" xr:uid="{00000000-0005-0000-0000-00008E9C0000}"/>
    <cellStyle name="Procent 3 5" xfId="3020" xr:uid="{00000000-0005-0000-0000-00008F9C0000}"/>
    <cellStyle name="Procent 3 6" xfId="3021" xr:uid="{00000000-0005-0000-0000-0000909C0000}"/>
    <cellStyle name="Procent 3 6 2" xfId="23052" xr:uid="{00000000-0005-0000-0000-0000919C0000}"/>
    <cellStyle name="Procent 3 7" xfId="3478" xr:uid="{00000000-0005-0000-0000-0000929C0000}"/>
    <cellStyle name="Procent 3 8" xfId="23041" xr:uid="{00000000-0005-0000-0000-0000939C0000}"/>
    <cellStyle name="Procent 4" xfId="3022" xr:uid="{00000000-0005-0000-0000-0000949C0000}"/>
    <cellStyle name="Procent 4 2" xfId="3023" xr:uid="{00000000-0005-0000-0000-0000959C0000}"/>
    <cellStyle name="Procent 4 2 2" xfId="3024" xr:uid="{00000000-0005-0000-0000-0000969C0000}"/>
    <cellStyle name="Procent 4 2 2 2" xfId="3025" xr:uid="{00000000-0005-0000-0000-0000979C0000}"/>
    <cellStyle name="Procent 4 2 2 2 2" xfId="17974" xr:uid="{00000000-0005-0000-0000-0000989C0000}"/>
    <cellStyle name="Procent 4 2 2 2 2 2" xfId="36134" xr:uid="{00000000-0005-0000-0000-0000999C0000}"/>
    <cellStyle name="Procent 4 2 2 2 3" xfId="10073" xr:uid="{00000000-0005-0000-0000-00009A9C0000}"/>
    <cellStyle name="Procent 4 2 2 2 3 2" xfId="29133" xr:uid="{00000000-0005-0000-0000-00009B9C0000}"/>
    <cellStyle name="Procent 4 2 2 2 4" xfId="23056" xr:uid="{00000000-0005-0000-0000-00009C9C0000}"/>
    <cellStyle name="Procent 4 2 2 3" xfId="21216" xr:uid="{00000000-0005-0000-0000-00009D9C0000}"/>
    <cellStyle name="Procent 4 2 2 3 2" xfId="38067" xr:uid="{00000000-0005-0000-0000-00009E9C0000}"/>
    <cellStyle name="Procent 4 2 2 4" xfId="7508" xr:uid="{00000000-0005-0000-0000-00009F9C0000}"/>
    <cellStyle name="Procent 4 2 2 5" xfId="23055" xr:uid="{00000000-0005-0000-0000-0000A09C0000}"/>
    <cellStyle name="Procent 4 2 2 6" xfId="39022" xr:uid="{00000000-0005-0000-0000-0000A19C0000}"/>
    <cellStyle name="Procent 4 2 3" xfId="3026" xr:uid="{00000000-0005-0000-0000-0000A29C0000}"/>
    <cellStyle name="Procent 4 2 3 2" xfId="3027" xr:uid="{00000000-0005-0000-0000-0000A39C0000}"/>
    <cellStyle name="Procent 4 2 3 2 2" xfId="23058" xr:uid="{00000000-0005-0000-0000-0000A49C0000}"/>
    <cellStyle name="Procent 4 2 3 3" xfId="21169" xr:uid="{00000000-0005-0000-0000-0000A59C0000}"/>
    <cellStyle name="Procent 4 2 3 3 2" xfId="38047" xr:uid="{00000000-0005-0000-0000-0000A69C0000}"/>
    <cellStyle name="Procent 4 2 3 4" xfId="23057" xr:uid="{00000000-0005-0000-0000-0000A79C0000}"/>
    <cellStyle name="Procent 4 2 4" xfId="3028" xr:uid="{00000000-0005-0000-0000-0000A89C0000}"/>
    <cellStyle name="Procent 4 2 4 2" xfId="23059" xr:uid="{00000000-0005-0000-0000-0000A99C0000}"/>
    <cellStyle name="Procent 4 2 5" xfId="7507" xr:uid="{00000000-0005-0000-0000-0000AA9C0000}"/>
    <cellStyle name="Procent 4 2 6" xfId="23054" xr:uid="{00000000-0005-0000-0000-0000AB9C0000}"/>
    <cellStyle name="Procent 4 2 7" xfId="39002" xr:uid="{00000000-0005-0000-0000-0000AC9C0000}"/>
    <cellStyle name="Procent 4 3" xfId="3029" xr:uid="{00000000-0005-0000-0000-0000AD9C0000}"/>
    <cellStyle name="Procent 4 3 2" xfId="3030" xr:uid="{00000000-0005-0000-0000-0000AE9C0000}"/>
    <cellStyle name="Procent 4 3 2 2" xfId="10974" xr:uid="{00000000-0005-0000-0000-0000AF9C0000}"/>
    <cellStyle name="Procent 4 3 2 2 2" xfId="18853" xr:uid="{00000000-0005-0000-0000-0000B09C0000}"/>
    <cellStyle name="Procent 4 3 2 2 2 2" xfId="37013" xr:uid="{00000000-0005-0000-0000-0000B19C0000}"/>
    <cellStyle name="Procent 4 3 2 2 3" xfId="30012" xr:uid="{00000000-0005-0000-0000-0000B29C0000}"/>
    <cellStyle name="Procent 4 3 2 3" xfId="7510" xr:uid="{00000000-0005-0000-0000-0000B39C0000}"/>
    <cellStyle name="Procent 4 3 2 4" xfId="23061" xr:uid="{00000000-0005-0000-0000-0000B49C0000}"/>
    <cellStyle name="Procent 4 3 3" xfId="8620" xr:uid="{00000000-0005-0000-0000-0000B59C0000}"/>
    <cellStyle name="Procent 4 3 3 2" xfId="16534" xr:uid="{00000000-0005-0000-0000-0000B69C0000}"/>
    <cellStyle name="Procent 4 3 3 2 2" xfId="34694" xr:uid="{00000000-0005-0000-0000-0000B79C0000}"/>
    <cellStyle name="Procent 4 3 3 3" xfId="27693" xr:uid="{00000000-0005-0000-0000-0000B89C0000}"/>
    <cellStyle name="Procent 4 3 4" xfId="21197" xr:uid="{00000000-0005-0000-0000-0000B99C0000}"/>
    <cellStyle name="Procent 4 3 4 2" xfId="38057" xr:uid="{00000000-0005-0000-0000-0000BA9C0000}"/>
    <cellStyle name="Procent 4 3 5" xfId="7509" xr:uid="{00000000-0005-0000-0000-0000BB9C0000}"/>
    <cellStyle name="Procent 4 3 6" xfId="23060" xr:uid="{00000000-0005-0000-0000-0000BC9C0000}"/>
    <cellStyle name="Procent 4 3 7" xfId="39012" xr:uid="{00000000-0005-0000-0000-0000BD9C0000}"/>
    <cellStyle name="Procent 4 4" xfId="3031" xr:uid="{00000000-0005-0000-0000-0000BE9C0000}"/>
    <cellStyle name="Procent 4 4 2" xfId="3032" xr:uid="{00000000-0005-0000-0000-0000BF9C0000}"/>
    <cellStyle name="Procent 4 4 2 2" xfId="17226" xr:uid="{00000000-0005-0000-0000-0000C09C0000}"/>
    <cellStyle name="Procent 4 4 2 2 2" xfId="35386" xr:uid="{00000000-0005-0000-0000-0000C19C0000}"/>
    <cellStyle name="Procent 4 4 2 3" xfId="9315" xr:uid="{00000000-0005-0000-0000-0000C29C0000}"/>
    <cellStyle name="Procent 4 4 2 3 2" xfId="28385" xr:uid="{00000000-0005-0000-0000-0000C39C0000}"/>
    <cellStyle name="Procent 4 4 2 4" xfId="23063" xr:uid="{00000000-0005-0000-0000-0000C49C0000}"/>
    <cellStyle name="Procent 4 4 3" xfId="7511" xr:uid="{00000000-0005-0000-0000-0000C59C0000}"/>
    <cellStyle name="Procent 4 4 4" xfId="23062" xr:uid="{00000000-0005-0000-0000-0000C69C0000}"/>
    <cellStyle name="Procent 4 5" xfId="3033" xr:uid="{00000000-0005-0000-0000-0000C79C0000}"/>
    <cellStyle name="Procent 4 5 2" xfId="3034" xr:uid="{00000000-0005-0000-0000-0000C89C0000}"/>
    <cellStyle name="Procent 4 5 2 2" xfId="23065" xr:uid="{00000000-0005-0000-0000-0000C99C0000}"/>
    <cellStyle name="Procent 4 5 3" xfId="20165" xr:uid="{00000000-0005-0000-0000-0000CA9C0000}"/>
    <cellStyle name="Procent 4 5 3 2" xfId="37678" xr:uid="{00000000-0005-0000-0000-0000CB9C0000}"/>
    <cellStyle name="Procent 4 5 4" xfId="23064" xr:uid="{00000000-0005-0000-0000-0000CC9C0000}"/>
    <cellStyle name="Procent 4 6" xfId="3035" xr:uid="{00000000-0005-0000-0000-0000CD9C0000}"/>
    <cellStyle name="Procent 4 6 2" xfId="23066" xr:uid="{00000000-0005-0000-0000-0000CE9C0000}"/>
    <cellStyle name="Procent 4 7" xfId="7506" xr:uid="{00000000-0005-0000-0000-0000CF9C0000}"/>
    <cellStyle name="Procent 4 8" xfId="23053" xr:uid="{00000000-0005-0000-0000-0000D09C0000}"/>
    <cellStyle name="Procent 4 9" xfId="38633" xr:uid="{00000000-0005-0000-0000-0000D19C0000}"/>
    <cellStyle name="Procent 5" xfId="3036" xr:uid="{00000000-0005-0000-0000-0000D29C0000}"/>
    <cellStyle name="Procent 5 2" xfId="3037" xr:uid="{00000000-0005-0000-0000-0000D39C0000}"/>
    <cellStyle name="Procent 5 2 2" xfId="3038" xr:uid="{00000000-0005-0000-0000-0000D49C0000}"/>
    <cellStyle name="Procent 5 2 2 2" xfId="3039" xr:uid="{00000000-0005-0000-0000-0000D59C0000}"/>
    <cellStyle name="Procent 5 2 2 2 2" xfId="23070" xr:uid="{00000000-0005-0000-0000-0000D69C0000}"/>
    <cellStyle name="Procent 5 2 2 3" xfId="23069" xr:uid="{00000000-0005-0000-0000-0000D79C0000}"/>
    <cellStyle name="Procent 5 2 3" xfId="3040" xr:uid="{00000000-0005-0000-0000-0000D89C0000}"/>
    <cellStyle name="Procent 5 2 3 2" xfId="3041" xr:uid="{00000000-0005-0000-0000-0000D99C0000}"/>
    <cellStyle name="Procent 5 2 3 2 2" xfId="23072" xr:uid="{00000000-0005-0000-0000-0000DA9C0000}"/>
    <cellStyle name="Procent 5 2 3 3" xfId="23071" xr:uid="{00000000-0005-0000-0000-0000DB9C0000}"/>
    <cellStyle name="Procent 5 2 4" xfId="3042" xr:uid="{00000000-0005-0000-0000-0000DC9C0000}"/>
    <cellStyle name="Procent 5 2 4 2" xfId="23073" xr:uid="{00000000-0005-0000-0000-0000DD9C0000}"/>
    <cellStyle name="Procent 5 2 5" xfId="11120" xr:uid="{00000000-0005-0000-0000-0000DE9C0000}"/>
    <cellStyle name="Procent 5 2 6" xfId="23068" xr:uid="{00000000-0005-0000-0000-0000DF9C0000}"/>
    <cellStyle name="Procent 5 3" xfId="3043" xr:uid="{00000000-0005-0000-0000-0000E09C0000}"/>
    <cellStyle name="Procent 5 3 2" xfId="3044" xr:uid="{00000000-0005-0000-0000-0000E19C0000}"/>
    <cellStyle name="Procent 5 3 2 2" xfId="23075" xr:uid="{00000000-0005-0000-0000-0000E29C0000}"/>
    <cellStyle name="Procent 5 3 3" xfId="21220" xr:uid="{00000000-0005-0000-0000-0000E39C0000}"/>
    <cellStyle name="Procent 5 3 3 2" xfId="38071" xr:uid="{00000000-0005-0000-0000-0000E49C0000}"/>
    <cellStyle name="Procent 5 3 4" xfId="23074" xr:uid="{00000000-0005-0000-0000-0000E59C0000}"/>
    <cellStyle name="Procent 5 4" xfId="3045" xr:uid="{00000000-0005-0000-0000-0000E69C0000}"/>
    <cellStyle name="Procent 5 4 2" xfId="3046" xr:uid="{00000000-0005-0000-0000-0000E79C0000}"/>
    <cellStyle name="Procent 5 4 2 2" xfId="23077" xr:uid="{00000000-0005-0000-0000-0000E89C0000}"/>
    <cellStyle name="Procent 5 4 3" xfId="23076" xr:uid="{00000000-0005-0000-0000-0000E99C0000}"/>
    <cellStyle name="Procent 5 5" xfId="3047" xr:uid="{00000000-0005-0000-0000-0000EA9C0000}"/>
    <cellStyle name="Procent 5 5 2" xfId="3048" xr:uid="{00000000-0005-0000-0000-0000EB9C0000}"/>
    <cellStyle name="Procent 5 5 2 2" xfId="23079" xr:uid="{00000000-0005-0000-0000-0000EC9C0000}"/>
    <cellStyle name="Procent 5 5 3" xfId="23078" xr:uid="{00000000-0005-0000-0000-0000ED9C0000}"/>
    <cellStyle name="Procent 5 6" xfId="3049" xr:uid="{00000000-0005-0000-0000-0000EE9C0000}"/>
    <cellStyle name="Procent 5 6 2" xfId="23080" xr:uid="{00000000-0005-0000-0000-0000EF9C0000}"/>
    <cellStyle name="Procent 5 7" xfId="7512" xr:uid="{00000000-0005-0000-0000-0000F09C0000}"/>
    <cellStyle name="Procent 5 8" xfId="23067" xr:uid="{00000000-0005-0000-0000-0000F19C0000}"/>
    <cellStyle name="Procent 5 9" xfId="39026" xr:uid="{00000000-0005-0000-0000-0000F29C0000}"/>
    <cellStyle name="Procent 6" xfId="3050" xr:uid="{00000000-0005-0000-0000-0000F39C0000}"/>
    <cellStyle name="Procent 6 2" xfId="3051" xr:uid="{00000000-0005-0000-0000-0000F49C0000}"/>
    <cellStyle name="Procent 6 2 2" xfId="3052" xr:uid="{00000000-0005-0000-0000-0000F59C0000}"/>
    <cellStyle name="Procent 6 2 2 2" xfId="3053" xr:uid="{00000000-0005-0000-0000-0000F69C0000}"/>
    <cellStyle name="Procent 6 2 2 2 2" xfId="23084" xr:uid="{00000000-0005-0000-0000-0000F79C0000}"/>
    <cellStyle name="Procent 6 2 2 3" xfId="23083" xr:uid="{00000000-0005-0000-0000-0000F89C0000}"/>
    <cellStyle name="Procent 6 2 3" xfId="3054" xr:uid="{00000000-0005-0000-0000-0000F99C0000}"/>
    <cellStyle name="Procent 6 2 3 2" xfId="3055" xr:uid="{00000000-0005-0000-0000-0000FA9C0000}"/>
    <cellStyle name="Procent 6 2 3 2 2" xfId="23086" xr:uid="{00000000-0005-0000-0000-0000FB9C0000}"/>
    <cellStyle name="Procent 6 2 3 3" xfId="23085" xr:uid="{00000000-0005-0000-0000-0000FC9C0000}"/>
    <cellStyle name="Procent 6 2 4" xfId="3056" xr:uid="{00000000-0005-0000-0000-0000FD9C0000}"/>
    <cellStyle name="Procent 6 2 4 2" xfId="23087" xr:uid="{00000000-0005-0000-0000-0000FE9C0000}"/>
    <cellStyle name="Procent 6 2 5" xfId="11121" xr:uid="{00000000-0005-0000-0000-0000FF9C0000}"/>
    <cellStyle name="Procent 6 2 6" xfId="23082" xr:uid="{00000000-0005-0000-0000-0000009D0000}"/>
    <cellStyle name="Procent 6 3" xfId="3057" xr:uid="{00000000-0005-0000-0000-0000019D0000}"/>
    <cellStyle name="Procent 6 3 2" xfId="3058" xr:uid="{00000000-0005-0000-0000-0000029D0000}"/>
    <cellStyle name="Procent 6 3 2 2" xfId="23089" xr:uid="{00000000-0005-0000-0000-0000039D0000}"/>
    <cellStyle name="Procent 6 3 3" xfId="23088" xr:uid="{00000000-0005-0000-0000-0000049D0000}"/>
    <cellStyle name="Procent 6 4" xfId="3059" xr:uid="{00000000-0005-0000-0000-0000059D0000}"/>
    <cellStyle name="Procent 6 4 2" xfId="3060" xr:uid="{00000000-0005-0000-0000-0000069D0000}"/>
    <cellStyle name="Procent 6 4 2 2" xfId="23091" xr:uid="{00000000-0005-0000-0000-0000079D0000}"/>
    <cellStyle name="Procent 6 4 3" xfId="23090" xr:uid="{00000000-0005-0000-0000-0000089D0000}"/>
    <cellStyle name="Procent 6 5" xfId="3061" xr:uid="{00000000-0005-0000-0000-0000099D0000}"/>
    <cellStyle name="Procent 6 5 2" xfId="3062" xr:uid="{00000000-0005-0000-0000-00000A9D0000}"/>
    <cellStyle name="Procent 6 5 2 2" xfId="23093" xr:uid="{00000000-0005-0000-0000-00000B9D0000}"/>
    <cellStyle name="Procent 6 5 3" xfId="23092" xr:uid="{00000000-0005-0000-0000-00000C9D0000}"/>
    <cellStyle name="Procent 6 6" xfId="3063" xr:uid="{00000000-0005-0000-0000-00000D9D0000}"/>
    <cellStyle name="Procent 6 6 2" xfId="23094" xr:uid="{00000000-0005-0000-0000-00000E9D0000}"/>
    <cellStyle name="Procent 6 7" xfId="7513" xr:uid="{00000000-0005-0000-0000-00000F9D0000}"/>
    <cellStyle name="Procent 6 8" xfId="23081" xr:uid="{00000000-0005-0000-0000-0000109D0000}"/>
    <cellStyle name="Procent 7" xfId="3064" xr:uid="{00000000-0005-0000-0000-0000119D0000}"/>
    <cellStyle name="Procent 7 2" xfId="3065" xr:uid="{00000000-0005-0000-0000-0000129D0000}"/>
    <cellStyle name="Procent 7 2 2" xfId="3066" xr:uid="{00000000-0005-0000-0000-0000139D0000}"/>
    <cellStyle name="Procent 7 2 2 2" xfId="3067" xr:uid="{00000000-0005-0000-0000-0000149D0000}"/>
    <cellStyle name="Procent 7 2 2 2 2" xfId="23098" xr:uid="{00000000-0005-0000-0000-0000159D0000}"/>
    <cellStyle name="Procent 7 2 2 3" xfId="11123" xr:uid="{00000000-0005-0000-0000-0000169D0000}"/>
    <cellStyle name="Procent 7 2 2 4" xfId="23097" xr:uid="{00000000-0005-0000-0000-0000179D0000}"/>
    <cellStyle name="Procent 7 2 3" xfId="3068" xr:uid="{00000000-0005-0000-0000-0000189D0000}"/>
    <cellStyle name="Procent 7 2 3 2" xfId="3069" xr:uid="{00000000-0005-0000-0000-0000199D0000}"/>
    <cellStyle name="Procent 7 2 3 2 2" xfId="23100" xr:uid="{00000000-0005-0000-0000-00001A9D0000}"/>
    <cellStyle name="Procent 7 2 3 3" xfId="23099" xr:uid="{00000000-0005-0000-0000-00001B9D0000}"/>
    <cellStyle name="Procent 7 2 4" xfId="3070" xr:uid="{00000000-0005-0000-0000-00001C9D0000}"/>
    <cellStyle name="Procent 7 2 4 2" xfId="23101" xr:uid="{00000000-0005-0000-0000-00001D9D0000}"/>
    <cellStyle name="Procent 7 2 5" xfId="7515" xr:uid="{00000000-0005-0000-0000-00001E9D0000}"/>
    <cellStyle name="Procent 7 2 6" xfId="23096" xr:uid="{00000000-0005-0000-0000-00001F9D0000}"/>
    <cellStyle name="Procent 7 3" xfId="3071" xr:uid="{00000000-0005-0000-0000-0000209D0000}"/>
    <cellStyle name="Procent 7 3 2" xfId="3072" xr:uid="{00000000-0005-0000-0000-0000219D0000}"/>
    <cellStyle name="Procent 7 3 2 2" xfId="23103" xr:uid="{00000000-0005-0000-0000-0000229D0000}"/>
    <cellStyle name="Procent 7 3 3" xfId="11122" xr:uid="{00000000-0005-0000-0000-0000239D0000}"/>
    <cellStyle name="Procent 7 3 4" xfId="23102" xr:uid="{00000000-0005-0000-0000-0000249D0000}"/>
    <cellStyle name="Procent 7 4" xfId="3073" xr:uid="{00000000-0005-0000-0000-0000259D0000}"/>
    <cellStyle name="Procent 7 4 2" xfId="3074" xr:uid="{00000000-0005-0000-0000-0000269D0000}"/>
    <cellStyle name="Procent 7 4 2 2" xfId="23105" xr:uid="{00000000-0005-0000-0000-0000279D0000}"/>
    <cellStyle name="Procent 7 4 3" xfId="23104" xr:uid="{00000000-0005-0000-0000-0000289D0000}"/>
    <cellStyle name="Procent 7 5" xfId="3075" xr:uid="{00000000-0005-0000-0000-0000299D0000}"/>
    <cellStyle name="Procent 7 5 2" xfId="3076" xr:uid="{00000000-0005-0000-0000-00002A9D0000}"/>
    <cellStyle name="Procent 7 5 2 2" xfId="23107" xr:uid="{00000000-0005-0000-0000-00002B9D0000}"/>
    <cellStyle name="Procent 7 5 3" xfId="23106" xr:uid="{00000000-0005-0000-0000-00002C9D0000}"/>
    <cellStyle name="Procent 7 6" xfId="3077" xr:uid="{00000000-0005-0000-0000-00002D9D0000}"/>
    <cellStyle name="Procent 7 6 2" xfId="23108" xr:uid="{00000000-0005-0000-0000-00002E9D0000}"/>
    <cellStyle name="Procent 7 7" xfId="7514" xr:uid="{00000000-0005-0000-0000-00002F9D0000}"/>
    <cellStyle name="Procent 7 8" xfId="23095" xr:uid="{00000000-0005-0000-0000-0000309D0000}"/>
    <cellStyle name="Procent 8" xfId="3078" xr:uid="{00000000-0005-0000-0000-0000319D0000}"/>
    <cellStyle name="Procent 8 2" xfId="3079" xr:uid="{00000000-0005-0000-0000-0000329D0000}"/>
    <cellStyle name="Procent 8 2 2" xfId="3080" xr:uid="{00000000-0005-0000-0000-0000339D0000}"/>
    <cellStyle name="Procent 8 2 2 2" xfId="3081" xr:uid="{00000000-0005-0000-0000-0000349D0000}"/>
    <cellStyle name="Procent 8 2 2 2 2" xfId="23112" xr:uid="{00000000-0005-0000-0000-0000359D0000}"/>
    <cellStyle name="Procent 8 2 2 3" xfId="9713" xr:uid="{00000000-0005-0000-0000-0000369D0000}"/>
    <cellStyle name="Procent 8 2 2 4" xfId="23111" xr:uid="{00000000-0005-0000-0000-0000379D0000}"/>
    <cellStyle name="Procent 8 2 3" xfId="3082" xr:uid="{00000000-0005-0000-0000-0000389D0000}"/>
    <cellStyle name="Procent 8 2 3 2" xfId="3083" xr:uid="{00000000-0005-0000-0000-0000399D0000}"/>
    <cellStyle name="Procent 8 2 3 2 2" xfId="23114" xr:uid="{00000000-0005-0000-0000-00003A9D0000}"/>
    <cellStyle name="Procent 8 2 3 3" xfId="23113" xr:uid="{00000000-0005-0000-0000-00003B9D0000}"/>
    <cellStyle name="Procent 8 2 4" xfId="3084" xr:uid="{00000000-0005-0000-0000-00003C9D0000}"/>
    <cellStyle name="Procent 8 2 4 2" xfId="23115" xr:uid="{00000000-0005-0000-0000-00003D9D0000}"/>
    <cellStyle name="Procent 8 2 5" xfId="7517" xr:uid="{00000000-0005-0000-0000-00003E9D0000}"/>
    <cellStyle name="Procent 8 2 6" xfId="23110" xr:uid="{00000000-0005-0000-0000-00003F9D0000}"/>
    <cellStyle name="Procent 8 3" xfId="3085" xr:uid="{00000000-0005-0000-0000-0000409D0000}"/>
    <cellStyle name="Procent 8 3 2" xfId="3086" xr:uid="{00000000-0005-0000-0000-0000419D0000}"/>
    <cellStyle name="Procent 8 3 2 2" xfId="23117" xr:uid="{00000000-0005-0000-0000-0000429D0000}"/>
    <cellStyle name="Procent 8 3 3" xfId="23116" xr:uid="{00000000-0005-0000-0000-0000439D0000}"/>
    <cellStyle name="Procent 8 4" xfId="3087" xr:uid="{00000000-0005-0000-0000-0000449D0000}"/>
    <cellStyle name="Procent 8 4 2" xfId="3088" xr:uid="{00000000-0005-0000-0000-0000459D0000}"/>
    <cellStyle name="Procent 8 4 2 2" xfId="23119" xr:uid="{00000000-0005-0000-0000-0000469D0000}"/>
    <cellStyle name="Procent 8 4 3" xfId="23118" xr:uid="{00000000-0005-0000-0000-0000479D0000}"/>
    <cellStyle name="Procent 8 5" xfId="3089" xr:uid="{00000000-0005-0000-0000-0000489D0000}"/>
    <cellStyle name="Procent 8 5 2" xfId="23120" xr:uid="{00000000-0005-0000-0000-0000499D0000}"/>
    <cellStyle name="Procent 8 6" xfId="7516" xr:uid="{00000000-0005-0000-0000-00004A9D0000}"/>
    <cellStyle name="Procent 8 7" xfId="23109" xr:uid="{00000000-0005-0000-0000-00004B9D0000}"/>
    <cellStyle name="Procent 9" xfId="3090" xr:uid="{00000000-0005-0000-0000-00004C9D0000}"/>
    <cellStyle name="Procent 9 2" xfId="3091" xr:uid="{00000000-0005-0000-0000-00004D9D0000}"/>
    <cellStyle name="Procent 9 2 2" xfId="3092" xr:uid="{00000000-0005-0000-0000-00004E9D0000}"/>
    <cellStyle name="Procent 9 2 2 2" xfId="23123" xr:uid="{00000000-0005-0000-0000-00004F9D0000}"/>
    <cellStyle name="Procent 9 2 3" xfId="7519" xr:uid="{00000000-0005-0000-0000-0000509D0000}"/>
    <cellStyle name="Procent 9 2 4" xfId="23122" xr:uid="{00000000-0005-0000-0000-0000519D0000}"/>
    <cellStyle name="Procent 9 3" xfId="3093" xr:uid="{00000000-0005-0000-0000-0000529D0000}"/>
    <cellStyle name="Procent 9 3 2" xfId="3094" xr:uid="{00000000-0005-0000-0000-0000539D0000}"/>
    <cellStyle name="Procent 9 3 2 2" xfId="23125" xr:uid="{00000000-0005-0000-0000-0000549D0000}"/>
    <cellStyle name="Procent 9 3 3" xfId="7520" xr:uid="{00000000-0005-0000-0000-0000559D0000}"/>
    <cellStyle name="Procent 9 3 4" xfId="23124" xr:uid="{00000000-0005-0000-0000-0000569D0000}"/>
    <cellStyle name="Procent 9 4" xfId="3095" xr:uid="{00000000-0005-0000-0000-0000579D0000}"/>
    <cellStyle name="Procent 9 4 2" xfId="23126" xr:uid="{00000000-0005-0000-0000-0000589D0000}"/>
    <cellStyle name="Procent 9 5" xfId="7518" xr:uid="{00000000-0005-0000-0000-0000599D0000}"/>
    <cellStyle name="Procent 9 6" xfId="23121" xr:uid="{00000000-0005-0000-0000-00005A9D0000}"/>
    <cellStyle name="Sammenkædet celle 2" xfId="7522" xr:uid="{00000000-0005-0000-0000-00005B9D0000}"/>
    <cellStyle name="Sammenkædet celle 2 2" xfId="7523" xr:uid="{00000000-0005-0000-0000-00005C9D0000}"/>
    <cellStyle name="Sammenkædet celle 3" xfId="7524" xr:uid="{00000000-0005-0000-0000-00005D9D0000}"/>
    <cellStyle name="Sammenkædet celle 3 2" xfId="7525" xr:uid="{00000000-0005-0000-0000-00005E9D0000}"/>
    <cellStyle name="Sammenkædet celle 4" xfId="7526" xr:uid="{00000000-0005-0000-0000-00005F9D0000}"/>
    <cellStyle name="Sammenkædet celle 5" xfId="7527" xr:uid="{00000000-0005-0000-0000-0000609D0000}"/>
    <cellStyle name="Sammenkædet celle 5 2" xfId="10615" xr:uid="{00000000-0005-0000-0000-0000619D0000}"/>
    <cellStyle name="Sammenkædet celle 6" xfId="7609" xr:uid="{00000000-0005-0000-0000-0000629D0000}"/>
    <cellStyle name="Sammenkædet celle 7" xfId="7521" xr:uid="{00000000-0005-0000-0000-0000639D0000}"/>
    <cellStyle name="SAPBEXaggData" xfId="7528" xr:uid="{00000000-0005-0000-0000-0000649D0000}"/>
    <cellStyle name="SAPBEXaggDataEmph" xfId="7529" xr:uid="{00000000-0005-0000-0000-0000659D0000}"/>
    <cellStyle name="SAPBEXaggItem" xfId="7530" xr:uid="{00000000-0005-0000-0000-0000669D0000}"/>
    <cellStyle name="SAPBEXaggItemX" xfId="7531" xr:uid="{00000000-0005-0000-0000-0000679D0000}"/>
    <cellStyle name="SAPBEXaggItemX 2" xfId="11124" xr:uid="{00000000-0005-0000-0000-0000689D0000}"/>
    <cellStyle name="SAPBEXchaText" xfId="7532" xr:uid="{00000000-0005-0000-0000-0000699D0000}"/>
    <cellStyle name="SAPBEXexcBad" xfId="7533" xr:uid="{00000000-0005-0000-0000-00006A9D0000}"/>
    <cellStyle name="SAPBEXexcBad7" xfId="7534" xr:uid="{00000000-0005-0000-0000-00006B9D0000}"/>
    <cellStyle name="SAPBEXexcBad7 2" xfId="11125" xr:uid="{00000000-0005-0000-0000-00006C9D0000}"/>
    <cellStyle name="SAPBEXexcBad8" xfId="7535" xr:uid="{00000000-0005-0000-0000-00006D9D0000}"/>
    <cellStyle name="SAPBEXexcBad8 2" xfId="11126" xr:uid="{00000000-0005-0000-0000-00006E9D0000}"/>
    <cellStyle name="SAPBEXexcBad9" xfId="7536" xr:uid="{00000000-0005-0000-0000-00006F9D0000}"/>
    <cellStyle name="SAPBEXexcBad9 2" xfId="11127" xr:uid="{00000000-0005-0000-0000-0000709D0000}"/>
    <cellStyle name="SAPBEXexcCritical" xfId="7537" xr:uid="{00000000-0005-0000-0000-0000719D0000}"/>
    <cellStyle name="SAPBEXexcCritical4" xfId="7538" xr:uid="{00000000-0005-0000-0000-0000729D0000}"/>
    <cellStyle name="SAPBEXexcCritical4 2" xfId="11128" xr:uid="{00000000-0005-0000-0000-0000739D0000}"/>
    <cellStyle name="SAPBEXexcCritical5" xfId="7539" xr:uid="{00000000-0005-0000-0000-0000749D0000}"/>
    <cellStyle name="SAPBEXexcCritical5 2" xfId="11129" xr:uid="{00000000-0005-0000-0000-0000759D0000}"/>
    <cellStyle name="SAPBEXexcCritical6" xfId="7540" xr:uid="{00000000-0005-0000-0000-0000769D0000}"/>
    <cellStyle name="SAPBEXexcCritical6 2" xfId="11130" xr:uid="{00000000-0005-0000-0000-0000779D0000}"/>
    <cellStyle name="SAPBEXexcGood" xfId="7541" xr:uid="{00000000-0005-0000-0000-0000789D0000}"/>
    <cellStyle name="SAPBEXexcGood1" xfId="7542" xr:uid="{00000000-0005-0000-0000-0000799D0000}"/>
    <cellStyle name="SAPBEXexcGood1 2" xfId="11131" xr:uid="{00000000-0005-0000-0000-00007A9D0000}"/>
    <cellStyle name="SAPBEXexcGood2" xfId="7543" xr:uid="{00000000-0005-0000-0000-00007B9D0000}"/>
    <cellStyle name="SAPBEXexcGood2 2" xfId="11132" xr:uid="{00000000-0005-0000-0000-00007C9D0000}"/>
    <cellStyle name="SAPBEXexcGood3" xfId="7544" xr:uid="{00000000-0005-0000-0000-00007D9D0000}"/>
    <cellStyle name="SAPBEXexcGood3 2" xfId="11133" xr:uid="{00000000-0005-0000-0000-00007E9D0000}"/>
    <cellStyle name="SAPBEXexcVeryBad" xfId="7545" xr:uid="{00000000-0005-0000-0000-00007F9D0000}"/>
    <cellStyle name="SAPBEXfilterDrill" xfId="7546" xr:uid="{00000000-0005-0000-0000-0000809D0000}"/>
    <cellStyle name="SAPBEXfilterItem" xfId="7547" xr:uid="{00000000-0005-0000-0000-0000819D0000}"/>
    <cellStyle name="SAPBEXfilterText" xfId="7548" xr:uid="{00000000-0005-0000-0000-0000829D0000}"/>
    <cellStyle name="SAPBEXformats" xfId="7549" xr:uid="{00000000-0005-0000-0000-0000839D0000}"/>
    <cellStyle name="SAPBEXheaderData" xfId="7550" xr:uid="{00000000-0005-0000-0000-0000849D0000}"/>
    <cellStyle name="SAPBEXheaderItem" xfId="7551" xr:uid="{00000000-0005-0000-0000-0000859D0000}"/>
    <cellStyle name="SAPBEXheaderText" xfId="7552" xr:uid="{00000000-0005-0000-0000-0000869D0000}"/>
    <cellStyle name="SAPBEXHLevel0" xfId="7553" xr:uid="{00000000-0005-0000-0000-0000879D0000}"/>
    <cellStyle name="SAPBEXHLevel0 2" xfId="11134" xr:uid="{00000000-0005-0000-0000-0000889D0000}"/>
    <cellStyle name="SAPBEXHLevel0X" xfId="7554" xr:uid="{00000000-0005-0000-0000-0000899D0000}"/>
    <cellStyle name="SAPBEXHLevel0X 2" xfId="11135" xr:uid="{00000000-0005-0000-0000-00008A9D0000}"/>
    <cellStyle name="SAPBEXHLevel1" xfId="7555" xr:uid="{00000000-0005-0000-0000-00008B9D0000}"/>
    <cellStyle name="SAPBEXHLevel1 2" xfId="11136" xr:uid="{00000000-0005-0000-0000-00008C9D0000}"/>
    <cellStyle name="SAPBEXHLevel1X" xfId="7556" xr:uid="{00000000-0005-0000-0000-00008D9D0000}"/>
    <cellStyle name="SAPBEXHLevel1X 2" xfId="11137" xr:uid="{00000000-0005-0000-0000-00008E9D0000}"/>
    <cellStyle name="SAPBEXHLevel2" xfId="7557" xr:uid="{00000000-0005-0000-0000-00008F9D0000}"/>
    <cellStyle name="SAPBEXHLevel2 2" xfId="11138" xr:uid="{00000000-0005-0000-0000-0000909D0000}"/>
    <cellStyle name="SAPBEXHLevel2X" xfId="7558" xr:uid="{00000000-0005-0000-0000-0000919D0000}"/>
    <cellStyle name="SAPBEXHLevel2X 2" xfId="11139" xr:uid="{00000000-0005-0000-0000-0000929D0000}"/>
    <cellStyle name="SAPBEXHLevel3" xfId="7559" xr:uid="{00000000-0005-0000-0000-0000939D0000}"/>
    <cellStyle name="SAPBEXHLevel3 2" xfId="11140" xr:uid="{00000000-0005-0000-0000-0000949D0000}"/>
    <cellStyle name="SAPBEXHLevel3X" xfId="7560" xr:uid="{00000000-0005-0000-0000-0000959D0000}"/>
    <cellStyle name="SAPBEXHLevel3X 2" xfId="11141" xr:uid="{00000000-0005-0000-0000-0000969D0000}"/>
    <cellStyle name="SAPBEXinputData" xfId="7561" xr:uid="{00000000-0005-0000-0000-0000979D0000}"/>
    <cellStyle name="SAPBEXinputData 2" xfId="11142" xr:uid="{00000000-0005-0000-0000-0000989D0000}"/>
    <cellStyle name="SAPBEXresData" xfId="7562" xr:uid="{00000000-0005-0000-0000-0000999D0000}"/>
    <cellStyle name="SAPBEXresDataEmph" xfId="7563" xr:uid="{00000000-0005-0000-0000-00009A9D0000}"/>
    <cellStyle name="SAPBEXresItem" xfId="7564" xr:uid="{00000000-0005-0000-0000-00009B9D0000}"/>
    <cellStyle name="SAPBEXresItemX" xfId="7565" xr:uid="{00000000-0005-0000-0000-00009C9D0000}"/>
    <cellStyle name="SAPBEXresItemX 2" xfId="11143" xr:uid="{00000000-0005-0000-0000-00009D9D0000}"/>
    <cellStyle name="SAPBEXstdData" xfId="7566" xr:uid="{00000000-0005-0000-0000-00009E9D0000}"/>
    <cellStyle name="SAPBEXstdDataEmph" xfId="7567" xr:uid="{00000000-0005-0000-0000-00009F9D0000}"/>
    <cellStyle name="SAPBEXstdItem" xfId="7568" xr:uid="{00000000-0005-0000-0000-0000A09D0000}"/>
    <cellStyle name="SAPBEXstdItemX" xfId="7569" xr:uid="{00000000-0005-0000-0000-0000A19D0000}"/>
    <cellStyle name="SAPBEXstdItemX 2" xfId="11144" xr:uid="{00000000-0005-0000-0000-0000A29D0000}"/>
    <cellStyle name="SAPBEXsubData" xfId="7570" xr:uid="{00000000-0005-0000-0000-0000A39D0000}"/>
    <cellStyle name="SAPBEXsubDataEmph" xfId="7571" xr:uid="{00000000-0005-0000-0000-0000A49D0000}"/>
    <cellStyle name="SAPBEXsubItem" xfId="7572" xr:uid="{00000000-0005-0000-0000-0000A59D0000}"/>
    <cellStyle name="SAPBEXtitle" xfId="7573" xr:uid="{00000000-0005-0000-0000-0000A69D0000}"/>
    <cellStyle name="SAPBEXundefined" xfId="7574" xr:uid="{00000000-0005-0000-0000-0000A79D0000}"/>
    <cellStyle name="Standard_ENR_REF" xfId="7575" xr:uid="{00000000-0005-0000-0000-0000A89D0000}"/>
    <cellStyle name="Testo avviso" xfId="1752" xr:uid="{00000000-0005-0000-0000-0000A99D0000}"/>
    <cellStyle name="Testo descrittivo" xfId="1753" xr:uid="{00000000-0005-0000-0000-0000AA9D0000}"/>
    <cellStyle name="Titel 2" xfId="3096" xr:uid="{00000000-0005-0000-0000-0000AB9D0000}"/>
    <cellStyle name="Titel 2 2" xfId="7577" xr:uid="{00000000-0005-0000-0000-0000AC9D0000}"/>
    <cellStyle name="Titel 3" xfId="7578" xr:uid="{00000000-0005-0000-0000-0000AD9D0000}"/>
    <cellStyle name="Titel 4" xfId="7579" xr:uid="{00000000-0005-0000-0000-0000AE9D0000}"/>
    <cellStyle name="Titel 5" xfId="7580" xr:uid="{00000000-0005-0000-0000-0000AF9D0000}"/>
    <cellStyle name="Titel 5 2" xfId="10825" xr:uid="{00000000-0005-0000-0000-0000B09D0000}"/>
    <cellStyle name="Titel 6" xfId="7598" xr:uid="{00000000-0005-0000-0000-0000B19D0000}"/>
    <cellStyle name="Titel 7" xfId="7576" xr:uid="{00000000-0005-0000-0000-0000B29D0000}"/>
    <cellStyle name="Title 2" xfId="3097" xr:uid="{00000000-0005-0000-0000-0000B39D0000}"/>
    <cellStyle name="Title 3" xfId="3454" xr:uid="{00000000-0005-0000-0000-0000B49D0000}"/>
    <cellStyle name="Titolo" xfId="1754" xr:uid="{00000000-0005-0000-0000-0000B59D0000}"/>
    <cellStyle name="Titolo 1" xfId="1755" xr:uid="{00000000-0005-0000-0000-0000B69D0000}"/>
    <cellStyle name="Titolo 2" xfId="1756" xr:uid="{00000000-0005-0000-0000-0000B79D0000}"/>
    <cellStyle name="Titolo 3" xfId="1757" xr:uid="{00000000-0005-0000-0000-0000B89D0000}"/>
    <cellStyle name="Titolo 4" xfId="1758" xr:uid="{00000000-0005-0000-0000-0000B99D0000}"/>
    <cellStyle name="Total" xfId="3116" builtinId="25" customBuiltin="1"/>
    <cellStyle name="Total 2" xfId="3098" xr:uid="{00000000-0005-0000-0000-0000BB9D0000}"/>
    <cellStyle name="Total 2 2" xfId="3099" xr:uid="{00000000-0005-0000-0000-0000BC9D0000}"/>
    <cellStyle name="Total 2 2 2" xfId="9714" xr:uid="{00000000-0005-0000-0000-0000BD9D0000}"/>
    <cellStyle name="Total 2 2 3" xfId="7583" xr:uid="{00000000-0005-0000-0000-0000BE9D0000}"/>
    <cellStyle name="Total 2 2 4" xfId="23128" xr:uid="{00000000-0005-0000-0000-0000BF9D0000}"/>
    <cellStyle name="Total 2 3" xfId="15536" xr:uid="{00000000-0005-0000-0000-0000C09D0000}"/>
    <cellStyle name="Total 2 4" xfId="7582" xr:uid="{00000000-0005-0000-0000-0000C19D0000}"/>
    <cellStyle name="Total 2 4 2" xfId="26698" xr:uid="{00000000-0005-0000-0000-0000C29D0000}"/>
    <cellStyle name="Total 2 5" xfId="23127" xr:uid="{00000000-0005-0000-0000-0000C39D0000}"/>
    <cellStyle name="Total 3" xfId="7584" xr:uid="{00000000-0005-0000-0000-0000C49D0000}"/>
    <cellStyle name="Total 3 2" xfId="15537" xr:uid="{00000000-0005-0000-0000-0000C59D0000}"/>
    <cellStyle name="Total 4" xfId="7585" xr:uid="{00000000-0005-0000-0000-0000C69D0000}"/>
    <cellStyle name="Total 4 2" xfId="15538" xr:uid="{00000000-0005-0000-0000-0000C79D0000}"/>
    <cellStyle name="Total 5" xfId="7586" xr:uid="{00000000-0005-0000-0000-0000C89D0000}"/>
    <cellStyle name="Total 5 2" xfId="10844" xr:uid="{00000000-0005-0000-0000-0000C99D0000}"/>
    <cellStyle name="Total 5 3" xfId="15539" xr:uid="{00000000-0005-0000-0000-0000CA9D0000}"/>
    <cellStyle name="Total 6" xfId="7610" xr:uid="{00000000-0005-0000-0000-0000CB9D0000}"/>
    <cellStyle name="Total 7" xfId="7581" xr:uid="{00000000-0005-0000-0000-0000CC9D0000}"/>
    <cellStyle name="Total 7 2" xfId="15535" xr:uid="{00000000-0005-0000-0000-0000CD9D0000}"/>
    <cellStyle name="Totale" xfId="1759" xr:uid="{00000000-0005-0000-0000-0000CE9D0000}"/>
    <cellStyle name="Totale 2" xfId="12281" xr:uid="{00000000-0005-0000-0000-0000CF9D0000}"/>
    <cellStyle name="Totale 3" xfId="18965" xr:uid="{00000000-0005-0000-0000-0000D09D0000}"/>
    <cellStyle name="Totale 4" xfId="20166" xr:uid="{00000000-0005-0000-0000-0000D19D0000}"/>
    <cellStyle name="Udgår måske?" xfId="3474" xr:uid="{00000000-0005-0000-0000-0000D29D0000}"/>
    <cellStyle name="Ugyldig 2" xfId="7588" xr:uid="{00000000-0005-0000-0000-0000D39D0000}"/>
    <cellStyle name="Ugyldig 2 2" xfId="21225" xr:uid="{00000000-0005-0000-0000-0000D49D0000}"/>
    <cellStyle name="Ugyldig 3" xfId="7589" xr:uid="{00000000-0005-0000-0000-0000D59D0000}"/>
    <cellStyle name="Ugyldig 4" xfId="7590" xr:uid="{00000000-0005-0000-0000-0000D69D0000}"/>
    <cellStyle name="Ugyldig 5" xfId="7591" xr:uid="{00000000-0005-0000-0000-0000D79D0000}"/>
    <cellStyle name="Ugyldig 5 2" xfId="10703" xr:uid="{00000000-0005-0000-0000-0000D89D0000}"/>
    <cellStyle name="Ugyldig 6" xfId="7604" xr:uid="{00000000-0005-0000-0000-0000D99D0000}"/>
    <cellStyle name="Ugyldig 7" xfId="7587" xr:uid="{00000000-0005-0000-0000-0000DA9D0000}"/>
    <cellStyle name="Uncertain" xfId="1760" xr:uid="{00000000-0005-0000-0000-0000DB9D0000}"/>
    <cellStyle name="Valore non valido" xfId="1761" xr:uid="{00000000-0005-0000-0000-0000DC9D0000}"/>
    <cellStyle name="Valore valido" xfId="1762" xr:uid="{00000000-0005-0000-0000-0000DD9D0000}"/>
    <cellStyle name="Valuta 2" xfId="7593" xr:uid="{00000000-0005-0000-0000-0000DE9D0000}"/>
    <cellStyle name="Valuta 3" xfId="7594" xr:uid="{00000000-0005-0000-0000-0000DF9D0000}"/>
    <cellStyle name="Valuta 4" xfId="7595" xr:uid="{00000000-0005-0000-0000-0000E09D0000}"/>
    <cellStyle name="Valuta 5" xfId="7596" xr:uid="{00000000-0005-0000-0000-0000E19D0000}"/>
    <cellStyle name="Valuta 6" xfId="7592" xr:uid="{00000000-0005-0000-0000-0000E29D0000}"/>
    <cellStyle name="Warning Text" xfId="3114" builtinId="11" customBuiltin="1"/>
    <cellStyle name="Warning Text 2" xfId="3100" xr:uid="{00000000-0005-0000-0000-0000E49D0000}"/>
    <cellStyle name="X08_Total Oil" xfId="3101" xr:uid="{00000000-0005-0000-0000-0000E59D0000}"/>
    <cellStyle name="X12_Total Figs 1 dec" xfId="3102" xr:uid="{00000000-0005-0000-0000-0000E69D0000}"/>
    <cellStyle name="Year" xfId="1763" xr:uid="{00000000-0005-0000-0000-0000E79D0000}"/>
    <cellStyle name="Years" xfId="1764" xr:uid="{00000000-0005-0000-0000-0000E89D0000}"/>
    <cellStyle name="Βασικό_Φύλλο1" xfId="7597" xr:uid="{00000000-0005-0000-0000-0000E99D0000}"/>
    <cellStyle name="Обычный_CRF2002 (1)" xfId="1765" xr:uid="{00000000-0005-0000-0000-0000EA9D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3.xml"/><Relationship Id="rId58" Type="http://schemas.openxmlformats.org/officeDocument/2006/relationships/externalLink" Target="externalLinks/externalLink8.xml"/><Relationship Id="rId66"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7.xml"/><Relationship Id="rId61"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 Id="rId60" Type="http://schemas.openxmlformats.org/officeDocument/2006/relationships/externalLink" Target="externalLinks/externalLink10.xml"/><Relationship Id="rId65"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3.wmf"/></Relationships>
</file>

<file path=xl/drawings/drawing1.xml><?xml version="1.0" encoding="utf-8"?>
<xdr:wsDr xmlns:xdr="http://schemas.openxmlformats.org/drawingml/2006/spreadsheetDrawing" xmlns:a="http://schemas.openxmlformats.org/drawingml/2006/main">
  <xdr:twoCellAnchor>
    <xdr:from>
      <xdr:col>15</xdr:col>
      <xdr:colOff>28575</xdr:colOff>
      <xdr:row>3</xdr:row>
      <xdr:rowOff>28575</xdr:rowOff>
    </xdr:from>
    <xdr:to>
      <xdr:col>22</xdr:col>
      <xdr:colOff>196215</xdr:colOff>
      <xdr:row>6</xdr:row>
      <xdr:rowOff>394335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3074015" y="531495"/>
          <a:ext cx="4434840" cy="1051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-From when will be motorbikes fuelled</a:t>
          </a:r>
          <a:r>
            <a:rPr lang="en-GB" sz="1100" baseline="0"/>
            <a:t> by ethanol available?</a:t>
          </a:r>
        </a:p>
        <a:p>
          <a:r>
            <a:rPr lang="en-GB" sz="1100" baseline="0"/>
            <a:t>-Efficiency should be based not on previous technoloy using the Trans file but from scratch</a:t>
          </a:r>
        </a:p>
        <a:p>
          <a:r>
            <a:rPr lang="en-GB" sz="1100" baseline="0"/>
            <a:t>-Add other commodity out TPMTM, TPMTL, TPMPM, TPMTL</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457200</xdr:colOff>
      <xdr:row>22</xdr:row>
      <xdr:rowOff>76200</xdr:rowOff>
    </xdr:from>
    <xdr:ext cx="5123809" cy="2009524"/>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57200" y="3764280"/>
          <a:ext cx="5123809" cy="2009524"/>
        </a:xfrm>
        <a:prstGeom prst="rect">
          <a:avLst/>
        </a:prstGeom>
      </xdr:spPr>
    </xdr:pic>
    <xdr:clientData/>
  </xdr:oneCellAnchor>
  <xdr:twoCellAnchor>
    <xdr:from>
      <xdr:col>4</xdr:col>
      <xdr:colOff>956318</xdr:colOff>
      <xdr:row>22</xdr:row>
      <xdr:rowOff>152400</xdr:rowOff>
    </xdr:from>
    <xdr:to>
      <xdr:col>11</xdr:col>
      <xdr:colOff>238133</xdr:colOff>
      <xdr:row>34</xdr:row>
      <xdr:rowOff>22860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7800031" y="4548188"/>
          <a:ext cx="5115877" cy="1813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Of the total above a certain</a:t>
          </a:r>
          <a:r>
            <a:rPr lang="en-GB" sz="1100" baseline="0"/>
            <a:t> number is of electric bikes ..</a:t>
          </a:r>
          <a:r>
            <a:rPr lang="en-GB" sz="1100"/>
            <a:t>get number</a:t>
          </a:r>
        </a:p>
        <a:p>
          <a:r>
            <a:rPr lang="en-GB" sz="1100"/>
            <a:t>According</a:t>
          </a:r>
          <a:r>
            <a:rPr lang="en-GB" sz="1100" baseline="0"/>
            <a:t> to http://www.cycling-embassy.dk/facts-about-cycling-in-denmark/statistics/ in 2013 about 18.100 eBikes were sold in DK--&gt; source?</a:t>
          </a:r>
        </a:p>
        <a:p>
          <a:endParaRPr lang="en-GB" sz="1100" baseline="0"/>
        </a:p>
        <a:p>
          <a:r>
            <a:rPr lang="en-GB"/>
            <a:t>Ivan EVTIMOV, Rosen IVANOV, Gergana STANEVA, Georgi KADIKYANOV, A STUDY ON ELECTRIC BICYCLE ENERGY EFFICIENCY, transport Probelm, 2015 (http://transportproblems.polsl.pl/pl/Archiwum/2015/zeszyt3/2015t10z3_13.pdf):   At speed of 15 to 25km/h the used power of the electric motor is from 100 to 300W and the energy consumption is from 7 to 12Wh/km which is 6 to 23 times less than the energy consumption of the electromobiles produced now.</a:t>
          </a:r>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666750</xdr:colOff>
      <xdr:row>8</xdr:row>
      <xdr:rowOff>152400</xdr:rowOff>
    </xdr:from>
    <xdr:to>
      <xdr:col>32</xdr:col>
      <xdr:colOff>589768</xdr:colOff>
      <xdr:row>22</xdr:row>
      <xdr:rowOff>18767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6485870" y="1775460"/>
          <a:ext cx="6262858" cy="22133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23</xdr:col>
      <xdr:colOff>525780</xdr:colOff>
      <xdr:row>11</xdr:row>
      <xdr:rowOff>45720</xdr:rowOff>
    </xdr:from>
    <xdr:to>
      <xdr:col>28</xdr:col>
      <xdr:colOff>236220</xdr:colOff>
      <xdr:row>19</xdr:row>
      <xdr:rowOff>114300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5186660" y="2171700"/>
          <a:ext cx="2758440"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GB" sz="1100" b="0" i="0" u="none" strike="noStrike" baseline="0">
              <a:solidFill>
                <a:schemeClr val="dk1"/>
              </a:solidFill>
              <a:latin typeface="+mn-lt"/>
              <a:ea typeface="+mn-ea"/>
              <a:cs typeface="+mn-cs"/>
            </a:rPr>
            <a:t>Investments  and varom costs for s-trains and metro are the same as diesel local trains, adjusted by same factor as for other rail.</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502920</xdr:colOff>
      <xdr:row>2</xdr:row>
      <xdr:rowOff>281940</xdr:rowOff>
    </xdr:from>
    <xdr:to>
      <xdr:col>24</xdr:col>
      <xdr:colOff>678180</xdr:colOff>
      <xdr:row>8</xdr:row>
      <xdr:rowOff>91440</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18829020" y="617220"/>
          <a:ext cx="358902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Also add hybrid no plug-in</a:t>
          </a:r>
        </a:p>
        <a:p>
          <a:r>
            <a:rPr lang="en-GB" sz="1100"/>
            <a:t>share for electric vans short/long? maybe consider different battery</a:t>
          </a:r>
          <a:r>
            <a:rPr lang="en-GB" sz="1100" baseline="0"/>
            <a:t> dimensions</a:t>
          </a:r>
        </a:p>
        <a:p>
          <a:endParaRPr lang="en-GB" sz="1100" baseline="0"/>
        </a:p>
        <a:p>
          <a:r>
            <a:rPr lang="en-GB" sz="1100" baseline="0"/>
            <a:t>Check if electric truck exist also</a:t>
          </a:r>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24</xdr:col>
      <xdr:colOff>552450</xdr:colOff>
      <xdr:row>2</xdr:row>
      <xdr:rowOff>293370</xdr:rowOff>
    </xdr:from>
    <xdr:to>
      <xdr:col>35</xdr:col>
      <xdr:colOff>228600</xdr:colOff>
      <xdr:row>12</xdr:row>
      <xdr:rowOff>161925</xdr:rowOff>
    </xdr:to>
    <xdr:sp macro="" textlink="">
      <xdr:nvSpPr>
        <xdr:cNvPr id="2" name="TextBox 1">
          <a:extLst>
            <a:ext uri="{FF2B5EF4-FFF2-40B4-BE49-F238E27FC236}">
              <a16:creationId xmlns:a16="http://schemas.microsoft.com/office/drawing/2014/main" id="{00000000-0008-0000-2900-000002000000}"/>
            </a:ext>
          </a:extLst>
        </xdr:cNvPr>
        <xdr:cNvSpPr txBox="1"/>
      </xdr:nvSpPr>
      <xdr:spPr>
        <a:xfrm>
          <a:off x="20707350" y="628650"/>
          <a:ext cx="6381750" cy="1979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da-DK" sz="1100" baseline="0">
              <a:solidFill>
                <a:schemeClr val="dk1"/>
              </a:solidFill>
              <a:effectLst/>
              <a:latin typeface="+mn-lt"/>
              <a:ea typeface="+mn-ea"/>
              <a:cs typeface="+mn-cs"/>
            </a:rPr>
            <a:t>Costs and efficiency are relative to airplanes in base year.</a:t>
          </a:r>
          <a:endParaRPr lang="en-GB">
            <a:effectLst/>
          </a:endParaRPr>
        </a:p>
        <a:p>
          <a:pPr eaLnBrk="1" fontAlgn="auto" latinLnBrk="0" hangingPunct="1"/>
          <a:r>
            <a:rPr lang="da-DK" sz="1100" baseline="0">
              <a:solidFill>
                <a:schemeClr val="dk1"/>
              </a:solidFill>
              <a:effectLst/>
              <a:latin typeface="+mn-lt"/>
              <a:ea typeface="+mn-ea"/>
              <a:cs typeface="+mn-cs"/>
            </a:rPr>
            <a:t>Varom is from SAS airplanes and varom of little gasoline-fuelled airplanes is</a:t>
          </a:r>
          <a:endParaRPr lang="en-GB">
            <a:effectLst/>
          </a:endParaRPr>
        </a:p>
        <a:p>
          <a:pPr eaLnBrk="1" fontAlgn="auto" latinLnBrk="0" hangingPunct="1"/>
          <a:r>
            <a:rPr lang="da-DK" sz="1100" baseline="0">
              <a:solidFill>
                <a:schemeClr val="dk1"/>
              </a:solidFill>
              <a:effectLst/>
              <a:latin typeface="+mn-lt"/>
              <a:ea typeface="+mn-ea"/>
              <a:cs typeface="+mn-cs"/>
            </a:rPr>
            <a:t>normalized with the investment costs.</a:t>
          </a:r>
        </a:p>
        <a:p>
          <a:pPr eaLnBrk="1" fontAlgn="auto" latinLnBrk="0" hangingPunct="1"/>
          <a:endParaRPr lang="da-DK" sz="1100" baseline="0">
            <a:solidFill>
              <a:schemeClr val="dk1"/>
            </a:solidFill>
            <a:effectLst/>
            <a:latin typeface="+mn-lt"/>
            <a:ea typeface="+mn-ea"/>
            <a:cs typeface="+mn-cs"/>
          </a:endParaRPr>
        </a:p>
        <a:p>
          <a:pPr eaLnBrk="1" fontAlgn="auto" latinLnBrk="0" hangingPunct="1"/>
          <a:r>
            <a:rPr lang="da-DK" sz="1100" baseline="0">
              <a:solidFill>
                <a:schemeClr val="dk1"/>
              </a:solidFill>
              <a:effectLst/>
              <a:latin typeface="+mn-lt"/>
              <a:ea typeface="+mn-ea"/>
              <a:cs typeface="+mn-cs"/>
            </a:rPr>
            <a:t>Investments costs have been taken from websites. Varom is relative to SAS airplane from AlternativDrivmodellen. Varom of little airplanes is normalized with the investment costs.</a:t>
          </a:r>
        </a:p>
        <a:p>
          <a:pPr eaLnBrk="1" fontAlgn="auto" latinLnBrk="0" hangingPunct="1"/>
          <a:r>
            <a:rPr lang="da-DK" sz="1100" baseline="0">
              <a:solidFill>
                <a:schemeClr val="dk1"/>
              </a:solidFill>
              <a:effectLst/>
              <a:latin typeface="+mn-lt"/>
              <a:ea typeface="+mn-ea"/>
              <a:cs typeface="+mn-cs"/>
            </a:rPr>
            <a:t>the efficiency is the same as that of airplanes in the base year, but normalized with the occupancy factors.</a:t>
          </a:r>
        </a:p>
        <a:p>
          <a:pPr eaLnBrk="1" fontAlgn="auto" latinLnBrk="0" hangingPunct="1"/>
          <a:r>
            <a:rPr lang="da-DK" sz="1100" baseline="0">
              <a:solidFill>
                <a:schemeClr val="dk1"/>
              </a:solidFill>
              <a:effectLst/>
              <a:latin typeface="+mn-lt"/>
              <a:ea typeface="+mn-ea"/>
              <a:cs typeface="+mn-cs"/>
            </a:rPr>
            <a:t>Effieicney in the future years is normalized considering the expected efficiency improvements in Alternativdrivmodellen.</a:t>
          </a:r>
        </a:p>
        <a:p>
          <a:pPr eaLnBrk="1" fontAlgn="auto" latinLnBrk="0" hangingPunct="1"/>
          <a:endParaRPr lang="da-DK" sz="1100" baseline="0">
            <a:solidFill>
              <a:schemeClr val="dk1"/>
            </a:solidFill>
            <a:effectLst/>
            <a:latin typeface="+mn-lt"/>
            <a:ea typeface="+mn-ea"/>
            <a:cs typeface="+mn-cs"/>
          </a:endParaRPr>
        </a:p>
        <a:p>
          <a:pPr eaLnBrk="1" fontAlgn="auto" latinLnBrk="0" hangingPunct="1"/>
          <a:r>
            <a:rPr lang="da-DK" sz="1100" baseline="0">
              <a:solidFill>
                <a:schemeClr val="dk1"/>
              </a:solidFill>
              <a:effectLst/>
              <a:latin typeface="+mn-lt"/>
              <a:ea typeface="+mn-ea"/>
              <a:cs typeface="+mn-cs"/>
            </a:rPr>
            <a:t>Red values are assumed, or taken from uncertain sources.</a:t>
          </a:r>
        </a:p>
        <a:p>
          <a:pPr eaLnBrk="1" fontAlgn="auto" latinLnBrk="0" hangingPunct="1"/>
          <a:r>
            <a:rPr lang="da-DK" sz="1100" baseline="0">
              <a:solidFill>
                <a:schemeClr val="dk1"/>
              </a:solidFill>
              <a:effectLst/>
              <a:latin typeface="+mn-lt"/>
              <a:ea typeface="+mn-ea"/>
              <a:cs typeface="+mn-cs"/>
            </a:rPr>
            <a:t> </a:t>
          </a:r>
          <a:endParaRPr lang="en-GB">
            <a:effectLst/>
          </a:endParaRPr>
        </a:p>
        <a:p>
          <a:endParaRPr lang="da-DK" sz="1100" baseline="0"/>
        </a:p>
      </xdr:txBody>
    </xdr:sp>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30480</xdr:colOff>
          <xdr:row>7</xdr:row>
          <xdr:rowOff>152400</xdr:rowOff>
        </xdr:from>
        <xdr:to>
          <xdr:col>9</xdr:col>
          <xdr:colOff>533400</xdr:colOff>
          <xdr:row>10</xdr:row>
          <xdr:rowOff>114300</xdr:rowOff>
        </xdr:to>
        <xdr:sp macro="" textlink="">
          <xdr:nvSpPr>
            <xdr:cNvPr id="141313" name="Object 1" hidden="1">
              <a:extLst>
                <a:ext uri="{63B3BB69-23CF-44E3-9099-C40C66FF867C}">
                  <a14:compatExt spid="_x0000_s141313"/>
                </a:ext>
                <a:ext uri="{FF2B5EF4-FFF2-40B4-BE49-F238E27FC236}">
                  <a16:creationId xmlns:a16="http://schemas.microsoft.com/office/drawing/2014/main" id="{00000000-0008-0000-2E00-00000128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bsi/Downloads/alternativ_drivmiddelmodel_3.0_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ex/Desktop/Kopi%20af%20alternativ_drivmiddelmodel_3.0_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ejene/Desktop/TIMES-DK_20160907/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VEDA/VEDA_Models/Denmark/TIMES-DK_ship&amp;airplane/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B003920/Desktop/Kopi%20af%20alternativ_drivmiddelmodel_3.0_2.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IMES%20models/SubRES_TRA_Techs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IMES%20models/TIMES-Nordic/SuppXLS/Scen_DK_TRA_XAssump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refreshError="1"/>
      <sheetData sheetId="1" refreshError="1">
        <row r="30">
          <cell r="B30" t="str">
            <v>24, SHIP-DESMO-Container Ship - 1 January 2014.xls - https://www.shipowners.dk/services/beregningsvaerktoejer/</v>
          </cell>
        </row>
        <row r="58">
          <cell r="B58" t="str">
            <v>52, Maritime Economics, Martin Stopford, 3rd edition, 2009, chapter 13, Routledge</v>
          </cell>
        </row>
        <row r="59">
          <cell r="B59" t="str">
            <v>53, Fast Ferry International, http://www.fastferryinfo.com/</v>
          </cell>
        </row>
        <row r="78">
          <cell r="B78" t="str">
            <v>72, 9000 TEU container ship - overall efficiency - propulsion and auxiliary power included, Notat fra Hans Otto Kristensen, 2015</v>
          </cell>
        </row>
      </sheetData>
      <sheetData sheetId="2" refreshError="1">
        <row r="5">
          <cell r="B5">
            <v>1</v>
          </cell>
        </row>
        <row r="8">
          <cell r="B8">
            <v>2</v>
          </cell>
        </row>
        <row r="14">
          <cell r="B14">
            <v>1</v>
          </cell>
        </row>
        <row r="17">
          <cell r="B17">
            <v>2</v>
          </cell>
        </row>
      </sheetData>
      <sheetData sheetId="3" refreshError="1"/>
      <sheetData sheetId="4" refreshError="1"/>
      <sheetData sheetId="5" refreshError="1"/>
      <sheetData sheetId="6" refreshError="1"/>
      <sheetData sheetId="7" refreshError="1">
        <row r="3">
          <cell r="C3">
            <v>0.04</v>
          </cell>
        </row>
        <row r="5">
          <cell r="C5">
            <v>7.45</v>
          </cell>
        </row>
        <row r="6">
          <cell r="C6">
            <v>6</v>
          </cell>
        </row>
        <row r="8">
          <cell r="C8">
            <v>2015</v>
          </cell>
        </row>
        <row r="12">
          <cell r="C12">
            <v>2001</v>
          </cell>
          <cell r="D12">
            <v>2002</v>
          </cell>
          <cell r="E12">
            <v>2003</v>
          </cell>
          <cell r="F12">
            <v>2004</v>
          </cell>
          <cell r="G12">
            <v>2005</v>
          </cell>
          <cell r="H12">
            <v>2006</v>
          </cell>
          <cell r="I12">
            <v>2007</v>
          </cell>
          <cell r="J12">
            <v>2008</v>
          </cell>
          <cell r="K12">
            <v>2009</v>
          </cell>
          <cell r="L12">
            <v>2010</v>
          </cell>
          <cell r="M12">
            <v>2011</v>
          </cell>
          <cell r="N12">
            <v>2012</v>
          </cell>
          <cell r="O12">
            <v>2013</v>
          </cell>
          <cell r="P12">
            <v>2014</v>
          </cell>
          <cell r="Q12">
            <v>2015</v>
          </cell>
          <cell r="R12">
            <v>2016</v>
          </cell>
          <cell r="S12">
            <v>2017</v>
          </cell>
          <cell r="T12">
            <v>2018</v>
          </cell>
          <cell r="U12">
            <v>2019</v>
          </cell>
          <cell r="V12">
            <v>2020</v>
          </cell>
          <cell r="W12">
            <v>2021</v>
          </cell>
          <cell r="X12">
            <v>2022</v>
          </cell>
          <cell r="Y12">
            <v>2023</v>
          </cell>
          <cell r="Z12">
            <v>2024</v>
          </cell>
          <cell r="AA12">
            <v>2025</v>
          </cell>
          <cell r="AB12">
            <v>2026</v>
          </cell>
          <cell r="AC12">
            <v>2027</v>
          </cell>
          <cell r="AD12">
            <v>2028</v>
          </cell>
          <cell r="AE12">
            <v>2029</v>
          </cell>
          <cell r="AF12">
            <v>2030</v>
          </cell>
        </row>
        <row r="13">
          <cell r="C13">
            <v>2.4412054189003829E-2</v>
          </cell>
          <cell r="D13">
            <v>2.2182612796522339E-2</v>
          </cell>
          <cell r="E13">
            <v>1.7964536099789541E-2</v>
          </cell>
          <cell r="F13">
            <v>2.7328976584747089E-2</v>
          </cell>
          <cell r="G13">
            <v>2.9002128643195402E-2</v>
          </cell>
          <cell r="H13">
            <v>2.1527049999999992E-2</v>
          </cell>
          <cell r="I13">
            <v>2.4455524697069908E-2</v>
          </cell>
          <cell r="J13">
            <v>4.8077893795144933E-2</v>
          </cell>
          <cell r="K13">
            <v>1.2828852291187465E-2</v>
          </cell>
          <cell r="L13">
            <v>4.2791744047289582E-2</v>
          </cell>
          <cell r="M13">
            <v>5.2700158546337139E-3</v>
          </cell>
          <cell r="N13">
            <v>1.9677304952358643E-2</v>
          </cell>
          <cell r="O13">
            <v>1.2787172603418551E-2</v>
          </cell>
          <cell r="P13">
            <v>2.533659691131418E-2</v>
          </cell>
          <cell r="Q13">
            <v>2.2780438741770492E-2</v>
          </cell>
          <cell r="R13">
            <v>1.9602671888290457E-2</v>
          </cell>
          <cell r="S13">
            <v>1.9578367618508175E-2</v>
          </cell>
          <cell r="T13">
            <v>1.9388168730292143E-2</v>
          </cell>
          <cell r="U13">
            <v>2.0385521990322397E-2</v>
          </cell>
          <cell r="V13">
            <v>2.0041829037521275E-2</v>
          </cell>
          <cell r="W13">
            <v>2.0960366834419153E-2</v>
          </cell>
          <cell r="X13">
            <v>2.0443205652319607E-2</v>
          </cell>
          <cell r="Y13">
            <v>2.2242811374091565E-2</v>
          </cell>
          <cell r="Z13">
            <v>2.1277936229747718E-2</v>
          </cell>
          <cell r="AA13">
            <v>2.1171852352172227E-2</v>
          </cell>
          <cell r="AB13">
            <v>2.1157957606043443E-2</v>
          </cell>
          <cell r="AC13">
            <v>2.1138316676352353E-2</v>
          </cell>
          <cell r="AD13">
            <v>2.1082037577915269E-2</v>
          </cell>
          <cell r="AE13">
            <v>2.1234013376179917E-2</v>
          </cell>
          <cell r="AF13">
            <v>2.1176155507733219E-2</v>
          </cell>
        </row>
        <row r="14">
          <cell r="C14">
            <v>1.3895108801963867</v>
          </cell>
          <cell r="D14">
            <v>1.3563984087403389</v>
          </cell>
          <cell r="E14">
            <v>1.3269629044358888</v>
          </cell>
          <cell r="F14">
            <v>1.3035453175215612</v>
          </cell>
          <cell r="G14">
            <v>1.2688684415921645</v>
          </cell>
          <cell r="H14">
            <v>1.2331057500000004</v>
          </cell>
          <cell r="I14">
            <v>1.2071200170372389</v>
          </cell>
          <cell r="J14">
            <v>1.1783039750741573</v>
          </cell>
          <cell r="K14">
            <v>1.1242522927446326</v>
          </cell>
          <cell r="L14">
            <v>1.1100121113269894</v>
          </cell>
          <cell r="M14">
            <v>1.0644619289167017</v>
          </cell>
          <cell r="N14">
            <v>1.0588816060645614</v>
          </cell>
          <cell r="O14">
            <v>1.038447752952621</v>
          </cell>
          <cell r="P14">
            <v>1.0253365969113142</v>
          </cell>
          <cell r="Q14">
            <v>1</v>
          </cell>
          <cell r="R14">
            <v>0.98077420506167701</v>
          </cell>
          <cell r="S14">
            <v>0.96194097110213461</v>
          </cell>
          <cell r="T14">
            <v>0.94364541458263995</v>
          </cell>
          <cell r="U14">
            <v>0.92479302601432811</v>
          </cell>
          <cell r="V14">
            <v>0.90662264986420515</v>
          </cell>
          <cell r="W14">
            <v>0.88800964201506805</v>
          </cell>
          <cell r="X14">
            <v>0.87021956449541626</v>
          </cell>
          <cell r="Y14">
            <v>0.85128460167469733</v>
          </cell>
          <cell r="Z14">
            <v>0.83354841172559269</v>
          </cell>
          <cell r="AA14">
            <v>0.81626653712163455</v>
          </cell>
          <cell r="AB14">
            <v>0.79935384241166074</v>
          </cell>
          <cell r="AC14">
            <v>0.78280662801238732</v>
          </cell>
          <cell r="AD14">
            <v>0.76664420605151817</v>
          </cell>
          <cell r="AE14">
            <v>0.75070375252877375</v>
          </cell>
          <cell r="AF14">
            <v>0.73513639001443443</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row r="1">
          <cell r="M1">
            <v>0</v>
          </cell>
          <cell r="N1">
            <v>0</v>
          </cell>
        </row>
      </sheetData>
      <sheetData sheetId="68" refreshError="1"/>
      <sheetData sheetId="69" refreshError="1"/>
      <sheetData sheetId="70" refreshError="1"/>
      <sheetData sheetId="7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Description"/>
      <sheetName val="TRA_Cars"/>
      <sheetName val="Cars INVCOST"/>
      <sheetName val="Eff SF"/>
      <sheetName val="Eff PHEV"/>
      <sheetName val="Eff BEV"/>
      <sheetName val="O&amp;M"/>
      <sheetName val="TRA_Moto"/>
      <sheetName val="TRA_Bikes"/>
      <sheetName val="TRA_Walk"/>
      <sheetName val="TRA_Buses"/>
      <sheetName val="EU Bus"/>
      <sheetName val="EU Bus Gas"/>
      <sheetName val="EU Bus El"/>
      <sheetName val="EU Bus Hybrid"/>
      <sheetName val="TRA_Train"/>
      <sheetName val="EU Diesel IC-reg.tog"/>
      <sheetName val="EU El IC-reg.tog"/>
      <sheetName val="EU Diesel Lokaltog"/>
      <sheetName val="EU Gas Lokaltog"/>
      <sheetName val="TRA_Trucks"/>
      <sheetName val="FCEV truck data"/>
      <sheetName val="EU Varebil benzin"/>
      <sheetName val="EU varebil diesel"/>
      <sheetName val="EU Varebil CNG"/>
      <sheetName val="EU varebil el"/>
      <sheetName val="EU Lastbil"/>
      <sheetName val="EU Lastbil El"/>
      <sheetName val="EU Lastbil DME"/>
      <sheetName val="EU Lastbil RME"/>
      <sheetName val="EU Lastbil Gas"/>
      <sheetName val="TRA_Ship_Passenger"/>
      <sheetName val="TRA_Ship_Freight"/>
      <sheetName val="TRA_Ship_Freight_INT"/>
      <sheetName val="ShipData"/>
      <sheetName val="TRA_Ships"/>
      <sheetName val="EU 9000 TEU HFO"/>
      <sheetName val="EU 9000 TEU Diesel"/>
      <sheetName val="EU 9000 TEU Dual fuel"/>
      <sheetName val="EU Katamaran ferry"/>
      <sheetName val="TRA_Airplane"/>
      <sheetName val="EU SAS avg. airplane adjusted"/>
      <sheetName val="EU SAS avg. airplane Original"/>
      <sheetName val="Re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1">
          <cell r="D21" t="str">
            <v>2015</v>
          </cell>
          <cell r="E21">
            <v>2020</v>
          </cell>
          <cell r="F21">
            <v>2035</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6">
          <cell r="W6">
            <v>1E-3</v>
          </cell>
        </row>
      </sheetData>
      <sheetData sheetId="42">
        <row r="28">
          <cell r="D28">
            <v>6.4614661654135341</v>
          </cell>
        </row>
      </sheetData>
      <sheetData sheetId="43" refreshError="1"/>
      <sheetData sheetId="4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TRA_TFILL"/>
      <sheetName val="TRA_Assumptions"/>
    </sheetNames>
    <sheetDataSet>
      <sheetData sheetId="0" refreshError="1"/>
      <sheetData sheetId="1">
        <row r="133">
          <cell r="G133">
            <v>1750000</v>
          </cell>
          <cell r="H133">
            <v>1750000</v>
          </cell>
        </row>
        <row r="134">
          <cell r="G134">
            <v>8145.1797176742502</v>
          </cell>
          <cell r="H134">
            <v>8113.5513846326403</v>
          </cell>
        </row>
        <row r="138">
          <cell r="G138">
            <v>1E-3</v>
          </cell>
          <cell r="H138">
            <v>1E-3</v>
          </cell>
        </row>
        <row r="143">
          <cell r="G143">
            <v>2800000</v>
          </cell>
          <cell r="H143">
            <v>2800000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5.v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9.vml"/><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10.v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11.v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12.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14.v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15.vml"/></Relationships>
</file>

<file path=xl/worksheets/_rels/sheet37.xml.rels><?xml version="1.0" encoding="UTF-8" standalone="yes"?>
<Relationships xmlns="http://schemas.openxmlformats.org/package/2006/relationships"><Relationship Id="rId3" Type="http://schemas.openxmlformats.org/officeDocument/2006/relationships/hyperlink" Target="https://www.transportmeasures.org/en/wiki/manuals/sea/load-capacity-utilisation/" TargetMode="External"/><Relationship Id="rId2" Type="http://schemas.openxmlformats.org/officeDocument/2006/relationships/hyperlink" Target="https://ec.europa.eu/environment/air/pdf/chapter2_ship_emissions.pdf" TargetMode="External"/><Relationship Id="rId1" Type="http://schemas.openxmlformats.org/officeDocument/2006/relationships/hyperlink" Target="https://orbit.dtu.dk/files/127119694/Psaraftis_Kontovas_SPEED_VRP_2014_v4.0.pdf" TargetMode="External"/><Relationship Id="rId6" Type="http://schemas.openxmlformats.org/officeDocument/2006/relationships/comments" Target="../comments8.xml"/><Relationship Id="rId5" Type="http://schemas.openxmlformats.org/officeDocument/2006/relationships/vmlDrawing" Target="../drawings/vmlDrawing16.vml"/><Relationship Id="rId4" Type="http://schemas.openxmlformats.org/officeDocument/2006/relationships/hyperlink" Target="https://pubs.acs.org/doi/abs/10.1021/es5018575" TargetMode="Externa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17.v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18.v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19.v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20.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21.vml"/><Relationship Id="rId1" Type="http://schemas.openxmlformats.org/officeDocument/2006/relationships/drawing" Target="../drawings/drawing6.xml"/></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1.bin"/></Relationships>
</file>

<file path=xl/worksheets/_rels/sheet44.xml.rels><?xml version="1.0" encoding="UTF-8" standalone="yes"?>
<Relationships xmlns="http://schemas.openxmlformats.org/package/2006/relationships"><Relationship Id="rId1" Type="http://schemas.openxmlformats.org/officeDocument/2006/relationships/vmlDrawing" Target="../drawings/vmlDrawing23.vml"/></Relationships>
</file>

<file path=xl/worksheets/_rels/sheet45.xml.rels><?xml version="1.0" encoding="UTF-8" standalone="yes"?>
<Relationships xmlns="http://schemas.openxmlformats.org/package/2006/relationships"><Relationship Id="rId3" Type="http://schemas.openxmlformats.org/officeDocument/2006/relationships/hyperlink" Target="http://www.eof.dk/" TargetMode="External"/><Relationship Id="rId2" Type="http://schemas.openxmlformats.org/officeDocument/2006/relationships/hyperlink" Target="http://www.biofuelsb2b.com/useful_info.php?page=Typic" TargetMode="External"/><Relationship Id="rId1" Type="http://schemas.openxmlformats.org/officeDocument/2006/relationships/hyperlink" Target="http://www.agri-outlook.org/" TargetMode="External"/><Relationship Id="rId4" Type="http://schemas.openxmlformats.org/officeDocument/2006/relationships/hyperlink" Target="http://www.cleanfuelconnection.com/"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7.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24.vml"/><Relationship Id="rId1" Type="http://schemas.openxmlformats.org/officeDocument/2006/relationships/drawing" Target="../drawings/drawing7.xml"/><Relationship Id="rId4" Type="http://schemas.openxmlformats.org/officeDocument/2006/relationships/image" Target="../media/image3.wmf"/></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16"/>
  <sheetViews>
    <sheetView workbookViewId="0">
      <selection activeCell="E4" sqref="E4"/>
    </sheetView>
  </sheetViews>
  <sheetFormatPr defaultRowHeight="13.2"/>
  <cols>
    <col min="1" max="1" width="11.44140625" customWidth="1"/>
    <col min="2" max="2" width="15.5546875" customWidth="1"/>
    <col min="3" max="3" width="13.6640625" customWidth="1"/>
    <col min="4" max="4" width="19.6640625" customWidth="1"/>
    <col min="5" max="5" width="60.109375" customWidth="1"/>
  </cols>
  <sheetData>
    <row r="3" spans="1:5">
      <c r="A3" s="654" t="s">
        <v>625</v>
      </c>
      <c r="B3" s="654" t="s">
        <v>626</v>
      </c>
      <c r="C3" s="654" t="s">
        <v>627</v>
      </c>
      <c r="D3" s="654" t="s">
        <v>628</v>
      </c>
      <c r="E3" s="654" t="s">
        <v>629</v>
      </c>
    </row>
    <row r="4" spans="1:5" s="655" customFormat="1">
      <c r="A4" s="656">
        <v>43172</v>
      </c>
      <c r="B4" s="655" t="s">
        <v>780</v>
      </c>
      <c r="C4" s="655" t="s">
        <v>636</v>
      </c>
      <c r="D4" s="655" t="s">
        <v>634</v>
      </c>
      <c r="E4" s="655" t="s">
        <v>910</v>
      </c>
    </row>
    <row r="5" spans="1:5" s="655" customFormat="1">
      <c r="A5" s="656">
        <v>43172</v>
      </c>
      <c r="B5" s="655" t="s">
        <v>780</v>
      </c>
      <c r="C5" s="655" t="s">
        <v>636</v>
      </c>
      <c r="E5" s="655" t="s">
        <v>909</v>
      </c>
    </row>
    <row r="6" spans="1:5" s="655" customFormat="1">
      <c r="A6" s="656">
        <v>43129</v>
      </c>
      <c r="B6" s="655" t="s">
        <v>780</v>
      </c>
      <c r="C6" s="655" t="s">
        <v>816</v>
      </c>
      <c r="D6" s="655" t="str">
        <f>ADDRESS(ROW('Old TRA_Trucks'!C59),COLUMN('Old TRA_Trucks'!C59),4,1)&amp;","&amp;ADDRESS(ROW('Old TRA_Trucks'!C44),COLUMN('Old TRA_Trucks'!C44),4,1)</f>
        <v>C59,C44</v>
      </c>
      <c r="E6" s="655" t="s">
        <v>817</v>
      </c>
    </row>
    <row r="7" spans="1:5" s="655" customFormat="1">
      <c r="A7" s="656">
        <v>43031</v>
      </c>
      <c r="B7" s="655" t="s">
        <v>780</v>
      </c>
      <c r="C7" s="655" t="s">
        <v>783</v>
      </c>
      <c r="E7" s="655" t="s">
        <v>786</v>
      </c>
    </row>
    <row r="8" spans="1:5" s="655" customFormat="1">
      <c r="A8" s="656">
        <v>43028</v>
      </c>
      <c r="B8" s="655" t="s">
        <v>780</v>
      </c>
      <c r="C8" s="655" t="s">
        <v>781</v>
      </c>
      <c r="E8" s="655" t="s">
        <v>782</v>
      </c>
    </row>
    <row r="9" spans="1:5" s="655" customFormat="1">
      <c r="A9" s="656">
        <v>43018</v>
      </c>
      <c r="B9" s="655" t="s">
        <v>780</v>
      </c>
      <c r="C9" s="655" t="s">
        <v>636</v>
      </c>
      <c r="D9" s="655" t="s">
        <v>784</v>
      </c>
      <c r="E9" s="655" t="s">
        <v>785</v>
      </c>
    </row>
    <row r="10" spans="1:5" s="655" customFormat="1">
      <c r="A10" s="656">
        <v>42976</v>
      </c>
      <c r="B10" s="655" t="s">
        <v>630</v>
      </c>
      <c r="C10" s="655" t="s">
        <v>642</v>
      </c>
      <c r="D10" s="655" t="e">
        <f>ADDRESS(ROW(#REF!),COLUMN(#REF!),4,1)&amp;","&amp;ADDRESS(ROW(#REF!),COLUMN(#REF!),4,1)&amp;","&amp;ADDRESS(ROW(#REF!),COLUMN(#REF!),4,1)&amp;","&amp;ADDRESS(ROW(#REF!),COLUMN(#REF!),4,1)</f>
        <v>#REF!</v>
      </c>
      <c r="E10" s="655" t="s">
        <v>643</v>
      </c>
    </row>
    <row r="11" spans="1:5" s="655" customFormat="1">
      <c r="A11" s="656">
        <v>42976</v>
      </c>
      <c r="B11" s="655" t="s">
        <v>630</v>
      </c>
      <c r="C11" s="655" t="s">
        <v>638</v>
      </c>
      <c r="D11" s="655" t="e">
        <f>ADDRESS(ROW(#REF!),COLUMN(#REF!),4,1)&amp;","&amp;ADDRESS(ROW(#REF!),COLUMN(#REF!),4,1)&amp;","&amp;ADDRESS(ROW(#REF!),COLUMN(#REF!),4,1)&amp;","&amp;ADDRESS(ROW(#REF!),COLUMN(#REF!),4,1)</f>
        <v>#REF!</v>
      </c>
      <c r="E11" s="655" t="s">
        <v>641</v>
      </c>
    </row>
    <row r="12" spans="1:5" s="655" customFormat="1">
      <c r="A12" s="656">
        <v>42976</v>
      </c>
      <c r="B12" s="655" t="s">
        <v>630</v>
      </c>
      <c r="C12" s="655" t="s">
        <v>638</v>
      </c>
      <c r="D12" s="655" t="e">
        <f>ADDRESS(ROW(#REF!),COLUMN(#REF!),4,1)&amp;","&amp;ADDRESS(ROW(#REF!),COLUMN(#REF!),4,1)&amp;","&amp;ADDRESS(ROW(#REF!),COLUMN(#REF!),4,1)&amp;","&amp;ADDRESS(ROW(#REF!),COLUMN(#REF!),4,1)</f>
        <v>#REF!</v>
      </c>
      <c r="E12" s="655" t="s">
        <v>640</v>
      </c>
    </row>
    <row r="13" spans="1:5" s="655" customFormat="1">
      <c r="A13" s="656">
        <v>42976</v>
      </c>
      <c r="B13" s="655" t="s">
        <v>630</v>
      </c>
      <c r="C13" s="655" t="s">
        <v>638</v>
      </c>
      <c r="D13" s="655" t="e">
        <f>ADDRESS(ROW(#REF!),COLUMN(#REF!),4,1)&amp;","&amp;ADDRESS(ROW(#REF!),COLUMN(#REF!),4,1)&amp;","&amp;ADDRESS(ROW(#REF!),COLUMN(#REF!),4,1)&amp;","&amp;ADDRESS(ROW(#REF!),COLUMN(#REF!),4,1)&amp;","&amp;ADDRESS(ROW(#REF!),COLUMN(#REF!),4,1)&amp;","&amp;ADDRESS(ROW(#REF!),COLUMN(#REF!),4,1)</f>
        <v>#REF!</v>
      </c>
      <c r="E13" s="655" t="s">
        <v>639</v>
      </c>
    </row>
    <row r="14" spans="1:5" s="655" customFormat="1">
      <c r="A14" s="656">
        <v>42972</v>
      </c>
      <c r="B14" s="655" t="s">
        <v>630</v>
      </c>
      <c r="C14" s="655" t="s">
        <v>636</v>
      </c>
      <c r="D14" s="655" t="str">
        <f>ADDRESS(ROW(TRA_Cars!S5),COLUMN(TRA_Cars!S5),4,1)&amp;","&amp;ADDRESS(ROW(TRA_Cars!S9),COLUMN(TRA_Cars!S9),4,1)&amp;","&amp;ADDRESS(ROW(TRA_Cars!S13),COLUMN(TRA_Cars!S13),4,1)&amp;","&amp;ADDRESS(ROW(TRA_Cars!S17),COLUMN(TRA_Cars!S17),4,1)&amp;","&amp;ADDRESS(ROW(TRA_Cars!S21),COLUMN(TRA_Cars!S21),4,1)&amp;","&amp;ADDRESS(ROW(TRA_Cars!S25),COLUMN(TRA_Cars!S25),4,1)&amp;","&amp;ADDRESS(ROW(TRA_Cars!S29),COLUMN(TRA_Cars!S29),4,1)&amp;","&amp;ADDRESS(ROW(TRA_Cars!S33),COLUMN(TRA_Cars!S33),4,1)&amp;","&amp;ADDRESS(ROW(TRA_Cars!S37),COLUMN(TRA_Cars!S37),4,1)&amp;","&amp;ADDRESS(ROW(TRA_Cars!S41),COLUMN(TRA_Cars!S41),4,1)&amp;","&amp;ADDRESS(ROW(TRA_Cars!S45),COLUMN(TRA_Cars!S45),4,1)&amp;","&amp;ADDRESS(ROW(TRA_Cars!S49),COLUMN(TRA_Cars!S49),4,1)&amp;","&amp;ADDRESS(ROW(TRA_Cars!S53),COLUMN(TRA_Cars!S53),4,1)&amp;","&amp;ADDRESS(ROW(TRA_Cars!S57),COLUMN(TRA_Cars!S57),4,1)&amp;","&amp;ADDRESS(ROW(TRA_Cars!S61),COLUMN(TRA_Cars!S61),4,1)&amp;","&amp;ADDRESS(ROW(TRA_Cars!S65),COLUMN(TRA_Cars!S65),4,1)&amp;","&amp;ADDRESS(ROW(TRA_Cars!S69),COLUMN(TRA_Cars!S69),4,1)&amp;","&amp;ADDRESS(ROW(TRA_Cars!S73),COLUMN(TRA_Cars!S73),4,1)&amp;","&amp;ADDRESS(ROW(TRA_Cars!S77),COLUMN(TRA_Cars!S77),4,1)&amp;","&amp;ADDRESS(ROW(TRA_Cars!S81),COLUMN(TRA_Cars!S81),4,1)</f>
        <v>S5,S9,S13,S17,S21,S25,S29,S33,S37,S41,S45,S49,S53,S57,S61,S65,S69,S73,S77,S81</v>
      </c>
      <c r="E14" s="655" t="s">
        <v>637</v>
      </c>
    </row>
    <row r="15" spans="1:5" s="655" customFormat="1">
      <c r="A15" s="656">
        <v>42789</v>
      </c>
      <c r="B15" s="655" t="s">
        <v>630</v>
      </c>
      <c r="C15" s="655" t="s">
        <v>633</v>
      </c>
      <c r="D15" s="655" t="str">
        <f>ADDRESS(ROW(TRA_Walk!D9),COLUMN(TRA_Walk!D9),4,1)&amp;","&amp;ADDRESS(ROW(TRA_Walk!L9),COLUMN(TRA_Walk!L9),4,1)</f>
        <v>D9,L9</v>
      </c>
      <c r="E15" s="655" t="s">
        <v>632</v>
      </c>
    </row>
    <row r="16" spans="1:5" s="655" customFormat="1">
      <c r="A16" s="656">
        <v>42789</v>
      </c>
      <c r="B16" s="655" t="s">
        <v>630</v>
      </c>
      <c r="C16" s="655" t="s">
        <v>631</v>
      </c>
      <c r="D16" s="655" t="str">
        <f>ADDRESS(ROW(TRA_Bikes!C8),COLUMN(TRA_Bikes!C8),4,1)&amp;","&amp;ADDRESS(ROW(TRA_Bikes!I8),COLUMN(TRA_Bikes!I8),4,1)</f>
        <v>C8,I8</v>
      </c>
      <c r="E16" s="655" t="s">
        <v>632</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FFC000"/>
  </sheetPr>
  <dimension ref="A3:E32"/>
  <sheetViews>
    <sheetView zoomScaleNormal="100" workbookViewId="0">
      <selection activeCell="D43" sqref="D43"/>
    </sheetView>
  </sheetViews>
  <sheetFormatPr defaultColWidth="9.109375" defaultRowHeight="13.2"/>
  <cols>
    <col min="1" max="1" width="11" style="33" bestFit="1" customWidth="1"/>
    <col min="2" max="2" width="14.33203125" style="33" bestFit="1" customWidth="1"/>
    <col min="3" max="3" width="12.6640625" style="33" bestFit="1" customWidth="1"/>
    <col min="4" max="4" width="34.5546875" style="33" bestFit="1" customWidth="1"/>
    <col min="5" max="5" width="60.6640625" style="33" bestFit="1" customWidth="1"/>
    <col min="6" max="8" width="9.109375" style="33"/>
    <col min="9" max="9" width="13" style="33" customWidth="1"/>
    <col min="10" max="10" width="14.5546875" style="33" bestFit="1" customWidth="1"/>
    <col min="11" max="16384" width="9.109375" style="33"/>
  </cols>
  <sheetData>
    <row r="3" spans="1:5">
      <c r="A3" s="31"/>
      <c r="B3" s="32"/>
      <c r="C3" s="32"/>
      <c r="D3" s="32"/>
      <c r="E3" s="32"/>
    </row>
    <row r="4" spans="1:5" s="40" customFormat="1">
      <c r="A4" s="478"/>
      <c r="B4" s="477" t="s">
        <v>492</v>
      </c>
      <c r="C4" s="477"/>
      <c r="D4" s="477"/>
      <c r="E4" s="477"/>
    </row>
    <row r="5" spans="1:5" s="40" customFormat="1">
      <c r="A5" s="478"/>
      <c r="B5" s="477"/>
      <c r="C5" s="477"/>
      <c r="D5" s="477"/>
      <c r="E5" s="477"/>
    </row>
    <row r="6" spans="1:5" s="40" customFormat="1">
      <c r="A6" s="478"/>
      <c r="B6" s="477"/>
      <c r="C6" s="477"/>
      <c r="D6" s="477"/>
      <c r="E6" s="477"/>
    </row>
    <row r="7" spans="1:5" s="40" customFormat="1">
      <c r="A7" s="478"/>
      <c r="B7" s="477"/>
      <c r="C7" s="477"/>
      <c r="D7" s="477"/>
      <c r="E7" s="477"/>
    </row>
    <row r="8" spans="1:5">
      <c r="A8" s="478"/>
      <c r="B8" s="477"/>
      <c r="C8" s="477"/>
      <c r="D8" s="477"/>
      <c r="E8" s="477"/>
    </row>
    <row r="9" spans="1:5" s="44" customFormat="1">
      <c r="A9" s="46"/>
      <c r="B9" s="45"/>
      <c r="C9" s="45"/>
      <c r="D9" s="45"/>
      <c r="E9" s="45"/>
    </row>
    <row r="10" spans="1:5" s="44" customFormat="1">
      <c r="A10" s="46"/>
      <c r="B10" s="45"/>
      <c r="C10" s="45"/>
      <c r="D10" s="45"/>
      <c r="E10" s="45"/>
    </row>
    <row r="11" spans="1:5" s="44" customFormat="1">
      <c r="A11" s="46"/>
      <c r="B11" s="45"/>
      <c r="C11" s="45"/>
      <c r="D11" s="45"/>
      <c r="E11" s="45"/>
    </row>
    <row r="12" spans="1:5" s="44" customFormat="1">
      <c r="A12" s="46"/>
      <c r="B12" s="45"/>
      <c r="C12" s="45"/>
      <c r="D12" s="45"/>
      <c r="E12" s="45"/>
    </row>
    <row r="13" spans="1:5" s="44" customFormat="1">
      <c r="A13" s="46"/>
      <c r="B13" s="45"/>
      <c r="C13" s="45"/>
      <c r="D13" s="45"/>
      <c r="E13" s="45"/>
    </row>
    <row r="14" spans="1:5" s="44" customFormat="1">
      <c r="A14" s="46"/>
      <c r="B14" s="45"/>
      <c r="C14" s="45"/>
      <c r="D14" s="45"/>
      <c r="E14" s="45"/>
    </row>
    <row r="15" spans="1:5" s="44" customFormat="1">
      <c r="A15" s="46"/>
      <c r="B15" s="45"/>
      <c r="C15" s="45"/>
      <c r="D15" s="45"/>
      <c r="E15" s="45"/>
    </row>
    <row r="16" spans="1:5" s="44" customFormat="1">
      <c r="A16" s="46"/>
      <c r="B16" s="45"/>
      <c r="C16" s="45"/>
      <c r="D16" s="45"/>
      <c r="E16" s="45"/>
    </row>
    <row r="17" spans="1:5" s="36" customFormat="1">
      <c r="A17" s="34"/>
      <c r="B17" s="35"/>
      <c r="C17" s="35"/>
      <c r="D17" s="35"/>
      <c r="E17" s="35"/>
    </row>
    <row r="18" spans="1:5" s="36" customFormat="1">
      <c r="A18" s="34"/>
      <c r="B18" s="35"/>
      <c r="C18" s="35"/>
      <c r="D18" s="30"/>
      <c r="E18" s="35"/>
    </row>
    <row r="19" spans="1:5" s="36" customFormat="1">
      <c r="A19" s="34"/>
      <c r="B19" s="35"/>
      <c r="C19" s="35"/>
      <c r="D19" s="35"/>
      <c r="E19" s="35"/>
    </row>
    <row r="20" spans="1:5" s="36" customFormat="1">
      <c r="A20" s="34"/>
      <c r="B20" s="35"/>
      <c r="C20" s="35"/>
      <c r="D20" s="25"/>
      <c r="E20" s="35"/>
    </row>
    <row r="21" spans="1:5" s="36" customFormat="1">
      <c r="A21" s="34"/>
      <c r="B21" s="35"/>
      <c r="C21" s="35"/>
      <c r="D21" s="35"/>
      <c r="E21" s="35"/>
    </row>
    <row r="22" spans="1:5" s="36" customFormat="1">
      <c r="A22" s="34"/>
      <c r="B22" s="35"/>
      <c r="C22" s="35"/>
      <c r="D22" s="35"/>
      <c r="E22" s="35"/>
    </row>
    <row r="23" spans="1:5" s="36" customFormat="1">
      <c r="B23" s="35"/>
      <c r="C23" s="35"/>
      <c r="D23" s="35"/>
      <c r="E23" s="35"/>
    </row>
    <row r="24" spans="1:5" s="36" customFormat="1">
      <c r="A24" s="34"/>
      <c r="B24" s="35"/>
      <c r="C24" s="35"/>
      <c r="D24" s="35"/>
      <c r="E24" s="35"/>
    </row>
    <row r="25" spans="1:5" s="36" customFormat="1">
      <c r="A25" s="34"/>
      <c r="B25" s="35"/>
      <c r="C25" s="35"/>
      <c r="D25" s="35"/>
      <c r="E25" s="35"/>
    </row>
    <row r="26" spans="1:5" s="36" customFormat="1">
      <c r="A26" s="34"/>
      <c r="B26" s="35"/>
      <c r="C26" s="35"/>
      <c r="D26" s="35"/>
      <c r="E26" s="35"/>
    </row>
    <row r="27" spans="1:5" s="36" customFormat="1">
      <c r="A27" s="34"/>
      <c r="B27" s="35"/>
      <c r="C27" s="35"/>
      <c r="D27" s="35"/>
      <c r="E27" s="35"/>
    </row>
    <row r="28" spans="1:5" s="36" customFormat="1">
      <c r="A28" s="34"/>
      <c r="B28" s="35"/>
      <c r="C28" s="35"/>
      <c r="D28" s="35"/>
      <c r="E28" s="35"/>
    </row>
    <row r="29" spans="1:5" s="36" customFormat="1">
      <c r="A29" s="34"/>
      <c r="B29" s="35"/>
      <c r="C29" s="35"/>
      <c r="D29" s="35"/>
      <c r="E29" s="35"/>
    </row>
    <row r="30" spans="1:5">
      <c r="A30" s="34"/>
      <c r="B30" s="38"/>
      <c r="C30" s="38"/>
      <c r="D30" s="39"/>
      <c r="E30" s="38"/>
    </row>
    <row r="31" spans="1:5">
      <c r="A31" s="37"/>
      <c r="B31" s="38"/>
      <c r="C31" s="38"/>
      <c r="D31" s="40"/>
      <c r="E31" s="40"/>
    </row>
    <row r="32" spans="1:5">
      <c r="A32" s="37"/>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A210"/>
  <sheetViews>
    <sheetView topLeftCell="H13" zoomScale="70" zoomScaleNormal="70" workbookViewId="0">
      <selection activeCell="N34" sqref="N34"/>
    </sheetView>
  </sheetViews>
  <sheetFormatPr defaultRowHeight="13.2"/>
  <cols>
    <col min="1" max="1" width="1.88671875" style="3" customWidth="1"/>
    <col min="2" max="2" width="12.6640625" bestFit="1" customWidth="1"/>
    <col min="3" max="3" width="12.88671875" bestFit="1" customWidth="1"/>
    <col min="4" max="4" width="73" bestFit="1" customWidth="1"/>
    <col min="5" max="5" width="16.88671875" bestFit="1" customWidth="1"/>
    <col min="6" max="6" width="9.6640625" bestFit="1" customWidth="1"/>
    <col min="7" max="7" width="12.5546875" customWidth="1"/>
    <col min="8" max="8" width="14.44140625" bestFit="1" customWidth="1"/>
    <col min="9" max="9" width="12" bestFit="1" customWidth="1"/>
    <col min="10" max="10" width="13.88671875" bestFit="1" customWidth="1"/>
    <col min="11" max="11" width="11.5546875" style="486" bestFit="1" customWidth="1"/>
    <col min="12" max="12" width="10" customWidth="1"/>
    <col min="13" max="13" width="10" style="486" customWidth="1"/>
    <col min="14" max="14" width="13.44140625" bestFit="1" customWidth="1"/>
    <col min="15" max="15" width="12.5546875" bestFit="1" customWidth="1"/>
    <col min="16" max="16" width="9.6640625" customWidth="1"/>
    <col min="17" max="17" width="10.33203125" customWidth="1"/>
    <col min="18" max="18" width="12" bestFit="1" customWidth="1"/>
    <col min="19" max="19" width="12" style="549" customWidth="1"/>
    <col min="20" max="25" width="8.88671875" style="476"/>
    <col min="26" max="28" width="12" style="549" customWidth="1"/>
    <col min="29" max="29" width="12" style="498" customWidth="1"/>
    <col min="30" max="30" width="10.44140625" bestFit="1" customWidth="1"/>
    <col min="31" max="31" width="11.6640625" customWidth="1"/>
    <col min="32" max="32" width="12.88671875" bestFit="1" customWidth="1"/>
    <col min="33" max="33" width="14.44140625" bestFit="1" customWidth="1"/>
    <col min="34" max="34" width="13" bestFit="1" customWidth="1"/>
    <col min="35" max="35" width="17.109375" bestFit="1" customWidth="1"/>
    <col min="36" max="36" width="9.5546875" bestFit="1" customWidth="1"/>
    <col min="37" max="37" width="16" bestFit="1" customWidth="1"/>
    <col min="38" max="38" width="10.109375" bestFit="1" customWidth="1"/>
    <col min="41" max="41" width="10.33203125" bestFit="1" customWidth="1"/>
    <col min="48" max="48" width="15.6640625" bestFit="1" customWidth="1"/>
    <col min="49" max="49" width="17.109375" bestFit="1" customWidth="1"/>
    <col min="50" max="50" width="19.44140625" bestFit="1" customWidth="1"/>
    <col min="51" max="51" width="16.5546875" bestFit="1" customWidth="1"/>
  </cols>
  <sheetData>
    <row r="1" spans="1:53">
      <c r="I1" t="s">
        <v>88</v>
      </c>
    </row>
    <row r="2" spans="1:53">
      <c r="E2" s="1"/>
      <c r="H2" s="2" t="s">
        <v>0</v>
      </c>
      <c r="K2" s="3"/>
      <c r="L2" s="3"/>
      <c r="M2" s="3"/>
      <c r="P2" s="5"/>
      <c r="AC2"/>
    </row>
    <row r="3" spans="1:53" ht="41.4">
      <c r="C3" s="6" t="s">
        <v>1</v>
      </c>
      <c r="D3" s="6" t="s">
        <v>8</v>
      </c>
      <c r="E3" s="6" t="s">
        <v>2</v>
      </c>
      <c r="F3" s="6" t="s">
        <v>3</v>
      </c>
      <c r="G3" s="6" t="s">
        <v>28</v>
      </c>
      <c r="H3" s="6" t="s">
        <v>219</v>
      </c>
      <c r="I3" s="6" t="s">
        <v>5</v>
      </c>
      <c r="J3" s="6" t="s">
        <v>222</v>
      </c>
      <c r="K3" s="483" t="s">
        <v>508</v>
      </c>
      <c r="L3" s="6" t="s">
        <v>9</v>
      </c>
      <c r="M3" s="483" t="s">
        <v>504</v>
      </c>
      <c r="N3" s="6" t="s">
        <v>10</v>
      </c>
      <c r="O3" s="8" t="s">
        <v>6</v>
      </c>
      <c r="P3" s="7" t="s">
        <v>7</v>
      </c>
      <c r="Q3" s="56" t="s">
        <v>617</v>
      </c>
      <c r="R3" s="56" t="s">
        <v>509</v>
      </c>
      <c r="S3" s="56" t="s">
        <v>634</v>
      </c>
      <c r="T3" s="43" t="s">
        <v>1497</v>
      </c>
      <c r="U3" s="43" t="s">
        <v>1498</v>
      </c>
      <c r="V3" s="43" t="s">
        <v>1499</v>
      </c>
      <c r="W3" s="43" t="s">
        <v>1500</v>
      </c>
      <c r="X3" s="549"/>
      <c r="Y3" s="43" t="s">
        <v>1461</v>
      </c>
      <c r="Z3" s="43"/>
      <c r="AA3" s="950" t="s">
        <v>772</v>
      </c>
      <c r="AB3" s="950" t="s">
        <v>773</v>
      </c>
      <c r="AC3"/>
      <c r="AJ3" s="9"/>
      <c r="AU3" s="526" t="s">
        <v>689</v>
      </c>
    </row>
    <row r="4" spans="1:53" ht="26.25" customHeight="1" thickBot="1">
      <c r="C4" s="4" t="s">
        <v>11</v>
      </c>
      <c r="D4" s="4"/>
      <c r="E4" s="4"/>
      <c r="F4" s="4"/>
      <c r="G4" s="4"/>
      <c r="H4" s="4" t="s">
        <v>218</v>
      </c>
      <c r="I4" s="4" t="s">
        <v>13</v>
      </c>
      <c r="J4" s="4" t="s">
        <v>223</v>
      </c>
      <c r="K4" s="482" t="s">
        <v>507</v>
      </c>
      <c r="L4" s="4" t="s">
        <v>220</v>
      </c>
      <c r="M4" s="482"/>
      <c r="N4" s="4" t="s">
        <v>14</v>
      </c>
      <c r="O4" s="4" t="s">
        <v>83</v>
      </c>
      <c r="P4" s="4" t="s">
        <v>12</v>
      </c>
      <c r="Q4" s="4" t="s">
        <v>91</v>
      </c>
      <c r="R4" s="482" t="s">
        <v>91</v>
      </c>
      <c r="S4" s="551" t="s">
        <v>635</v>
      </c>
      <c r="T4" s="949" t="s">
        <v>1460</v>
      </c>
      <c r="U4" s="949" t="s">
        <v>1460</v>
      </c>
      <c r="V4" s="949" t="s">
        <v>1460</v>
      </c>
      <c r="W4" s="949" t="s">
        <v>1460</v>
      </c>
      <c r="X4" s="549"/>
      <c r="Y4" s="549"/>
      <c r="Z4" s="949"/>
      <c r="AA4" s="951" t="s">
        <v>507</v>
      </c>
      <c r="AB4" s="951" t="s">
        <v>507</v>
      </c>
      <c r="AC4"/>
      <c r="AD4" s="26"/>
      <c r="AU4" s="526" t="s">
        <v>690</v>
      </c>
      <c r="AV4" s="526" t="s">
        <v>691</v>
      </c>
      <c r="AW4" t="s">
        <v>699</v>
      </c>
      <c r="AX4" t="s">
        <v>760</v>
      </c>
      <c r="AY4" t="s">
        <v>759</v>
      </c>
    </row>
    <row r="5" spans="1:53" s="549" customFormat="1" ht="26.25" customHeight="1">
      <c r="A5" s="550"/>
      <c r="C5" s="549" t="s">
        <v>818</v>
      </c>
      <c r="D5" s="510" t="s">
        <v>568</v>
      </c>
      <c r="E5" s="511" t="s">
        <v>898</v>
      </c>
      <c r="F5" s="526" t="s">
        <v>833</v>
      </c>
      <c r="G5" s="508">
        <v>2012</v>
      </c>
      <c r="H5" s="508" t="s">
        <v>700</v>
      </c>
      <c r="I5" s="508">
        <v>2012</v>
      </c>
      <c r="J5" s="508">
        <v>2019</v>
      </c>
      <c r="L5" s="519">
        <f>AA5/AB5</f>
        <v>0.95768208676482292</v>
      </c>
      <c r="N5" s="549">
        <v>16</v>
      </c>
      <c r="O5" s="513">
        <f>('O&amp;M'!$I$45+'O&amp;M'!$I$46)*$AE$7</f>
        <v>1.1315946081000886E-3</v>
      </c>
      <c r="P5" s="535" cm="1">
        <f t="array" ref="P5">INDEX('Cars INVCOST'!$D$24:$Q$89,MATCH(TRA_Cars!$AW$5&amp;TRA_Cars!$AX$5,'Cars INVCOST'!$C$24:$C$89&amp;'Cars INVCOST'!$A$24:$A$89,0),MATCH(TRA_Cars!AC5&amp;$AY$5,'Cars INVCOST'!$D$22:$Q$22&amp;'Cars INVCOST'!$D$23:$Q$23,0))*$AG$7/1000</f>
        <v>124.99442419459427</v>
      </c>
      <c r="Q5" s="549">
        <v>5</v>
      </c>
      <c r="S5" s="549">
        <v>15757.590543070028</v>
      </c>
      <c r="T5" s="1530">
        <f t="array" ref="T5">INDEX(EMIS_factors!$G$6:$O$152,MATCH($G5&amp;$Y5,EMIS_factors!$E$6:$E$152&amp;EMIS_factors!$D$6:$D$152,0),MATCH(RIGHT(T$3,6),EMIS_factors!$G$4:$O$4,0))</f>
        <v>1.0368562692547556E-4</v>
      </c>
      <c r="U5" s="1530">
        <f t="array" ref="U5">INDEX(EMIS_factors!$G$6:$O$152,MATCH($G5&amp;$Y5,EMIS_factors!$E$6:$E$152&amp;EMIS_factors!$D$6:$D$152,0),MATCH(RIGHT(U$3,6),EMIS_factors!$G$4:$O$4,0))</f>
        <v>0.54620529014776709</v>
      </c>
      <c r="V5" s="1530">
        <f t="array" ref="V5">INDEX(EMIS_factors!$G$6:$O$152,MATCH($G5&amp;$Y5,EMIS_factors!$E$6:$E$152&amp;EMIS_factors!$D$6:$D$152,0),MATCH(RIGHT(V$3,6),EMIS_factors!$G$4:$O$4,0))</f>
        <v>8.1519665757747448E-4</v>
      </c>
      <c r="W5" s="1530">
        <f t="array" ref="W5">INDEX(EMIS_factors!$G$6:$O$152,MATCH($G5&amp;$Y5,EMIS_factors!$E$6:$E$152&amp;EMIS_factors!$D$6:$D$152,0),MATCH(RIGHT(W$3,6),EMIS_factors!$G$4:$O$4,0))</f>
        <v>63.580702832269978</v>
      </c>
      <c r="X5" s="1295"/>
      <c r="Y5" s="526" t="s">
        <v>1463</v>
      </c>
      <c r="AA5" s="952">
        <f t="array" ref="AA5">INDEX('Eff SF'!$D$11:$Q$28,MATCH(TRA_Cars!$AX$5&amp;TRA_Cars!$BA$5,'Eff SF'!$A$11:$A$28&amp;'Eff SF'!$C$11:$C$28,0),MATCH(TRA_Cars!AC5&amp;TRA_Cars!$AY$5,'Eff SF'!$D$9:$Q$9&amp;'Eff SF'!$D$10:$Q$10,0))*$AH$13</f>
        <v>346.42993279458477</v>
      </c>
      <c r="AB5" s="952">
        <v>361.73792700338691</v>
      </c>
      <c r="AC5" s="549">
        <v>2015</v>
      </c>
      <c r="AD5" s="507"/>
      <c r="AJ5" s="499" t="s">
        <v>704</v>
      </c>
      <c r="AT5" s="526"/>
      <c r="AV5" s="526" t="s">
        <v>29</v>
      </c>
      <c r="AW5" s="526" t="str">
        <f>'Cars INVCOST'!$C$25</f>
        <v>Vehicle Cost AVG</v>
      </c>
      <c r="AX5" s="549" t="str">
        <f>'Cars INVCOST'!A28</f>
        <v>CI Conv</v>
      </c>
      <c r="AY5" s="549" t="str">
        <f>'Cars INVCOST'!$E$23</f>
        <v>avg tech</v>
      </c>
      <c r="AZ5" t="s">
        <v>724</v>
      </c>
      <c r="BA5" s="549" t="s">
        <v>713</v>
      </c>
    </row>
    <row r="6" spans="1:53" s="499" customFormat="1" ht="17.399999999999999" customHeight="1">
      <c r="A6" s="500"/>
      <c r="F6" s="526" t="s">
        <v>834</v>
      </c>
      <c r="G6" s="549"/>
      <c r="L6" s="519">
        <f>AA5/AB5</f>
        <v>0.95768208676482292</v>
      </c>
      <c r="O6" s="513"/>
      <c r="P6" s="535"/>
      <c r="Q6" s="499">
        <v>5</v>
      </c>
      <c r="S6" s="549"/>
      <c r="T6" s="1530"/>
      <c r="U6" s="1530"/>
      <c r="V6" s="1530"/>
      <c r="W6" s="1530"/>
      <c r="X6" s="1295"/>
      <c r="Y6" s="526" t="s">
        <v>1463</v>
      </c>
      <c r="Z6" s="549"/>
      <c r="AA6" s="952"/>
      <c r="AB6" s="952"/>
      <c r="AD6" s="1662" t="s">
        <v>84</v>
      </c>
      <c r="AE6" s="1663"/>
      <c r="AF6" s="1664"/>
      <c r="AG6" s="1665" t="s">
        <v>1501</v>
      </c>
      <c r="AH6" s="1666"/>
      <c r="AJ6" s="499" t="s">
        <v>703</v>
      </c>
      <c r="AT6" s="526"/>
      <c r="AV6" s="526" t="s">
        <v>679</v>
      </c>
      <c r="AW6" s="526" t="str">
        <f>'Cars INVCOST'!$C$25</f>
        <v>Vehicle Cost AVG</v>
      </c>
      <c r="AX6" s="549" t="str">
        <f>'Cars INVCOST'!$A$24</f>
        <v>SI Conv</v>
      </c>
      <c r="AY6" s="549" t="str">
        <f>'Cars INVCOST'!$E$23</f>
        <v>avg tech</v>
      </c>
      <c r="AZ6" s="549" t="s">
        <v>724</v>
      </c>
      <c r="BA6" s="549" t="s">
        <v>713</v>
      </c>
    </row>
    <row r="7" spans="1:53" s="499" customFormat="1" ht="17.399999999999999" customHeight="1">
      <c r="A7" s="500"/>
      <c r="C7" s="508"/>
      <c r="D7" s="508"/>
      <c r="E7" s="508"/>
      <c r="F7" s="552" t="s">
        <v>835</v>
      </c>
      <c r="G7" s="549"/>
      <c r="H7" s="508"/>
      <c r="I7" s="508"/>
      <c r="J7" s="508"/>
      <c r="L7" s="519">
        <f>AA5/AB5</f>
        <v>0.95768208676482292</v>
      </c>
      <c r="N7" s="512"/>
      <c r="O7" s="512"/>
      <c r="P7" s="539"/>
      <c r="Q7" s="549">
        <v>5</v>
      </c>
      <c r="S7" s="549"/>
      <c r="T7" s="1530"/>
      <c r="U7" s="1530"/>
      <c r="V7" s="1530"/>
      <c r="W7" s="1530"/>
      <c r="X7" s="1295"/>
      <c r="Y7" s="526" t="s">
        <v>1463</v>
      </c>
      <c r="Z7" s="549"/>
      <c r="AA7" s="952"/>
      <c r="AB7" s="952"/>
      <c r="AD7" s="49" t="s">
        <v>85</v>
      </c>
      <c r="AE7" s="50">
        <f>10^-3</f>
        <v>1E-3</v>
      </c>
      <c r="AF7" s="51" t="s">
        <v>12</v>
      </c>
      <c r="AG7" s="707">
        <f>6.5*1.1</f>
        <v>7.15</v>
      </c>
      <c r="AH7" s="1544" t="s">
        <v>701</v>
      </c>
      <c r="AJ7" s="526" t="s">
        <v>702</v>
      </c>
      <c r="AT7" s="526"/>
      <c r="AV7" s="499" t="s">
        <v>158</v>
      </c>
      <c r="AW7" s="526" t="str">
        <f>'Cars INVCOST'!$C$25</f>
        <v>Vehicle Cost AVG</v>
      </c>
      <c r="AX7" s="549" t="str">
        <f>'Cars INVCOST'!A37</f>
        <v>CNG Conv</v>
      </c>
      <c r="AY7" s="549" t="str">
        <f>'Cars INVCOST'!$E$23</f>
        <v>avg tech</v>
      </c>
      <c r="AZ7" s="549" t="s">
        <v>724</v>
      </c>
      <c r="BA7" s="549" t="s">
        <v>713</v>
      </c>
    </row>
    <row r="8" spans="1:53" s="499" customFormat="1" ht="17.399999999999999" customHeight="1">
      <c r="A8" s="500"/>
      <c r="C8" s="509"/>
      <c r="D8" s="509"/>
      <c r="E8" s="509"/>
      <c r="F8" s="533" t="s">
        <v>836</v>
      </c>
      <c r="G8" s="549"/>
      <c r="H8" s="509"/>
      <c r="I8" s="509"/>
      <c r="J8" s="509"/>
      <c r="L8" s="519">
        <f>AA5/AB5</f>
        <v>0.95768208676482292</v>
      </c>
      <c r="N8" s="509"/>
      <c r="O8" s="512"/>
      <c r="P8" s="539"/>
      <c r="Q8" s="549">
        <v>5</v>
      </c>
      <c r="S8" s="549"/>
      <c r="T8" s="1530"/>
      <c r="U8" s="1530"/>
      <c r="V8" s="1530"/>
      <c r="W8" s="1530"/>
      <c r="X8" s="1295"/>
      <c r="Y8" s="526" t="s">
        <v>1463</v>
      </c>
      <c r="Z8" s="549"/>
      <c r="AA8" s="952"/>
      <c r="AB8" s="952"/>
      <c r="AD8" s="26"/>
      <c r="AG8" s="549"/>
      <c r="AI8" s="549"/>
      <c r="AJ8" s="549"/>
      <c r="AT8" s="526"/>
      <c r="AV8" s="499" t="s">
        <v>510</v>
      </c>
      <c r="AW8" s="526" t="str">
        <f>'Cars INVCOST'!$C$25</f>
        <v>Vehicle Cost AVG</v>
      </c>
      <c r="AX8" s="549" t="s">
        <v>675</v>
      </c>
      <c r="AY8" s="549" t="str">
        <f>'Cars INVCOST'!$E$23</f>
        <v>avg tech</v>
      </c>
      <c r="AZ8" s="549" t="s">
        <v>724</v>
      </c>
      <c r="BA8" s="549" t="s">
        <v>713</v>
      </c>
    </row>
    <row r="9" spans="1:53" s="549" customFormat="1" ht="17.399999999999999" customHeight="1">
      <c r="A9" s="550"/>
      <c r="C9" s="549" t="s">
        <v>819</v>
      </c>
      <c r="D9" s="510" t="s">
        <v>569</v>
      </c>
      <c r="E9" s="509" t="s">
        <v>899</v>
      </c>
      <c r="F9" s="526" t="s">
        <v>833</v>
      </c>
      <c r="G9" s="509">
        <v>2020</v>
      </c>
      <c r="H9" s="509" t="s">
        <v>700</v>
      </c>
      <c r="I9" s="509">
        <v>2020</v>
      </c>
      <c r="J9" s="509">
        <f>G13-1</f>
        <v>2029</v>
      </c>
      <c r="L9" s="519">
        <f>AA9/AB9</f>
        <v>1.1361832333376001</v>
      </c>
      <c r="N9" s="509">
        <v>16</v>
      </c>
      <c r="O9" s="513">
        <f>('O&amp;M'!$I$45+'O&amp;M'!$I$46)*$AE$7</f>
        <v>1.1315946081000886E-3</v>
      </c>
      <c r="P9" s="535">
        <f t="array" ref="P9">INDEX('Cars INVCOST'!$D$24:$Q$89,MATCH(TRA_Cars!$AW$5&amp;TRA_Cars!$AX$5,'Cars INVCOST'!$C$24:$C$89&amp;'Cars INVCOST'!$A$24:$A$89,0),MATCH(TRA_Cars!G9&amp;$AY$5,'Cars INVCOST'!$D$22:$Q$22&amp;'Cars INVCOST'!$D$23:$Q$23,0))*$AG$7/1000</f>
        <v>129.14676046133772</v>
      </c>
      <c r="Q9" s="549">
        <v>5</v>
      </c>
      <c r="S9" s="549">
        <v>15757.590543070028</v>
      </c>
      <c r="T9" s="1530">
        <f t="array" ref="T9">INDEX(EMIS_factors!$G$6:$O$152,MATCH($G9&amp;$Y9,EMIS_factors!$E$6:$E$152&amp;EMIS_factors!$D$6:$D$152,0),MATCH(RIGHT(T$3,6),EMIS_factors!$G$4:$O$4,0))</f>
        <v>1.0128608105279752E-4</v>
      </c>
      <c r="U9" s="1530">
        <f t="array" ref="U9">INDEX(EMIS_factors!$G$6:$O$152,MATCH($G9&amp;$Y9,EMIS_factors!$E$6:$E$152&amp;EMIS_factors!$D$6:$D$152,0),MATCH(RIGHT(U$3,6),EMIS_factors!$G$4:$O$4,0))</f>
        <v>0.29016638312317133</v>
      </c>
      <c r="V9" s="1530">
        <f t="array" ref="V9">INDEX(EMIS_factors!$G$6:$O$152,MATCH($G9&amp;$Y9,EMIS_factors!$E$6:$E$152&amp;EMIS_factors!$D$6:$D$152,0),MATCH(RIGHT(V$3,6),EMIS_factors!$G$4:$O$4,0))</f>
        <v>6.3710441214636913E-5</v>
      </c>
      <c r="W9" s="1530">
        <f t="array" ref="W9">INDEX(EMIS_factors!$G$6:$O$152,MATCH($G9&amp;$Y9,EMIS_factors!$E$6:$E$152&amp;EMIS_factors!$D$6:$D$152,0),MATCH(RIGHT(W$3,6),EMIS_factors!$G$4:$O$4,0))</f>
        <v>42.220198702199262</v>
      </c>
      <c r="X9" s="1295"/>
      <c r="Y9" s="526" t="s">
        <v>1463</v>
      </c>
      <c r="AA9" s="952">
        <f t="array" ref="AA9">INDEX('Eff SF'!$D$11:$Q$28,MATCH(TRA_Cars!$AX$5&amp;TRA_Cars!$BA$5,'Eff SF'!$A$11:$A$28&amp;'Eff SF'!$C$11:$C$28,0),MATCH(TRA_Cars!G9&amp;TRA_Cars!$AY$5,'Eff SF'!$D$9:$Q$9&amp;'Eff SF'!$D$10:$Q$10,0))*$AH$13</f>
        <v>411.00056752354891</v>
      </c>
      <c r="AB9" s="952">
        <v>361.73792700338691</v>
      </c>
      <c r="AD9" s="507"/>
      <c r="AV9" s="549" t="s">
        <v>488</v>
      </c>
      <c r="AW9" s="526" t="str">
        <f>'Cars INVCOST'!$C$25</f>
        <v>Vehicle Cost AVG</v>
      </c>
      <c r="AX9" s="699" t="s">
        <v>660</v>
      </c>
      <c r="AY9" s="549" t="str">
        <f>'Cars INVCOST'!$E$23</f>
        <v>avg tech</v>
      </c>
      <c r="AZ9" s="549" t="s">
        <v>724</v>
      </c>
      <c r="BA9" s="549" t="s">
        <v>713</v>
      </c>
    </row>
    <row r="10" spans="1:53" s="499" customFormat="1" ht="17.399999999999999" customHeight="1">
      <c r="A10" s="500"/>
      <c r="F10" s="526" t="s">
        <v>834</v>
      </c>
      <c r="G10" s="552"/>
      <c r="H10" s="509"/>
      <c r="I10" s="509"/>
      <c r="J10" s="509"/>
      <c r="L10" s="519">
        <f>AA9/AB9</f>
        <v>1.1361832333376001</v>
      </c>
      <c r="O10" s="513"/>
      <c r="P10" s="535"/>
      <c r="Q10" s="549">
        <v>5</v>
      </c>
      <c r="S10" s="549"/>
      <c r="T10" s="1530"/>
      <c r="U10" s="1530"/>
      <c r="V10" s="1530"/>
      <c r="W10" s="1530"/>
      <c r="X10" s="1295"/>
      <c r="Y10" s="526" t="s">
        <v>1463</v>
      </c>
      <c r="Z10" s="549"/>
      <c r="AA10" s="952"/>
      <c r="AB10" s="952"/>
      <c r="AD10" s="26"/>
      <c r="AV10" s="549" t="s">
        <v>692</v>
      </c>
      <c r="AW10" s="526" t="str">
        <f>'Cars INVCOST'!$C$25</f>
        <v>Vehicle Cost AVG</v>
      </c>
      <c r="AX10" s="549" t="str">
        <f>'Cars INVCOST'!A67</f>
        <v>FC HEV</v>
      </c>
      <c r="AY10" s="549" t="str">
        <f>'Cars INVCOST'!$E$23</f>
        <v>avg tech</v>
      </c>
      <c r="AZ10" s="549" t="s">
        <v>724</v>
      </c>
      <c r="BA10" s="549" t="s">
        <v>713</v>
      </c>
    </row>
    <row r="11" spans="1:53" s="499" customFormat="1" ht="17.399999999999999" customHeight="1">
      <c r="A11" s="500"/>
      <c r="C11" s="509"/>
      <c r="D11" s="509"/>
      <c r="E11" s="509"/>
      <c r="F11" s="552" t="s">
        <v>835</v>
      </c>
      <c r="G11" s="552"/>
      <c r="H11" s="509"/>
      <c r="I11" s="509"/>
      <c r="J11" s="509"/>
      <c r="L11" s="519">
        <f>AA9/AB9</f>
        <v>1.1361832333376001</v>
      </c>
      <c r="N11" s="512"/>
      <c r="O11" s="512"/>
      <c r="P11" s="539"/>
      <c r="Q11" s="549">
        <v>5</v>
      </c>
      <c r="S11" s="549"/>
      <c r="T11" s="1530"/>
      <c r="U11" s="1530"/>
      <c r="V11" s="1530"/>
      <c r="W11" s="1530"/>
      <c r="X11" s="1295"/>
      <c r="Y11" s="526" t="s">
        <v>1463</v>
      </c>
      <c r="Z11" s="549"/>
      <c r="AA11" s="952"/>
      <c r="AB11" s="952"/>
      <c r="AD11" s="1667" t="s">
        <v>761</v>
      </c>
      <c r="AE11" s="1668"/>
      <c r="AF11" s="1668"/>
      <c r="AG11" s="1668"/>
      <c r="AH11" s="1668"/>
      <c r="AV11" s="499" t="s">
        <v>681</v>
      </c>
      <c r="AW11" s="526" t="str">
        <f>'Cars INVCOST'!$C$25</f>
        <v>Vehicle Cost AVG</v>
      </c>
      <c r="AX11" s="549" t="str">
        <f>'Cars INVCOST'!A34</f>
        <v>E85 Conv</v>
      </c>
      <c r="AY11" s="549" t="str">
        <f>'Cars INVCOST'!$E$23</f>
        <v>avg tech</v>
      </c>
      <c r="AZ11" s="549" t="s">
        <v>724</v>
      </c>
      <c r="BA11" s="549" t="s">
        <v>713</v>
      </c>
    </row>
    <row r="12" spans="1:53" s="499" customFormat="1" ht="17.399999999999999" customHeight="1">
      <c r="A12" s="500"/>
      <c r="C12" s="509"/>
      <c r="D12" s="509"/>
      <c r="E12" s="509"/>
      <c r="F12" s="533" t="s">
        <v>836</v>
      </c>
      <c r="G12" s="552"/>
      <c r="L12" s="519">
        <f>AA9/AB9</f>
        <v>1.1361832333376001</v>
      </c>
      <c r="N12" s="509"/>
      <c r="O12" s="512"/>
      <c r="P12" s="539"/>
      <c r="Q12" s="549">
        <v>5</v>
      </c>
      <c r="S12" s="549"/>
      <c r="T12" s="1530"/>
      <c r="U12" s="1530"/>
      <c r="V12" s="1530"/>
      <c r="W12" s="1530"/>
      <c r="X12" s="1295"/>
      <c r="Y12" s="526" t="s">
        <v>1463</v>
      </c>
      <c r="Z12" s="549"/>
      <c r="AA12" s="952"/>
      <c r="AB12" s="952"/>
      <c r="AD12" s="930" t="s">
        <v>762</v>
      </c>
      <c r="AE12" s="497"/>
      <c r="AF12" s="497" t="s">
        <v>763</v>
      </c>
      <c r="AG12" s="930" t="s">
        <v>770</v>
      </c>
      <c r="AH12" s="946" t="s">
        <v>771</v>
      </c>
      <c r="AV12" s="549"/>
    </row>
    <row r="13" spans="1:53" s="549" customFormat="1" ht="17.399999999999999" customHeight="1">
      <c r="A13" s="550"/>
      <c r="C13" s="549" t="s">
        <v>820</v>
      </c>
      <c r="D13" s="510" t="s">
        <v>570</v>
      </c>
      <c r="E13" s="509" t="s">
        <v>900</v>
      </c>
      <c r="F13" s="526" t="s">
        <v>833</v>
      </c>
      <c r="G13" s="509">
        <v>2030</v>
      </c>
      <c r="H13" s="509" t="s">
        <v>700</v>
      </c>
      <c r="I13" s="509">
        <f>G13</f>
        <v>2030</v>
      </c>
      <c r="J13" s="552"/>
      <c r="L13" s="519">
        <f>AA13/AB13</f>
        <v>1.2567640010072818</v>
      </c>
      <c r="N13" s="509">
        <v>16</v>
      </c>
      <c r="O13" s="513">
        <f>('O&amp;M'!$I$45+'O&amp;M'!$I$46)*$AE$7</f>
        <v>1.1315946081000886E-3</v>
      </c>
      <c r="P13" s="535">
        <f t="array" ref="P13">INDEX('Cars INVCOST'!$D$24:$Q$89,MATCH(TRA_Cars!$AW$5&amp;TRA_Cars!$AX$5,'Cars INVCOST'!$C$24:$C$89&amp;'Cars INVCOST'!$A$24:$A$89,0),MATCH(TRA_Cars!G13&amp;$AY$5,'Cars INVCOST'!$D$22:$Q$22&amp;'Cars INVCOST'!$D$23:$Q$23,0))*$AG$7/1000</f>
        <v>129.78496485703005</v>
      </c>
      <c r="Q13" s="549">
        <v>5</v>
      </c>
      <c r="S13" s="549">
        <v>15757.590543070028</v>
      </c>
      <c r="T13" s="1530">
        <f t="array" ref="T13">INDEX(EMIS_factors!$G$6:$O$152,MATCH($G13&amp;$Y13,EMIS_factors!$E$6:$E$152&amp;EMIS_factors!$D$6:$D$152,0),MATCH(RIGHT(T$3,6),EMIS_factors!$G$4:$O$4,0))</f>
        <v>1.0083670072127105E-4</v>
      </c>
      <c r="U13" s="1530">
        <f t="array" ref="U13">INDEX(EMIS_factors!$G$6:$O$152,MATCH($G13&amp;$Y13,EMIS_factors!$E$6:$E$152&amp;EMIS_factors!$D$6:$D$152,0),MATCH(RIGHT(U$3,6),EMIS_factors!$G$4:$O$4,0))</f>
        <v>0.17738456902533759</v>
      </c>
      <c r="V13" s="1530">
        <f t="array" ref="V13">INDEX(EMIS_factors!$G$6:$O$152,MATCH($G13&amp;$Y13,EMIS_factors!$E$6:$E$152&amp;EMIS_factors!$D$6:$D$152,0),MATCH(RIGHT(V$3,6),EMIS_factors!$G$4:$O$4,0))</f>
        <v>4.4569848580501763E-6</v>
      </c>
      <c r="W13" s="1530">
        <f t="array" ref="W13">INDEX(EMIS_factors!$G$6:$O$152,MATCH($G13&amp;$Y13,EMIS_factors!$E$6:$E$152&amp;EMIS_factors!$D$6:$D$152,0),MATCH(RIGHT(W$3,6),EMIS_factors!$G$4:$O$4,0))</f>
        <v>38.279796928215767</v>
      </c>
      <c r="X13" s="1295"/>
      <c r="Y13" s="526" t="s">
        <v>1463</v>
      </c>
      <c r="AA13" s="952">
        <f t="array" ref="AA13">INDEX('Eff SF'!$D$11:$Q$28,MATCH(TRA_Cars!$AX$5&amp;TRA_Cars!$BA$5,'Eff SF'!$A$11:$A$28&amp;'Eff SF'!$C$11:$C$28,0),MATCH(TRA_Cars!G13&amp;TRA_Cars!$AY$5,'Eff SF'!$D$9:$Q$9&amp;'Eff SF'!$D$10:$Q$10,0))*$AH$13</f>
        <v>454.61920445685655</v>
      </c>
      <c r="AB13" s="952">
        <v>361.73792700338691</v>
      </c>
      <c r="AD13" s="526" t="s">
        <v>679</v>
      </c>
      <c r="AE13" s="499">
        <v>32.85</v>
      </c>
      <c r="AF13" s="526" t="s">
        <v>735</v>
      </c>
      <c r="AG13" s="931">
        <v>0.42514370699999998</v>
      </c>
      <c r="AH13" s="899">
        <f>(AG13/AE13)*1000</f>
        <v>12.941969771689497</v>
      </c>
    </row>
    <row r="14" spans="1:53" s="499" customFormat="1" ht="17.399999999999999" customHeight="1">
      <c r="A14" s="500"/>
      <c r="F14" s="526" t="s">
        <v>834</v>
      </c>
      <c r="J14" s="509"/>
      <c r="L14" s="519">
        <f>AA13/AB13</f>
        <v>1.2567640010072818</v>
      </c>
      <c r="O14" s="513"/>
      <c r="P14" s="535"/>
      <c r="Q14" s="549">
        <v>5</v>
      </c>
      <c r="S14" s="549"/>
      <c r="T14" s="1530"/>
      <c r="U14" s="1530"/>
      <c r="V14" s="1530"/>
      <c r="W14" s="1530"/>
      <c r="X14" s="1295"/>
      <c r="Y14" s="526" t="s">
        <v>1463</v>
      </c>
      <c r="Z14" s="549"/>
      <c r="AA14" s="952"/>
      <c r="AB14" s="952"/>
      <c r="AD14" s="526" t="s">
        <v>684</v>
      </c>
      <c r="AE14" s="499">
        <v>3.6</v>
      </c>
      <c r="AF14" s="526" t="s">
        <v>764</v>
      </c>
      <c r="AG14" s="499">
        <f>1.609344</f>
        <v>1.6093440000000001</v>
      </c>
      <c r="AH14" s="549">
        <f>1/(AE14/AG14/1000000)</f>
        <v>447040.00000000006</v>
      </c>
      <c r="AV14" s="499" t="s">
        <v>698</v>
      </c>
    </row>
    <row r="15" spans="1:53" s="499" customFormat="1" ht="17.399999999999999" customHeight="1">
      <c r="A15" s="500"/>
      <c r="C15" s="508"/>
      <c r="D15" s="508"/>
      <c r="E15" s="508"/>
      <c r="F15" s="552" t="s">
        <v>835</v>
      </c>
      <c r="G15" s="508"/>
      <c r="H15" s="508"/>
      <c r="I15" s="508"/>
      <c r="J15" s="508"/>
      <c r="L15" s="519">
        <f>AA13/AB13</f>
        <v>1.2567640010072818</v>
      </c>
      <c r="N15" s="508"/>
      <c r="O15" s="513"/>
      <c r="P15" s="535"/>
      <c r="Q15" s="549">
        <v>5</v>
      </c>
      <c r="S15" s="549"/>
      <c r="T15" s="1530"/>
      <c r="U15" s="1530"/>
      <c r="V15" s="1530"/>
      <c r="W15" s="1530"/>
      <c r="X15" s="1295"/>
      <c r="Y15" s="526" t="s">
        <v>1463</v>
      </c>
      <c r="Z15" s="549"/>
      <c r="AA15" s="952"/>
      <c r="AB15" s="952"/>
      <c r="AV15" s="549" t="s">
        <v>697</v>
      </c>
      <c r="AW15" s="526" t="str">
        <f>'Cars INVCOST'!$C$25</f>
        <v>Vehicle Cost AVG</v>
      </c>
      <c r="AX15" s="549" t="e">
        <f>'Cars INVCOST'!#REF!</f>
        <v>#REF!</v>
      </c>
    </row>
    <row r="16" spans="1:53" s="499" customFormat="1" ht="17.399999999999999" customHeight="1" thickBot="1">
      <c r="A16" s="500"/>
      <c r="C16" s="514"/>
      <c r="D16" s="514"/>
      <c r="E16" s="514"/>
      <c r="F16" s="514" t="s">
        <v>836</v>
      </c>
      <c r="G16" s="514"/>
      <c r="H16" s="514"/>
      <c r="I16" s="514"/>
      <c r="J16" s="514"/>
      <c r="K16" s="514"/>
      <c r="L16" s="901">
        <f>AA13/AB13</f>
        <v>1.2567640010072818</v>
      </c>
      <c r="M16" s="514"/>
      <c r="N16" s="514"/>
      <c r="O16" s="515"/>
      <c r="P16" s="554"/>
      <c r="Q16" s="514">
        <v>5</v>
      </c>
      <c r="R16" s="515"/>
      <c r="S16" s="514"/>
      <c r="T16" s="1530"/>
      <c r="U16" s="1530"/>
      <c r="V16" s="1530"/>
      <c r="W16" s="1530"/>
      <c r="X16" s="1295"/>
      <c r="Y16" s="526" t="s">
        <v>1463</v>
      </c>
      <c r="Z16" s="552"/>
      <c r="AA16" s="953"/>
      <c r="AB16" s="953"/>
      <c r="AD16" s="549"/>
      <c r="AE16" s="549"/>
      <c r="AG16" s="549"/>
      <c r="AH16" s="549"/>
      <c r="AV16" s="549" t="s">
        <v>693</v>
      </c>
      <c r="AW16" s="526" t="str">
        <f>'Cars INVCOST'!$C$25</f>
        <v>Vehicle Cost AVG</v>
      </c>
      <c r="AX16" s="549" t="e">
        <f>'Cars INVCOST'!#REF!</f>
        <v>#REF!</v>
      </c>
    </row>
    <row r="17" spans="1:51" s="549" customFormat="1" ht="17.399999999999999" customHeight="1">
      <c r="A17" s="550"/>
      <c r="C17" s="549" t="s">
        <v>821</v>
      </c>
      <c r="D17" s="510" t="s">
        <v>571</v>
      </c>
      <c r="E17" s="511" t="s">
        <v>901</v>
      </c>
      <c r="F17" s="526" t="s">
        <v>833</v>
      </c>
      <c r="G17" s="549">
        <v>2012</v>
      </c>
      <c r="H17" s="549" t="s">
        <v>700</v>
      </c>
      <c r="I17" s="508">
        <v>2012</v>
      </c>
      <c r="J17" s="508">
        <v>2019</v>
      </c>
      <c r="L17" s="519">
        <f>AA17/AB17</f>
        <v>0.85910551056181006</v>
      </c>
      <c r="M17" s="552"/>
      <c r="N17" s="509">
        <v>16</v>
      </c>
      <c r="O17" s="513">
        <f>('O&amp;M'!$I$23+'O&amp;M'!$I$22)*TRA_Cars!$AE$7</f>
        <v>7.5508398661474794E-4</v>
      </c>
      <c r="P17" s="535">
        <f t="array" ref="P17">INDEX('Cars INVCOST'!$D$24:$Q$89,MATCH(TRA_Cars!$AW$6&amp;TRA_Cars!$AX$6,'Cars INVCOST'!$C$24:$C$89&amp;'Cars INVCOST'!$A$24:$A$89,0),MATCH(TRA_Cars!AC17&amp;$AY$6,'Cars INVCOST'!$D$22:$Q$22&amp;'Cars INVCOST'!$D$23:$Q$23,0))*$AG$7/1000</f>
        <v>108.82023677819853</v>
      </c>
      <c r="Q17" s="549">
        <v>5</v>
      </c>
      <c r="S17" s="549">
        <v>15757.590543070028</v>
      </c>
      <c r="T17" s="1530">
        <f t="array" ref="T17">INDEX(EMIS_factors!$G$6:$O$152,MATCH($G17&amp;$Y17,EMIS_factors!$E$6:$E$152&amp;EMIS_factors!$D$6:$D$152,0),MATCH(RIGHT(T$3,6),EMIS_factors!$G$4:$O$4,0))</f>
        <v>1.1378576302487069E-4</v>
      </c>
      <c r="U17" s="1530">
        <f t="array" ref="U17">INDEX(EMIS_factors!$G$6:$O$152,MATCH($G17&amp;$Y17,EMIS_factors!$E$6:$E$152&amp;EMIS_factors!$D$6:$D$152,0),MATCH(RIGHT(U$3,6),EMIS_factors!$G$4:$O$4,0))</f>
        <v>0.28216381946396435</v>
      </c>
      <c r="V17" s="1530">
        <f t="array" ref="V17">INDEX(EMIS_factors!$G$6:$O$152,MATCH($G17&amp;$Y17,EMIS_factors!$E$6:$E$152&amp;EMIS_factors!$D$6:$D$152,0),MATCH(RIGHT(V$3,6),EMIS_factors!$G$4:$O$4,0))</f>
        <v>1.3782238690746428E-2</v>
      </c>
      <c r="W17" s="1530">
        <f t="array" ref="W17">INDEX(EMIS_factors!$G$6:$O$152,MATCH($G17&amp;$Y17,EMIS_factors!$E$6:$E$152&amp;EMIS_factors!$D$6:$D$152,0),MATCH(RIGHT(W$3,6),EMIS_factors!$G$4:$O$4,0))</f>
        <v>36.89396163170035</v>
      </c>
      <c r="X17" s="1295"/>
      <c r="Y17" s="526" t="s">
        <v>1464</v>
      </c>
      <c r="AA17" s="952">
        <f t="array" ref="AA17">INDEX('Eff SF'!$D$11:$Q$28,MATCH(TRA_Cars!$AX$6&amp;TRA_Cars!$BA$6,'Eff SF'!$A$11:$A$28&amp;'Eff SF'!$C$11:$C$28,0),MATCH(TRA_Cars!AC17&amp;TRA_Cars!$AY$6,'Eff SF'!$D$9:$Q$9&amp;'Eff SF'!$D$10:$Q$10,0))*$AH$13</f>
        <v>326.7343756415039</v>
      </c>
      <c r="AB17" s="952">
        <v>380.31926419356421</v>
      </c>
      <c r="AC17" s="549">
        <v>2015</v>
      </c>
      <c r="AD17" s="499"/>
      <c r="AE17" s="499"/>
      <c r="AF17" s="526"/>
      <c r="AG17" s="499"/>
      <c r="AH17" s="499"/>
      <c r="AV17" s="499" t="s">
        <v>694</v>
      </c>
      <c r="AW17" s="526" t="str">
        <f>'Cars INVCOST'!$C$25</f>
        <v>Vehicle Cost AVG</v>
      </c>
      <c r="AX17" s="549" t="str">
        <f>'Cars INVCOST'!A40</f>
        <v>SI Split HEV</v>
      </c>
    </row>
    <row r="18" spans="1:51" s="499" customFormat="1" ht="17.399999999999999" customHeight="1">
      <c r="A18" s="500"/>
      <c r="F18" s="526" t="s">
        <v>834</v>
      </c>
      <c r="G18" s="549"/>
      <c r="H18" s="549"/>
      <c r="L18" s="519">
        <f>AA17/AB17</f>
        <v>0.85910551056181006</v>
      </c>
      <c r="N18" s="509"/>
      <c r="O18" s="512"/>
      <c r="P18" s="539"/>
      <c r="Q18" s="549">
        <v>5</v>
      </c>
      <c r="S18" s="549"/>
      <c r="T18" s="1530"/>
      <c r="U18" s="1530"/>
      <c r="V18" s="1530"/>
      <c r="W18" s="1530"/>
      <c r="X18" s="1295"/>
      <c r="Y18" s="526" t="s">
        <v>1464</v>
      </c>
      <c r="Z18" s="549"/>
      <c r="AA18" s="952"/>
      <c r="AB18" s="952"/>
      <c r="AI18" s="526"/>
      <c r="AV18" s="499" t="s">
        <v>695</v>
      </c>
      <c r="AW18" s="526" t="str">
        <f>'Cars INVCOST'!$C$25</f>
        <v>Vehicle Cost AVG</v>
      </c>
      <c r="AX18" s="549" t="e">
        <f>'Cars INVCOST'!#REF!</f>
        <v>#REF!</v>
      </c>
    </row>
    <row r="19" spans="1:51" s="499" customFormat="1" ht="17.399999999999999" customHeight="1">
      <c r="A19" s="500"/>
      <c r="C19" s="509"/>
      <c r="D19" s="509"/>
      <c r="E19" s="509"/>
      <c r="F19" s="552" t="s">
        <v>835</v>
      </c>
      <c r="G19" s="549"/>
      <c r="H19" s="549"/>
      <c r="I19" s="509"/>
      <c r="J19" s="509"/>
      <c r="L19" s="519">
        <f>AA17/AB17</f>
        <v>0.85910551056181006</v>
      </c>
      <c r="N19" s="512"/>
      <c r="O19" s="512"/>
      <c r="P19" s="539"/>
      <c r="Q19" s="549">
        <v>5</v>
      </c>
      <c r="S19" s="549"/>
      <c r="T19" s="1530"/>
      <c r="U19" s="1530"/>
      <c r="V19" s="1530"/>
      <c r="W19" s="1530"/>
      <c r="X19" s="1295"/>
      <c r="Y19" s="526" t="s">
        <v>1464</v>
      </c>
      <c r="Z19" s="549"/>
      <c r="AA19" s="952"/>
      <c r="AB19" s="952"/>
      <c r="AE19" s="513"/>
      <c r="AI19" s="526"/>
      <c r="AK19" s="549"/>
      <c r="AL19" s="549"/>
      <c r="AM19" s="549"/>
      <c r="AV19" s="499" t="s">
        <v>696</v>
      </c>
      <c r="AW19" s="526" t="str">
        <f>'Cars INVCOST'!$C$25</f>
        <v>Vehicle Cost AVG</v>
      </c>
      <c r="AX19" s="549" t="e">
        <f>'Cars INVCOST'!#REF!</f>
        <v>#REF!</v>
      </c>
    </row>
    <row r="20" spans="1:51" s="499" customFormat="1" ht="17.399999999999999" customHeight="1">
      <c r="A20" s="500"/>
      <c r="C20" s="509"/>
      <c r="D20" s="509"/>
      <c r="E20" s="509"/>
      <c r="F20" s="533" t="s">
        <v>836</v>
      </c>
      <c r="G20" s="549"/>
      <c r="H20" s="552"/>
      <c r="I20" s="509"/>
      <c r="J20" s="509"/>
      <c r="L20" s="519">
        <f>AA17/AB17</f>
        <v>0.85910551056181006</v>
      </c>
      <c r="N20" s="552"/>
      <c r="O20" s="512"/>
      <c r="P20" s="539"/>
      <c r="Q20" s="549">
        <v>5</v>
      </c>
      <c r="S20" s="549"/>
      <c r="T20" s="1530"/>
      <c r="U20" s="1530"/>
      <c r="V20" s="1530"/>
      <c r="W20" s="1530"/>
      <c r="X20" s="1295"/>
      <c r="Y20" s="526" t="s">
        <v>1464</v>
      </c>
      <c r="Z20" s="549"/>
      <c r="AA20" s="952"/>
      <c r="AB20" s="952"/>
      <c r="AD20" s="549"/>
      <c r="AE20" s="549"/>
      <c r="AF20" s="549"/>
      <c r="AG20" s="549"/>
      <c r="AH20" s="549"/>
    </row>
    <row r="21" spans="1:51" s="549" customFormat="1" ht="17.399999999999999" customHeight="1">
      <c r="A21" s="550"/>
      <c r="C21" s="549" t="s">
        <v>822</v>
      </c>
      <c r="D21" s="510" t="s">
        <v>572</v>
      </c>
      <c r="E21" s="509" t="s">
        <v>902</v>
      </c>
      <c r="F21" s="526" t="s">
        <v>833</v>
      </c>
      <c r="G21" s="552">
        <v>2020</v>
      </c>
      <c r="H21" s="552" t="s">
        <v>700</v>
      </c>
      <c r="I21" s="552">
        <v>2020</v>
      </c>
      <c r="J21" s="552">
        <f>G25-1</f>
        <v>2029</v>
      </c>
      <c r="L21" s="519">
        <f>AA21/AB21</f>
        <v>1.0170011895822448</v>
      </c>
      <c r="N21" s="509">
        <v>16</v>
      </c>
      <c r="O21" s="513">
        <f>('O&amp;M'!$I$23+'O&amp;M'!$I$22)*TRA_Cars!$AE$7</f>
        <v>7.5508398661474794E-4</v>
      </c>
      <c r="P21" s="535">
        <f t="array" ref="P21">INDEX('Cars INVCOST'!$D$24:$Q$89,MATCH(TRA_Cars!$AW$6&amp;TRA_Cars!$AX$6,'Cars INVCOST'!$C$24:$C$89&amp;'Cars INVCOST'!$A$24:$A$89,0),MATCH(TRA_Cars!G21&amp;$AY$6,'Cars INVCOST'!$D$22:$Q$22&amp;'Cars INVCOST'!$D$23:$Q$23,0))*$AG$7/1000</f>
        <v>116.37605804396749</v>
      </c>
      <c r="Q21" s="549">
        <v>5</v>
      </c>
      <c r="S21" s="549">
        <v>15757.590543070028</v>
      </c>
      <c r="T21" s="1530">
        <f t="array" ref="T21">INDEX(EMIS_factors!$G$6:$O$152,MATCH($G21&amp;$Y21,EMIS_factors!$E$6:$E$152&amp;EMIS_factors!$D$6:$D$152,0),MATCH(RIGHT(T$3,6),EMIS_factors!$G$4:$O$4,0))</f>
        <v>1.12341249447608E-4</v>
      </c>
      <c r="U21" s="1530">
        <f t="array" ref="U21">INDEX(EMIS_factors!$G$6:$O$152,MATCH($G21&amp;$Y21,EMIS_factors!$E$6:$E$152&amp;EMIS_factors!$D$6:$D$152,0),MATCH(RIGHT(U$3,6),EMIS_factors!$G$4:$O$4,0))</f>
        <v>7.494050787500417E-2</v>
      </c>
      <c r="V21" s="1530">
        <f t="array" ref="V21">INDEX(EMIS_factors!$G$6:$O$152,MATCH($G21&amp;$Y21,EMIS_factors!$E$6:$E$152&amp;EMIS_factors!$D$6:$D$152,0),MATCH(RIGHT(V$3,6),EMIS_factors!$G$4:$O$4,0))</f>
        <v>5.0665166698559165E-3</v>
      </c>
      <c r="W21" s="1530">
        <f t="array" ref="W21">INDEX(EMIS_factors!$G$6:$O$152,MATCH($G21&amp;$Y21,EMIS_factors!$E$6:$E$152&amp;EMIS_factors!$D$6:$D$152,0),MATCH(RIGHT(W$3,6),EMIS_factors!$G$4:$O$4,0))</f>
        <v>36.458332889892894</v>
      </c>
      <c r="X21" s="1295"/>
      <c r="Y21" s="526" t="s">
        <v>1464</v>
      </c>
      <c r="AA21" s="952">
        <f t="array" ref="AA21">INDEX('Eff SF'!$D$11:$Q$28,MATCH(TRA_Cars!$AX$6&amp;TRA_Cars!$BA$6,'Eff SF'!$A$11:$A$28&amp;'Eff SF'!$C$11:$C$28,0),MATCH(TRA_Cars!G21&amp;TRA_Cars!$AY$6,'Eff SF'!$D$9:$Q$9&amp;'Eff SF'!$D$10:$Q$10,0))*$AH$13</f>
        <v>386.78514410589889</v>
      </c>
      <c r="AB21" s="952">
        <v>380.31926419356421</v>
      </c>
      <c r="AD21" s="499"/>
      <c r="AE21" s="499"/>
      <c r="AF21" s="499"/>
      <c r="AG21" s="499"/>
      <c r="AH21" s="499"/>
      <c r="AI21" s="526"/>
      <c r="AK21" s="499"/>
      <c r="AL21" s="526"/>
      <c r="AM21" s="499"/>
      <c r="AN21" s="499"/>
      <c r="AO21" s="526"/>
    </row>
    <row r="22" spans="1:51" s="499" customFormat="1" ht="17.399999999999999" customHeight="1">
      <c r="A22" s="500"/>
      <c r="F22" s="526" t="s">
        <v>834</v>
      </c>
      <c r="G22" s="552"/>
      <c r="H22" s="552"/>
      <c r="I22" s="552"/>
      <c r="J22" s="552"/>
      <c r="L22" s="519">
        <f>AA21/AB21</f>
        <v>1.0170011895822448</v>
      </c>
      <c r="N22" s="509"/>
      <c r="O22" s="512"/>
      <c r="P22" s="539"/>
      <c r="Q22" s="549">
        <v>5</v>
      </c>
      <c r="S22" s="549"/>
      <c r="T22" s="1530"/>
      <c r="U22" s="1530"/>
      <c r="V22" s="1530"/>
      <c r="W22" s="1530"/>
      <c r="X22" s="1295"/>
      <c r="Y22" s="526" t="s">
        <v>1464</v>
      </c>
      <c r="Z22" s="549"/>
      <c r="AA22" s="952"/>
      <c r="AB22" s="952"/>
      <c r="AD22" s="26"/>
      <c r="AL22" s="526"/>
      <c r="AO22" s="526"/>
    </row>
    <row r="23" spans="1:51" s="499" customFormat="1" ht="17.399999999999999" customHeight="1">
      <c r="A23" s="500"/>
      <c r="C23" s="509"/>
      <c r="D23" s="509"/>
      <c r="E23" s="509"/>
      <c r="F23" s="552" t="s">
        <v>835</v>
      </c>
      <c r="G23" s="552"/>
      <c r="H23" s="552"/>
      <c r="I23" s="552"/>
      <c r="J23" s="552"/>
      <c r="L23" s="519">
        <f>AA21/AB21</f>
        <v>1.0170011895822448</v>
      </c>
      <c r="N23" s="512"/>
      <c r="O23" s="512"/>
      <c r="P23" s="539"/>
      <c r="Q23" s="549">
        <v>5</v>
      </c>
      <c r="S23" s="549"/>
      <c r="T23" s="1530"/>
      <c r="U23" s="1530"/>
      <c r="V23" s="1530"/>
      <c r="W23" s="1530"/>
      <c r="X23" s="1295"/>
      <c r="Y23" s="526" t="s">
        <v>1464</v>
      </c>
      <c r="Z23" s="549"/>
      <c r="AA23" s="952"/>
      <c r="AB23" s="952"/>
      <c r="AD23" s="26"/>
      <c r="AG23" s="526"/>
      <c r="AI23" s="848"/>
      <c r="AJ23" s="848"/>
      <c r="AK23" s="549"/>
      <c r="AL23" s="526"/>
      <c r="AM23" s="549"/>
      <c r="AN23" s="549"/>
      <c r="AO23" s="549"/>
      <c r="AV23" s="1656" t="s">
        <v>769</v>
      </c>
      <c r="AW23" s="1657"/>
      <c r="AX23" s="1657"/>
      <c r="AY23" s="1658"/>
    </row>
    <row r="24" spans="1:51" s="499" customFormat="1" ht="17.399999999999999" customHeight="1">
      <c r="A24" s="500"/>
      <c r="C24" s="509"/>
      <c r="D24" s="509"/>
      <c r="E24" s="509"/>
      <c r="F24" s="533" t="s">
        <v>836</v>
      </c>
      <c r="G24" s="552"/>
      <c r="H24" s="549"/>
      <c r="I24" s="549"/>
      <c r="J24" s="549"/>
      <c r="L24" s="519">
        <f>AA21/AB21</f>
        <v>1.0170011895822448</v>
      </c>
      <c r="N24" s="552"/>
      <c r="O24" s="512"/>
      <c r="P24" s="539"/>
      <c r="Q24" s="549">
        <v>5</v>
      </c>
      <c r="S24" s="549"/>
      <c r="T24" s="1530"/>
      <c r="U24" s="1530"/>
      <c r="V24" s="1530"/>
      <c r="W24" s="1530"/>
      <c r="X24" s="1295"/>
      <c r="Y24" s="526" t="s">
        <v>1464</v>
      </c>
      <c r="Z24" s="549"/>
      <c r="AA24" s="952"/>
      <c r="AB24" s="952"/>
      <c r="AD24" s="507"/>
      <c r="AE24" s="549"/>
      <c r="AF24" s="549"/>
      <c r="AG24" s="549"/>
      <c r="AH24" s="549"/>
      <c r="AI24" s="526"/>
      <c r="AO24" s="526"/>
      <c r="AV24" s="1659"/>
      <c r="AW24" s="1660"/>
      <c r="AX24" s="1660"/>
      <c r="AY24" s="1661"/>
    </row>
    <row r="25" spans="1:51" s="549" customFormat="1" ht="17.399999999999999" customHeight="1">
      <c r="A25" s="550"/>
      <c r="C25" s="549" t="s">
        <v>823</v>
      </c>
      <c r="D25" s="531" t="s">
        <v>573</v>
      </c>
      <c r="E25" s="552" t="s">
        <v>903</v>
      </c>
      <c r="F25" s="526" t="s">
        <v>833</v>
      </c>
      <c r="G25" s="552">
        <v>2030</v>
      </c>
      <c r="H25" s="552" t="s">
        <v>700</v>
      </c>
      <c r="I25" s="552">
        <f>G25</f>
        <v>2030</v>
      </c>
      <c r="J25" s="552"/>
      <c r="L25" s="519">
        <f>AA25/AB25</f>
        <v>1.1680727739633046</v>
      </c>
      <c r="N25" s="509">
        <v>16</v>
      </c>
      <c r="O25" s="513">
        <f>('O&amp;M'!$I$23+'O&amp;M'!$I$22)*TRA_Cars!$AE$7</f>
        <v>7.5508398661474794E-4</v>
      </c>
      <c r="P25" s="535">
        <f t="array" ref="P25">INDEX('Cars INVCOST'!$D$24:$Q$89,MATCH(TRA_Cars!$AW$6&amp;TRA_Cars!$AX$6,'Cars INVCOST'!$C$24:$C$89&amp;'Cars INVCOST'!$A$24:$A$89,0),MATCH(TRA_Cars!G25&amp;$AY$6,'Cars INVCOST'!$D$22:$Q$22&amp;'Cars INVCOST'!$D$23:$Q$23,0))*$AG$7/1000</f>
        <v>117.71717094905641</v>
      </c>
      <c r="Q25" s="549">
        <v>5</v>
      </c>
      <c r="S25" s="549">
        <v>15757.590543070028</v>
      </c>
      <c r="T25" s="1530">
        <f t="array" ref="T25">INDEX(EMIS_factors!$G$6:$O$152,MATCH($G25&amp;$Y25,EMIS_factors!$E$6:$E$152&amp;EMIS_factors!$D$6:$D$152,0),MATCH(RIGHT(T$3,6),EMIS_factors!$G$4:$O$4,0))</f>
        <v>1.1123987273812315E-4</v>
      </c>
      <c r="U25" s="1530">
        <f t="array" ref="U25">INDEX(EMIS_factors!$G$6:$O$152,MATCH($G25&amp;$Y25,EMIS_factors!$E$6:$E$152&amp;EMIS_factors!$D$6:$D$152,0),MATCH(RIGHT(U$3,6),EMIS_factors!$G$4:$O$4,0))</f>
        <v>5.2398153868470979E-2</v>
      </c>
      <c r="V25" s="1530">
        <f t="array" ref="V25">INDEX(EMIS_factors!$G$6:$O$152,MATCH($G25&amp;$Y25,EMIS_factors!$E$6:$E$152&amp;EMIS_factors!$D$6:$D$152,0),MATCH(RIGHT(V$3,6),EMIS_factors!$G$4:$O$4,0))</f>
        <v>3.9872867992168633E-3</v>
      </c>
      <c r="W25" s="1530">
        <f t="array" ref="W25">INDEX(EMIS_factors!$G$6:$O$152,MATCH($G25&amp;$Y25,EMIS_factors!$E$6:$E$152&amp;EMIS_factors!$D$6:$D$152,0),MATCH(RIGHT(W$3,6),EMIS_factors!$G$4:$O$4,0))</f>
        <v>36.293760842539385</v>
      </c>
      <c r="X25" s="1295"/>
      <c r="Y25" s="526" t="s">
        <v>1464</v>
      </c>
      <c r="AA25" s="952">
        <f t="array" ref="AA25">INDEX('Eff SF'!$D$11:$Q$28,MATCH(TRA_Cars!$AX$6&amp;TRA_Cars!$BA$6,'Eff SF'!$A$11:$A$28&amp;'Eff SF'!$C$11:$C$28,0),MATCH(TRA_Cars!G25&amp;TRA_Cars!$AY$6,'Eff SF'!$D$9:$Q$9&amp;'Eff SF'!$D$10:$Q$10,0))*$AH$13</f>
        <v>444.24057791825942</v>
      </c>
      <c r="AB25" s="952">
        <v>380.31926419356421</v>
      </c>
      <c r="AD25" s="26"/>
      <c r="AE25" s="499"/>
      <c r="AF25" s="499"/>
      <c r="AG25" s="526"/>
      <c r="AH25" s="499"/>
      <c r="AI25" s="526"/>
      <c r="AK25" s="499"/>
      <c r="AL25" s="848"/>
      <c r="AM25" s="499"/>
      <c r="AN25" s="499"/>
      <c r="AO25" s="526"/>
      <c r="AV25" s="932"/>
      <c r="AW25" s="525" t="s">
        <v>766</v>
      </c>
      <c r="AX25" s="525" t="s">
        <v>767</v>
      </c>
      <c r="AY25" s="933" t="s">
        <v>768</v>
      </c>
    </row>
    <row r="26" spans="1:51" s="499" customFormat="1" ht="17.399999999999999" customHeight="1">
      <c r="A26" s="500"/>
      <c r="C26" s="552"/>
      <c r="D26" s="531"/>
      <c r="E26" s="552"/>
      <c r="F26" s="526" t="s">
        <v>834</v>
      </c>
      <c r="G26" s="549"/>
      <c r="J26" s="509"/>
      <c r="L26" s="519">
        <f>AA25/AB25</f>
        <v>1.1680727739633046</v>
      </c>
      <c r="O26" s="513"/>
      <c r="P26" s="535"/>
      <c r="Q26" s="549">
        <v>5</v>
      </c>
      <c r="S26" s="549"/>
      <c r="T26" s="1530"/>
      <c r="U26" s="1530"/>
      <c r="V26" s="1530"/>
      <c r="W26" s="1530"/>
      <c r="X26" s="1295"/>
      <c r="Y26" s="526" t="s">
        <v>1464</v>
      </c>
      <c r="Z26" s="549"/>
      <c r="AA26" s="952"/>
      <c r="AB26" s="952"/>
      <c r="AD26" s="26"/>
      <c r="AV26" s="934" t="s">
        <v>619</v>
      </c>
      <c r="AW26" s="935">
        <v>0.61</v>
      </c>
      <c r="AX26" s="936">
        <v>6.288371580065058E-2</v>
      </c>
      <c r="AY26" s="937">
        <v>3.8359066638396853E-2</v>
      </c>
    </row>
    <row r="27" spans="1:51" s="499" customFormat="1" ht="17.399999999999999" customHeight="1">
      <c r="A27" s="500"/>
      <c r="C27" s="552"/>
      <c r="D27" s="531"/>
      <c r="E27" s="552"/>
      <c r="F27" s="552" t="s">
        <v>835</v>
      </c>
      <c r="G27" s="549"/>
      <c r="H27" s="508"/>
      <c r="I27" s="508"/>
      <c r="J27" s="508"/>
      <c r="L27" s="519">
        <f>AA25/AB25</f>
        <v>1.1680727739633046</v>
      </c>
      <c r="N27" s="508"/>
      <c r="O27" s="513"/>
      <c r="P27" s="535"/>
      <c r="Q27" s="549">
        <v>5</v>
      </c>
      <c r="S27" s="549"/>
      <c r="T27" s="1530"/>
      <c r="U27" s="1530"/>
      <c r="V27" s="1530"/>
      <c r="W27" s="1530"/>
      <c r="X27" s="1295"/>
      <c r="Y27" s="526" t="s">
        <v>1464</v>
      </c>
      <c r="Z27" s="549"/>
      <c r="AA27" s="952"/>
      <c r="AB27" s="952"/>
      <c r="AD27" s="26"/>
      <c r="AG27" s="526"/>
      <c r="AI27" s="526"/>
      <c r="AV27" s="942" t="s">
        <v>620</v>
      </c>
      <c r="AW27" s="938">
        <v>0.77200000000000002</v>
      </c>
      <c r="AX27" s="539">
        <v>0.30173074841238057</v>
      </c>
      <c r="AY27" s="555">
        <v>0.23293613777435782</v>
      </c>
    </row>
    <row r="28" spans="1:51" s="499" customFormat="1" ht="17.399999999999999" customHeight="1" thickBot="1">
      <c r="A28" s="500"/>
      <c r="C28" s="514"/>
      <c r="D28" s="514"/>
      <c r="E28" s="514"/>
      <c r="F28" s="514" t="s">
        <v>836</v>
      </c>
      <c r="G28" s="514"/>
      <c r="H28" s="514"/>
      <c r="I28" s="514"/>
      <c r="J28" s="514"/>
      <c r="K28" s="514"/>
      <c r="L28" s="901">
        <f>AA25/AB25</f>
        <v>1.1680727739633046</v>
      </c>
      <c r="M28" s="514"/>
      <c r="N28" s="514"/>
      <c r="O28" s="515"/>
      <c r="P28" s="554"/>
      <c r="Q28" s="514">
        <v>5</v>
      </c>
      <c r="R28" s="515"/>
      <c r="S28" s="514"/>
      <c r="T28" s="1530"/>
      <c r="U28" s="1530"/>
      <c r="V28" s="1530"/>
      <c r="W28" s="1530"/>
      <c r="X28" s="476"/>
      <c r="Y28" s="526" t="s">
        <v>1464</v>
      </c>
      <c r="Z28" s="552"/>
      <c r="AA28" s="953"/>
      <c r="AB28" s="953"/>
      <c r="AD28" s="507"/>
      <c r="AE28" s="549"/>
      <c r="AF28" s="549"/>
      <c r="AG28" s="549"/>
      <c r="AH28" s="549"/>
      <c r="AV28" s="942" t="s">
        <v>621</v>
      </c>
      <c r="AW28" s="938">
        <v>1</v>
      </c>
      <c r="AX28" s="539">
        <v>0.21792964753957203</v>
      </c>
      <c r="AY28" s="555">
        <v>0.21792964753957203</v>
      </c>
    </row>
    <row r="29" spans="1:51" s="549" customFormat="1" ht="17.399999999999999" customHeight="1">
      <c r="A29" s="550"/>
      <c r="C29" s="526" t="s">
        <v>824</v>
      </c>
      <c r="D29" s="531" t="s">
        <v>574</v>
      </c>
      <c r="E29" s="534" t="s">
        <v>904</v>
      </c>
      <c r="F29" s="526" t="s">
        <v>833</v>
      </c>
      <c r="G29" s="549">
        <v>2015</v>
      </c>
      <c r="H29" s="549" t="s">
        <v>700</v>
      </c>
      <c r="I29" s="508">
        <v>2015</v>
      </c>
      <c r="J29" s="508">
        <v>2021</v>
      </c>
      <c r="L29" s="519">
        <f>AA29/AB29</f>
        <v>0.83647497596802667</v>
      </c>
      <c r="M29" s="552"/>
      <c r="N29" s="509">
        <v>16</v>
      </c>
      <c r="O29" s="513">
        <f>('O&amp;M'!$I$23+'O&amp;M'!$I$22)*TRA_Cars!$AE$7</f>
        <v>7.5508398661474794E-4</v>
      </c>
      <c r="P29" s="535">
        <f t="array" ref="P29">INDEX('Cars INVCOST'!$D$24:$Q$89,MATCH(TRA_Cars!$AW$7&amp;TRA_Cars!$AX$7,'Cars INVCOST'!$C$24:$C$89&amp;'Cars INVCOST'!$A$24:$A$89,0),MATCH(TRA_Cars!G29&amp;$AY$7,'Cars INVCOST'!$D$22:$Q$22&amp;'Cars INVCOST'!$D$23:$Q$23,0))*$AG$7/1000</f>
        <v>128.10685053867442</v>
      </c>
      <c r="Q29" s="549">
        <v>5</v>
      </c>
      <c r="S29" s="549">
        <v>15757.590543070028</v>
      </c>
      <c r="T29" s="1530">
        <f t="array" ref="T29">INDEX(EMIS_factors!$G$6:$O$152,MATCH($G29&amp;$Y29,EMIS_factors!$E$6:$E$152&amp;EMIS_factors!$D$6:$D$152,0),MATCH(RIGHT(T$3,6),EMIS_factors!$G$4:$O$4,0))</f>
        <v>0</v>
      </c>
      <c r="U29" s="1530">
        <f t="array" ref="U29">INDEX(EMIS_factors!$G$6:$O$152,MATCH($G29&amp;$Y29,EMIS_factors!$E$6:$E$152&amp;EMIS_factors!$D$6:$D$152,0),MATCH(RIGHT(U$3,6),EMIS_factors!$G$4:$O$4,0))</f>
        <v>0.144773132322498</v>
      </c>
      <c r="V29" s="1530">
        <f t="array" ref="V29">INDEX(EMIS_factors!$G$6:$O$152,MATCH($G29&amp;$Y29,EMIS_factors!$E$6:$E$152&amp;EMIS_factors!$D$6:$D$152,0),MATCH(RIGHT(V$3,6),EMIS_factors!$G$4:$O$4,0))</f>
        <v>7.2141210912198099E-3</v>
      </c>
      <c r="W29" s="1530">
        <f t="array" ref="W29">INDEX(EMIS_factors!$G$6:$O$152,MATCH($G29&amp;$Y29,EMIS_factors!$E$6:$E$152&amp;EMIS_factors!$D$6:$D$152,0),MATCH(RIGHT(W$3,6),EMIS_factors!$G$4:$O$4,0))</f>
        <v>30.97370803113132</v>
      </c>
      <c r="X29" s="476"/>
      <c r="Y29" s="526" t="s">
        <v>1495</v>
      </c>
      <c r="AA29" s="952">
        <f t="array" ref="AA29">INDEX('Eff SF'!$D$11:$Q$28,MATCH(TRA_Cars!$AX$7&amp;TRA_Cars!$BA$7,'Eff SF'!$A$11:$A$28&amp;'Eff SF'!$C$11:$C$28,0),MATCH(TRA_Cars!G29&amp;TRA_Cars!$AY$7,'Eff SF'!$D$9:$Q$9&amp;'Eff SF'!$D$10:$Q$10,0))*$AH$13</f>
        <v>318.12754737648919</v>
      </c>
      <c r="AB29" s="952">
        <v>380.31926419356421</v>
      </c>
      <c r="AD29" s="26"/>
      <c r="AE29" s="499"/>
      <c r="AF29" s="499"/>
      <c r="AG29" s="526"/>
      <c r="AH29" s="499"/>
      <c r="AI29" s="526"/>
      <c r="AV29" s="943" t="s">
        <v>622</v>
      </c>
      <c r="AW29" s="939">
        <v>1.2235428039883645</v>
      </c>
      <c r="AX29" s="940">
        <v>0.41745588824739688</v>
      </c>
      <c r="AY29" s="941">
        <v>0.51077514804767332</v>
      </c>
    </row>
    <row r="30" spans="1:51" s="499" customFormat="1" ht="17.399999999999999" customHeight="1">
      <c r="A30" s="500"/>
      <c r="C30" s="531"/>
      <c r="D30" s="531"/>
      <c r="E30" s="552"/>
      <c r="F30" s="526" t="s">
        <v>834</v>
      </c>
      <c r="G30" s="549"/>
      <c r="H30" s="549"/>
      <c r="L30" s="519">
        <f>AA29/AB29</f>
        <v>0.83647497596802667</v>
      </c>
      <c r="N30" s="508"/>
      <c r="O30" s="513"/>
      <c r="P30" s="535"/>
      <c r="Q30" s="549">
        <v>5</v>
      </c>
      <c r="S30" s="549"/>
      <c r="T30" s="1530"/>
      <c r="U30" s="1530"/>
      <c r="V30" s="1530"/>
      <c r="W30" s="1530"/>
      <c r="X30" s="476"/>
      <c r="Y30" s="526" t="s">
        <v>1495</v>
      </c>
      <c r="Z30" s="549"/>
      <c r="AA30" s="952"/>
      <c r="AB30" s="952"/>
      <c r="AD30" s="26"/>
    </row>
    <row r="31" spans="1:51" s="499" customFormat="1" ht="17.399999999999999" customHeight="1">
      <c r="A31" s="500"/>
      <c r="C31" s="531"/>
      <c r="D31" s="531"/>
      <c r="E31" s="552"/>
      <c r="F31" s="552" t="s">
        <v>835</v>
      </c>
      <c r="G31" s="549"/>
      <c r="H31" s="549"/>
      <c r="I31" s="508"/>
      <c r="J31" s="526"/>
      <c r="L31" s="519">
        <f>AA29/AB29</f>
        <v>0.83647497596802667</v>
      </c>
      <c r="N31" s="512"/>
      <c r="O31" s="512"/>
      <c r="P31" s="539"/>
      <c r="Q31" s="549">
        <v>5</v>
      </c>
      <c r="S31" s="549"/>
      <c r="T31" s="1530"/>
      <c r="U31" s="1530"/>
      <c r="V31" s="1530"/>
      <c r="W31" s="1530"/>
      <c r="X31" s="476"/>
      <c r="Y31" s="526" t="s">
        <v>1495</v>
      </c>
      <c r="Z31" s="549"/>
      <c r="AA31" s="952"/>
      <c r="AB31" s="952"/>
      <c r="AD31" s="505"/>
      <c r="AE31" s="513"/>
      <c r="AF31" s="505"/>
      <c r="AG31" s="505"/>
      <c r="AH31" s="505"/>
    </row>
    <row r="32" spans="1:51" s="505" customFormat="1" ht="17.399999999999999" customHeight="1">
      <c r="A32" s="506"/>
      <c r="C32" s="481"/>
      <c r="D32" s="531"/>
      <c r="E32" s="552"/>
      <c r="F32" s="533" t="s">
        <v>836</v>
      </c>
      <c r="G32" s="549"/>
      <c r="H32" s="552"/>
      <c r="I32" s="509"/>
      <c r="J32" s="509"/>
      <c r="L32" s="519">
        <f>AA29/AB29</f>
        <v>0.83647497596802667</v>
      </c>
      <c r="N32" s="552"/>
      <c r="O32" s="512"/>
      <c r="P32" s="539"/>
      <c r="Q32" s="549">
        <v>5</v>
      </c>
      <c r="S32" s="549"/>
      <c r="T32" s="1530"/>
      <c r="U32" s="1530"/>
      <c r="V32" s="1530"/>
      <c r="W32" s="1530"/>
      <c r="X32" s="476"/>
      <c r="Y32" s="526" t="s">
        <v>1495</v>
      </c>
      <c r="Z32" s="549"/>
      <c r="AA32" s="952"/>
      <c r="AB32" s="952"/>
      <c r="AC32" s="509"/>
      <c r="AD32" s="549"/>
      <c r="AF32" s="653"/>
      <c r="AG32" s="549"/>
      <c r="AH32" s="549"/>
    </row>
    <row r="33" spans="1:52" s="549" customFormat="1" ht="17.399999999999999" customHeight="1">
      <c r="A33" s="550"/>
      <c r="C33" s="526" t="s">
        <v>825</v>
      </c>
      <c r="D33" s="531" t="s">
        <v>575</v>
      </c>
      <c r="E33" s="534" t="s">
        <v>905</v>
      </c>
      <c r="F33" s="526" t="s">
        <v>833</v>
      </c>
      <c r="G33" s="552">
        <v>2020</v>
      </c>
      <c r="H33" s="552" t="s">
        <v>700</v>
      </c>
      <c r="I33" s="552">
        <v>2020</v>
      </c>
      <c r="J33" s="552">
        <f>G37-1</f>
        <v>2029</v>
      </c>
      <c r="L33" s="519">
        <f>AA33/AB33</f>
        <v>0.9902113711957824</v>
      </c>
      <c r="N33" s="509">
        <v>16</v>
      </c>
      <c r="O33" s="513">
        <f>('O&amp;M'!$I$23+'O&amp;M'!$I$22)*TRA_Cars!$AE$7</f>
        <v>7.5508398661474794E-4</v>
      </c>
      <c r="P33" s="535">
        <f t="array" ref="P33">INDEX('Cars INVCOST'!$D$24:$Q$89,MATCH(TRA_Cars!$AW$7&amp;TRA_Cars!$AX$7,'Cars INVCOST'!$C$24:$C$89&amp;'Cars INVCOST'!$A$24:$A$89,0),MATCH(TRA_Cars!G33&amp;$AY$7,'Cars INVCOST'!$D$22:$Q$22&amp;'Cars INVCOST'!$D$23:$Q$23,0))*$AG$7/1000</f>
        <v>137.00181800289448</v>
      </c>
      <c r="Q33" s="549">
        <v>5</v>
      </c>
      <c r="S33" s="549">
        <v>15757.590543070028</v>
      </c>
      <c r="T33" s="1530">
        <f t="array" ref="T33">INDEX(EMIS_factors!$G$6:$O$152,MATCH($G33&amp;$Y33,EMIS_factors!$E$6:$E$152&amp;EMIS_factors!$D$6:$D$152,0),MATCH(RIGHT(T$3,6),EMIS_factors!$G$4:$O$4,0))</f>
        <v>0</v>
      </c>
      <c r="U33" s="1530">
        <f t="array" ref="U33">INDEX(EMIS_factors!$G$6:$O$152,MATCH($G33&amp;$Y33,EMIS_factors!$E$6:$E$152&amp;EMIS_factors!$D$6:$D$152,0),MATCH(RIGHT(U$3,6),EMIS_factors!$G$4:$O$4,0))</f>
        <v>7.2329682502104559E-2</v>
      </c>
      <c r="V33" s="1530">
        <f t="array" ref="V33">INDEX(EMIS_factors!$G$6:$O$152,MATCH($G33&amp;$Y33,EMIS_factors!$E$6:$E$152&amp;EMIS_factors!$D$6:$D$152,0),MATCH(RIGHT(V$3,6),EMIS_factors!$G$4:$O$4,0))</f>
        <v>4.400844759270277E-3</v>
      </c>
      <c r="W33" s="1530">
        <f t="array" ref="W33">INDEX(EMIS_factors!$G$6:$O$152,MATCH($G33&amp;$Y33,EMIS_factors!$E$6:$E$152&amp;EMIS_factors!$D$6:$D$152,0),MATCH(RIGHT(W$3,6),EMIS_factors!$G$4:$O$4,0))</f>
        <v>30.991358895356772</v>
      </c>
      <c r="X33" s="476"/>
      <c r="Y33" s="526" t="s">
        <v>1495</v>
      </c>
      <c r="AA33" s="952">
        <f t="array" ref="AA33">INDEX('Eff SF'!$D$11:$Q$28,MATCH(TRA_Cars!$AX$7&amp;TRA_Cars!$BA$7,'Eff SF'!$A$11:$A$28&amp;'Eff SF'!$C$11:$C$28,0),MATCH(TRA_Cars!G33&amp;TRA_Cars!$AY$7,'Eff SF'!$D$9:$Q$9&amp;'Eff SF'!$D$10:$Q$10,0))*$AH$13</f>
        <v>376.59646008928024</v>
      </c>
      <c r="AB33" s="952">
        <v>380.31926419356421</v>
      </c>
      <c r="AC33" s="552"/>
      <c r="AD33" s="505"/>
      <c r="AF33" s="505"/>
      <c r="AG33" s="505"/>
      <c r="AH33" s="505"/>
    </row>
    <row r="34" spans="1:52" s="505" customFormat="1" ht="17.399999999999999" customHeight="1">
      <c r="A34" s="506"/>
      <c r="C34" s="531"/>
      <c r="D34" s="552"/>
      <c r="E34" s="552"/>
      <c r="F34" s="526" t="s">
        <v>834</v>
      </c>
      <c r="G34" s="552"/>
      <c r="H34" s="552"/>
      <c r="I34" s="552"/>
      <c r="J34" s="552"/>
      <c r="L34" s="519">
        <f>AA33/AB33</f>
        <v>0.9902113711957824</v>
      </c>
      <c r="N34" s="509"/>
      <c r="O34" s="512"/>
      <c r="P34" s="539"/>
      <c r="Q34" s="549">
        <v>5</v>
      </c>
      <c r="S34" s="549"/>
      <c r="T34" s="1530"/>
      <c r="U34" s="1530"/>
      <c r="V34" s="1530"/>
      <c r="W34" s="1530"/>
      <c r="X34" s="476"/>
      <c r="Y34" s="526" t="s">
        <v>1495</v>
      </c>
      <c r="Z34" s="549"/>
      <c r="AA34" s="952"/>
      <c r="AB34" s="952"/>
      <c r="AC34" s="509"/>
    </row>
    <row r="35" spans="1:52" s="505" customFormat="1" ht="17.399999999999999" customHeight="1">
      <c r="A35" s="506"/>
      <c r="C35" s="481"/>
      <c r="D35" s="552"/>
      <c r="E35" s="552"/>
      <c r="F35" s="552" t="s">
        <v>835</v>
      </c>
      <c r="G35" s="552"/>
      <c r="H35" s="552"/>
      <c r="I35" s="552"/>
      <c r="J35" s="552"/>
      <c r="L35" s="519">
        <f>AA33/AB33</f>
        <v>0.9902113711957824</v>
      </c>
      <c r="N35" s="509"/>
      <c r="O35" s="512"/>
      <c r="P35" s="539"/>
      <c r="Q35" s="549">
        <v>5</v>
      </c>
      <c r="S35" s="549"/>
      <c r="T35" s="1530"/>
      <c r="U35" s="1530"/>
      <c r="V35" s="1530"/>
      <c r="W35" s="1530"/>
      <c r="X35" s="476"/>
      <c r="Y35" s="526" t="s">
        <v>1495</v>
      </c>
      <c r="Z35" s="549"/>
      <c r="AA35" s="952"/>
      <c r="AB35" s="952"/>
      <c r="AC35" s="509"/>
      <c r="AD35" s="499"/>
      <c r="AF35" s="499"/>
      <c r="AG35" s="499"/>
      <c r="AH35" s="499"/>
    </row>
    <row r="36" spans="1:52" s="499" customFormat="1" ht="17.399999999999999" customHeight="1">
      <c r="A36" s="500"/>
      <c r="C36" s="481"/>
      <c r="D36" s="552"/>
      <c r="E36" s="552"/>
      <c r="F36" s="533" t="s">
        <v>836</v>
      </c>
      <c r="G36" s="552"/>
      <c r="H36" s="549"/>
      <c r="I36" s="549"/>
      <c r="J36" s="549"/>
      <c r="L36" s="519">
        <f>AA33/AB33</f>
        <v>0.9902113711957824</v>
      </c>
      <c r="N36" s="552"/>
      <c r="O36" s="512"/>
      <c r="P36" s="539"/>
      <c r="Q36" s="549">
        <v>5</v>
      </c>
      <c r="S36" s="549"/>
      <c r="T36" s="1530"/>
      <c r="U36" s="1530"/>
      <c r="V36" s="1530"/>
      <c r="W36" s="1530"/>
      <c r="X36" s="476"/>
      <c r="Y36" s="526" t="s">
        <v>1495</v>
      </c>
      <c r="Z36" s="549"/>
      <c r="AA36" s="952"/>
      <c r="AB36" s="952"/>
      <c r="AC36" s="509"/>
      <c r="AD36" s="549"/>
      <c r="AF36" s="549"/>
      <c r="AG36" s="549"/>
      <c r="AH36" s="549"/>
    </row>
    <row r="37" spans="1:52" s="549" customFormat="1" ht="17.399999999999999" customHeight="1">
      <c r="A37" s="550"/>
      <c r="C37" s="526" t="s">
        <v>826</v>
      </c>
      <c r="D37" s="531" t="s">
        <v>576</v>
      </c>
      <c r="E37" s="534" t="s">
        <v>906</v>
      </c>
      <c r="F37" s="526" t="s">
        <v>833</v>
      </c>
      <c r="G37" s="552">
        <v>2030</v>
      </c>
      <c r="H37" s="552" t="s">
        <v>700</v>
      </c>
      <c r="I37" s="552">
        <f>G37</f>
        <v>2030</v>
      </c>
      <c r="J37" s="552"/>
      <c r="L37" s="519">
        <f>AA37/AB37</f>
        <v>1.1373034319043216</v>
      </c>
      <c r="N37" s="509">
        <v>16</v>
      </c>
      <c r="O37" s="513">
        <f>('O&amp;M'!$I$23+'O&amp;M'!$I$22)*TRA_Cars!$AE$7</f>
        <v>7.5508398661474794E-4</v>
      </c>
      <c r="P37" s="535">
        <f t="array" ref="P37">INDEX('Cars INVCOST'!$D$24:$Q$89,MATCH(TRA_Cars!$AW$7&amp;TRA_Cars!$AX$7,'Cars INVCOST'!$C$24:$C$89&amp;'Cars INVCOST'!$A$24:$A$89,0),MATCH(TRA_Cars!G37&amp;$AY$7,'Cars INVCOST'!$D$22:$Q$22&amp;'Cars INVCOST'!$D$23:$Q$23,0))*$AG$7/1000</f>
        <v>138.58062131718881</v>
      </c>
      <c r="Q37" s="549">
        <v>5</v>
      </c>
      <c r="S37" s="549">
        <v>15757.590543070028</v>
      </c>
      <c r="T37" s="1530">
        <f t="array" ref="T37">INDEX(EMIS_factors!$G$6:$O$152,MATCH($G37&amp;$Y37,EMIS_factors!$E$6:$E$152&amp;EMIS_factors!$D$6:$D$152,0),MATCH(RIGHT(T$3,6),EMIS_factors!$G$4:$O$4,0))</f>
        <v>0</v>
      </c>
      <c r="U37" s="1530">
        <f t="array" ref="U37">INDEX(EMIS_factors!$G$6:$O$152,MATCH($G37&amp;$Y37,EMIS_factors!$E$6:$E$152&amp;EMIS_factors!$D$6:$D$152,0),MATCH(RIGHT(U$3,6),EMIS_factors!$G$4:$O$4,0))</f>
        <v>0.59124954647093908</v>
      </c>
      <c r="V37" s="1530">
        <f t="array" ref="V37">INDEX(EMIS_factors!$G$6:$O$152,MATCH($G37&amp;$Y37,EMIS_factors!$E$6:$E$152&amp;EMIS_factors!$D$6:$D$152,0),MATCH(RIGHT(V$3,6),EMIS_factors!$G$4:$O$4,0))</f>
        <v>1.6423571293480701E-3</v>
      </c>
      <c r="W37" s="1530">
        <f t="array" ref="W37">INDEX(EMIS_factors!$G$6:$O$152,MATCH($G37&amp;$Y37,EMIS_factors!$E$6:$E$152&amp;EMIS_factors!$D$6:$D$152,0),MATCH(RIGHT(W$3,6),EMIS_factors!$G$4:$O$4,0))</f>
        <v>31.107060299580883</v>
      </c>
      <c r="X37" s="476"/>
      <c r="Y37" s="526" t="s">
        <v>1495</v>
      </c>
      <c r="AA37" s="952">
        <f t="array" ref="AA37">INDEX('Eff SF'!$D$11:$Q$28,MATCH(TRA_Cars!$AX$7&amp;TRA_Cars!$BA$7,'Eff SF'!$A$11:$A$28&amp;'Eff SF'!$C$11:$C$28,0),MATCH(TRA_Cars!G37&amp;TRA_Cars!$AY$7,'Eff SF'!$D$9:$Q$9&amp;'Eff SF'!$D$10:$Q$10,0))*$AH$13</f>
        <v>432.53840438666697</v>
      </c>
      <c r="AB37" s="952">
        <v>380.31926419356421</v>
      </c>
      <c r="AC37" s="552"/>
      <c r="AD37"/>
      <c r="AF37"/>
      <c r="AG37"/>
      <c r="AH37"/>
    </row>
    <row r="38" spans="1:52" s="499" customFormat="1" ht="17.399999999999999" customHeight="1">
      <c r="A38" s="500"/>
      <c r="C38" s="531"/>
      <c r="D38" s="552"/>
      <c r="E38" s="552"/>
      <c r="F38" s="526" t="s">
        <v>834</v>
      </c>
      <c r="G38" s="549"/>
      <c r="K38" s="535"/>
      <c r="L38" s="519">
        <f>AA37/AB37</f>
        <v>1.1373034319043216</v>
      </c>
      <c r="O38" s="513"/>
      <c r="P38" s="535"/>
      <c r="Q38" s="549">
        <v>5</v>
      </c>
      <c r="S38" s="549"/>
      <c r="T38" s="1530"/>
      <c r="U38" s="1530"/>
      <c r="V38" s="1530"/>
      <c r="W38" s="1530"/>
      <c r="X38" s="476"/>
      <c r="Y38" s="526" t="s">
        <v>1495</v>
      </c>
      <c r="Z38" s="549"/>
      <c r="AA38" s="954"/>
      <c r="AB38" s="954"/>
      <c r="AC38" s="509"/>
      <c r="AD38"/>
      <c r="AF38"/>
      <c r="AG38"/>
      <c r="AH38"/>
      <c r="AI38"/>
      <c r="AJ38"/>
      <c r="AK38"/>
      <c r="AL38"/>
      <c r="AM38"/>
      <c r="AN38"/>
      <c r="AO38"/>
      <c r="AP38"/>
      <c r="AQ38"/>
      <c r="AR38"/>
      <c r="AS38"/>
      <c r="AT38"/>
      <c r="AU38"/>
      <c r="AV38"/>
      <c r="AW38"/>
      <c r="AX38"/>
      <c r="AY38"/>
      <c r="AZ38"/>
    </row>
    <row r="39" spans="1:52" s="499" customFormat="1" ht="17.399999999999999" customHeight="1">
      <c r="A39" s="500"/>
      <c r="C39" s="481"/>
      <c r="D39" s="552"/>
      <c r="E39" s="552"/>
      <c r="F39" s="552" t="s">
        <v>835</v>
      </c>
      <c r="G39" s="549"/>
      <c r="H39" s="509"/>
      <c r="I39" s="509"/>
      <c r="J39" s="509"/>
      <c r="K39" s="535"/>
      <c r="L39" s="519">
        <f>AA37/AB37</f>
        <v>1.1373034319043216</v>
      </c>
      <c r="N39" s="509"/>
      <c r="O39" s="512"/>
      <c r="P39" s="539"/>
      <c r="Q39" s="549">
        <v>5</v>
      </c>
      <c r="S39" s="549"/>
      <c r="T39" s="1530"/>
      <c r="U39" s="1530"/>
      <c r="V39" s="1530"/>
      <c r="W39" s="1530"/>
      <c r="X39" s="476"/>
      <c r="Y39" s="526" t="s">
        <v>1495</v>
      </c>
      <c r="Z39" s="549"/>
      <c r="AA39" s="954"/>
      <c r="AB39" s="954"/>
      <c r="AC39" s="509"/>
      <c r="AD39"/>
      <c r="AF39"/>
      <c r="AG39"/>
      <c r="AH39"/>
      <c r="AI39"/>
      <c r="AJ39"/>
      <c r="AK39"/>
      <c r="AL39"/>
      <c r="AM39"/>
      <c r="AN39"/>
      <c r="AO39"/>
      <c r="AP39"/>
      <c r="AQ39"/>
      <c r="AR39"/>
      <c r="AS39"/>
      <c r="AT39"/>
      <c r="AU39"/>
      <c r="AV39"/>
      <c r="AW39"/>
      <c r="AX39"/>
      <c r="AY39"/>
      <c r="AZ39"/>
    </row>
    <row r="40" spans="1:52" s="499" customFormat="1" ht="17.399999999999999" customHeight="1" thickBot="1">
      <c r="A40" s="500"/>
      <c r="C40" s="948"/>
      <c r="D40" s="514"/>
      <c r="E40" s="514"/>
      <c r="F40" s="514" t="s">
        <v>836</v>
      </c>
      <c r="G40" s="514"/>
      <c r="H40" s="514"/>
      <c r="I40" s="514"/>
      <c r="J40" s="514"/>
      <c r="K40" s="554"/>
      <c r="L40" s="901">
        <f>AA37/AB37</f>
        <v>1.1373034319043216</v>
      </c>
      <c r="M40" s="514"/>
      <c r="N40" s="514"/>
      <c r="O40" s="515"/>
      <c r="P40" s="554"/>
      <c r="Q40" s="514">
        <v>5</v>
      </c>
      <c r="R40" s="515"/>
      <c r="S40" s="514"/>
      <c r="T40" s="1530"/>
      <c r="U40" s="1530"/>
      <c r="V40" s="1530"/>
      <c r="W40" s="1530"/>
      <c r="X40" s="476"/>
      <c r="Y40" s="526" t="s">
        <v>1495</v>
      </c>
      <c r="Z40" s="552"/>
      <c r="AA40" s="956"/>
      <c r="AB40" s="956"/>
      <c r="AD40" s="549"/>
      <c r="AF40" s="549"/>
      <c r="AG40" s="549"/>
      <c r="AH40" s="549"/>
      <c r="AI40"/>
      <c r="AJ40"/>
      <c r="AK40"/>
      <c r="AL40"/>
      <c r="AM40"/>
      <c r="AN40"/>
      <c r="AO40"/>
      <c r="AP40"/>
      <c r="AQ40"/>
      <c r="AR40"/>
      <c r="AS40"/>
      <c r="AT40"/>
      <c r="AU40"/>
      <c r="AV40"/>
      <c r="AW40"/>
      <c r="AX40"/>
      <c r="AY40"/>
      <c r="AZ40"/>
    </row>
    <row r="41" spans="1:52" s="549" customFormat="1" ht="17.399999999999999" customHeight="1">
      <c r="A41" s="550"/>
      <c r="C41" s="549" t="s">
        <v>827</v>
      </c>
      <c r="D41" s="531" t="s">
        <v>503</v>
      </c>
      <c r="E41" s="534" t="s">
        <v>907</v>
      </c>
      <c r="F41" s="526" t="s">
        <v>833</v>
      </c>
      <c r="G41" s="549">
        <v>2012</v>
      </c>
      <c r="H41" s="549" t="s">
        <v>700</v>
      </c>
      <c r="I41" s="549">
        <v>2012</v>
      </c>
      <c r="L41" s="519">
        <f>AA41/AB41</f>
        <v>1.1473668628209057</v>
      </c>
      <c r="M41" s="552"/>
      <c r="N41" s="552">
        <v>16</v>
      </c>
      <c r="O41" s="47">
        <f>('O&amp;M'!$I$98+'O&amp;M'!$I$99)*TRA_Cars!$AE$7</f>
        <v>5.4917850211616895E-4</v>
      </c>
      <c r="P41" s="535">
        <f t="array" ref="P41">INDEX('Cars INVCOST'!$D$24:$Q$89,MATCH(TRA_Cars!$AW$8&amp;TRA_Cars!$AX$8,'Cars INVCOST'!$C$24:$C$89&amp;'Cars INVCOST'!$A$24:$A$89,0),MATCH(TRA_Cars!AC53&amp;$AY$8,'Cars INVCOST'!$D$22:$Q$22&amp;'Cars INVCOST'!$D$23:$Q$23,0))*$AG$7/1000</f>
        <v>239.36509111326842</v>
      </c>
      <c r="Q41" s="549">
        <v>5</v>
      </c>
      <c r="S41" s="549">
        <v>15757.59054307</v>
      </c>
      <c r="T41" s="1530">
        <f t="array" ref="T41">INDEX(EMIS_factors!$G$6:$O$152,MATCH($G41&amp;$Y41,EMIS_factors!$E$6:$E$152&amp;EMIS_factors!$D$6:$D$152,0),MATCH(RIGHT(T$3,6),EMIS_factors!$G$4:$O$4,0))</f>
        <v>0</v>
      </c>
      <c r="U41" s="1530">
        <f t="array" ref="U41">INDEX(EMIS_factors!$G$6:$O$152,MATCH($G41&amp;$Y41,EMIS_factors!$E$6:$E$152&amp;EMIS_factors!$D$6:$D$152,0),MATCH(RIGHT(U$3,6),EMIS_factors!$G$4:$O$4,0))</f>
        <v>0</v>
      </c>
      <c r="V41" s="1530">
        <f t="array" ref="V41">INDEX(EMIS_factors!$G$6:$O$152,MATCH($G41&amp;$Y41,EMIS_factors!$E$6:$E$152&amp;EMIS_factors!$D$6:$D$152,0),MATCH(RIGHT(V$3,6),EMIS_factors!$G$4:$O$4,0))</f>
        <v>0</v>
      </c>
      <c r="W41" s="1530">
        <f t="array" ref="W41">INDEX(EMIS_factors!$G$6:$O$152,MATCH($G41&amp;$Y41,EMIS_factors!$E$6:$E$152&amp;EMIS_factors!$D$6:$D$152,0),MATCH(RIGHT(W$3,6),EMIS_factors!$G$4:$O$4,0))</f>
        <v>30.97370803113132</v>
      </c>
      <c r="X41" s="476"/>
      <c r="Y41" s="526" t="s">
        <v>1465</v>
      </c>
      <c r="AA41" s="952">
        <f t="array" ref="AA41">$AH$14/INDEX('Eff BEV'!$F$15:$S$26,,MATCH(TRA_Cars!AC53&amp;TRA_Cars!$AY$10,'Eff BEV'!$F$13:$S$13&amp;'Eff BEV'!$F$14:$S$14,0))</f>
        <v>1642.731341128916</v>
      </c>
      <c r="AB41" s="952">
        <v>1431.74026927195</v>
      </c>
      <c r="AC41" s="549">
        <v>2015</v>
      </c>
      <c r="AD41"/>
      <c r="AF41"/>
      <c r="AG41"/>
      <c r="AH41"/>
    </row>
    <row r="42" spans="1:52">
      <c r="C42" s="552"/>
      <c r="D42" s="531"/>
      <c r="E42" s="534"/>
      <c r="F42" s="526" t="s">
        <v>834</v>
      </c>
      <c r="G42" s="549"/>
      <c r="H42" s="549"/>
      <c r="I42" s="549"/>
      <c r="J42" s="549"/>
      <c r="L42" s="519">
        <f>AA41/AB41</f>
        <v>1.1473668628209057</v>
      </c>
      <c r="M42" s="494"/>
      <c r="N42" s="549"/>
      <c r="O42" s="513"/>
      <c r="P42" s="535"/>
      <c r="Q42" s="549">
        <v>5</v>
      </c>
      <c r="T42" s="1530"/>
      <c r="U42" s="1530"/>
      <c r="V42" s="1530"/>
      <c r="W42" s="1530"/>
      <c r="Y42" s="526" t="s">
        <v>1465</v>
      </c>
      <c r="AA42" s="954"/>
      <c r="AB42" s="954"/>
    </row>
    <row r="43" spans="1:52">
      <c r="C43" s="552"/>
      <c r="D43" s="531"/>
      <c r="E43" s="534"/>
      <c r="F43" s="552" t="s">
        <v>835</v>
      </c>
      <c r="G43" s="549"/>
      <c r="H43" s="549"/>
      <c r="I43" s="549"/>
      <c r="J43" s="549"/>
      <c r="L43" s="519">
        <f>AA41/AB41</f>
        <v>1.1473668628209057</v>
      </c>
      <c r="M43" s="494"/>
      <c r="N43" s="512"/>
      <c r="O43" s="512"/>
      <c r="P43" s="539"/>
      <c r="Q43" s="549">
        <v>5</v>
      </c>
      <c r="T43" s="1530"/>
      <c r="U43" s="1530"/>
      <c r="V43" s="1530"/>
      <c r="W43" s="1530"/>
      <c r="Y43" s="526" t="s">
        <v>1465</v>
      </c>
      <c r="AA43" s="954"/>
      <c r="AB43" s="954"/>
      <c r="AE43" s="513"/>
      <c r="AG43">
        <v>2015</v>
      </c>
      <c r="AH43" t="s">
        <v>774</v>
      </c>
      <c r="AI43" t="s">
        <v>495</v>
      </c>
      <c r="AJ43" t="s">
        <v>776</v>
      </c>
      <c r="AL43" t="s">
        <v>778</v>
      </c>
    </row>
    <row r="44" spans="1:52">
      <c r="C44" s="552"/>
      <c r="D44" s="531"/>
      <c r="E44" s="534"/>
      <c r="F44" s="533" t="s">
        <v>836</v>
      </c>
      <c r="G44" s="549"/>
      <c r="H44" s="552"/>
      <c r="I44" s="552"/>
      <c r="J44" s="552"/>
      <c r="L44" s="519">
        <f>AA41/AB41</f>
        <v>1.1473668628209057</v>
      </c>
      <c r="M44" s="494"/>
      <c r="N44" s="552"/>
      <c r="O44" s="513"/>
      <c r="P44" s="539"/>
      <c r="Q44" s="549">
        <v>5</v>
      </c>
      <c r="T44" s="1530"/>
      <c r="U44" s="1530"/>
      <c r="V44" s="1530"/>
      <c r="W44" s="1530"/>
      <c r="Y44" s="526" t="s">
        <v>1465</v>
      </c>
      <c r="AA44" s="954"/>
      <c r="AB44" s="954"/>
      <c r="AD44" s="549"/>
      <c r="AE44" s="549"/>
      <c r="AF44" s="549"/>
      <c r="AG44" s="549" t="s">
        <v>777</v>
      </c>
      <c r="AH44" s="535">
        <f>K54</f>
        <v>326.7343756415039</v>
      </c>
      <c r="AI44">
        <f>AH44/1000</f>
        <v>0.32673437564150393</v>
      </c>
      <c r="AJ44">
        <f>AI44*AE13</f>
        <v>10.733224239823404</v>
      </c>
      <c r="AL44">
        <f>(AI46-AI45)/(AI44-AI45)</f>
        <v>0.70604327621087026</v>
      </c>
    </row>
    <row r="45" spans="1:52" s="549" customFormat="1">
      <c r="A45" s="550"/>
      <c r="C45" s="552"/>
      <c r="D45" s="531"/>
      <c r="E45" s="534"/>
      <c r="F45" s="526" t="s">
        <v>833</v>
      </c>
      <c r="G45" s="552">
        <v>2020</v>
      </c>
      <c r="H45" s="552" t="s">
        <v>700</v>
      </c>
      <c r="I45" s="552"/>
      <c r="J45" s="552"/>
      <c r="L45" s="519">
        <f>AA45/AB45</f>
        <v>1.2288378252695125</v>
      </c>
      <c r="M45" s="494"/>
      <c r="N45" s="552">
        <v>16</v>
      </c>
      <c r="O45" s="512">
        <f>('O&amp;M'!$I$98+'O&amp;M'!$I$99)*TRA_Cars!$AE$7</f>
        <v>5.4917850211616895E-4</v>
      </c>
      <c r="P45" s="535">
        <f t="array" ref="P45">INDEX('Cars INVCOST'!$D$24:$Q$89,MATCH(TRA_Cars!$AW$8&amp;TRA_Cars!$AX$8,'Cars INVCOST'!$C$24:$C$89&amp;'Cars INVCOST'!$A$24:$A$89,0),MATCH(TRA_Cars!G45&amp;$AY$8,'Cars INVCOST'!$D$22:$Q$22&amp;'Cars INVCOST'!$D$23:$Q$23,0))*$AG$7/1000</f>
        <v>177.5224575595814</v>
      </c>
      <c r="Q45" s="549">
        <v>5</v>
      </c>
      <c r="S45" s="549">
        <v>15757.590543070028</v>
      </c>
      <c r="T45" s="1530">
        <f t="array" ref="T45">INDEX(EMIS_factors!$G$6:$O$152,MATCH($G45&amp;$Y45,EMIS_factors!$E$6:$E$152&amp;EMIS_factors!$D$6:$D$152,0),MATCH(RIGHT(T$3,6),EMIS_factors!$G$4:$O$4,0))</f>
        <v>0</v>
      </c>
      <c r="U45" s="1530">
        <f t="array" ref="U45">INDEX(EMIS_factors!$G$6:$O$152,MATCH($G45&amp;$Y45,EMIS_factors!$E$6:$E$152&amp;EMIS_factors!$D$6:$D$152,0),MATCH(RIGHT(U$3,6),EMIS_factors!$G$4:$O$4,0))</f>
        <v>0</v>
      </c>
      <c r="V45" s="1530">
        <f t="array" ref="V45">INDEX(EMIS_factors!$G$6:$O$152,MATCH($G45&amp;$Y45,EMIS_factors!$E$6:$E$152&amp;EMIS_factors!$D$6:$D$152,0),MATCH(RIGHT(V$3,6),EMIS_factors!$G$4:$O$4,0))</f>
        <v>0</v>
      </c>
      <c r="W45" s="1530">
        <f t="array" ref="W45">INDEX(EMIS_factors!$G$6:$O$152,MATCH($G45&amp;$Y45,EMIS_factors!$E$6:$E$152&amp;EMIS_factors!$D$6:$D$152,0),MATCH(RIGHT(W$3,6),EMIS_factors!$G$4:$O$4,0))</f>
        <v>30.991358895356772</v>
      </c>
      <c r="X45" s="476"/>
      <c r="Y45" s="526" t="s">
        <v>1465</v>
      </c>
      <c r="AA45" s="952">
        <f t="array" ref="AA45">$AH$14/INDEX('Eff BEV'!$F$15:$S$26,,MATCH(TRA_Cars!G57&amp;TRA_Cars!$AY$10,'Eff BEV'!$F$13:$S$13&amp;'Eff BEV'!$F$14:$S$14,0))</f>
        <v>1759.37659884293</v>
      </c>
      <c r="AB45" s="952">
        <v>1431.7402692719506</v>
      </c>
      <c r="AD45"/>
      <c r="AE45"/>
      <c r="AF45"/>
      <c r="AG45" t="s">
        <v>775</v>
      </c>
      <c r="AH45"/>
      <c r="AI45" s="549">
        <f>K53/1000</f>
        <v>2.4902951638959405</v>
      </c>
      <c r="AL45">
        <f>1-AL44</f>
        <v>0.29395672378912974</v>
      </c>
    </row>
    <row r="46" spans="1:52">
      <c r="C46" s="552"/>
      <c r="D46" s="531"/>
      <c r="E46" s="534"/>
      <c r="F46" s="526" t="s">
        <v>834</v>
      </c>
      <c r="G46" s="552"/>
      <c r="H46" s="552"/>
      <c r="I46" s="552"/>
      <c r="J46" s="552"/>
      <c r="L46" s="519">
        <f>AA45/AB45</f>
        <v>1.2288378252695125</v>
      </c>
      <c r="M46" s="494"/>
      <c r="N46" s="552"/>
      <c r="O46" s="512"/>
      <c r="P46" s="539"/>
      <c r="Q46" s="549">
        <v>5</v>
      </c>
      <c r="T46" s="1530"/>
      <c r="U46" s="1530"/>
      <c r="V46" s="1530"/>
      <c r="W46" s="1530"/>
      <c r="Y46" s="526" t="s">
        <v>1465</v>
      </c>
      <c r="AA46" s="954"/>
      <c r="AB46" s="954"/>
      <c r="AC46" s="535"/>
      <c r="AI46">
        <f>AA54/1000</f>
        <v>0.96272761667540518</v>
      </c>
      <c r="AL46" s="549"/>
    </row>
    <row r="47" spans="1:52">
      <c r="C47" s="552"/>
      <c r="D47" s="531"/>
      <c r="E47" s="534"/>
      <c r="F47" s="552" t="s">
        <v>835</v>
      </c>
      <c r="G47" s="552"/>
      <c r="H47" s="552"/>
      <c r="I47" s="552"/>
      <c r="J47" s="552"/>
      <c r="L47" s="519">
        <f>AA45/AB45</f>
        <v>1.2288378252695125</v>
      </c>
      <c r="M47" s="494"/>
      <c r="N47" s="552"/>
      <c r="O47" s="512"/>
      <c r="P47" s="539"/>
      <c r="Q47" s="549">
        <v>5</v>
      </c>
      <c r="T47" s="1530"/>
      <c r="U47" s="1530"/>
      <c r="V47" s="1530"/>
      <c r="W47" s="1530"/>
      <c r="Y47" s="526" t="s">
        <v>1465</v>
      </c>
      <c r="AA47" s="954"/>
      <c r="AB47" s="954"/>
    </row>
    <row r="48" spans="1:52">
      <c r="C48" s="552"/>
      <c r="D48" s="531"/>
      <c r="E48" s="534"/>
      <c r="F48" s="533" t="s">
        <v>836</v>
      </c>
      <c r="G48" s="552"/>
      <c r="H48" s="549"/>
      <c r="I48" s="549"/>
      <c r="J48" s="549"/>
      <c r="L48" s="519">
        <f>AA45/AB45</f>
        <v>1.2288378252695125</v>
      </c>
      <c r="M48" s="494"/>
      <c r="N48" s="552"/>
      <c r="O48" s="512"/>
      <c r="P48" s="539"/>
      <c r="Q48" s="549">
        <v>5</v>
      </c>
      <c r="T48" s="1530"/>
      <c r="U48" s="1530"/>
      <c r="V48" s="1530"/>
      <c r="W48" s="1530"/>
      <c r="Y48" s="526" t="s">
        <v>1465</v>
      </c>
      <c r="AA48" s="954"/>
      <c r="AB48" s="954"/>
      <c r="AD48" s="549"/>
      <c r="AE48" s="549"/>
      <c r="AF48" s="549"/>
      <c r="AG48" s="549"/>
      <c r="AH48" s="549"/>
      <c r="AL48" s="486"/>
    </row>
    <row r="49" spans="1:52" s="549" customFormat="1">
      <c r="A49" s="550"/>
      <c r="C49" s="552"/>
      <c r="D49" s="531"/>
      <c r="E49" s="534"/>
      <c r="F49" s="526" t="s">
        <v>833</v>
      </c>
      <c r="G49" s="552">
        <v>2030</v>
      </c>
      <c r="H49" s="552" t="s">
        <v>700</v>
      </c>
      <c r="I49" s="552"/>
      <c r="J49" s="552"/>
      <c r="L49" s="519">
        <f>AA49/AB49</f>
        <v>1.3248968106178025</v>
      </c>
      <c r="M49" s="494"/>
      <c r="N49" s="552">
        <v>16</v>
      </c>
      <c r="O49" s="512">
        <f>('O&amp;M'!$I$98+'O&amp;M'!$I$99)*TRA_Cars!$AE$7</f>
        <v>5.4917850211616895E-4</v>
      </c>
      <c r="P49" s="535">
        <f t="array" ref="P49">INDEX('Cars INVCOST'!$D$24:$Q$89,MATCH(TRA_Cars!$AW$8&amp;TRA_Cars!$AX$8,'Cars INVCOST'!$C$24:$C$89&amp;'Cars INVCOST'!$A$24:$A$89,0),MATCH(TRA_Cars!G49&amp;$AY$8,'Cars INVCOST'!$D$22:$Q$22&amp;'Cars INVCOST'!$D$23:$Q$23,0))*$AG$7/1000</f>
        <v>145.72757347943039</v>
      </c>
      <c r="Q49" s="549">
        <v>5</v>
      </c>
      <c r="S49" s="549">
        <v>15757.590543070028</v>
      </c>
      <c r="T49" s="1530">
        <f t="array" ref="T49">INDEX(EMIS_factors!$G$6:$O$152,MATCH($G49&amp;$Y49,EMIS_factors!$E$6:$E$152&amp;EMIS_factors!$D$6:$D$152,0),MATCH(RIGHT(T$3,6),EMIS_factors!$G$4:$O$4,0))</f>
        <v>0</v>
      </c>
      <c r="U49" s="1530">
        <f t="array" ref="U49">INDEX(EMIS_factors!$G$6:$O$152,MATCH($G49&amp;$Y49,EMIS_factors!$E$6:$E$152&amp;EMIS_factors!$D$6:$D$152,0),MATCH(RIGHT(U$3,6),EMIS_factors!$G$4:$O$4,0))</f>
        <v>0</v>
      </c>
      <c r="V49" s="1530">
        <f t="array" ref="V49">INDEX(EMIS_factors!$G$6:$O$152,MATCH($G49&amp;$Y49,EMIS_factors!$E$6:$E$152&amp;EMIS_factors!$D$6:$D$152,0),MATCH(RIGHT(V$3,6),EMIS_factors!$G$4:$O$4,0))</f>
        <v>0</v>
      </c>
      <c r="W49" s="1530">
        <f t="array" ref="W49">INDEX(EMIS_factors!$G$6:$O$152,MATCH($G49&amp;$Y49,EMIS_factors!$E$6:$E$152&amp;EMIS_factors!$D$6:$D$152,0),MATCH(RIGHT(W$3,6),EMIS_factors!$G$4:$O$4,0))</f>
        <v>31.107060299580883</v>
      </c>
      <c r="X49" s="476"/>
      <c r="Y49" s="526" t="s">
        <v>1465</v>
      </c>
      <c r="AA49" s="952">
        <f t="array" ref="AA49">$AH$14/INDEX('Eff BEV'!$F$15:$S$26,,MATCH(TRA_Cars!G61&amp;TRA_Cars!$AY$10,'Eff BEV'!$F$13:$S$13&amp;'Eff BEV'!$F$14:$S$14,0))</f>
        <v>1896.9081163914811</v>
      </c>
      <c r="AB49" s="952">
        <v>1431.7402692719506</v>
      </c>
      <c r="AD49"/>
      <c r="AE49"/>
      <c r="AF49"/>
      <c r="AG49" s="549">
        <v>2015</v>
      </c>
      <c r="AH49" s="549" t="s">
        <v>774</v>
      </c>
      <c r="AI49" s="549" t="s">
        <v>495</v>
      </c>
      <c r="AJ49" s="549" t="s">
        <v>776</v>
      </c>
      <c r="AL49" s="486"/>
    </row>
    <row r="50" spans="1:52">
      <c r="C50" s="552"/>
      <c r="D50" s="531"/>
      <c r="E50" s="552"/>
      <c r="F50" s="526" t="s">
        <v>834</v>
      </c>
      <c r="G50" s="549"/>
      <c r="L50" s="519">
        <f>AA49/AB49</f>
        <v>1.3248968106178025</v>
      </c>
      <c r="M50" s="496"/>
      <c r="O50" s="513"/>
      <c r="P50" s="535"/>
      <c r="Q50" s="549">
        <v>5</v>
      </c>
      <c r="T50" s="1530"/>
      <c r="U50" s="1530"/>
      <c r="V50" s="1530"/>
      <c r="W50" s="1530"/>
      <c r="Y50" s="526" t="s">
        <v>1465</v>
      </c>
      <c r="AA50" s="954"/>
      <c r="AB50" s="954"/>
      <c r="AD50" s="486"/>
      <c r="AG50" s="549" t="s">
        <v>777</v>
      </c>
      <c r="AH50" s="535">
        <f>K58</f>
        <v>386.78514410589889</v>
      </c>
      <c r="AI50" s="549">
        <f>AH50/1000</f>
        <v>0.38678514410589887</v>
      </c>
      <c r="AJ50" s="549">
        <f>AI50*AE13</f>
        <v>12.705891983878779</v>
      </c>
      <c r="AL50" s="549">
        <f>(AI52-AI51)/(AI50-AI51)</f>
        <v>0.69612636117271554</v>
      </c>
    </row>
    <row r="51" spans="1:52">
      <c r="C51" s="552"/>
      <c r="D51" s="531"/>
      <c r="E51" s="552"/>
      <c r="F51" s="552" t="s">
        <v>835</v>
      </c>
      <c r="G51" s="549"/>
      <c r="L51" s="519">
        <f>AA49/AB49</f>
        <v>1.3248968106178025</v>
      </c>
      <c r="M51" s="495"/>
      <c r="O51" s="513"/>
      <c r="P51" s="535"/>
      <c r="Q51" s="549">
        <v>5</v>
      </c>
      <c r="T51" s="1530"/>
      <c r="U51" s="1530"/>
      <c r="V51" s="1530"/>
      <c r="W51" s="1530"/>
      <c r="Y51" s="526" t="s">
        <v>1465</v>
      </c>
      <c r="AA51" s="954"/>
      <c r="AB51" s="954"/>
      <c r="AD51" s="486"/>
      <c r="AG51" s="549" t="s">
        <v>775</v>
      </c>
      <c r="AH51" s="549"/>
      <c r="AI51" s="549">
        <f>K57/1000</f>
        <v>2.6985857192135221</v>
      </c>
      <c r="AJ51" s="549"/>
      <c r="AL51" s="549">
        <f>1-AL50</f>
        <v>0.30387363882728446</v>
      </c>
      <c r="AN51" s="486"/>
      <c r="AO51" s="486"/>
      <c r="AP51" s="486"/>
      <c r="AQ51" s="486"/>
      <c r="AR51" s="486"/>
      <c r="AS51" s="486"/>
      <c r="AT51" s="486"/>
      <c r="AU51" s="486"/>
      <c r="AV51" s="486"/>
      <c r="AW51" s="486"/>
      <c r="AX51" s="486"/>
      <c r="AY51" s="486"/>
      <c r="AZ51" s="486"/>
    </row>
    <row r="52" spans="1:52" ht="13.8" thickBot="1">
      <c r="C52" s="514"/>
      <c r="D52" s="514"/>
      <c r="E52" s="514"/>
      <c r="F52" s="514" t="s">
        <v>836</v>
      </c>
      <c r="G52" s="514"/>
      <c r="H52" s="514"/>
      <c r="I52" s="514"/>
      <c r="J52" s="514"/>
      <c r="K52" s="514"/>
      <c r="L52" s="901">
        <f>AA49/AB49</f>
        <v>1.3248968106178025</v>
      </c>
      <c r="M52" s="514"/>
      <c r="N52" s="514"/>
      <c r="O52" s="515"/>
      <c r="P52" s="554"/>
      <c r="Q52" s="514">
        <v>5</v>
      </c>
      <c r="R52" s="515"/>
      <c r="S52" s="514"/>
      <c r="T52" s="1530"/>
      <c r="U52" s="1530"/>
      <c r="V52" s="1530"/>
      <c r="W52" s="1530"/>
      <c r="Y52" s="526" t="s">
        <v>1465</v>
      </c>
      <c r="Z52" s="552"/>
      <c r="AA52" s="956"/>
      <c r="AB52" s="956"/>
      <c r="AD52" s="486"/>
      <c r="AG52" s="549"/>
      <c r="AH52" s="549"/>
      <c r="AI52" s="549">
        <f>AA58/1000</f>
        <v>1.0892803971068614</v>
      </c>
      <c r="AJ52" s="549"/>
      <c r="AL52" s="549"/>
      <c r="AN52" s="486"/>
      <c r="AO52" s="486"/>
      <c r="AP52" s="486"/>
      <c r="AQ52" s="486"/>
      <c r="AR52" s="486"/>
      <c r="AS52" s="486"/>
      <c r="AT52" s="486"/>
      <c r="AU52" s="486"/>
      <c r="AV52" s="486"/>
      <c r="AW52" s="486"/>
      <c r="AX52" s="486"/>
      <c r="AY52" s="486"/>
      <c r="AZ52" s="486"/>
    </row>
    <row r="53" spans="1:52" s="549" customFormat="1">
      <c r="A53" s="550"/>
      <c r="C53" s="549" t="s">
        <v>828</v>
      </c>
      <c r="D53" s="531" t="s">
        <v>489</v>
      </c>
      <c r="E53" s="534" t="s">
        <v>907</v>
      </c>
      <c r="F53" s="526" t="s">
        <v>833</v>
      </c>
      <c r="G53" s="549">
        <v>2012</v>
      </c>
      <c r="H53" s="549" t="s">
        <v>700</v>
      </c>
      <c r="I53" s="549">
        <v>2012</v>
      </c>
      <c r="J53" s="486">
        <v>2019</v>
      </c>
      <c r="K53" s="535">
        <f t="array" ref="K53">$AH$14/INDEX('Eff PHEV'!$F$21:$S$21,,MATCH(TRA_Cars!AC53&amp;TRA_Cars!$AY$10,'Eff PHEV'!$F$15:$S$15&amp;'Eff PHEV'!$F$16:$S$16,0))</f>
        <v>2490.2951638959407</v>
      </c>
      <c r="L53" s="494">
        <v>1</v>
      </c>
      <c r="M53" s="944">
        <f>1-M54</f>
        <v>0.29395672378912974</v>
      </c>
      <c r="N53" s="552">
        <v>16</v>
      </c>
      <c r="O53" s="47">
        <f>('O&amp;M'!$I$69+'O&amp;M'!$I$70)*$AE$7</f>
        <v>9.5086104003805458E-4</v>
      </c>
      <c r="P53" s="535">
        <f t="array" ref="P53">INDEX('Cars INVCOST'!$D$24:$Q$89,MATCH(TRA_Cars!$AW$9&amp;TRA_Cars!$AX$9,'Cars INVCOST'!$C$24:$C$89&amp;'Cars INVCOST'!$A$24:$A$89,0),MATCH(TRA_Cars!AC53&amp;$AY$9,'Cars INVCOST'!$D$22:$Q$22&amp;'Cars INVCOST'!$D$23:$Q$23,0))*$AG$7/1000</f>
        <v>164.4765541908211</v>
      </c>
      <c r="Q53" s="549">
        <v>5</v>
      </c>
      <c r="R53" s="486">
        <v>5</v>
      </c>
      <c r="S53" s="549">
        <v>15757.590543070028</v>
      </c>
      <c r="T53" s="1530">
        <f t="array" ref="T53">INDEX(EMIS_factors!$G$6:$O$152,MATCH($G53&amp;$Y53,EMIS_factors!$E$6:$E$152&amp;EMIS_factors!$D$6:$D$152,0),MATCH(RIGHT(T$3,6),EMIS_factors!$G$4:$O$4,0))</f>
        <v>5.6892881512435343E-5</v>
      </c>
      <c r="U53" s="1530">
        <f t="array" ref="U53">INDEX(EMIS_factors!$G$6:$O$152,MATCH($G53&amp;$Y53,EMIS_factors!$E$6:$E$152&amp;EMIS_factors!$D$6:$D$152,0),MATCH(RIGHT(U$3,6),EMIS_factors!$G$4:$O$4,0))</f>
        <v>0.14108190973198217</v>
      </c>
      <c r="V53" s="1530">
        <f t="array" ref="V53">INDEX(EMIS_factors!$G$6:$O$152,MATCH($G53&amp;$Y53,EMIS_factors!$E$6:$E$152&amp;EMIS_factors!$D$6:$D$152,0),MATCH(RIGHT(V$3,6),EMIS_factors!$G$4:$O$4,0))</f>
        <v>6.8911193453732138E-3</v>
      </c>
      <c r="W53" s="1530">
        <f t="array" ref="W53">INDEX(EMIS_factors!$G$6:$O$152,MATCH($G53&amp;$Y53,EMIS_factors!$E$6:$E$152&amp;EMIS_factors!$D$6:$D$152,0),MATCH(RIGHT(W$3,6),EMIS_factors!$G$4:$O$4,0))</f>
        <v>33.933834831415837</v>
      </c>
      <c r="X53" s="476"/>
      <c r="Y53" s="526" t="s">
        <v>1496</v>
      </c>
      <c r="AA53" s="954"/>
      <c r="AB53" s="954"/>
      <c r="AC53" s="549">
        <v>2015</v>
      </c>
      <c r="AD53"/>
      <c r="AO53" s="486"/>
      <c r="AP53" s="486"/>
      <c r="AQ53" s="486"/>
      <c r="AR53" s="486"/>
      <c r="AS53" s="486"/>
      <c r="AT53" s="486"/>
      <c r="AU53" s="486"/>
      <c r="AV53" s="486"/>
      <c r="AW53" s="486"/>
      <c r="AX53" s="486"/>
      <c r="AY53" s="486"/>
      <c r="AZ53" s="486"/>
    </row>
    <row r="54" spans="1:52" s="486" customFormat="1" ht="17.100000000000001" customHeight="1">
      <c r="A54" s="3"/>
      <c r="B54" s="653" t="s">
        <v>623</v>
      </c>
      <c r="C54" s="552"/>
      <c r="D54" s="531"/>
      <c r="E54" s="652" t="s">
        <v>901</v>
      </c>
      <c r="F54" s="526" t="s">
        <v>834</v>
      </c>
      <c r="G54" s="549"/>
      <c r="H54" s="549"/>
      <c r="K54" s="535">
        <f>AA17</f>
        <v>326.7343756415039</v>
      </c>
      <c r="L54" s="494">
        <v>1</v>
      </c>
      <c r="M54" s="945">
        <f>$AL$44</f>
        <v>0.70604327621087026</v>
      </c>
      <c r="N54" s="549"/>
      <c r="O54" s="512"/>
      <c r="P54" s="535"/>
      <c r="Q54" s="549">
        <v>5</v>
      </c>
      <c r="R54" s="486">
        <v>5</v>
      </c>
      <c r="S54" s="549"/>
      <c r="T54" s="1530"/>
      <c r="U54" s="1530"/>
      <c r="V54" s="1530"/>
      <c r="W54" s="1530"/>
      <c r="X54" s="476"/>
      <c r="Y54" s="526" t="s">
        <v>1496</v>
      </c>
      <c r="Z54" s="549"/>
      <c r="AA54" s="957">
        <f t="array" ref="AA54">INDEX('Eff PHEV'!$F$26:$S$26,,MATCH(TRA_Cars!AC53&amp;TRA_Cars!$AY$10,'Eff PHEV'!$F$15:$S$15&amp;'Eff PHEV'!$F$16:$S$16,0))</f>
        <v>962.72761667540522</v>
      </c>
      <c r="AB54" s="954"/>
      <c r="AD54"/>
      <c r="AL54" s="549"/>
      <c r="AO54"/>
      <c r="AP54" s="535"/>
      <c r="AQ54"/>
      <c r="AR54"/>
      <c r="AS54"/>
      <c r="AT54"/>
      <c r="AU54"/>
      <c r="AV54"/>
      <c r="AW54"/>
      <c r="AX54"/>
      <c r="AY54"/>
      <c r="AZ54"/>
    </row>
    <row r="55" spans="1:52" s="486" customFormat="1">
      <c r="A55" s="3"/>
      <c r="C55" s="552"/>
      <c r="D55" s="531"/>
      <c r="E55" s="534"/>
      <c r="F55" s="552" t="s">
        <v>835</v>
      </c>
      <c r="G55" s="549"/>
      <c r="H55" s="549"/>
      <c r="K55" s="503"/>
      <c r="L55" s="494">
        <v>1</v>
      </c>
      <c r="M55" s="945"/>
      <c r="N55" s="512"/>
      <c r="O55" s="512"/>
      <c r="P55" s="539"/>
      <c r="Q55" s="549">
        <v>5</v>
      </c>
      <c r="S55" s="549"/>
      <c r="T55" s="1530"/>
      <c r="U55" s="1530"/>
      <c r="V55" s="1530"/>
      <c r="W55" s="1530"/>
      <c r="X55" s="476"/>
      <c r="Y55" s="526" t="s">
        <v>1496</v>
      </c>
      <c r="Z55" s="549"/>
      <c r="AA55" s="958"/>
      <c r="AB55" s="954"/>
      <c r="AD55"/>
      <c r="AG55" s="549">
        <v>2015</v>
      </c>
      <c r="AH55" s="549" t="s">
        <v>774</v>
      </c>
      <c r="AI55" s="549" t="s">
        <v>495</v>
      </c>
      <c r="AJ55" s="549" t="s">
        <v>776</v>
      </c>
      <c r="AK55" s="549"/>
      <c r="AL55" s="549"/>
      <c r="AN55"/>
      <c r="AO55"/>
      <c r="AP55"/>
      <c r="AQ55"/>
      <c r="AR55"/>
      <c r="AS55"/>
      <c r="AT55"/>
      <c r="AU55"/>
      <c r="AV55"/>
      <c r="AW55"/>
      <c r="AX55"/>
      <c r="AY55"/>
      <c r="AZ55"/>
    </row>
    <row r="56" spans="1:52" s="486" customFormat="1">
      <c r="A56" s="3"/>
      <c r="C56" s="552"/>
      <c r="D56" s="531"/>
      <c r="E56" s="534"/>
      <c r="F56" s="533" t="s">
        <v>836</v>
      </c>
      <c r="G56" s="549"/>
      <c r="H56" s="552"/>
      <c r="I56" s="549"/>
      <c r="J56" s="549"/>
      <c r="K56" s="503"/>
      <c r="L56" s="494">
        <v>1</v>
      </c>
      <c r="M56" s="945"/>
      <c r="N56" s="552"/>
      <c r="O56" s="512"/>
      <c r="P56" s="535"/>
      <c r="Q56" s="549">
        <v>5</v>
      </c>
      <c r="R56" s="549"/>
      <c r="S56" s="549"/>
      <c r="T56" s="1530"/>
      <c r="U56" s="1530"/>
      <c r="V56" s="1530"/>
      <c r="W56" s="1530"/>
      <c r="X56" s="476"/>
      <c r="Y56" s="526" t="s">
        <v>1496</v>
      </c>
      <c r="Z56" s="549"/>
      <c r="AA56" s="958"/>
      <c r="AB56" s="954"/>
      <c r="AD56"/>
      <c r="AG56" s="549" t="s">
        <v>777</v>
      </c>
      <c r="AH56" s="535">
        <f>K62</f>
        <v>444.24057791825942</v>
      </c>
      <c r="AI56" s="549">
        <f>AH56/1000</f>
        <v>0.44424057791825944</v>
      </c>
      <c r="AJ56" s="549">
        <f>AI56*AE13</f>
        <v>14.593302984614823</v>
      </c>
      <c r="AK56" s="549"/>
      <c r="AL56" s="549">
        <f>(AI58-AI57)/(AI56-AI57)</f>
        <v>0.68548621884087091</v>
      </c>
      <c r="AN56"/>
      <c r="AO56"/>
      <c r="AP56"/>
      <c r="AQ56"/>
      <c r="AR56"/>
      <c r="AS56"/>
      <c r="AT56"/>
      <c r="AU56"/>
      <c r="AV56"/>
      <c r="AW56"/>
      <c r="AX56"/>
      <c r="AY56"/>
      <c r="AZ56"/>
    </row>
    <row r="57" spans="1:52" s="549" customFormat="1">
      <c r="A57" s="550"/>
      <c r="C57" s="552" t="s">
        <v>829</v>
      </c>
      <c r="D57" s="531" t="s">
        <v>490</v>
      </c>
      <c r="E57" s="534" t="s">
        <v>907</v>
      </c>
      <c r="F57" s="526" t="s">
        <v>833</v>
      </c>
      <c r="G57" s="552">
        <v>2020</v>
      </c>
      <c r="H57" s="552" t="s">
        <v>700</v>
      </c>
      <c r="I57" s="552">
        <v>2020</v>
      </c>
      <c r="J57" s="552">
        <f>G61-1</f>
        <v>2029</v>
      </c>
      <c r="K57" s="535">
        <f t="array" ref="K57">$AH$14/INDEX('Eff PHEV'!$F$21:$S$21,,MATCH(TRA_Cars!G57&amp;TRA_Cars!$AY$10,'Eff PHEV'!$F$15:$S$15&amp;'Eff PHEV'!$F$16:$S$16,0))</f>
        <v>2698.5857192135222</v>
      </c>
      <c r="L57" s="494">
        <v>1</v>
      </c>
      <c r="M57" s="944">
        <f>1-M58</f>
        <v>0.30387363882728446</v>
      </c>
      <c r="N57" s="552">
        <v>16</v>
      </c>
      <c r="O57" s="512">
        <f>('O&amp;M'!$I$69+'O&amp;M'!$I$70)*$AE$7</f>
        <v>9.5086104003805458E-4</v>
      </c>
      <c r="P57" s="535">
        <f t="array" ref="P57">INDEX('Cars INVCOST'!$D$24:$Q$89,MATCH(TRA_Cars!$AW$9&amp;TRA_Cars!$AX$9,'Cars INVCOST'!$C$24:$C$89&amp;'Cars INVCOST'!$A$24:$A$89,0),MATCH(TRA_Cars!G57&amp;$AY$9,'Cars INVCOST'!$D$22:$Q$22&amp;'Cars INVCOST'!$D$23:$Q$23,0))*$AG$7/1000</f>
        <v>159.00550611923936</v>
      </c>
      <c r="Q57" s="549">
        <v>5</v>
      </c>
      <c r="R57" s="486">
        <v>5</v>
      </c>
      <c r="S57" s="549">
        <v>15757.590543070028</v>
      </c>
      <c r="T57" s="1530">
        <f t="array" ref="T57">INDEX(EMIS_factors!$G$6:$O$152,MATCH($G57&amp;$Y57,EMIS_factors!$E$6:$E$152&amp;EMIS_factors!$D$6:$D$152,0),MATCH(RIGHT(T$3,6),EMIS_factors!$G$4:$O$4,0))</f>
        <v>5.6170624723803998E-5</v>
      </c>
      <c r="U57" s="1530">
        <f t="array" ref="U57">INDEX(EMIS_factors!$G$6:$O$152,MATCH($G57&amp;$Y57,EMIS_factors!$E$6:$E$152&amp;EMIS_factors!$D$6:$D$152,0),MATCH(RIGHT(U$3,6),EMIS_factors!$G$4:$O$4,0))</f>
        <v>3.7470253937502085E-2</v>
      </c>
      <c r="V57" s="1530">
        <f t="array" ref="V57">INDEX(EMIS_factors!$G$6:$O$152,MATCH($G57&amp;$Y57,EMIS_factors!$E$6:$E$152&amp;EMIS_factors!$D$6:$D$152,0),MATCH(RIGHT(V$3,6),EMIS_factors!$G$4:$O$4,0))</f>
        <v>2.5332583349279582E-3</v>
      </c>
      <c r="W57" s="1530">
        <f t="array" ref="W57">INDEX(EMIS_factors!$G$6:$O$152,MATCH($G57&amp;$Y57,EMIS_factors!$E$6:$E$152&amp;EMIS_factors!$D$6:$D$152,0),MATCH(RIGHT(W$3,6),EMIS_factors!$G$4:$O$4,0))</f>
        <v>33.724845892624835</v>
      </c>
      <c r="X57" s="476"/>
      <c r="Y57" s="526" t="s">
        <v>1496</v>
      </c>
      <c r="AA57" s="958"/>
      <c r="AB57" s="954"/>
      <c r="AD57"/>
      <c r="AG57" s="549" t="s">
        <v>775</v>
      </c>
      <c r="AI57" s="549">
        <f>K61/1000</f>
        <v>3.2434158020750199</v>
      </c>
      <c r="AL57" s="549">
        <f>1-AL56</f>
        <v>0.31451378115912909</v>
      </c>
      <c r="AN57"/>
      <c r="AO57"/>
      <c r="AP57"/>
      <c r="AQ57"/>
      <c r="AR57"/>
      <c r="AS57"/>
      <c r="AT57"/>
      <c r="AU57"/>
      <c r="AV57"/>
      <c r="AW57"/>
      <c r="AX57"/>
      <c r="AY57"/>
      <c r="AZ57"/>
    </row>
    <row r="58" spans="1:52" s="486" customFormat="1">
      <c r="A58" s="3"/>
      <c r="C58" s="552"/>
      <c r="D58" s="531"/>
      <c r="E58" s="652" t="s">
        <v>902</v>
      </c>
      <c r="F58" s="526" t="s">
        <v>834</v>
      </c>
      <c r="G58" s="552"/>
      <c r="H58" s="552"/>
      <c r="I58" s="552"/>
      <c r="J58" s="552"/>
      <c r="K58" s="535">
        <f>AA21</f>
        <v>386.78514410589889</v>
      </c>
      <c r="L58" s="494">
        <v>1</v>
      </c>
      <c r="M58" s="945">
        <f>$AL$50</f>
        <v>0.69612636117271554</v>
      </c>
      <c r="N58" s="552"/>
      <c r="O58" s="512"/>
      <c r="P58" s="539"/>
      <c r="Q58" s="549">
        <v>5</v>
      </c>
      <c r="R58" s="486">
        <v>5</v>
      </c>
      <c r="S58" s="549"/>
      <c r="T58" s="1530"/>
      <c r="U58" s="1530"/>
      <c r="V58" s="1530"/>
      <c r="W58" s="1530"/>
      <c r="X58" s="476"/>
      <c r="Y58" s="526" t="s">
        <v>1496</v>
      </c>
      <c r="Z58" s="549"/>
      <c r="AA58" s="957">
        <f t="array" ref="AA58">INDEX('Eff PHEV'!$F$26:$S$26,,MATCH(TRA_Cars!G57&amp;TRA_Cars!$AY$10,'Eff PHEV'!$F$15:$S$15&amp;'Eff PHEV'!$F$16:$S$16,0))</f>
        <v>1089.2803971068615</v>
      </c>
      <c r="AB58" s="954"/>
      <c r="AC58" s="498"/>
      <c r="AD58"/>
      <c r="AG58" s="549"/>
      <c r="AH58" s="549"/>
      <c r="AI58" s="549">
        <f>AA61/1000</f>
        <v>1.3246197617947548</v>
      </c>
      <c r="AJ58" s="549"/>
      <c r="AK58" s="549"/>
      <c r="AL58" s="549"/>
      <c r="AN58"/>
      <c r="AO58"/>
      <c r="AP58"/>
      <c r="AQ58"/>
      <c r="AR58"/>
      <c r="AS58"/>
      <c r="AT58"/>
      <c r="AU58"/>
      <c r="AV58"/>
      <c r="AW58"/>
      <c r="AX58"/>
      <c r="AY58"/>
      <c r="AZ58"/>
    </row>
    <row r="59" spans="1:52" s="486" customFormat="1">
      <c r="A59" s="3"/>
      <c r="C59" s="552"/>
      <c r="D59" s="531"/>
      <c r="E59" s="534"/>
      <c r="F59" s="552" t="s">
        <v>835</v>
      </c>
      <c r="G59" s="552"/>
      <c r="H59" s="552"/>
      <c r="I59" s="552"/>
      <c r="J59" s="552"/>
      <c r="K59" s="503"/>
      <c r="L59" s="494">
        <v>1</v>
      </c>
      <c r="M59" s="945"/>
      <c r="N59" s="552"/>
      <c r="O59" s="512"/>
      <c r="P59" s="539"/>
      <c r="Q59" s="549">
        <v>5</v>
      </c>
      <c r="S59" s="549"/>
      <c r="T59" s="1530"/>
      <c r="U59" s="1530"/>
      <c r="V59" s="1530"/>
      <c r="W59" s="1530"/>
      <c r="X59" s="476"/>
      <c r="Y59" s="526" t="s">
        <v>1496</v>
      </c>
      <c r="Z59" s="549"/>
      <c r="AA59" s="958"/>
      <c r="AB59" s="954"/>
      <c r="AC59" s="498"/>
      <c r="AD59"/>
      <c r="AG59" s="549"/>
      <c r="AH59" s="549"/>
      <c r="AI59" s="549"/>
      <c r="AJ59" s="549"/>
      <c r="AK59" s="549"/>
      <c r="AL59" s="549"/>
      <c r="AN59"/>
      <c r="AO59"/>
      <c r="AP59"/>
      <c r="AQ59"/>
      <c r="AR59"/>
      <c r="AS59"/>
      <c r="AT59"/>
      <c r="AU59"/>
      <c r="AV59"/>
      <c r="AW59"/>
      <c r="AX59"/>
      <c r="AY59"/>
      <c r="AZ59"/>
    </row>
    <row r="60" spans="1:52" s="486" customFormat="1">
      <c r="A60" s="3"/>
      <c r="C60" s="552"/>
      <c r="D60" s="531"/>
      <c r="E60" s="652"/>
      <c r="F60" s="533" t="s">
        <v>836</v>
      </c>
      <c r="G60" s="552"/>
      <c r="H60" s="549"/>
      <c r="I60" s="549"/>
      <c r="J60" s="549"/>
      <c r="K60" s="503"/>
      <c r="L60" s="494">
        <v>1</v>
      </c>
      <c r="M60" s="945"/>
      <c r="N60" s="552"/>
      <c r="O60" s="512"/>
      <c r="P60" s="539"/>
      <c r="Q60" s="549">
        <v>5</v>
      </c>
      <c r="R60" s="549"/>
      <c r="S60" s="549"/>
      <c r="T60" s="1530"/>
      <c r="U60" s="1530"/>
      <c r="V60" s="1530"/>
      <c r="W60" s="1530"/>
      <c r="X60" s="476"/>
      <c r="Y60" s="526" t="s">
        <v>1496</v>
      </c>
      <c r="Z60" s="549"/>
      <c r="AA60" s="958"/>
      <c r="AB60" s="954"/>
      <c r="AC60" s="498"/>
      <c r="AN60"/>
      <c r="AO60"/>
      <c r="AP60"/>
      <c r="AQ60"/>
      <c r="AR60"/>
      <c r="AS60"/>
      <c r="AT60"/>
      <c r="AU60"/>
      <c r="AV60"/>
      <c r="AW60"/>
      <c r="AX60"/>
      <c r="AY60"/>
      <c r="AZ60"/>
    </row>
    <row r="61" spans="1:52" s="549" customFormat="1">
      <c r="A61" s="550"/>
      <c r="C61" s="552" t="s">
        <v>830</v>
      </c>
      <c r="D61" s="531" t="s">
        <v>491</v>
      </c>
      <c r="E61" s="652" t="s">
        <v>907</v>
      </c>
      <c r="F61" s="526" t="s">
        <v>833</v>
      </c>
      <c r="G61" s="552">
        <v>2030</v>
      </c>
      <c r="H61" s="552" t="s">
        <v>700</v>
      </c>
      <c r="I61" s="552">
        <f>G61</f>
        <v>2030</v>
      </c>
      <c r="J61" s="552"/>
      <c r="K61" s="535">
        <f t="array" ref="K61">$AH$14/INDEX('Eff PHEV'!$F$21:$S$21,,MATCH(TRA_Cars!G61&amp;TRA_Cars!$AY$10,'Eff PHEV'!$F$15:$S$15&amp;'Eff PHEV'!$F$16:$S$16,0))</f>
        <v>3243.4158020750201</v>
      </c>
      <c r="L61" s="494">
        <v>1</v>
      </c>
      <c r="M61" s="944">
        <f>1-M62</f>
        <v>0.31451378115912909</v>
      </c>
      <c r="N61" s="552">
        <v>16</v>
      </c>
      <c r="O61" s="512">
        <f>('O&amp;M'!$I$69+'O&amp;M'!$I$70)*$AE$7</f>
        <v>9.5086104003805458E-4</v>
      </c>
      <c r="P61" s="535">
        <f t="array" ref="P61">INDEX('Cars INVCOST'!$D$24:$Q$89,MATCH(TRA_Cars!$AW$9&amp;TRA_Cars!$AX$9,'Cars INVCOST'!$C$24:$C$89&amp;'Cars INVCOST'!$A$24:$A$89,0),MATCH(TRA_Cars!G61&amp;$AY$9,'Cars INVCOST'!$D$22:$Q$22&amp;'Cars INVCOST'!$D$23:$Q$23,0))*$AG$7/1000</f>
        <v>147.31080311666409</v>
      </c>
      <c r="Q61" s="549">
        <v>5</v>
      </c>
      <c r="R61" s="486">
        <v>5</v>
      </c>
      <c r="S61" s="549">
        <v>15757.590543070028</v>
      </c>
      <c r="T61" s="1530">
        <f t="array" ref="T61">INDEX(EMIS_factors!$G$6:$O$152,MATCH($G61&amp;$Y61,EMIS_factors!$E$6:$E$152&amp;EMIS_factors!$D$6:$D$152,0),MATCH(RIGHT(T$3,6),EMIS_factors!$G$4:$O$4,0))</f>
        <v>5.5619936369061577E-5</v>
      </c>
      <c r="U61" s="1530">
        <f t="array" ref="U61">INDEX(EMIS_factors!$G$6:$O$152,MATCH($G61&amp;$Y61,EMIS_factors!$E$6:$E$152&amp;EMIS_factors!$D$6:$D$152,0),MATCH(RIGHT(U$3,6),EMIS_factors!$G$4:$O$4,0))</f>
        <v>2.6199076934235489E-2</v>
      </c>
      <c r="V61" s="1530">
        <f t="array" ref="V61">INDEX(EMIS_factors!$G$6:$O$152,MATCH($G61&amp;$Y61,EMIS_factors!$E$6:$E$152&amp;EMIS_factors!$D$6:$D$152,0),MATCH(RIGHT(V$3,6),EMIS_factors!$G$4:$O$4,0))</f>
        <v>1.9936433996084317E-3</v>
      </c>
      <c r="W61" s="1530">
        <f t="array" ref="W61">INDEX(EMIS_factors!$G$6:$O$152,MATCH($G61&amp;$Y61,EMIS_factors!$E$6:$E$152&amp;EMIS_factors!$D$6:$D$152,0),MATCH(RIGHT(W$3,6),EMIS_factors!$G$4:$O$4,0))</f>
        <v>33.700410571060132</v>
      </c>
      <c r="X61" s="476"/>
      <c r="Y61" s="526" t="s">
        <v>1496</v>
      </c>
      <c r="AA61" s="957">
        <f t="array" ref="AA61">INDEX('Eff PHEV'!$F$26:$S$26,,MATCH(TRA_Cars!G61&amp;TRA_Cars!$AY$10,'Eff PHEV'!$F$15:$S$15&amp;'Eff PHEV'!$F$16:$S$16,0))</f>
        <v>1324.6197617947548</v>
      </c>
      <c r="AB61" s="954"/>
      <c r="AD61" s="516"/>
      <c r="AL61" s="486"/>
      <c r="AM61" s="486"/>
      <c r="AN61" s="486"/>
      <c r="AO61" s="486"/>
      <c r="AP61" s="486"/>
      <c r="AQ61" s="486"/>
      <c r="AR61" s="486"/>
      <c r="AS61" s="486"/>
      <c r="AT61" s="486"/>
      <c r="AU61" s="486"/>
      <c r="AV61" s="486"/>
      <c r="AW61" s="486"/>
      <c r="AX61" s="486"/>
      <c r="AY61" s="486"/>
      <c r="AZ61" s="486"/>
    </row>
    <row r="62" spans="1:52" s="486" customFormat="1">
      <c r="A62" s="3"/>
      <c r="C62" s="552"/>
      <c r="D62" s="531"/>
      <c r="E62" s="652" t="s">
        <v>903</v>
      </c>
      <c r="F62" s="526" t="s">
        <v>834</v>
      </c>
      <c r="G62" s="549"/>
      <c r="K62" s="535">
        <f>AA25</f>
        <v>444.24057791825942</v>
      </c>
      <c r="L62" s="494">
        <v>1</v>
      </c>
      <c r="M62" s="945">
        <f>$AL$56</f>
        <v>0.68548621884087091</v>
      </c>
      <c r="O62" s="512"/>
      <c r="P62" s="535"/>
      <c r="Q62" s="549">
        <v>5</v>
      </c>
      <c r="R62" s="486">
        <v>5</v>
      </c>
      <c r="S62" s="549"/>
      <c r="T62" s="1530"/>
      <c r="U62" s="1530"/>
      <c r="V62" s="1530"/>
      <c r="W62" s="1530"/>
      <c r="X62" s="476"/>
      <c r="Y62" s="526" t="s">
        <v>1496</v>
      </c>
      <c r="Z62" s="549"/>
      <c r="AA62" s="958"/>
      <c r="AB62" s="954"/>
      <c r="AC62" s="498"/>
      <c r="AD62" s="516"/>
      <c r="AL62" s="516"/>
      <c r="AM62" s="516"/>
      <c r="AN62" s="516"/>
      <c r="AO62" s="516"/>
      <c r="AP62" s="516"/>
      <c r="AQ62" s="516"/>
      <c r="AR62" s="516"/>
      <c r="AS62" s="516"/>
      <c r="AT62" s="516"/>
      <c r="AU62" s="516"/>
      <c r="AV62" s="516"/>
      <c r="AW62" s="516"/>
      <c r="AX62" s="516"/>
      <c r="AY62" s="516"/>
      <c r="AZ62" s="516"/>
    </row>
    <row r="63" spans="1:52" s="486" customFormat="1">
      <c r="A63" s="3"/>
      <c r="C63" s="552"/>
      <c r="D63" s="531"/>
      <c r="E63" s="536"/>
      <c r="F63" s="552" t="s">
        <v>835</v>
      </c>
      <c r="G63" s="549"/>
      <c r="L63" s="494">
        <v>1</v>
      </c>
      <c r="N63" s="487"/>
      <c r="O63" s="513"/>
      <c r="P63" s="535"/>
      <c r="Q63" s="549">
        <v>5</v>
      </c>
      <c r="S63" s="549"/>
      <c r="T63" s="1530"/>
      <c r="U63" s="1530"/>
      <c r="V63" s="1530"/>
      <c r="W63" s="1530"/>
      <c r="X63" s="476"/>
      <c r="Y63" s="526" t="s">
        <v>1496</v>
      </c>
      <c r="Z63" s="549"/>
      <c r="AA63" s="954"/>
      <c r="AB63" s="954"/>
      <c r="AC63" s="498"/>
      <c r="AD63" s="516"/>
      <c r="AL63" s="516"/>
      <c r="AM63" s="516"/>
      <c r="AN63" s="516"/>
      <c r="AO63" s="516"/>
      <c r="AP63" s="516"/>
      <c r="AQ63" s="516"/>
      <c r="AR63" s="516"/>
      <c r="AS63" s="516"/>
      <c r="AT63" s="516"/>
      <c r="AU63" s="516"/>
      <c r="AV63" s="516"/>
      <c r="AW63" s="516"/>
      <c r="AX63" s="516"/>
      <c r="AY63" s="516"/>
      <c r="AZ63" s="516"/>
    </row>
    <row r="64" spans="1:52" s="486" customFormat="1" ht="13.8" thickBot="1">
      <c r="A64" s="3"/>
      <c r="C64" s="514"/>
      <c r="D64" s="514"/>
      <c r="E64" s="514"/>
      <c r="F64" s="514" t="s">
        <v>836</v>
      </c>
      <c r="G64" s="514"/>
      <c r="H64" s="514"/>
      <c r="I64" s="514"/>
      <c r="J64" s="514"/>
      <c r="K64" s="514"/>
      <c r="L64" s="554">
        <v>1</v>
      </c>
      <c r="M64" s="514"/>
      <c r="N64" s="514"/>
      <c r="O64" s="515"/>
      <c r="P64" s="554"/>
      <c r="Q64" s="514">
        <v>5</v>
      </c>
      <c r="R64" s="515"/>
      <c r="S64" s="514"/>
      <c r="T64" s="1530"/>
      <c r="U64" s="1530"/>
      <c r="V64" s="1530"/>
      <c r="W64" s="1530"/>
      <c r="X64" s="476"/>
      <c r="Y64" s="526" t="s">
        <v>1496</v>
      </c>
      <c r="Z64" s="552"/>
      <c r="AA64" s="956"/>
      <c r="AB64" s="956"/>
      <c r="AC64" s="498"/>
      <c r="AD64" s="516"/>
      <c r="AL64" s="516"/>
      <c r="AM64" s="516"/>
      <c r="AN64" s="516"/>
      <c r="AO64" s="516"/>
      <c r="AP64" s="516"/>
      <c r="AQ64" s="516"/>
      <c r="AR64" s="516"/>
      <c r="AS64" s="516"/>
      <c r="AT64" s="516"/>
      <c r="AU64" s="516"/>
      <c r="AV64" s="516"/>
      <c r="AW64" s="516"/>
      <c r="AX64" s="516"/>
      <c r="AY64" s="516"/>
      <c r="AZ64" s="516"/>
    </row>
    <row r="65" spans="1:52" s="549" customFormat="1">
      <c r="A65" s="550"/>
      <c r="C65" s="549" t="s">
        <v>831</v>
      </c>
      <c r="D65" s="531" t="s">
        <v>230</v>
      </c>
      <c r="E65" s="534" t="s">
        <v>1341</v>
      </c>
      <c r="F65" s="526" t="s">
        <v>833</v>
      </c>
      <c r="G65" s="549">
        <v>2015</v>
      </c>
      <c r="H65" s="549" t="s">
        <v>700</v>
      </c>
      <c r="I65" s="549">
        <v>2018</v>
      </c>
      <c r="L65" s="519">
        <f>AA65/AB65</f>
        <v>2.1050332031148233</v>
      </c>
      <c r="M65" s="494"/>
      <c r="N65" s="552">
        <v>16</v>
      </c>
      <c r="O65" s="47">
        <f>('O&amp;M'!$I$69+'O&amp;M'!$I$70)*$AE$7</f>
        <v>9.5086104003805458E-4</v>
      </c>
      <c r="P65" s="535">
        <f t="array" ref="P65">INDEX('Cars INVCOST'!$D$24:$Q$89,MATCH(TRA_Cars!$AW$10&amp;TRA_Cars!$AX$10,'Cars INVCOST'!$C$24:$C$89&amp;'Cars INVCOST'!$A$24:$A$89,0),MATCH(TRA_Cars!AC53&amp;$AY$10,'Cars INVCOST'!$D$22:$Q$22&amp;'Cars INVCOST'!$D$23:$Q$23,0))*$AG$7/1000</f>
        <v>167.95675202072098</v>
      </c>
      <c r="Q65" s="549">
        <v>5</v>
      </c>
      <c r="R65" s="552"/>
      <c r="S65" s="549">
        <v>15757.590543070028</v>
      </c>
      <c r="T65" s="1530">
        <f t="array" ref="T65">INDEX(EMIS_factors!$G$6:$O$152,MATCH($G65&amp;$Y65,EMIS_factors!$E$6:$E$152&amp;EMIS_factors!$D$6:$D$152,0),MATCH(RIGHT(T$3,6),EMIS_factors!$G$4:$O$4,0))</f>
        <v>0</v>
      </c>
      <c r="U65" s="1530">
        <f t="array" ref="U65">INDEX(EMIS_factors!$G$6:$O$152,MATCH($G65&amp;$Y65,EMIS_factors!$E$6:$E$152&amp;EMIS_factors!$D$6:$D$152,0),MATCH(RIGHT(U$3,6),EMIS_factors!$G$4:$O$4,0))</f>
        <v>0</v>
      </c>
      <c r="V65" s="1530">
        <f t="array" ref="V65">INDEX(EMIS_factors!$G$6:$O$152,MATCH($G65&amp;$Y65,EMIS_factors!$E$6:$E$152&amp;EMIS_factors!$D$6:$D$152,0),MATCH(RIGHT(V$3,6),EMIS_factors!$G$4:$O$4,0))</f>
        <v>0</v>
      </c>
      <c r="W65" s="1530">
        <f t="array" ref="W65">INDEX(EMIS_factors!$G$6:$O$152,MATCH($G65&amp;$Y65,EMIS_factors!$E$6:$E$152&amp;EMIS_factors!$D$6:$D$152,0),MATCH(RIGHT(W$3,6),EMIS_factors!$G$4:$O$4,0))</f>
        <v>30.97370803113132</v>
      </c>
      <c r="X65" s="476"/>
      <c r="Y65" s="526" t="s">
        <v>1465</v>
      </c>
      <c r="AA65" s="952">
        <f t="array" ref="AA65">INDEX('Eff SF'!$D$11:$Q$28,MATCH(TRA_Cars!$AX$10&amp;TRA_Cars!$BA$10,'Eff SF'!$A$11:$A$28&amp;'Eff SF'!$C$11:$C$28,0),MATCH(TRA_Cars!AC53&amp;TRA_Cars!$AY$10,'Eff SF'!$D$9:$Q$9&amp;'Eff SF'!$D$10:$Q$10,0))*$AH$13</f>
        <v>800.58467891165117</v>
      </c>
      <c r="AB65" s="952">
        <v>380.31926419356421</v>
      </c>
      <c r="AD65" s="516"/>
      <c r="AL65" s="516"/>
      <c r="AM65" s="516"/>
      <c r="AN65" s="516"/>
      <c r="AO65" s="516"/>
      <c r="AP65" s="516"/>
      <c r="AQ65" s="516"/>
      <c r="AR65" s="516"/>
      <c r="AS65" s="516"/>
      <c r="AT65" s="516"/>
      <c r="AU65" s="516"/>
      <c r="AV65" s="516"/>
      <c r="AW65" s="516"/>
      <c r="AX65" s="516"/>
      <c r="AY65" s="516"/>
      <c r="AZ65" s="516"/>
    </row>
    <row r="66" spans="1:52">
      <c r="C66" s="552"/>
      <c r="D66" s="552"/>
      <c r="E66" s="536"/>
      <c r="F66" s="526" t="s">
        <v>834</v>
      </c>
      <c r="G66" s="549"/>
      <c r="H66" s="549"/>
      <c r="I66" s="549"/>
      <c r="J66" s="549"/>
      <c r="K66" s="41"/>
      <c r="L66" s="519">
        <f>AA65/AB65</f>
        <v>2.1050332031148233</v>
      </c>
      <c r="M66" s="41"/>
      <c r="N66" s="549"/>
      <c r="O66" s="513"/>
      <c r="P66" s="539"/>
      <c r="Q66" s="549">
        <v>5</v>
      </c>
      <c r="T66" s="1530"/>
      <c r="U66" s="1530"/>
      <c r="V66" s="1530"/>
      <c r="W66" s="1530"/>
      <c r="Y66" s="526" t="s">
        <v>1465</v>
      </c>
      <c r="AA66" s="954"/>
      <c r="AB66" s="954"/>
      <c r="AD66" s="516"/>
      <c r="AL66" s="516"/>
      <c r="AM66" s="516"/>
      <c r="AN66" s="516"/>
      <c r="AO66" s="516"/>
      <c r="AP66" s="516"/>
      <c r="AQ66" s="516"/>
      <c r="AR66" s="516"/>
      <c r="AS66" s="516"/>
      <c r="AT66" s="516"/>
      <c r="AU66" s="516"/>
      <c r="AV66" s="516"/>
      <c r="AW66" s="516"/>
      <c r="AX66" s="516"/>
      <c r="AY66" s="516"/>
      <c r="AZ66" s="516"/>
    </row>
    <row r="67" spans="1:52">
      <c r="C67" s="552"/>
      <c r="D67" s="552"/>
      <c r="E67" s="536"/>
      <c r="F67" s="552" t="s">
        <v>835</v>
      </c>
      <c r="G67" s="549"/>
      <c r="H67" s="549"/>
      <c r="I67" s="549"/>
      <c r="J67" s="549"/>
      <c r="K67" s="41"/>
      <c r="L67" s="519">
        <f>AA65/AB65</f>
        <v>2.1050332031148233</v>
      </c>
      <c r="M67" s="41"/>
      <c r="N67" s="552"/>
      <c r="O67" s="513"/>
      <c r="P67" s="539"/>
      <c r="Q67" s="549">
        <v>5</v>
      </c>
      <c r="T67" s="1530"/>
      <c r="U67" s="1530"/>
      <c r="V67" s="1530"/>
      <c r="W67" s="1530"/>
      <c r="Y67" s="526" t="s">
        <v>1465</v>
      </c>
      <c r="AA67" s="954"/>
      <c r="AB67" s="954"/>
      <c r="AD67" s="516"/>
      <c r="AL67" s="516"/>
      <c r="AM67" s="516"/>
      <c r="AN67" s="516"/>
      <c r="AO67" s="516"/>
      <c r="AP67" s="516"/>
      <c r="AQ67" s="516"/>
      <c r="AR67" s="516"/>
      <c r="AS67" s="516"/>
      <c r="AT67" s="516"/>
      <c r="AU67" s="516"/>
      <c r="AV67" s="516"/>
      <c r="AW67" s="516"/>
      <c r="AX67" s="516"/>
      <c r="AY67" s="516"/>
      <c r="AZ67" s="516"/>
    </row>
    <row r="68" spans="1:52">
      <c r="C68" s="552"/>
      <c r="D68" s="552"/>
      <c r="E68" s="536"/>
      <c r="F68" s="533" t="s">
        <v>836</v>
      </c>
      <c r="G68" s="549"/>
      <c r="H68" s="552"/>
      <c r="I68" s="549"/>
      <c r="J68" s="549"/>
      <c r="K68" s="41"/>
      <c r="L68" s="519">
        <f>AA65/AB65</f>
        <v>2.1050332031148233</v>
      </c>
      <c r="M68" s="41"/>
      <c r="N68" s="552"/>
      <c r="O68" s="512"/>
      <c r="P68" s="539"/>
      <c r="Q68" s="549">
        <v>5</v>
      </c>
      <c r="T68" s="1530"/>
      <c r="U68" s="1530"/>
      <c r="V68" s="1530"/>
      <c r="W68" s="1530"/>
      <c r="Y68" s="526" t="s">
        <v>1465</v>
      </c>
      <c r="AA68" s="954"/>
      <c r="AB68" s="954"/>
      <c r="AD68" s="486"/>
      <c r="AL68" s="516"/>
      <c r="AM68" s="516"/>
      <c r="AN68" s="516"/>
      <c r="AO68" s="516"/>
      <c r="AP68" s="516"/>
      <c r="AQ68" s="516"/>
      <c r="AR68" s="516"/>
      <c r="AS68" s="516"/>
      <c r="AT68" s="516"/>
      <c r="AU68" s="516"/>
      <c r="AV68" s="516"/>
      <c r="AW68" s="516"/>
      <c r="AX68" s="516"/>
      <c r="AY68" s="516"/>
      <c r="AZ68" s="516"/>
    </row>
    <row r="69" spans="1:52" s="549" customFormat="1">
      <c r="A69" s="550"/>
      <c r="C69" s="552"/>
      <c r="D69" s="531"/>
      <c r="E69" s="536"/>
      <c r="F69" s="526" t="s">
        <v>833</v>
      </c>
      <c r="G69" s="552">
        <v>2020</v>
      </c>
      <c r="H69" s="552" t="s">
        <v>700</v>
      </c>
      <c r="I69" s="552"/>
      <c r="J69" s="552"/>
      <c r="L69" s="519">
        <f>AA69/AB69</f>
        <v>2.3982426629207403</v>
      </c>
      <c r="M69" s="539"/>
      <c r="N69" s="552">
        <v>16</v>
      </c>
      <c r="O69" s="512">
        <f>('O&amp;M'!$I$69+'O&amp;M'!$I$70)*$AE$7</f>
        <v>9.5086104003805458E-4</v>
      </c>
      <c r="P69" s="535">
        <f t="array" ref="P69">INDEX('Cars INVCOST'!$D$24:$Q$89,MATCH(TRA_Cars!$AW$10&amp;TRA_Cars!$AX$10,'Cars INVCOST'!$C$24:$C$89&amp;'Cars INVCOST'!$A$24:$A$89,0),MATCH(TRA_Cars!G69&amp;$AY$10,'Cars INVCOST'!$D$22:$Q$22&amp;'Cars INVCOST'!$D$23:$Q$23,0))*$AG$7/1000</f>
        <v>154.14490846878923</v>
      </c>
      <c r="Q69" s="549">
        <v>5</v>
      </c>
      <c r="S69" s="549">
        <v>15757.590543070028</v>
      </c>
      <c r="T69" s="1530">
        <f t="array" ref="T69">INDEX(EMIS_factors!$G$6:$O$152,MATCH($G69&amp;$Y69,EMIS_factors!$E$6:$E$152&amp;EMIS_factors!$D$6:$D$152,0),MATCH(RIGHT(T$3,6),EMIS_factors!$G$4:$O$4,0))</f>
        <v>0</v>
      </c>
      <c r="U69" s="1530">
        <f t="array" ref="U69">INDEX(EMIS_factors!$G$6:$O$152,MATCH($G69&amp;$Y69,EMIS_factors!$E$6:$E$152&amp;EMIS_factors!$D$6:$D$152,0),MATCH(RIGHT(U$3,6),EMIS_factors!$G$4:$O$4,0))</f>
        <v>0</v>
      </c>
      <c r="V69" s="1530">
        <f t="array" ref="V69">INDEX(EMIS_factors!$G$6:$O$152,MATCH($G69&amp;$Y69,EMIS_factors!$E$6:$E$152&amp;EMIS_factors!$D$6:$D$152,0),MATCH(RIGHT(V$3,6),EMIS_factors!$G$4:$O$4,0))</f>
        <v>0</v>
      </c>
      <c r="W69" s="1530">
        <f t="array" ref="W69">INDEX(EMIS_factors!$G$6:$O$152,MATCH($G69&amp;$Y69,EMIS_factors!$E$6:$E$152&amp;EMIS_factors!$D$6:$D$152,0),MATCH(RIGHT(W$3,6),EMIS_factors!$G$4:$O$4,0))</f>
        <v>30.991358895356772</v>
      </c>
      <c r="X69" s="476"/>
      <c r="Y69" s="526" t="s">
        <v>1465</v>
      </c>
      <c r="AA69" s="952">
        <f t="array" ref="AA69">INDEX('Eff SF'!$D$11:$Q$28,MATCH(TRA_Cars!$AX$10&amp;TRA_Cars!$BA$10,'Eff SF'!$A$11:$A$28&amp;'Eff SF'!$C$11:$C$28,0),MATCH(TRA_Cars!G69&amp;TRA_Cars!$AY$10,'Eff SF'!$D$9:$Q$9&amp;'Eff SF'!$D$10:$Q$10,0))*$AH$13</f>
        <v>912.09788491963002</v>
      </c>
      <c r="AB69" s="952">
        <v>380.31926419356421</v>
      </c>
      <c r="AD69"/>
      <c r="AL69" s="486"/>
      <c r="AM69" s="486"/>
      <c r="AN69" s="486"/>
      <c r="AO69" s="486"/>
      <c r="AP69" s="486"/>
      <c r="AQ69" s="486"/>
      <c r="AR69" s="486"/>
      <c r="AS69" s="486"/>
      <c r="AT69" s="486"/>
      <c r="AU69" s="486"/>
      <c r="AV69" s="486"/>
      <c r="AW69" s="486"/>
      <c r="AX69" s="486"/>
      <c r="AY69" s="486"/>
      <c r="AZ69" s="486"/>
    </row>
    <row r="70" spans="1:52">
      <c r="C70" s="552"/>
      <c r="D70" s="552"/>
      <c r="E70" s="536"/>
      <c r="F70" s="526" t="s">
        <v>834</v>
      </c>
      <c r="G70" s="552"/>
      <c r="H70" s="552"/>
      <c r="I70" s="552"/>
      <c r="J70" s="552"/>
      <c r="K70" s="41"/>
      <c r="L70" s="519">
        <f>AA69/AB69</f>
        <v>2.3982426629207403</v>
      </c>
      <c r="M70" s="41"/>
      <c r="N70" s="552"/>
      <c r="O70" s="512"/>
      <c r="P70" s="539"/>
      <c r="Q70" s="549">
        <v>5</v>
      </c>
      <c r="T70" s="1530"/>
      <c r="U70" s="1530"/>
      <c r="V70" s="1530"/>
      <c r="W70" s="1530"/>
      <c r="Y70" s="526" t="s">
        <v>1465</v>
      </c>
      <c r="AA70" s="954"/>
      <c r="AB70" s="954"/>
    </row>
    <row r="71" spans="1:52">
      <c r="C71" s="552"/>
      <c r="D71" s="552"/>
      <c r="E71" s="536"/>
      <c r="F71" s="552" t="s">
        <v>835</v>
      </c>
      <c r="G71" s="552"/>
      <c r="H71" s="552"/>
      <c r="I71" s="552"/>
      <c r="J71" s="552"/>
      <c r="K71" s="41"/>
      <c r="L71" s="519">
        <f>AA69/AB69</f>
        <v>2.3982426629207403</v>
      </c>
      <c r="M71" s="41"/>
      <c r="N71" s="552"/>
      <c r="O71" s="512"/>
      <c r="P71" s="539"/>
      <c r="Q71" s="549">
        <v>5</v>
      </c>
      <c r="T71" s="1530"/>
      <c r="U71" s="1530"/>
      <c r="V71" s="1530"/>
      <c r="W71" s="1530"/>
      <c r="Y71" s="526" t="s">
        <v>1465</v>
      </c>
      <c r="AA71" s="954"/>
      <c r="AB71" s="954"/>
    </row>
    <row r="72" spans="1:52">
      <c r="C72" s="552"/>
      <c r="D72" s="552"/>
      <c r="E72" s="536"/>
      <c r="F72" s="533" t="s">
        <v>836</v>
      </c>
      <c r="G72" s="552"/>
      <c r="H72" s="549"/>
      <c r="I72" s="549"/>
      <c r="J72" s="549"/>
      <c r="K72" s="41"/>
      <c r="L72" s="519">
        <f>AA69/AB69</f>
        <v>2.3982426629207403</v>
      </c>
      <c r="M72" s="41"/>
      <c r="N72" s="552"/>
      <c r="O72" s="512"/>
      <c r="P72" s="539"/>
      <c r="Q72" s="549">
        <v>5</v>
      </c>
      <c r="T72" s="1530"/>
      <c r="U72" s="1530"/>
      <c r="V72" s="1530"/>
      <c r="W72" s="1530"/>
      <c r="Y72" s="526" t="s">
        <v>1465</v>
      </c>
      <c r="AA72" s="954"/>
      <c r="AB72" s="954"/>
      <c r="AE72" s="486"/>
      <c r="AF72" s="486"/>
      <c r="AG72" s="486"/>
      <c r="AH72" s="486"/>
    </row>
    <row r="73" spans="1:52" s="549" customFormat="1">
      <c r="A73" s="550"/>
      <c r="C73" s="552"/>
      <c r="D73" s="531"/>
      <c r="E73" s="536"/>
      <c r="F73" s="526" t="s">
        <v>833</v>
      </c>
      <c r="G73" s="552">
        <v>2030</v>
      </c>
      <c r="H73" s="552" t="s">
        <v>700</v>
      </c>
      <c r="I73" s="552"/>
      <c r="J73" s="552"/>
      <c r="L73" s="519">
        <f>AA73/AB73</f>
        <v>2.999183137207095</v>
      </c>
      <c r="M73" s="539"/>
      <c r="N73" s="552">
        <v>16</v>
      </c>
      <c r="O73" s="512">
        <f>('O&amp;M'!$I$69+'O&amp;M'!$I$70)*$AE$7</f>
        <v>9.5086104003805458E-4</v>
      </c>
      <c r="P73" s="535">
        <f t="array" ref="P73">INDEX('Cars INVCOST'!$D$24:$Q$89,MATCH(TRA_Cars!$AW$10&amp;TRA_Cars!$AX$10,'Cars INVCOST'!$C$24:$C$89&amp;'Cars INVCOST'!$A$24:$A$89,0),MATCH(TRA_Cars!G73&amp;$AY$10,'Cars INVCOST'!$D$22:$Q$22&amp;'Cars INVCOST'!$D$23:$Q$23,0))*$AG$7/1000</f>
        <v>139.31191099938422</v>
      </c>
      <c r="Q73" s="549">
        <v>5</v>
      </c>
      <c r="S73" s="549">
        <v>15757.590543070028</v>
      </c>
      <c r="T73" s="1530">
        <f t="array" ref="T73">INDEX(EMIS_factors!$G$6:$O$152,MATCH($G73&amp;$Y73,EMIS_factors!$E$6:$E$152&amp;EMIS_factors!$D$6:$D$152,0),MATCH(RIGHT(T$3,6),EMIS_factors!$G$4:$O$4,0))</f>
        <v>0</v>
      </c>
      <c r="U73" s="1530">
        <f t="array" ref="U73">INDEX(EMIS_factors!$G$6:$O$152,MATCH($G73&amp;$Y73,EMIS_factors!$E$6:$E$152&amp;EMIS_factors!$D$6:$D$152,0),MATCH(RIGHT(U$3,6),EMIS_factors!$G$4:$O$4,0))</f>
        <v>0</v>
      </c>
      <c r="V73" s="1530">
        <f t="array" ref="V73">INDEX(EMIS_factors!$G$6:$O$152,MATCH($G73&amp;$Y73,EMIS_factors!$E$6:$E$152&amp;EMIS_factors!$D$6:$D$152,0),MATCH(RIGHT(V$3,6),EMIS_factors!$G$4:$O$4,0))</f>
        <v>0</v>
      </c>
      <c r="W73" s="1530">
        <f t="array" ref="W73">INDEX(EMIS_factors!$G$6:$O$152,MATCH($G73&amp;$Y73,EMIS_factors!$E$6:$E$152&amp;EMIS_factors!$D$6:$D$152,0),MATCH(RIGHT(W$3,6),EMIS_factors!$G$4:$O$4,0))</f>
        <v>31.107060299580883</v>
      </c>
      <c r="X73" s="476"/>
      <c r="Y73" s="526" t="s">
        <v>1465</v>
      </c>
      <c r="AA73" s="952">
        <f t="array" ref="AA73">INDEX('Eff SF'!$D$11:$Q$28,MATCH(TRA_Cars!$AX$10&amp;TRA_Cars!$BA$10,'Eff SF'!$A$11:$A$28&amp;'Eff SF'!$C$11:$C$28,0),MATCH(TRA_Cars!G73&amp;TRA_Cars!$AY$10,'Eff SF'!$D$9:$Q$9&amp;'Eff SF'!$D$10:$Q$10,0))*$AH$13</f>
        <v>1140.6471239243479</v>
      </c>
      <c r="AB73" s="952">
        <v>380.31926419356421</v>
      </c>
      <c r="AD73"/>
      <c r="AE73" s="486"/>
      <c r="AF73" s="526"/>
      <c r="AG73" s="486"/>
      <c r="AH73" s="486"/>
      <c r="AI73" s="486"/>
      <c r="AJ73" s="486"/>
      <c r="AK73" s="486"/>
      <c r="AL73"/>
      <c r="AM73"/>
      <c r="AN73"/>
      <c r="AO73"/>
      <c r="AP73"/>
      <c r="AQ73"/>
      <c r="AR73"/>
      <c r="AS73"/>
      <c r="AT73"/>
      <c r="AU73"/>
      <c r="AV73"/>
      <c r="AW73"/>
      <c r="AX73"/>
      <c r="AY73"/>
      <c r="AZ73"/>
    </row>
    <row r="74" spans="1:52">
      <c r="C74" s="552"/>
      <c r="D74" s="552"/>
      <c r="E74" s="536"/>
      <c r="F74" s="526" t="s">
        <v>834</v>
      </c>
      <c r="G74" s="549"/>
      <c r="I74" s="549"/>
      <c r="J74" s="549"/>
      <c r="K74" s="41"/>
      <c r="L74" s="519">
        <f>AA73/AB73</f>
        <v>2.999183137207095</v>
      </c>
      <c r="M74" s="41"/>
      <c r="O74" s="512"/>
      <c r="P74" s="535"/>
      <c r="Q74" s="549">
        <v>5</v>
      </c>
      <c r="T74" s="1530"/>
      <c r="U74" s="1530"/>
      <c r="V74" s="1530"/>
      <c r="W74" s="1530"/>
      <c r="Y74" s="526" t="s">
        <v>1465</v>
      </c>
      <c r="AA74" s="954"/>
      <c r="AB74" s="954"/>
      <c r="AE74" s="486"/>
      <c r="AF74" s="486"/>
      <c r="AG74" s="486"/>
      <c r="AH74" s="486"/>
      <c r="AI74" s="486"/>
      <c r="AJ74" s="486"/>
      <c r="AK74" s="486"/>
    </row>
    <row r="75" spans="1:52">
      <c r="C75" s="552"/>
      <c r="D75" s="531"/>
      <c r="E75" s="481"/>
      <c r="F75" s="552" t="s">
        <v>835</v>
      </c>
      <c r="G75" s="549"/>
      <c r="K75" s="41"/>
      <c r="L75" s="519">
        <f>AA73/AB73</f>
        <v>2.999183137207095</v>
      </c>
      <c r="M75" s="41"/>
      <c r="O75" s="513"/>
      <c r="P75" s="535"/>
      <c r="Q75" s="549">
        <v>5</v>
      </c>
      <c r="T75" s="1530"/>
      <c r="U75" s="1530"/>
      <c r="V75" s="1530"/>
      <c r="W75" s="1530"/>
      <c r="Y75" s="526" t="s">
        <v>1465</v>
      </c>
      <c r="AA75" s="954"/>
      <c r="AB75" s="954"/>
      <c r="AG75" s="526"/>
      <c r="AI75" s="526"/>
      <c r="AJ75" s="486"/>
      <c r="AK75" s="526"/>
    </row>
    <row r="76" spans="1:52" ht="13.8" thickBot="1">
      <c r="C76" s="514"/>
      <c r="D76" s="514"/>
      <c r="E76" s="514"/>
      <c r="F76" s="514" t="s">
        <v>836</v>
      </c>
      <c r="G76" s="514"/>
      <c r="H76" s="514"/>
      <c r="I76" s="514"/>
      <c r="J76" s="514"/>
      <c r="K76" s="514"/>
      <c r="L76" s="901">
        <f>AA73/AB73</f>
        <v>2.999183137207095</v>
      </c>
      <c r="M76" s="514"/>
      <c r="N76" s="514"/>
      <c r="O76" s="515"/>
      <c r="P76" s="554"/>
      <c r="Q76" s="514">
        <v>5</v>
      </c>
      <c r="R76" s="515"/>
      <c r="S76" s="514"/>
      <c r="T76" s="1530"/>
      <c r="U76" s="1530"/>
      <c r="V76" s="1530"/>
      <c r="W76" s="1530"/>
      <c r="Y76" s="526" t="s">
        <v>1465</v>
      </c>
      <c r="Z76" s="552"/>
      <c r="AA76" s="956"/>
      <c r="AB76" s="956"/>
      <c r="AE76" s="526"/>
      <c r="AF76" s="535"/>
      <c r="AG76" s="535"/>
      <c r="AK76" s="549"/>
    </row>
    <row r="77" spans="1:52" s="549" customFormat="1">
      <c r="A77" s="550"/>
      <c r="C77" s="549" t="s">
        <v>832</v>
      </c>
      <c r="D77" s="531" t="s">
        <v>487</v>
      </c>
      <c r="E77" s="536" t="s">
        <v>908</v>
      </c>
      <c r="F77" s="526" t="s">
        <v>833</v>
      </c>
      <c r="G77" s="552">
        <v>2020</v>
      </c>
      <c r="H77" s="486" t="s">
        <v>700</v>
      </c>
      <c r="I77" s="487">
        <f>G77</f>
        <v>2020</v>
      </c>
      <c r="J77" s="531"/>
      <c r="L77" s="519">
        <f>AA77/AB77</f>
        <v>1.0170011895822448</v>
      </c>
      <c r="M77" s="531"/>
      <c r="N77" s="552">
        <v>16</v>
      </c>
      <c r="O77" s="513">
        <f>('O&amp;M'!$I$23+'O&amp;M'!$I$22)*TRA_Cars!$AE$7</f>
        <v>7.5508398661474794E-4</v>
      </c>
      <c r="P77" s="535">
        <f t="array" ref="P77">INDEX('Cars INVCOST'!$D$24:$Q$89,MATCH(TRA_Cars!$AW$11&amp;TRA_Cars!$AX$11,'Cars INVCOST'!$C$24:$C$89&amp;'Cars INVCOST'!$A$24:$A$89,0),MATCH(TRA_Cars!G77&amp;$AY$11,'Cars INVCOST'!$D$22:$Q$22&amp;'Cars INVCOST'!$D$23:$Q$23,0))*$AG$7/1000</f>
        <v>116.37605804396749</v>
      </c>
      <c r="Q77" s="549">
        <v>5</v>
      </c>
      <c r="S77" s="549">
        <v>15757.590543070028</v>
      </c>
      <c r="T77" s="1530">
        <f t="array" ref="T77">INDEX(EMIS_factors!$G$6:$O$152,MATCH($G77&amp;$Y77,EMIS_factors!$E$6:$E$152&amp;EMIS_factors!$D$6:$D$152,0),MATCH(RIGHT(T$3,6),EMIS_factors!$G$4:$O$4,0))</f>
        <v>1.12341249447608E-4</v>
      </c>
      <c r="U77" s="1530">
        <f t="array" ref="U77">INDEX(EMIS_factors!$G$6:$O$152,MATCH($G77&amp;$Y77,EMIS_factors!$E$6:$E$152&amp;EMIS_factors!$D$6:$D$152,0),MATCH(RIGHT(U$3,6),EMIS_factors!$G$4:$O$4,0))</f>
        <v>7.494050787500417E-2</v>
      </c>
      <c r="V77" s="1530">
        <f t="array" ref="V77">INDEX(EMIS_factors!$G$6:$O$152,MATCH($G77&amp;$Y77,EMIS_factors!$E$6:$E$152&amp;EMIS_factors!$D$6:$D$152,0),MATCH(RIGHT(V$3,6),EMIS_factors!$G$4:$O$4,0))</f>
        <v>5.0665166698559165E-3</v>
      </c>
      <c r="W77" s="1530">
        <f t="array" ref="W77">INDEX(EMIS_factors!$G$6:$O$152,MATCH($G77&amp;$Y77,EMIS_factors!$E$6:$E$152&amp;EMIS_factors!$D$6:$D$152,0),MATCH(RIGHT(W$3,6),EMIS_factors!$G$4:$O$4,0))</f>
        <v>36.458332889892894</v>
      </c>
      <c r="X77" s="476"/>
      <c r="Y77" s="526" t="s">
        <v>1464</v>
      </c>
      <c r="AA77" s="952">
        <f t="array" ref="AA77">INDEX('Eff SF'!$D$11:$Q$28,MATCH(TRA_Cars!$AX$11&amp;TRA_Cars!$BA$11,'Eff SF'!$A$11:$A$28&amp;'Eff SF'!$C$11:$C$28,0),MATCH(TRA_Cars!G77&amp;TRA_Cars!$AY$11,'Eff SF'!$D$9:$Q$9&amp;'Eff SF'!$D$10:$Q$10,0))*$AH$13</f>
        <v>386.78514410589889</v>
      </c>
      <c r="AB77" s="952">
        <v>380.31926419356421</v>
      </c>
      <c r="AE77" s="526"/>
      <c r="AF77" s="535"/>
      <c r="AG77" s="535"/>
      <c r="AH77" s="535"/>
      <c r="AJ77"/>
      <c r="AK77"/>
      <c r="AL77"/>
      <c r="AM77"/>
      <c r="AN77"/>
      <c r="AO77"/>
      <c r="AP77"/>
      <c r="AQ77"/>
      <c r="AR77"/>
      <c r="AS77"/>
      <c r="AT77"/>
      <c r="AU77"/>
      <c r="AV77"/>
      <c r="AW77"/>
      <c r="AX77"/>
      <c r="AY77"/>
      <c r="AZ77"/>
    </row>
    <row r="78" spans="1:52">
      <c r="E78" s="550"/>
      <c r="F78" s="526" t="s">
        <v>834</v>
      </c>
      <c r="G78" s="552"/>
      <c r="H78" s="486"/>
      <c r="I78" s="486"/>
      <c r="J78" s="487"/>
      <c r="L78" s="519">
        <f>AA77/AB77</f>
        <v>1.0170011895822448</v>
      </c>
      <c r="M78" s="27"/>
      <c r="N78" s="549"/>
      <c r="O78" s="512"/>
      <c r="P78" s="539"/>
      <c r="Q78" s="549">
        <v>5</v>
      </c>
      <c r="T78" s="1530"/>
      <c r="U78" s="1530"/>
      <c r="V78" s="1530"/>
      <c r="W78" s="1530"/>
      <c r="Y78" s="526" t="s">
        <v>1464</v>
      </c>
      <c r="AA78" s="952"/>
      <c r="AB78" s="952"/>
      <c r="AE78" s="526"/>
      <c r="AF78" s="526"/>
      <c r="AG78" s="526"/>
    </row>
    <row r="79" spans="1:52">
      <c r="E79" s="550"/>
      <c r="F79" s="552" t="s">
        <v>835</v>
      </c>
      <c r="G79" s="552"/>
      <c r="H79" s="486"/>
      <c r="I79" s="486"/>
      <c r="J79" s="486"/>
      <c r="L79" s="519">
        <f>AA77/AB77</f>
        <v>1.0170011895822448</v>
      </c>
      <c r="M79" s="27"/>
      <c r="N79" s="552"/>
      <c r="O79" s="512"/>
      <c r="P79" s="539"/>
      <c r="Q79" s="549">
        <v>5</v>
      </c>
      <c r="T79" s="1530"/>
      <c r="U79" s="1530"/>
      <c r="V79" s="1530"/>
      <c r="W79" s="1530"/>
      <c r="Y79" s="526" t="s">
        <v>1464</v>
      </c>
      <c r="AA79" s="952"/>
      <c r="AB79" s="952"/>
      <c r="AI79" s="549"/>
    </row>
    <row r="80" spans="1:52">
      <c r="E80" s="550"/>
      <c r="F80" s="533" t="s">
        <v>836</v>
      </c>
      <c r="G80" s="552"/>
      <c r="H80" s="549"/>
      <c r="I80" s="549"/>
      <c r="J80" s="486"/>
      <c r="L80" s="519">
        <f>AA77/AB77</f>
        <v>1.0170011895822448</v>
      </c>
      <c r="M80" s="27"/>
      <c r="N80" s="552"/>
      <c r="O80" s="512"/>
      <c r="P80" s="539"/>
      <c r="Q80" s="549">
        <v>5</v>
      </c>
      <c r="T80" s="1530"/>
      <c r="U80" s="1530"/>
      <c r="V80" s="1530"/>
      <c r="W80" s="1530"/>
      <c r="Y80" s="526" t="s">
        <v>1464</v>
      </c>
      <c r="AA80" s="952"/>
      <c r="AB80" s="952"/>
      <c r="AE80" s="526"/>
      <c r="AH80" s="526"/>
      <c r="AI80" s="526"/>
      <c r="AK80" s="486"/>
    </row>
    <row r="81" spans="1:52" s="549" customFormat="1">
      <c r="A81" s="550"/>
      <c r="E81" s="550"/>
      <c r="F81" s="526" t="s">
        <v>833</v>
      </c>
      <c r="G81" s="552">
        <v>2030</v>
      </c>
      <c r="H81" s="549" t="s">
        <v>700</v>
      </c>
      <c r="I81" s="487"/>
      <c r="L81" s="519">
        <f>AA81/AB81</f>
        <v>1.1680727739633046</v>
      </c>
      <c r="M81" s="535"/>
      <c r="N81" s="552">
        <v>16</v>
      </c>
      <c r="O81" s="513">
        <f>('O&amp;M'!$I$23+'O&amp;M'!$I$22)*TRA_Cars!$AE$7</f>
        <v>7.5508398661474794E-4</v>
      </c>
      <c r="P81" s="535">
        <f t="array" ref="P81">INDEX('Cars INVCOST'!$D$24:$Q$89,MATCH(TRA_Cars!$AW$11&amp;TRA_Cars!$AX$11,'Cars INVCOST'!$C$24:$C$89&amp;'Cars INVCOST'!$A$24:$A$89,0),MATCH(TRA_Cars!G81&amp;$AY$11,'Cars INVCOST'!$D$22:$Q$22&amp;'Cars INVCOST'!$D$23:$Q$23,0))*$AG$7/1000</f>
        <v>117.71717094905641</v>
      </c>
      <c r="Q81" s="549">
        <v>5</v>
      </c>
      <c r="S81" s="549">
        <v>15757.590543070028</v>
      </c>
      <c r="T81" s="1530">
        <f t="array" ref="T81">INDEX(EMIS_factors!$G$6:$O$152,MATCH($G81&amp;$Y81,EMIS_factors!$E$6:$E$152&amp;EMIS_factors!$D$6:$D$152,0),MATCH(RIGHT(T$3,6),EMIS_factors!$G$4:$O$4,0))</f>
        <v>1.1123987273812315E-4</v>
      </c>
      <c r="U81" s="1530">
        <f t="array" ref="U81">INDEX(EMIS_factors!$G$6:$O$152,MATCH($G81&amp;$Y81,EMIS_factors!$E$6:$E$152&amp;EMIS_factors!$D$6:$D$152,0),MATCH(RIGHT(U$3,6),EMIS_factors!$G$4:$O$4,0))</f>
        <v>5.2398153868470979E-2</v>
      </c>
      <c r="V81" s="1530">
        <f t="array" ref="V81">INDEX(EMIS_factors!$G$6:$O$152,MATCH($G81&amp;$Y81,EMIS_factors!$E$6:$E$152&amp;EMIS_factors!$D$6:$D$152,0),MATCH(RIGHT(V$3,6),EMIS_factors!$G$4:$O$4,0))</f>
        <v>3.9872867992168633E-3</v>
      </c>
      <c r="W81" s="1530">
        <f t="array" ref="W81">INDEX(EMIS_factors!$G$6:$O$152,MATCH($G81&amp;$Y81,EMIS_factors!$E$6:$E$152&amp;EMIS_factors!$D$6:$D$152,0),MATCH(RIGHT(W$3,6),EMIS_factors!$G$4:$O$4,0))</f>
        <v>36.293760842539385</v>
      </c>
      <c r="X81" s="476"/>
      <c r="Y81" s="526" t="s">
        <v>1464</v>
      </c>
      <c r="AA81" s="952">
        <f t="array" ref="AA81">INDEX('Eff SF'!$D$11:$Q$28,MATCH(TRA_Cars!$AX$11&amp;TRA_Cars!$BA$11,'Eff SF'!$A$11:$A$28&amp;'Eff SF'!$C$11:$C$28,0),MATCH(TRA_Cars!G81&amp;TRA_Cars!$AY$11,'Eff SF'!$D$9:$Q$9&amp;'Eff SF'!$D$10:$Q$10,0))*$AH$13</f>
        <v>444.24057791825942</v>
      </c>
      <c r="AB81" s="952">
        <v>380.31926419356421</v>
      </c>
      <c r="AE81" s="526"/>
      <c r="AG81" s="526"/>
      <c r="AI81" s="526"/>
      <c r="AK81" s="526"/>
      <c r="AL81"/>
      <c r="AM81"/>
      <c r="AN81"/>
      <c r="AO81"/>
      <c r="AP81"/>
      <c r="AQ81"/>
      <c r="AR81"/>
      <c r="AS81"/>
      <c r="AT81"/>
      <c r="AU81"/>
      <c r="AV81"/>
      <c r="AW81"/>
      <c r="AX81"/>
      <c r="AY81"/>
      <c r="AZ81"/>
    </row>
    <row r="82" spans="1:52">
      <c r="E82" s="550"/>
      <c r="F82" s="526" t="s">
        <v>834</v>
      </c>
      <c r="G82" s="549"/>
      <c r="J82" s="487"/>
      <c r="K82" s="27"/>
      <c r="L82" s="519">
        <f>AA81/AB81</f>
        <v>1.1680727739633046</v>
      </c>
      <c r="M82" s="27"/>
      <c r="Q82" s="549">
        <v>5</v>
      </c>
      <c r="T82" s="1530"/>
      <c r="U82" s="1530"/>
      <c r="V82" s="1530"/>
      <c r="W82" s="1530"/>
      <c r="Y82" s="526" t="s">
        <v>1464</v>
      </c>
      <c r="AA82" s="954"/>
      <c r="AB82" s="954"/>
      <c r="AE82" s="535"/>
      <c r="AF82" s="535"/>
      <c r="AG82" s="535"/>
      <c r="AH82" s="549"/>
      <c r="AI82" s="549"/>
      <c r="AJ82" s="549"/>
      <c r="AK82" s="549"/>
    </row>
    <row r="83" spans="1:52" s="486" customFormat="1">
      <c r="A83" s="3"/>
      <c r="E83" s="550"/>
      <c r="F83" s="552" t="s">
        <v>835</v>
      </c>
      <c r="G83" s="549"/>
      <c r="K83" s="27"/>
      <c r="L83" s="519">
        <f>AA81/AB81</f>
        <v>1.1680727739633046</v>
      </c>
      <c r="M83" s="27"/>
      <c r="N83" s="484"/>
      <c r="P83"/>
      <c r="Q83" s="549">
        <v>5</v>
      </c>
      <c r="S83" s="549"/>
      <c r="T83" s="1530"/>
      <c r="U83" s="1530"/>
      <c r="V83" s="1530"/>
      <c r="W83" s="1530"/>
      <c r="X83" s="476"/>
      <c r="Y83" s="526" t="s">
        <v>1464</v>
      </c>
      <c r="Z83" s="549"/>
      <c r="AA83" s="954"/>
      <c r="AB83" s="954"/>
      <c r="AC83" s="498"/>
      <c r="AD83"/>
      <c r="AE83" s="535"/>
      <c r="AF83" s="549"/>
      <c r="AG83" s="549"/>
      <c r="AH83" s="516"/>
      <c r="AL83"/>
      <c r="AM83"/>
      <c r="AN83"/>
      <c r="AO83"/>
      <c r="AP83"/>
      <c r="AQ83"/>
      <c r="AR83"/>
      <c r="AS83"/>
      <c r="AT83"/>
      <c r="AU83"/>
      <c r="AV83"/>
      <c r="AW83"/>
      <c r="AX83"/>
      <c r="AY83"/>
      <c r="AZ83"/>
    </row>
    <row r="84" spans="1:52" s="486" customFormat="1" ht="13.8" thickBot="1">
      <c r="A84" s="3"/>
      <c r="C84" s="514"/>
      <c r="D84" s="514"/>
      <c r="E84" s="514"/>
      <c r="F84" s="514" t="s">
        <v>836</v>
      </c>
      <c r="G84" s="514"/>
      <c r="H84" s="514"/>
      <c r="I84" s="514"/>
      <c r="J84" s="514"/>
      <c r="K84" s="514"/>
      <c r="L84" s="901">
        <f>AA81/AB81</f>
        <v>1.1680727739633046</v>
      </c>
      <c r="M84" s="514"/>
      <c r="N84" s="514"/>
      <c r="O84" s="515"/>
      <c r="P84" s="514"/>
      <c r="Q84" s="514">
        <v>5</v>
      </c>
      <c r="R84" s="515"/>
      <c r="S84" s="514"/>
      <c r="T84" s="1530"/>
      <c r="U84" s="1530"/>
      <c r="V84" s="1530"/>
      <c r="W84" s="1530"/>
      <c r="X84" s="476"/>
      <c r="Y84" s="526" t="s">
        <v>1464</v>
      </c>
      <c r="Z84" s="552"/>
      <c r="AA84" s="955"/>
      <c r="AB84" s="955"/>
      <c r="AC84" s="498"/>
      <c r="AD84"/>
      <c r="AE84" s="516"/>
      <c r="AF84" s="535"/>
      <c r="AG84" s="516"/>
      <c r="AI84" s="516"/>
      <c r="AJ84" s="516"/>
      <c r="AK84" s="516"/>
      <c r="AL84"/>
      <c r="AM84"/>
      <c r="AN84"/>
      <c r="AO84"/>
      <c r="AP84"/>
      <c r="AQ84"/>
      <c r="AR84"/>
      <c r="AS84"/>
      <c r="AT84"/>
      <c r="AU84"/>
      <c r="AV84"/>
      <c r="AW84"/>
      <c r="AX84"/>
      <c r="AY84"/>
      <c r="AZ84"/>
    </row>
    <row r="85" spans="1:52" s="486" customFormat="1">
      <c r="A85" s="3"/>
      <c r="E85" s="550"/>
      <c r="S85" s="549"/>
      <c r="T85" s="1530"/>
      <c r="U85" s="1530"/>
      <c r="V85" s="1530"/>
      <c r="W85" s="1530"/>
      <c r="X85" s="476"/>
      <c r="Y85" s="526"/>
      <c r="Z85" s="549"/>
      <c r="AA85" s="549"/>
      <c r="AB85" s="549"/>
      <c r="AC85" s="498"/>
      <c r="AD85"/>
      <c r="AE85" s="516"/>
      <c r="AF85" s="516"/>
      <c r="AG85" s="516"/>
      <c r="AH85" s="526"/>
      <c r="AI85" s="516"/>
      <c r="AJ85" s="516"/>
      <c r="AK85" s="526"/>
      <c r="AL85"/>
      <c r="AM85"/>
      <c r="AN85"/>
      <c r="AO85"/>
      <c r="AP85"/>
      <c r="AQ85"/>
      <c r="AR85"/>
      <c r="AS85"/>
      <c r="AT85"/>
      <c r="AU85"/>
      <c r="AV85"/>
      <c r="AW85"/>
      <c r="AX85"/>
      <c r="AY85"/>
      <c r="AZ85"/>
    </row>
    <row r="86" spans="1:52">
      <c r="T86" s="1530"/>
      <c r="U86" s="1530"/>
      <c r="V86" s="1530"/>
      <c r="W86" s="1530"/>
      <c r="Y86" s="526"/>
      <c r="AE86" s="516"/>
      <c r="AF86" s="516"/>
      <c r="AG86" s="516"/>
      <c r="AH86" s="516"/>
      <c r="AI86" s="516"/>
      <c r="AJ86" s="516"/>
      <c r="AK86" s="516"/>
    </row>
    <row r="87" spans="1:52">
      <c r="D87" s="9"/>
      <c r="N87" s="10"/>
      <c r="T87" s="1530"/>
      <c r="U87" s="1530"/>
      <c r="V87" s="1530"/>
      <c r="W87" s="1530"/>
      <c r="Y87" s="526"/>
    </row>
    <row r="88" spans="1:52">
      <c r="D88" s="9"/>
      <c r="M88" s="499"/>
      <c r="N88" s="10"/>
      <c r="T88" s="1530"/>
      <c r="U88" s="1530"/>
      <c r="V88" s="1530"/>
      <c r="W88" s="1530"/>
      <c r="Y88" s="526"/>
    </row>
    <row r="89" spans="1:52">
      <c r="B89" s="18" t="s">
        <v>62</v>
      </c>
      <c r="C89" s="18"/>
      <c r="D89" s="19"/>
      <c r="E89" s="19"/>
      <c r="F89" s="19"/>
      <c r="G89" s="19"/>
      <c r="H89" s="19"/>
      <c r="I89" s="19"/>
      <c r="K89" s="488"/>
      <c r="L89" s="19"/>
      <c r="M89" s="488"/>
    </row>
    <row r="90" spans="1:52" ht="13.8">
      <c r="B90" s="17" t="s">
        <v>63</v>
      </c>
      <c r="C90" s="17" t="s">
        <v>1</v>
      </c>
      <c r="D90" s="17" t="s">
        <v>64</v>
      </c>
      <c r="E90" s="17" t="s">
        <v>65</v>
      </c>
      <c r="F90" s="17" t="s">
        <v>66</v>
      </c>
      <c r="G90" s="17" t="s">
        <v>67</v>
      </c>
      <c r="H90" s="17" t="s">
        <v>68</v>
      </c>
      <c r="I90" s="17" t="s">
        <v>69</v>
      </c>
    </row>
    <row r="91" spans="1:52" ht="21" thickBot="1">
      <c r="B91" s="20" t="s">
        <v>70</v>
      </c>
      <c r="C91" s="20" t="s">
        <v>71</v>
      </c>
      <c r="D91" s="20" t="s">
        <v>72</v>
      </c>
      <c r="E91" s="20" t="s">
        <v>73</v>
      </c>
      <c r="F91" s="20" t="s">
        <v>74</v>
      </c>
      <c r="G91" s="20" t="s">
        <v>75</v>
      </c>
      <c r="H91" s="20" t="s">
        <v>76</v>
      </c>
      <c r="I91" s="20" t="s">
        <v>77</v>
      </c>
    </row>
    <row r="92" spans="1:52">
      <c r="B92" s="21" t="s">
        <v>78</v>
      </c>
      <c r="C92" t="str">
        <f>C5</f>
        <v>TPCADSBL2N</v>
      </c>
      <c r="D92" s="516" t="str">
        <f>D5</f>
        <v>Transport Passengers Car - Diesel Engine - Blending 2 - Average size - New</v>
      </c>
      <c r="E92" s="521" t="s">
        <v>81</v>
      </c>
      <c r="F92" s="522" t="s">
        <v>82</v>
      </c>
    </row>
    <row r="93" spans="1:52" s="486" customFormat="1">
      <c r="A93" s="3"/>
      <c r="B93" s="490"/>
      <c r="C93" s="486" t="str">
        <f>C9</f>
        <v>TPCADSBL3N</v>
      </c>
      <c r="D93" s="516" t="str">
        <f>D9</f>
        <v>Transport Passengers Car - Diesel Engine - Blending 3 - Average size - New</v>
      </c>
      <c r="E93" s="521" t="s">
        <v>81</v>
      </c>
      <c r="F93" s="522" t="s">
        <v>82</v>
      </c>
      <c r="J93"/>
      <c r="S93" s="549"/>
      <c r="T93" s="476"/>
      <c r="U93" s="476"/>
      <c r="V93" s="476"/>
      <c r="W93" s="476"/>
      <c r="X93" s="476"/>
      <c r="Y93" s="476"/>
      <c r="Z93" s="549"/>
      <c r="AA93" s="549"/>
      <c r="AB93" s="549"/>
      <c r="AC93" s="498"/>
      <c r="AD93"/>
      <c r="AE93"/>
      <c r="AF93"/>
      <c r="AG93"/>
      <c r="AH93"/>
      <c r="AI93"/>
      <c r="AJ93"/>
      <c r="AK93"/>
      <c r="AL93"/>
      <c r="AM93"/>
      <c r="AN93"/>
      <c r="AO93"/>
      <c r="AP93"/>
      <c r="AQ93"/>
      <c r="AR93"/>
      <c r="AS93"/>
      <c r="AT93"/>
      <c r="AU93"/>
      <c r="AV93"/>
      <c r="AW93"/>
      <c r="AX93"/>
      <c r="AY93"/>
      <c r="AZ93"/>
    </row>
    <row r="94" spans="1:52" s="516" customFormat="1">
      <c r="A94" s="517"/>
      <c r="B94" s="521"/>
      <c r="C94" s="516" t="str">
        <f>C13</f>
        <v>TPCADSBL4N</v>
      </c>
      <c r="D94" s="516" t="str">
        <f>D13</f>
        <v>Transport Passengers Car - Diesel Engine - Blending 4 - Average size - New</v>
      </c>
      <c r="E94" s="521" t="s">
        <v>81</v>
      </c>
      <c r="F94" s="522" t="s">
        <v>82</v>
      </c>
      <c r="S94" s="549"/>
      <c r="T94" s="476"/>
      <c r="U94" s="476"/>
      <c r="V94" s="476"/>
      <c r="W94" s="476"/>
      <c r="X94" s="476"/>
      <c r="Y94" s="476"/>
      <c r="Z94" s="549"/>
      <c r="AA94" s="549"/>
      <c r="AB94" s="549"/>
      <c r="AD94"/>
      <c r="AE94"/>
      <c r="AF94"/>
      <c r="AG94"/>
      <c r="AH94"/>
      <c r="AI94"/>
      <c r="AJ94"/>
      <c r="AK94"/>
      <c r="AL94"/>
      <c r="AM94"/>
      <c r="AN94"/>
      <c r="AO94"/>
      <c r="AP94"/>
      <c r="AQ94"/>
      <c r="AR94"/>
      <c r="AS94"/>
      <c r="AT94"/>
      <c r="AU94"/>
      <c r="AV94"/>
      <c r="AW94"/>
      <c r="AX94"/>
      <c r="AY94"/>
      <c r="AZ94"/>
    </row>
    <row r="95" spans="1:52" s="516" customFormat="1">
      <c r="A95" s="517"/>
      <c r="B95" s="521"/>
      <c r="C95" s="516" t="str">
        <f>C17</f>
        <v>TPCAGSBL2N</v>
      </c>
      <c r="D95" s="516" t="str">
        <f>D17</f>
        <v>Transport Passengers Car - Otto Engine - Blending 2 - Average size - New</v>
      </c>
      <c r="E95" s="521" t="s">
        <v>81</v>
      </c>
      <c r="F95" s="522" t="s">
        <v>82</v>
      </c>
      <c r="S95" s="549"/>
      <c r="T95" s="476"/>
      <c r="U95" s="476"/>
      <c r="V95" s="476"/>
      <c r="W95" s="476"/>
      <c r="X95" s="476"/>
      <c r="Y95" s="476"/>
      <c r="Z95" s="549"/>
      <c r="AA95" s="549"/>
      <c r="AB95" s="549"/>
      <c r="AD95"/>
      <c r="AE95"/>
      <c r="AF95"/>
      <c r="AG95"/>
      <c r="AH95"/>
      <c r="AI95"/>
      <c r="AJ95"/>
      <c r="AK95"/>
      <c r="AL95"/>
      <c r="AM95"/>
      <c r="AN95"/>
      <c r="AO95"/>
      <c r="AP95"/>
      <c r="AQ95"/>
      <c r="AR95"/>
      <c r="AS95"/>
      <c r="AT95"/>
      <c r="AU95"/>
      <c r="AV95"/>
      <c r="AW95"/>
      <c r="AX95"/>
      <c r="AY95"/>
      <c r="AZ95"/>
    </row>
    <row r="96" spans="1:52" s="516" customFormat="1">
      <c r="A96" s="517"/>
      <c r="B96" s="521"/>
      <c r="C96" s="516" t="str">
        <f>C21</f>
        <v>TPCAGSBL3N</v>
      </c>
      <c r="D96" s="516" t="str">
        <f>D21</f>
        <v>Transport Passengers Car - Otto Engine - Blending 3 - Average size - New</v>
      </c>
      <c r="E96" s="521" t="s">
        <v>81</v>
      </c>
      <c r="F96" s="522" t="s">
        <v>82</v>
      </c>
      <c r="S96" s="549"/>
      <c r="T96" s="476"/>
      <c r="U96" s="476"/>
      <c r="V96" s="476"/>
      <c r="W96" s="476"/>
      <c r="X96" s="476"/>
      <c r="Y96" s="476"/>
      <c r="Z96" s="549"/>
      <c r="AA96" s="549"/>
      <c r="AB96" s="549"/>
      <c r="AD96"/>
      <c r="AE96"/>
      <c r="AF96"/>
      <c r="AG96"/>
      <c r="AH96"/>
      <c r="AI96"/>
      <c r="AJ96"/>
      <c r="AK96"/>
      <c r="AL96"/>
      <c r="AM96"/>
      <c r="AN96"/>
      <c r="AO96"/>
      <c r="AP96"/>
      <c r="AQ96"/>
      <c r="AR96"/>
      <c r="AS96"/>
      <c r="AT96"/>
      <c r="AU96"/>
      <c r="AV96"/>
      <c r="AW96"/>
      <c r="AX96"/>
      <c r="AY96"/>
      <c r="AZ96"/>
    </row>
    <row r="97" spans="1:52" s="516" customFormat="1">
      <c r="A97" s="517"/>
      <c r="B97" s="521"/>
      <c r="C97" s="516" t="str">
        <f>C25</f>
        <v>TPCAGSBL4N</v>
      </c>
      <c r="D97" s="516" t="str">
        <f>D25</f>
        <v>Transport Passengers Car - Otto Engine - Blending 4 - Average size - New</v>
      </c>
      <c r="E97" s="521" t="s">
        <v>81</v>
      </c>
      <c r="F97" s="522" t="s">
        <v>82</v>
      </c>
      <c r="S97" s="549"/>
      <c r="T97" s="476"/>
      <c r="U97" s="476"/>
      <c r="V97" s="476"/>
      <c r="W97" s="476"/>
      <c r="X97" s="476"/>
      <c r="Y97" s="476"/>
      <c r="Z97" s="549"/>
      <c r="AA97" s="549"/>
      <c r="AB97" s="549"/>
      <c r="AD97"/>
      <c r="AE97"/>
      <c r="AF97"/>
      <c r="AG97"/>
      <c r="AH97"/>
      <c r="AI97"/>
      <c r="AJ97"/>
      <c r="AK97"/>
      <c r="AL97"/>
      <c r="AM97"/>
      <c r="AN97"/>
      <c r="AO97"/>
      <c r="AP97"/>
      <c r="AQ97"/>
      <c r="AR97"/>
      <c r="AS97"/>
      <c r="AT97"/>
      <c r="AU97"/>
      <c r="AV97"/>
      <c r="AW97"/>
      <c r="AX97"/>
      <c r="AY97"/>
      <c r="AZ97"/>
    </row>
    <row r="98" spans="1:52" s="516" customFormat="1">
      <c r="A98" s="517"/>
      <c r="B98" s="521"/>
      <c r="C98" s="516" t="str">
        <f>C29</f>
        <v>TPCANGBL2N</v>
      </c>
      <c r="D98" s="516" t="str">
        <f>D29</f>
        <v>Transport Passengers Car - Gas Engine - Blending 2 - Average size - New</v>
      </c>
      <c r="E98" s="521" t="s">
        <v>81</v>
      </c>
      <c r="F98" s="522" t="s">
        <v>82</v>
      </c>
      <c r="S98" s="549"/>
      <c r="T98" s="476"/>
      <c r="U98" s="476"/>
      <c r="V98" s="476"/>
      <c r="W98" s="476"/>
      <c r="X98" s="476"/>
      <c r="Y98" s="476"/>
      <c r="Z98" s="549"/>
      <c r="AA98" s="549"/>
      <c r="AB98" s="549"/>
      <c r="AD98"/>
      <c r="AE98"/>
      <c r="AF98"/>
      <c r="AG98"/>
      <c r="AH98"/>
      <c r="AI98"/>
      <c r="AJ98"/>
      <c r="AK98"/>
      <c r="AL98"/>
      <c r="AM98"/>
      <c r="AN98"/>
      <c r="AO98"/>
      <c r="AP98"/>
      <c r="AQ98"/>
      <c r="AR98"/>
      <c r="AS98"/>
      <c r="AT98"/>
      <c r="AU98"/>
      <c r="AV98"/>
      <c r="AW98"/>
      <c r="AX98"/>
      <c r="AY98"/>
      <c r="AZ98"/>
    </row>
    <row r="99" spans="1:52" s="516" customFormat="1">
      <c r="A99" s="517"/>
      <c r="B99" s="521"/>
      <c r="C99" s="516" t="str">
        <f>C33</f>
        <v>TPCANGBL3N</v>
      </c>
      <c r="D99" s="516" t="str">
        <f>D33</f>
        <v>Transport Passengers Car - Gas Engine - Blending 3 - Average size - New</v>
      </c>
      <c r="E99" s="521" t="s">
        <v>81</v>
      </c>
      <c r="F99" s="522" t="s">
        <v>82</v>
      </c>
      <c r="S99" s="549"/>
      <c r="T99" s="476"/>
      <c r="U99" s="476"/>
      <c r="V99" s="476"/>
      <c r="W99" s="476"/>
      <c r="X99" s="476"/>
      <c r="Y99" s="476"/>
      <c r="Z99" s="549"/>
      <c r="AA99" s="549"/>
      <c r="AB99" s="549"/>
      <c r="AD99"/>
      <c r="AE99"/>
      <c r="AF99"/>
      <c r="AG99"/>
      <c r="AH99"/>
      <c r="AI99"/>
      <c r="AJ99"/>
      <c r="AK99"/>
      <c r="AL99"/>
      <c r="AM99"/>
      <c r="AN99"/>
      <c r="AO99"/>
      <c r="AP99"/>
      <c r="AQ99"/>
      <c r="AR99"/>
      <c r="AS99"/>
      <c r="AT99"/>
      <c r="AU99"/>
      <c r="AV99"/>
      <c r="AW99"/>
      <c r="AX99"/>
      <c r="AY99"/>
      <c r="AZ99"/>
    </row>
    <row r="100" spans="1:52" s="516" customFormat="1">
      <c r="A100" s="517"/>
      <c r="B100" s="521"/>
      <c r="C100" s="516" t="str">
        <f>C37</f>
        <v>TPCANGBL4N</v>
      </c>
      <c r="D100" s="516" t="str">
        <f>D37</f>
        <v>Transport Passengers Car - Gas Engine - Blending 4 - Average size - New</v>
      </c>
      <c r="E100" s="521" t="s">
        <v>81</v>
      </c>
      <c r="F100" s="522" t="s">
        <v>82</v>
      </c>
      <c r="S100" s="549"/>
      <c r="T100" s="476"/>
      <c r="U100" s="476"/>
      <c r="V100" s="476"/>
      <c r="W100" s="476"/>
      <c r="X100" s="476"/>
      <c r="Y100" s="476"/>
      <c r="Z100" s="549"/>
      <c r="AA100" s="549"/>
      <c r="AB100" s="549"/>
      <c r="AD100"/>
      <c r="AE100"/>
      <c r="AF100"/>
      <c r="AG100"/>
      <c r="AH100"/>
      <c r="AI100"/>
      <c r="AJ100"/>
      <c r="AK100"/>
      <c r="AL100"/>
      <c r="AM100"/>
      <c r="AN100"/>
      <c r="AO100"/>
      <c r="AP100"/>
      <c r="AQ100"/>
      <c r="AR100"/>
      <c r="AS100"/>
      <c r="AT100"/>
      <c r="AU100"/>
      <c r="AV100"/>
      <c r="AW100"/>
      <c r="AX100"/>
      <c r="AY100"/>
      <c r="AZ100"/>
    </row>
    <row r="101" spans="1:52" s="486" customFormat="1">
      <c r="A101" s="3"/>
      <c r="B101" s="490"/>
      <c r="C101" s="19" t="str">
        <f>C41</f>
        <v>TPCAELCX1N</v>
      </c>
      <c r="D101" s="22" t="str">
        <f>D41</f>
        <v>Transport Passengers Car - Battery Electric Vehicle - Average battery size - New</v>
      </c>
      <c r="E101" s="21" t="s">
        <v>81</v>
      </c>
      <c r="F101" s="23" t="s">
        <v>82</v>
      </c>
      <c r="G101" s="23"/>
      <c r="H101" s="21"/>
      <c r="I101" s="24" t="s">
        <v>79</v>
      </c>
      <c r="J101" s="485"/>
      <c r="S101" s="549"/>
      <c r="T101" s="476"/>
      <c r="U101" s="476"/>
      <c r="V101" s="476"/>
      <c r="W101" s="476"/>
      <c r="X101" s="476"/>
      <c r="Y101" s="476"/>
      <c r="Z101" s="549"/>
      <c r="AA101" s="549"/>
      <c r="AB101" s="549"/>
      <c r="AC101" s="498"/>
      <c r="AD101"/>
      <c r="AE101"/>
      <c r="AF101"/>
      <c r="AG101"/>
      <c r="AH101"/>
      <c r="AI101"/>
      <c r="AJ101"/>
      <c r="AK101"/>
      <c r="AL101"/>
      <c r="AM101"/>
      <c r="AN101"/>
      <c r="AO101"/>
      <c r="AP101"/>
      <c r="AQ101"/>
      <c r="AR101"/>
      <c r="AS101"/>
      <c r="AT101"/>
      <c r="AU101"/>
      <c r="AV101"/>
      <c r="AW101"/>
      <c r="AX101"/>
      <c r="AY101"/>
      <c r="AZ101"/>
    </row>
    <row r="102" spans="1:52">
      <c r="B102" s="19"/>
      <c r="C102" s="488" t="str">
        <f>C53</f>
        <v>TPCAELCH2N</v>
      </c>
      <c r="D102" s="488" t="str">
        <f>D53</f>
        <v>Transport Passengers Car - Hybrid Electric Vehicle Gasoline 2 - Average size - New</v>
      </c>
      <c r="E102" s="490" t="s">
        <v>81</v>
      </c>
      <c r="F102" s="489" t="s">
        <v>82</v>
      </c>
      <c r="G102" s="489"/>
      <c r="H102" s="490"/>
      <c r="I102" s="485"/>
      <c r="J102" s="24"/>
      <c r="N102" s="10"/>
    </row>
    <row r="103" spans="1:52">
      <c r="B103" s="19"/>
      <c r="C103" s="488" t="str">
        <f>C57</f>
        <v>TPCAELCH3N</v>
      </c>
      <c r="D103" s="488" t="str">
        <f>D57</f>
        <v>Transport Passengers Car - Hybrid Electric Vehicle Gasoline 3 - Average size - New</v>
      </c>
      <c r="E103" s="490" t="s">
        <v>81</v>
      </c>
      <c r="F103" s="489" t="s">
        <v>82</v>
      </c>
      <c r="G103" s="489"/>
      <c r="H103" s="490"/>
      <c r="I103" s="485"/>
      <c r="N103" s="10"/>
    </row>
    <row r="104" spans="1:52">
      <c r="B104" s="19"/>
      <c r="C104" s="488" t="str">
        <f>C61</f>
        <v>TPCAELCH4N</v>
      </c>
      <c r="D104" s="488" t="str">
        <f>D61</f>
        <v>Transport Passengers Car - Hybrid Electric Vehicle Gasoline 4 - Average size - New</v>
      </c>
      <c r="E104" s="490" t="s">
        <v>81</v>
      </c>
      <c r="F104" s="489" t="s">
        <v>82</v>
      </c>
      <c r="G104" s="489"/>
      <c r="H104" s="490"/>
      <c r="I104" s="485"/>
      <c r="N104" s="10"/>
    </row>
    <row r="105" spans="1:52">
      <c r="C105" s="57" t="str">
        <f>C65</f>
        <v>TPCAH2GX1N</v>
      </c>
      <c r="D105" s="19" t="str">
        <f>D65</f>
        <v>Transport Passengers Car - Hydrogen Fuel-cell Electric Vehicle - Average size - New</v>
      </c>
      <c r="E105" s="21" t="s">
        <v>81</v>
      </c>
      <c r="F105" s="23" t="s">
        <v>82</v>
      </c>
      <c r="G105" s="19"/>
      <c r="H105" s="19"/>
      <c r="I105" s="24" t="s">
        <v>79</v>
      </c>
      <c r="N105" s="10"/>
    </row>
    <row r="106" spans="1:52">
      <c r="C106" s="3" t="str">
        <f>C77</f>
        <v>TPCAGSBL5N</v>
      </c>
      <c r="D106" s="486" t="str">
        <f>D77</f>
        <v>Transport Passengers Car - Flex-Fuel Ethanol - Average size - New</v>
      </c>
      <c r="E106" s="490" t="s">
        <v>81</v>
      </c>
      <c r="F106" s="489" t="s">
        <v>82</v>
      </c>
      <c r="I106" s="548" t="s">
        <v>79</v>
      </c>
      <c r="N106" s="10"/>
    </row>
    <row r="107" spans="1:52">
      <c r="N107" s="10"/>
    </row>
    <row r="108" spans="1:52">
      <c r="N108" s="10"/>
    </row>
    <row r="109" spans="1:52">
      <c r="N109" s="10"/>
    </row>
    <row r="110" spans="1:52">
      <c r="N110" s="10"/>
    </row>
    <row r="111" spans="1:52">
      <c r="N111" s="10"/>
    </row>
    <row r="112" spans="1:52">
      <c r="N112" s="10"/>
    </row>
    <row r="113" spans="14:14">
      <c r="N113" s="10"/>
    </row>
    <row r="114" spans="14:14">
      <c r="N114" s="10"/>
    </row>
    <row r="115" spans="14:14">
      <c r="N115" s="10"/>
    </row>
    <row r="116" spans="14:14">
      <c r="N116" s="10"/>
    </row>
    <row r="117" spans="14:14">
      <c r="N117" s="10"/>
    </row>
    <row r="118" spans="14:14">
      <c r="N118" s="10"/>
    </row>
    <row r="119" spans="14:14">
      <c r="N119" s="10"/>
    </row>
    <row r="120" spans="14:14">
      <c r="N120" s="10"/>
    </row>
    <row r="121" spans="14:14">
      <c r="N121" s="10"/>
    </row>
    <row r="122" spans="14:14">
      <c r="N122" s="10"/>
    </row>
    <row r="123" spans="14:14">
      <c r="N123" s="10"/>
    </row>
    <row r="124" spans="14:14">
      <c r="N124" s="10"/>
    </row>
    <row r="125" spans="14:14">
      <c r="N125" s="10"/>
    </row>
    <row r="126" spans="14:14">
      <c r="N126" s="10"/>
    </row>
    <row r="127" spans="14:14">
      <c r="N127" s="10"/>
    </row>
    <row r="128" spans="14:14">
      <c r="N128" s="10"/>
    </row>
    <row r="129" spans="14:14">
      <c r="N129" s="10"/>
    </row>
    <row r="130" spans="14:14">
      <c r="N130" s="10"/>
    </row>
    <row r="131" spans="14:14">
      <c r="N131" s="10"/>
    </row>
    <row r="132" spans="14:14">
      <c r="N132" s="10"/>
    </row>
    <row r="133" spans="14:14">
      <c r="N133" s="10"/>
    </row>
    <row r="134" spans="14:14">
      <c r="N134" s="10"/>
    </row>
    <row r="135" spans="14:14">
      <c r="N135" s="10"/>
    </row>
    <row r="136" spans="14:14">
      <c r="N136" s="10"/>
    </row>
    <row r="137" spans="14:14">
      <c r="N137" s="10"/>
    </row>
    <row r="138" spans="14:14">
      <c r="N138" s="10"/>
    </row>
    <row r="139" spans="14:14">
      <c r="N139" s="10"/>
    </row>
    <row r="140" spans="14:14">
      <c r="N140" s="10"/>
    </row>
    <row r="141" spans="14:14">
      <c r="N141" s="10"/>
    </row>
    <row r="142" spans="14:14">
      <c r="N142" s="10"/>
    </row>
    <row r="143" spans="14:14">
      <c r="N143" s="10"/>
    </row>
    <row r="144" spans="14:14">
      <c r="N144" s="10"/>
    </row>
    <row r="145" spans="14:14">
      <c r="N145" s="10"/>
    </row>
    <row r="146" spans="14:14">
      <c r="N146" s="10"/>
    </row>
    <row r="147" spans="14:14">
      <c r="N147" s="10"/>
    </row>
    <row r="148" spans="14:14">
      <c r="N148" s="10"/>
    </row>
    <row r="149" spans="14:14">
      <c r="N149" s="10"/>
    </row>
    <row r="150" spans="14:14">
      <c r="N150" s="10"/>
    </row>
    <row r="151" spans="14:14">
      <c r="N151" s="10"/>
    </row>
    <row r="152" spans="14:14">
      <c r="N152" s="10"/>
    </row>
    <row r="153" spans="14:14">
      <c r="N153" s="10"/>
    </row>
    <row r="154" spans="14:14">
      <c r="N154" s="10"/>
    </row>
    <row r="155" spans="14:14">
      <c r="N155" s="10"/>
    </row>
    <row r="156" spans="14:14">
      <c r="N156" s="10"/>
    </row>
    <row r="157" spans="14:14">
      <c r="N157" s="10"/>
    </row>
    <row r="158" spans="14:14">
      <c r="N158" s="10"/>
    </row>
    <row r="159" spans="14:14">
      <c r="N159" s="10"/>
    </row>
    <row r="160" spans="14:14">
      <c r="N160" s="10"/>
    </row>
    <row r="161" spans="14:14">
      <c r="N161" s="10"/>
    </row>
    <row r="162" spans="14:14">
      <c r="N162" s="10"/>
    </row>
    <row r="163" spans="14:14">
      <c r="N163" s="10"/>
    </row>
    <row r="164" spans="14:14">
      <c r="N164" s="10"/>
    </row>
    <row r="165" spans="14:14">
      <c r="N165" s="10"/>
    </row>
    <row r="166" spans="14:14">
      <c r="N166" s="10"/>
    </row>
    <row r="167" spans="14:14">
      <c r="N167" s="10"/>
    </row>
    <row r="168" spans="14:14">
      <c r="N168" s="10"/>
    </row>
    <row r="169" spans="14:14">
      <c r="N169" s="10"/>
    </row>
    <row r="170" spans="14:14">
      <c r="N170" s="10"/>
    </row>
    <row r="171" spans="14:14">
      <c r="N171" s="10"/>
    </row>
    <row r="172" spans="14:14">
      <c r="N172" s="10"/>
    </row>
    <row r="173" spans="14:14">
      <c r="N173" s="10"/>
    </row>
    <row r="174" spans="14:14">
      <c r="N174" s="10"/>
    </row>
    <row r="175" spans="14:14">
      <c r="N175" s="10"/>
    </row>
    <row r="176" spans="14:14">
      <c r="N176" s="10"/>
    </row>
    <row r="177" spans="14:14">
      <c r="N177" s="10"/>
    </row>
    <row r="178" spans="14:14">
      <c r="N178" s="10"/>
    </row>
    <row r="179" spans="14:14">
      <c r="N179" s="10"/>
    </row>
    <row r="180" spans="14:14">
      <c r="N180" s="10"/>
    </row>
    <row r="181" spans="14:14">
      <c r="N181" s="10"/>
    </row>
    <row r="182" spans="14:14">
      <c r="N182" s="10"/>
    </row>
    <row r="183" spans="14:14">
      <c r="N183" s="10"/>
    </row>
    <row r="184" spans="14:14">
      <c r="N184" s="10"/>
    </row>
    <row r="185" spans="14:14">
      <c r="N185" s="10"/>
    </row>
    <row r="186" spans="14:14">
      <c r="N186" s="10"/>
    </row>
    <row r="187" spans="14:14">
      <c r="N187" s="10"/>
    </row>
    <row r="188" spans="14:14">
      <c r="N188" s="10"/>
    </row>
    <row r="189" spans="14:14">
      <c r="N189" s="10"/>
    </row>
    <row r="190" spans="14:14">
      <c r="N190" s="10"/>
    </row>
    <row r="191" spans="14:14">
      <c r="N191" s="10"/>
    </row>
    <row r="192" spans="14:14">
      <c r="N192" s="10"/>
    </row>
    <row r="193" spans="14:14">
      <c r="N193" s="10"/>
    </row>
    <row r="194" spans="14:14">
      <c r="N194" s="10"/>
    </row>
    <row r="195" spans="14:14">
      <c r="N195" s="10"/>
    </row>
    <row r="196" spans="14:14">
      <c r="N196" s="10"/>
    </row>
    <row r="197" spans="14:14">
      <c r="N197" s="10"/>
    </row>
    <row r="198" spans="14:14">
      <c r="N198" s="10"/>
    </row>
    <row r="199" spans="14:14">
      <c r="N199" s="10"/>
    </row>
    <row r="200" spans="14:14">
      <c r="N200" s="10"/>
    </row>
    <row r="201" spans="14:14">
      <c r="N201" s="10"/>
    </row>
    <row r="202" spans="14:14">
      <c r="N202" s="10"/>
    </row>
    <row r="203" spans="14:14">
      <c r="N203" s="10"/>
    </row>
    <row r="204" spans="14:14">
      <c r="N204" s="10"/>
    </row>
    <row r="205" spans="14:14">
      <c r="N205" s="10"/>
    </row>
    <row r="206" spans="14:14">
      <c r="N206" s="10"/>
    </row>
    <row r="207" spans="14:14">
      <c r="N207" s="10"/>
    </row>
    <row r="208" spans="14:14">
      <c r="N208" s="10"/>
    </row>
    <row r="209" spans="14:14">
      <c r="N209" s="10"/>
    </row>
    <row r="210" spans="14:14">
      <c r="N210" s="10"/>
    </row>
  </sheetData>
  <mergeCells count="4">
    <mergeCell ref="AV23:AY24"/>
    <mergeCell ref="AD6:AF6"/>
    <mergeCell ref="AG6:AH6"/>
    <mergeCell ref="AD11:AH11"/>
  </mergeCells>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2060"/>
  </sheetPr>
  <dimension ref="A1:S262"/>
  <sheetViews>
    <sheetView workbookViewId="0">
      <selection activeCell="H66" sqref="H66"/>
    </sheetView>
  </sheetViews>
  <sheetFormatPr defaultRowHeight="13.2"/>
  <cols>
    <col min="1" max="1" width="23.88671875" style="549" bestFit="1" customWidth="1"/>
    <col min="2" max="2" width="23.88671875" style="549" customWidth="1"/>
    <col min="3" max="3" width="19.44140625" style="549" bestFit="1" customWidth="1"/>
    <col min="4" max="18" width="11.6640625" style="549" customWidth="1"/>
  </cols>
  <sheetData>
    <row r="1" spans="1:2" s="549" customFormat="1"/>
    <row r="2" spans="1:2" s="549" customFormat="1"/>
    <row r="3" spans="1:2" s="549" customFormat="1" ht="17.399999999999999">
      <c r="A3" s="696" t="s">
        <v>686</v>
      </c>
      <c r="B3" s="526"/>
    </row>
    <row r="4" spans="1:2" s="549" customFormat="1"/>
    <row r="5" spans="1:2" s="549" customFormat="1">
      <c r="A5" s="526" t="s">
        <v>945</v>
      </c>
    </row>
    <row r="6" spans="1:2" s="549" customFormat="1"/>
    <row r="7" spans="1:2" s="549" customFormat="1">
      <c r="A7" s="526" t="s">
        <v>942</v>
      </c>
    </row>
    <row r="8" spans="1:2" s="549" customFormat="1"/>
    <row r="9" spans="1:2" s="549" customFormat="1">
      <c r="A9" s="526" t="s">
        <v>943</v>
      </c>
    </row>
    <row r="10" spans="1:2" s="549" customFormat="1"/>
    <row r="11" spans="1:2" s="549" customFormat="1">
      <c r="A11" s="526" t="s">
        <v>688</v>
      </c>
    </row>
    <row r="12" spans="1:2" s="549" customFormat="1">
      <c r="A12" s="526" t="s">
        <v>687</v>
      </c>
    </row>
    <row r="13" spans="1:2" s="549" customFormat="1"/>
    <row r="14" spans="1:2" s="549" customFormat="1"/>
    <row r="15" spans="1:2" s="549" customFormat="1">
      <c r="A15" s="1228">
        <v>1.1772337051589639</v>
      </c>
      <c r="B15" s="526" t="s">
        <v>948</v>
      </c>
    </row>
    <row r="16" spans="1:2">
      <c r="A16" s="654"/>
      <c r="B16" s="526" t="s">
        <v>949</v>
      </c>
    </row>
    <row r="17" spans="1:18" ht="15">
      <c r="A17" s="657"/>
      <c r="B17" s="657"/>
    </row>
    <row r="20" spans="1:18" ht="14.4" thickBot="1">
      <c r="A20" s="658"/>
      <c r="B20" s="658"/>
      <c r="C20" s="658"/>
      <c r="D20"/>
      <c r="E20"/>
      <c r="F20"/>
      <c r="G20"/>
      <c r="H20"/>
      <c r="I20"/>
      <c r="J20"/>
      <c r="K20"/>
      <c r="L20"/>
      <c r="M20"/>
      <c r="N20"/>
      <c r="O20"/>
      <c r="P20"/>
      <c r="Q20"/>
      <c r="R20"/>
    </row>
    <row r="21" spans="1:18" ht="18.600000000000001" thickBot="1">
      <c r="A21" s="659"/>
      <c r="B21" s="659"/>
      <c r="C21" s="659"/>
      <c r="D21" s="1669" t="s">
        <v>946</v>
      </c>
      <c r="E21" s="1670"/>
      <c r="F21" s="1670"/>
      <c r="G21" s="1670"/>
      <c r="H21" s="1670"/>
      <c r="I21" s="1670"/>
      <c r="J21" s="1670"/>
      <c r="K21" s="1670"/>
      <c r="L21" s="1670"/>
      <c r="M21" s="1670"/>
      <c r="N21" s="1670"/>
      <c r="O21" s="1670"/>
      <c r="P21" s="1670"/>
      <c r="Q21" s="1670"/>
      <c r="R21" s="660"/>
    </row>
    <row r="22" spans="1:18" ht="15" thickBot="1">
      <c r="A22" s="661"/>
      <c r="B22" s="661"/>
      <c r="C22" s="661" t="s">
        <v>678</v>
      </c>
      <c r="D22" s="662">
        <v>2010</v>
      </c>
      <c r="E22" s="698">
        <v>2015</v>
      </c>
      <c r="F22" s="706">
        <v>2020</v>
      </c>
      <c r="G22" s="706">
        <v>2020</v>
      </c>
      <c r="H22" s="706">
        <v>2020</v>
      </c>
      <c r="I22" s="697">
        <v>2025</v>
      </c>
      <c r="J22" s="697">
        <v>2025</v>
      </c>
      <c r="K22" s="697">
        <v>2025</v>
      </c>
      <c r="L22" s="697">
        <v>2030</v>
      </c>
      <c r="M22" s="697">
        <v>2030</v>
      </c>
      <c r="N22" s="697">
        <v>2030</v>
      </c>
      <c r="O22" s="697">
        <v>2045</v>
      </c>
      <c r="P22" s="697">
        <v>2045</v>
      </c>
      <c r="Q22" s="697">
        <v>2045</v>
      </c>
      <c r="R22" s="663"/>
    </row>
    <row r="23" spans="1:18" ht="15" thickBot="1">
      <c r="A23" s="705" t="s">
        <v>676</v>
      </c>
      <c r="B23" s="664" t="s">
        <v>677</v>
      </c>
      <c r="C23" s="665"/>
      <c r="D23" s="666" t="s">
        <v>97</v>
      </c>
      <c r="E23" s="668" t="s">
        <v>650</v>
      </c>
      <c r="F23" s="667" t="s">
        <v>649</v>
      </c>
      <c r="G23" s="668" t="s">
        <v>650</v>
      </c>
      <c r="H23" s="669" t="s">
        <v>651</v>
      </c>
      <c r="I23" s="667" t="s">
        <v>649</v>
      </c>
      <c r="J23" s="668" t="s">
        <v>650</v>
      </c>
      <c r="K23" s="669" t="s">
        <v>651</v>
      </c>
      <c r="L23" s="667" t="s">
        <v>649</v>
      </c>
      <c r="M23" s="668" t="s">
        <v>650</v>
      </c>
      <c r="N23" s="669" t="s">
        <v>651</v>
      </c>
      <c r="O23" s="667" t="s">
        <v>649</v>
      </c>
      <c r="P23" s="668" t="s">
        <v>650</v>
      </c>
      <c r="Q23" s="669" t="s">
        <v>651</v>
      </c>
      <c r="R23" s="670"/>
    </row>
    <row r="24" spans="1:18" ht="14.4">
      <c r="A24" s="700" t="s">
        <v>652</v>
      </c>
      <c r="B24" s="702" t="s">
        <v>679</v>
      </c>
      <c r="C24" s="671" t="s">
        <v>653</v>
      </c>
      <c r="D24" s="672">
        <v>15729.493943446098</v>
      </c>
      <c r="E24" s="674">
        <v>15837.016173824237</v>
      </c>
      <c r="F24" s="676">
        <v>16047.600786744046</v>
      </c>
      <c r="G24" s="674">
        <v>16945.845791020645</v>
      </c>
      <c r="H24" s="677">
        <v>17497.322314466383</v>
      </c>
      <c r="I24" s="676">
        <v>16202.245656512165</v>
      </c>
      <c r="J24" s="674">
        <v>16694.75046648979</v>
      </c>
      <c r="K24" s="677">
        <v>17359.397396223412</v>
      </c>
      <c r="L24" s="673">
        <v>16374.362022409872</v>
      </c>
      <c r="M24" s="674">
        <v>17100.08179689035</v>
      </c>
      <c r="N24" s="675">
        <v>17761.833119606512</v>
      </c>
      <c r="O24" s="676">
        <v>16010.902031703756</v>
      </c>
      <c r="P24" s="674">
        <v>17125.272160610781</v>
      </c>
      <c r="Q24" s="675">
        <v>18311.483117643635</v>
      </c>
      <c r="R24" s="678"/>
    </row>
    <row r="25" spans="1:18" ht="14.4">
      <c r="A25" s="699" t="s">
        <v>652</v>
      </c>
      <c r="B25" s="702" t="s">
        <v>679</v>
      </c>
      <c r="C25" s="679" t="s">
        <v>654</v>
      </c>
      <c r="D25" s="680">
        <v>15273.051163286102</v>
      </c>
      <c r="E25" s="682">
        <v>15219.613535412382</v>
      </c>
      <c r="F25" s="684">
        <v>15466.612574619634</v>
      </c>
      <c r="G25" s="682">
        <v>16276.371754401047</v>
      </c>
      <c r="H25" s="685">
        <v>16796.484205663102</v>
      </c>
      <c r="I25" s="684">
        <v>15602.435096719973</v>
      </c>
      <c r="J25" s="682">
        <v>16275.044610005734</v>
      </c>
      <c r="K25" s="685">
        <v>16923.873246453037</v>
      </c>
      <c r="L25" s="681">
        <v>15759.681739207199</v>
      </c>
      <c r="M25" s="682">
        <v>16463.939992875021</v>
      </c>
      <c r="N25" s="683">
        <v>17133.5721240155</v>
      </c>
      <c r="O25" s="684">
        <v>15479.89577026806</v>
      </c>
      <c r="P25" s="682">
        <v>16579.050429658888</v>
      </c>
      <c r="Q25" s="683">
        <v>17773.217763273275</v>
      </c>
      <c r="R25" s="678"/>
    </row>
    <row r="26" spans="1:18" ht="14.4">
      <c r="A26" s="699" t="s">
        <v>652</v>
      </c>
      <c r="B26" s="680" t="s">
        <v>679</v>
      </c>
      <c r="C26" s="679" t="s">
        <v>655</v>
      </c>
      <c r="D26" s="680">
        <v>14792.355596318544</v>
      </c>
      <c r="E26" s="682">
        <v>14786.888109000523</v>
      </c>
      <c r="F26" s="684">
        <v>15057.953913991265</v>
      </c>
      <c r="G26" s="682">
        <v>15812.934124468518</v>
      </c>
      <c r="H26" s="685">
        <v>16318.076240621102</v>
      </c>
      <c r="I26" s="684">
        <v>15188.917949513007</v>
      </c>
      <c r="J26" s="682">
        <v>15831.281042345488</v>
      </c>
      <c r="K26" s="685">
        <v>16469.545382405253</v>
      </c>
      <c r="L26" s="681">
        <v>15333.079008086601</v>
      </c>
      <c r="M26" s="682">
        <v>16027.621322235118</v>
      </c>
      <c r="N26" s="683">
        <v>16702.332532263601</v>
      </c>
      <c r="O26" s="684">
        <v>15108.316484713458</v>
      </c>
      <c r="P26" s="682">
        <v>16201.204741315831</v>
      </c>
      <c r="Q26" s="683">
        <v>17400.499856516126</v>
      </c>
      <c r="R26" s="678"/>
    </row>
    <row r="27" spans="1:18" ht="14.4">
      <c r="A27" s="701" t="s">
        <v>656</v>
      </c>
      <c r="B27" s="703" t="s">
        <v>29</v>
      </c>
      <c r="C27" s="686" t="s">
        <v>653</v>
      </c>
      <c r="D27" s="687">
        <v>18151.876737388666</v>
      </c>
      <c r="E27" s="689">
        <v>18491.769299182648</v>
      </c>
      <c r="F27" s="691">
        <v>18566.914054992027</v>
      </c>
      <c r="G27" s="689">
        <v>19039.319652978469</v>
      </c>
      <c r="H27" s="692">
        <v>19678.549687937182</v>
      </c>
      <c r="I27" s="691">
        <v>18271.27490751346</v>
      </c>
      <c r="J27" s="689">
        <v>18869.245367404241</v>
      </c>
      <c r="K27" s="692">
        <v>19378.392408178101</v>
      </c>
      <c r="L27" s="688">
        <v>18240.293344026653</v>
      </c>
      <c r="M27" s="689">
        <v>19079.168884603168</v>
      </c>
      <c r="N27" s="690">
        <v>20035.366526792353</v>
      </c>
      <c r="O27" s="691">
        <v>17882.47523815605</v>
      </c>
      <c r="P27" s="689">
        <v>19096.032770585709</v>
      </c>
      <c r="Q27" s="690">
        <v>20227.283858850406</v>
      </c>
      <c r="R27" s="678"/>
    </row>
    <row r="28" spans="1:18" ht="14.4">
      <c r="A28" s="701" t="s">
        <v>656</v>
      </c>
      <c r="B28" s="703" t="s">
        <v>29</v>
      </c>
      <c r="C28" s="693" t="s">
        <v>654</v>
      </c>
      <c r="D28" s="687">
        <v>17445.081034171802</v>
      </c>
      <c r="E28" s="689">
        <v>17481.737649593604</v>
      </c>
      <c r="F28" s="691">
        <v>17613.210203415558</v>
      </c>
      <c r="G28" s="689">
        <v>18062.483980606674</v>
      </c>
      <c r="H28" s="692">
        <v>18656.655275924662</v>
      </c>
      <c r="I28" s="691">
        <v>17366.622407449566</v>
      </c>
      <c r="J28" s="689">
        <v>18224.098572576637</v>
      </c>
      <c r="K28" s="692">
        <v>18734.067882924865</v>
      </c>
      <c r="L28" s="688">
        <v>17351.841509996808</v>
      </c>
      <c r="M28" s="689">
        <v>18151.743336647556</v>
      </c>
      <c r="N28" s="690">
        <v>19070.525645426867</v>
      </c>
      <c r="O28" s="691">
        <v>17075.228211032219</v>
      </c>
      <c r="P28" s="689">
        <v>18258.153454991017</v>
      </c>
      <c r="Q28" s="690">
        <v>19405.085456959547</v>
      </c>
      <c r="R28" s="678"/>
    </row>
    <row r="29" spans="1:18" ht="15" thickBot="1">
      <c r="A29" s="701" t="s">
        <v>656</v>
      </c>
      <c r="B29" s="704" t="s">
        <v>29</v>
      </c>
      <c r="C29" s="693" t="s">
        <v>655</v>
      </c>
      <c r="D29" s="687">
        <v>16751.099179754645</v>
      </c>
      <c r="E29" s="689">
        <v>16829.433524504559</v>
      </c>
      <c r="F29" s="691">
        <v>16996.570981648867</v>
      </c>
      <c r="G29" s="689">
        <v>17422.808018980832</v>
      </c>
      <c r="H29" s="692">
        <v>17996.04754409039</v>
      </c>
      <c r="I29" s="691">
        <v>16780.778114684777</v>
      </c>
      <c r="J29" s="689">
        <v>17590.436363174955</v>
      </c>
      <c r="K29" s="692">
        <v>18103.033002757631</v>
      </c>
      <c r="L29" s="688">
        <v>16767.862554198869</v>
      </c>
      <c r="M29" s="689">
        <v>17550.062326798117</v>
      </c>
      <c r="N29" s="690">
        <v>18452.397719226901</v>
      </c>
      <c r="O29" s="691">
        <v>16548.182244504456</v>
      </c>
      <c r="P29" s="689">
        <v>17718.031763855706</v>
      </c>
      <c r="Q29" s="690">
        <v>18875.804849942851</v>
      </c>
      <c r="R29" s="678"/>
    </row>
    <row r="30" spans="1:18" ht="15" hidden="1" customHeight="1">
      <c r="A30" s="701" t="s">
        <v>656</v>
      </c>
      <c r="B30" s="702" t="s">
        <v>416</v>
      </c>
      <c r="C30" s="671" t="s">
        <v>653</v>
      </c>
      <c r="D30" s="672"/>
      <c r="E30" s="674"/>
      <c r="F30" s="676"/>
      <c r="G30" s="674"/>
      <c r="H30" s="677"/>
      <c r="I30" s="676"/>
      <c r="J30" s="674"/>
      <c r="K30" s="677"/>
      <c r="L30" s="673"/>
      <c r="M30" s="674"/>
      <c r="N30" s="675"/>
      <c r="O30" s="676"/>
      <c r="P30" s="674"/>
      <c r="Q30" s="675"/>
      <c r="R30" s="678"/>
    </row>
    <row r="31" spans="1:18" ht="15" hidden="1" customHeight="1">
      <c r="A31" s="701" t="s">
        <v>656</v>
      </c>
      <c r="B31" s="702" t="s">
        <v>416</v>
      </c>
      <c r="C31" s="679" t="s">
        <v>654</v>
      </c>
      <c r="D31" s="680"/>
      <c r="E31" s="682"/>
      <c r="F31" s="684"/>
      <c r="G31" s="682"/>
      <c r="H31" s="685"/>
      <c r="I31" s="684"/>
      <c r="J31" s="682"/>
      <c r="K31" s="685"/>
      <c r="L31" s="681"/>
      <c r="M31" s="682"/>
      <c r="N31" s="683"/>
      <c r="O31" s="684"/>
      <c r="P31" s="682"/>
      <c r="Q31" s="683"/>
      <c r="R31" s="678"/>
    </row>
    <row r="32" spans="1:18" ht="15.75" hidden="1" customHeight="1" thickBot="1">
      <c r="A32" s="701" t="s">
        <v>656</v>
      </c>
      <c r="B32" s="680" t="s">
        <v>680</v>
      </c>
      <c r="C32" s="679" t="s">
        <v>655</v>
      </c>
      <c r="D32" s="680"/>
      <c r="E32" s="682"/>
      <c r="F32" s="684"/>
      <c r="G32" s="682"/>
      <c r="H32" s="685"/>
      <c r="I32" s="684"/>
      <c r="J32" s="682"/>
      <c r="K32" s="685"/>
      <c r="L32" s="681"/>
      <c r="M32" s="682"/>
      <c r="N32" s="683"/>
      <c r="O32" s="684"/>
      <c r="P32" s="682"/>
      <c r="Q32" s="683"/>
      <c r="R32" s="678"/>
    </row>
    <row r="33" spans="1:18" ht="15" thickBot="1">
      <c r="A33" s="1221" t="s">
        <v>657</v>
      </c>
      <c r="B33" s="1222" t="s">
        <v>681</v>
      </c>
      <c r="C33" s="1223" t="s">
        <v>653</v>
      </c>
      <c r="D33" s="1224">
        <f>D24</f>
        <v>15729.493943446098</v>
      </c>
      <c r="E33" s="1224">
        <f t="shared" ref="E33:Q33" si="0">E24</f>
        <v>15837.016173824237</v>
      </c>
      <c r="F33" s="1224">
        <f t="shared" si="0"/>
        <v>16047.600786744046</v>
      </c>
      <c r="G33" s="1224">
        <f t="shared" si="0"/>
        <v>16945.845791020645</v>
      </c>
      <c r="H33" s="1224">
        <f t="shared" si="0"/>
        <v>17497.322314466383</v>
      </c>
      <c r="I33" s="1224">
        <f t="shared" si="0"/>
        <v>16202.245656512165</v>
      </c>
      <c r="J33" s="1224">
        <f t="shared" si="0"/>
        <v>16694.75046648979</v>
      </c>
      <c r="K33" s="1224">
        <f t="shared" si="0"/>
        <v>17359.397396223412</v>
      </c>
      <c r="L33" s="1224">
        <f t="shared" si="0"/>
        <v>16374.362022409872</v>
      </c>
      <c r="M33" s="1224">
        <f t="shared" si="0"/>
        <v>17100.08179689035</v>
      </c>
      <c r="N33" s="1224">
        <f t="shared" si="0"/>
        <v>17761.833119606512</v>
      </c>
      <c r="O33" s="1224">
        <f t="shared" si="0"/>
        <v>16010.902031703756</v>
      </c>
      <c r="P33" s="1224">
        <f t="shared" si="0"/>
        <v>17125.272160610781</v>
      </c>
      <c r="Q33" s="1224">
        <f t="shared" si="0"/>
        <v>18311.483117643635</v>
      </c>
      <c r="R33" s="678"/>
    </row>
    <row r="34" spans="1:18" ht="15" thickBot="1">
      <c r="A34" s="1221" t="s">
        <v>657</v>
      </c>
      <c r="B34" s="1222" t="s">
        <v>681</v>
      </c>
      <c r="C34" s="1225" t="s">
        <v>654</v>
      </c>
      <c r="D34" s="1224">
        <f t="shared" ref="D34:Q35" si="1">D25</f>
        <v>15273.051163286102</v>
      </c>
      <c r="E34" s="1224">
        <f t="shared" si="1"/>
        <v>15219.613535412382</v>
      </c>
      <c r="F34" s="1224">
        <f t="shared" si="1"/>
        <v>15466.612574619634</v>
      </c>
      <c r="G34" s="1224">
        <f t="shared" si="1"/>
        <v>16276.371754401047</v>
      </c>
      <c r="H34" s="1224">
        <f t="shared" si="1"/>
        <v>16796.484205663102</v>
      </c>
      <c r="I34" s="1224">
        <f t="shared" si="1"/>
        <v>15602.435096719973</v>
      </c>
      <c r="J34" s="1224">
        <f t="shared" si="1"/>
        <v>16275.044610005734</v>
      </c>
      <c r="K34" s="1224">
        <f t="shared" si="1"/>
        <v>16923.873246453037</v>
      </c>
      <c r="L34" s="1224">
        <f t="shared" si="1"/>
        <v>15759.681739207199</v>
      </c>
      <c r="M34" s="1224">
        <f t="shared" si="1"/>
        <v>16463.939992875021</v>
      </c>
      <c r="N34" s="1224">
        <f t="shared" si="1"/>
        <v>17133.5721240155</v>
      </c>
      <c r="O34" s="1224">
        <f t="shared" si="1"/>
        <v>15479.89577026806</v>
      </c>
      <c r="P34" s="1224">
        <f t="shared" si="1"/>
        <v>16579.050429658888</v>
      </c>
      <c r="Q34" s="1224">
        <f t="shared" si="1"/>
        <v>17773.217763273275</v>
      </c>
      <c r="R34" s="678"/>
    </row>
    <row r="35" spans="1:18" ht="15" thickBot="1">
      <c r="A35" s="1221" t="s">
        <v>657</v>
      </c>
      <c r="B35" s="1226" t="s">
        <v>681</v>
      </c>
      <c r="C35" s="1225" t="s">
        <v>655</v>
      </c>
      <c r="D35" s="1224">
        <f t="shared" si="1"/>
        <v>14792.355596318544</v>
      </c>
      <c r="E35" s="1224">
        <f t="shared" si="1"/>
        <v>14786.888109000523</v>
      </c>
      <c r="F35" s="1224">
        <f t="shared" si="1"/>
        <v>15057.953913991265</v>
      </c>
      <c r="G35" s="1224">
        <f t="shared" si="1"/>
        <v>15812.934124468518</v>
      </c>
      <c r="H35" s="1224">
        <f t="shared" si="1"/>
        <v>16318.076240621102</v>
      </c>
      <c r="I35" s="1224">
        <f t="shared" si="1"/>
        <v>15188.917949513007</v>
      </c>
      <c r="J35" s="1224">
        <f t="shared" si="1"/>
        <v>15831.281042345488</v>
      </c>
      <c r="K35" s="1224">
        <f t="shared" si="1"/>
        <v>16469.545382405253</v>
      </c>
      <c r="L35" s="1224">
        <f t="shared" si="1"/>
        <v>15333.079008086601</v>
      </c>
      <c r="M35" s="1224">
        <f t="shared" si="1"/>
        <v>16027.621322235118</v>
      </c>
      <c r="N35" s="1224">
        <f t="shared" si="1"/>
        <v>16702.332532263601</v>
      </c>
      <c r="O35" s="1224">
        <f t="shared" si="1"/>
        <v>15108.316484713458</v>
      </c>
      <c r="P35" s="1224">
        <f t="shared" si="1"/>
        <v>16201.204741315831</v>
      </c>
      <c r="Q35" s="1224">
        <f t="shared" si="1"/>
        <v>17400.499856516126</v>
      </c>
      <c r="R35" s="678"/>
    </row>
    <row r="36" spans="1:18" ht="15" thickBot="1">
      <c r="A36" s="1214" t="s">
        <v>658</v>
      </c>
      <c r="B36" s="1215" t="s">
        <v>158</v>
      </c>
      <c r="C36" s="1216" t="s">
        <v>653</v>
      </c>
      <c r="D36" s="1217">
        <f>D24*$A$15</f>
        <v>18517.290435318529</v>
      </c>
      <c r="E36" s="1217">
        <f t="shared" ref="E36:Q36" si="2">E24*$A$15</f>
        <v>18643.869228973545</v>
      </c>
      <c r="F36" s="1217">
        <f t="shared" si="2"/>
        <v>18891.776533090597</v>
      </c>
      <c r="G36" s="1217">
        <f t="shared" si="2"/>
        <v>19949.220827615667</v>
      </c>
      <c r="H36" s="1217">
        <f t="shared" si="2"/>
        <v>20598.437578619876</v>
      </c>
      <c r="I36" s="1217">
        <f t="shared" si="2"/>
        <v>19073.829686111545</v>
      </c>
      <c r="J36" s="1217">
        <f t="shared" si="2"/>
        <v>19653.622948370117</v>
      </c>
      <c r="K36" s="1217">
        <f t="shared" si="2"/>
        <v>20436.067716082958</v>
      </c>
      <c r="L36" s="1217">
        <f t="shared" si="2"/>
        <v>19276.450873255799</v>
      </c>
      <c r="M36" s="1217">
        <f t="shared" si="2"/>
        <v>20130.79265227458</v>
      </c>
      <c r="N36" s="1217">
        <f t="shared" si="2"/>
        <v>20909.828613809572</v>
      </c>
      <c r="O36" s="1217">
        <f t="shared" si="2"/>
        <v>18848.573521719794</v>
      </c>
      <c r="P36" s="1217">
        <f t="shared" si="2"/>
        <v>20160.447597491482</v>
      </c>
      <c r="Q36" s="1217">
        <f t="shared" si="2"/>
        <v>21556.895117539432</v>
      </c>
      <c r="R36" s="694"/>
    </row>
    <row r="37" spans="1:18" ht="15" thickBot="1">
      <c r="A37" s="1214" t="s">
        <v>658</v>
      </c>
      <c r="B37" s="1215" t="s">
        <v>158</v>
      </c>
      <c r="C37" s="1218" t="s">
        <v>654</v>
      </c>
      <c r="D37" s="1217">
        <f t="shared" ref="D37:Q38" si="3">D25*$A$15</f>
        <v>17979.950610037722</v>
      </c>
      <c r="E37" s="1217">
        <f t="shared" si="3"/>
        <v>17917.042033381036</v>
      </c>
      <c r="F37" s="1217">
        <f t="shared" si="3"/>
        <v>18207.817627477692</v>
      </c>
      <c r="G37" s="1217">
        <f t="shared" si="3"/>
        <v>19161.093426978248</v>
      </c>
      <c r="H37" s="1217">
        <f t="shared" si="3"/>
        <v>19773.38733507679</v>
      </c>
      <c r="I37" s="1217">
        <f t="shared" si="3"/>
        <v>18367.712478413912</v>
      </c>
      <c r="J37" s="1217">
        <f t="shared" si="3"/>
        <v>19159.531067864475</v>
      </c>
      <c r="K37" s="1217">
        <f t="shared" si="3"/>
        <v>19923.354007562571</v>
      </c>
      <c r="L37" s="1217">
        <f t="shared" si="3"/>
        <v>18552.828525972953</v>
      </c>
      <c r="M37" s="1217">
        <f t="shared" si="3"/>
        <v>19381.905079327105</v>
      </c>
      <c r="N37" s="1217">
        <f t="shared" si="3"/>
        <v>20170.218594163107</v>
      </c>
      <c r="O37" s="1217">
        <f t="shared" si="3"/>
        <v>18223.455053107242</v>
      </c>
      <c r="P37" s="1217">
        <f t="shared" si="3"/>
        <v>19517.416965324643</v>
      </c>
      <c r="Q37" s="1217">
        <f t="shared" si="3"/>
        <v>20923.231000055308</v>
      </c>
      <c r="R37" s="694"/>
    </row>
    <row r="38" spans="1:18" ht="15" thickBot="1">
      <c r="A38" s="1214" t="s">
        <v>658</v>
      </c>
      <c r="B38" s="1219" t="s">
        <v>158</v>
      </c>
      <c r="C38" s="1218" t="s">
        <v>655</v>
      </c>
      <c r="D38" s="1217">
        <f t="shared" si="3"/>
        <v>17414.059586683015</v>
      </c>
      <c r="E38" s="1217">
        <f t="shared" si="3"/>
        <v>17407.62307632971</v>
      </c>
      <c r="F38" s="1217">
        <f t="shared" si="3"/>
        <v>17726.730878280858</v>
      </c>
      <c r="G38" s="1217">
        <f t="shared" si="3"/>
        <v>18615.519028782692</v>
      </c>
      <c r="H38" s="1217">
        <f t="shared" si="3"/>
        <v>19210.189353812835</v>
      </c>
      <c r="I38" s="1217">
        <f t="shared" si="3"/>
        <v>17880.906155060689</v>
      </c>
      <c r="J38" s="1217">
        <f t="shared" si="3"/>
        <v>18637.117638893244</v>
      </c>
      <c r="K38" s="1217">
        <f t="shared" si="3"/>
        <v>19388.50393281264</v>
      </c>
      <c r="L38" s="1217">
        <f t="shared" si="3"/>
        <v>18050.617412184918</v>
      </c>
      <c r="M38" s="1217">
        <f t="shared" si="3"/>
        <v>18868.256034059661</v>
      </c>
      <c r="N38" s="1217">
        <f t="shared" si="3"/>
        <v>19662.548811753779</v>
      </c>
      <c r="O38" s="1217">
        <f t="shared" si="3"/>
        <v>17786.019394013474</v>
      </c>
      <c r="P38" s="1217">
        <f t="shared" si="3"/>
        <v>19072.604285658206</v>
      </c>
      <c r="Q38" s="1217">
        <f t="shared" si="3"/>
        <v>20484.454917704497</v>
      </c>
      <c r="R38" s="694"/>
    </row>
    <row r="39" spans="1:18" ht="14.4">
      <c r="A39" s="699" t="s">
        <v>659</v>
      </c>
      <c r="B39" s="702" t="s">
        <v>679</v>
      </c>
      <c r="C39" s="671" t="s">
        <v>653</v>
      </c>
      <c r="D39" s="672">
        <v>15651.004974710957</v>
      </c>
      <c r="E39" s="674">
        <v>15978.364466915013</v>
      </c>
      <c r="F39" s="676">
        <v>16158.652835089406</v>
      </c>
      <c r="G39" s="674">
        <v>17062.220048584972</v>
      </c>
      <c r="H39" s="677">
        <v>17605.848047022271</v>
      </c>
      <c r="I39" s="676">
        <v>16277.928791645476</v>
      </c>
      <c r="J39" s="674">
        <v>16775.709356686282</v>
      </c>
      <c r="K39" s="677">
        <v>17445.26873664555</v>
      </c>
      <c r="L39" s="673">
        <v>16427.500937901896</v>
      </c>
      <c r="M39" s="674">
        <v>17158.376400357352</v>
      </c>
      <c r="N39" s="675">
        <v>17820.520739434429</v>
      </c>
      <c r="O39" s="676">
        <v>16057.758881184925</v>
      </c>
      <c r="P39" s="674">
        <v>17174.604754083099</v>
      </c>
      <c r="Q39" s="675">
        <v>18348.918484227408</v>
      </c>
      <c r="R39" s="678"/>
    </row>
    <row r="40" spans="1:18" ht="14.4">
      <c r="A40" s="699" t="s">
        <v>659</v>
      </c>
      <c r="B40" s="702" t="s">
        <v>679</v>
      </c>
      <c r="C40" s="679" t="s">
        <v>654</v>
      </c>
      <c r="D40" s="680">
        <v>14767.060791138178</v>
      </c>
      <c r="E40" s="682">
        <v>15066.128617928614</v>
      </c>
      <c r="F40" s="684">
        <v>15562.431315633066</v>
      </c>
      <c r="G40" s="682">
        <v>16376.671634776671</v>
      </c>
      <c r="H40" s="685">
        <v>16889.98715720285</v>
      </c>
      <c r="I40" s="684">
        <v>15671.460941975291</v>
      </c>
      <c r="J40" s="682">
        <v>16343.228349997897</v>
      </c>
      <c r="K40" s="685">
        <v>16996.586004963916</v>
      </c>
      <c r="L40" s="681">
        <v>15809.79488129038</v>
      </c>
      <c r="M40" s="682">
        <v>16518.521397370361</v>
      </c>
      <c r="N40" s="683">
        <v>17188.543526618141</v>
      </c>
      <c r="O40" s="684">
        <v>15526.335242029494</v>
      </c>
      <c r="P40" s="682">
        <v>16627.648456771625</v>
      </c>
      <c r="Q40" s="683">
        <v>17811.666805171139</v>
      </c>
      <c r="R40" s="678"/>
    </row>
    <row r="41" spans="1:18" ht="15" thickBot="1">
      <c r="A41" s="699" t="s">
        <v>659</v>
      </c>
      <c r="B41" s="680" t="s">
        <v>679</v>
      </c>
      <c r="C41" s="679" t="s">
        <v>655</v>
      </c>
      <c r="D41" s="680">
        <v>14354.242924007254</v>
      </c>
      <c r="E41" s="682">
        <v>14658.446811952143</v>
      </c>
      <c r="F41" s="684">
        <v>15141.658561933527</v>
      </c>
      <c r="G41" s="682">
        <v>15900.615275568138</v>
      </c>
      <c r="H41" s="685">
        <v>16399.675625405474</v>
      </c>
      <c r="I41" s="684">
        <v>15246.960271310165</v>
      </c>
      <c r="J41" s="682">
        <v>15888.69178519528</v>
      </c>
      <c r="K41" s="685">
        <v>16531.11474702468</v>
      </c>
      <c r="L41" s="681">
        <v>15378.909190234528</v>
      </c>
      <c r="M41" s="682">
        <v>16077.515553165042</v>
      </c>
      <c r="N41" s="683">
        <v>16752.653639310985</v>
      </c>
      <c r="O41" s="684">
        <v>15153.78736153958</v>
      </c>
      <c r="P41" s="682">
        <v>16248.653603794613</v>
      </c>
      <c r="Q41" s="683">
        <v>17438.950307148869</v>
      </c>
      <c r="R41" s="678"/>
    </row>
    <row r="42" spans="1:18" ht="14.4">
      <c r="A42" s="699" t="s">
        <v>660</v>
      </c>
      <c r="B42" s="702" t="s">
        <v>682</v>
      </c>
      <c r="C42" s="671" t="s">
        <v>653</v>
      </c>
      <c r="D42" s="672">
        <v>30623.414186147369</v>
      </c>
      <c r="E42" s="674">
        <v>27350.301350736845</v>
      </c>
      <c r="F42" s="676">
        <v>24720.117943095287</v>
      </c>
      <c r="G42" s="674">
        <v>24226.662097752684</v>
      </c>
      <c r="H42" s="677">
        <v>23890.650792947887</v>
      </c>
      <c r="I42" s="676">
        <v>21593.897285229788</v>
      </c>
      <c r="J42" s="674">
        <v>21428.742567871675</v>
      </c>
      <c r="K42" s="677">
        <v>22635.21988388582</v>
      </c>
      <c r="L42" s="673">
        <v>21024.983607139722</v>
      </c>
      <c r="M42" s="674">
        <v>21784.429554769038</v>
      </c>
      <c r="N42" s="675">
        <v>22349.148794763991</v>
      </c>
      <c r="O42" s="676">
        <v>20551.700750333712</v>
      </c>
      <c r="P42" s="674">
        <v>21161.1496953674</v>
      </c>
      <c r="Q42" s="675">
        <v>21961.73268596776</v>
      </c>
      <c r="R42" s="678"/>
    </row>
    <row r="43" spans="1:18" ht="14.4">
      <c r="A43" s="699" t="s">
        <v>660</v>
      </c>
      <c r="B43" s="702" t="s">
        <v>682</v>
      </c>
      <c r="C43" s="679" t="s">
        <v>654</v>
      </c>
      <c r="D43" s="680">
        <v>22415.611387254499</v>
      </c>
      <c r="E43" s="682">
        <v>23003.713872842112</v>
      </c>
      <c r="F43" s="684">
        <v>22583.893691377794</v>
      </c>
      <c r="G43" s="682">
        <v>22238.532324369138</v>
      </c>
      <c r="H43" s="685">
        <v>22039.55381623748</v>
      </c>
      <c r="I43" s="684">
        <v>20314.564698763286</v>
      </c>
      <c r="J43" s="682">
        <v>20418.575331541426</v>
      </c>
      <c r="K43" s="685">
        <v>21564.731843531958</v>
      </c>
      <c r="L43" s="681">
        <v>19876.886597860179</v>
      </c>
      <c r="M43" s="682">
        <v>20602.909526806165</v>
      </c>
      <c r="N43" s="683">
        <v>21188.786281318542</v>
      </c>
      <c r="O43" s="684">
        <v>19464.444571569384</v>
      </c>
      <c r="P43" s="682">
        <v>20133.136138894482</v>
      </c>
      <c r="Q43" s="683">
        <v>20994.582509409633</v>
      </c>
      <c r="R43" s="678"/>
    </row>
    <row r="44" spans="1:18" ht="14.4">
      <c r="A44" s="699" t="s">
        <v>660</v>
      </c>
      <c r="B44" s="680" t="s">
        <v>682</v>
      </c>
      <c r="C44" s="679" t="s">
        <v>655</v>
      </c>
      <c r="D44" s="680">
        <v>22488.807331568933</v>
      </c>
      <c r="E44" s="682">
        <v>22581.75211284211</v>
      </c>
      <c r="F44" s="684">
        <v>21061.216642292755</v>
      </c>
      <c r="G44" s="682">
        <v>20821.247047099492</v>
      </c>
      <c r="H44" s="685">
        <v>20731.413601792821</v>
      </c>
      <c r="I44" s="684">
        <v>19302.513365254865</v>
      </c>
      <c r="J44" s="682">
        <v>19431.294297620192</v>
      </c>
      <c r="K44" s="685">
        <v>20539.453035088398</v>
      </c>
      <c r="L44" s="681">
        <v>18983.624432279197</v>
      </c>
      <c r="M44" s="682">
        <v>19711.311442125636</v>
      </c>
      <c r="N44" s="683">
        <v>20321.676725538822</v>
      </c>
      <c r="O44" s="684">
        <v>18869.72121276351</v>
      </c>
      <c r="P44" s="682">
        <v>19566.300991729051</v>
      </c>
      <c r="Q44" s="683">
        <v>20453.233344896329</v>
      </c>
      <c r="R44" s="678"/>
    </row>
    <row r="45" spans="1:18" ht="14.4">
      <c r="A45" s="701" t="s">
        <v>661</v>
      </c>
      <c r="B45" s="703" t="s">
        <v>29</v>
      </c>
      <c r="C45" s="686" t="s">
        <v>653</v>
      </c>
      <c r="D45" s="687">
        <v>18034.708844625442</v>
      </c>
      <c r="E45" s="689">
        <v>18342.017195373915</v>
      </c>
      <c r="F45" s="691">
        <v>18394.960369400542</v>
      </c>
      <c r="G45" s="689">
        <v>18833.764143483724</v>
      </c>
      <c r="H45" s="692">
        <v>19488.803448887313</v>
      </c>
      <c r="I45" s="691">
        <v>18097.612797707858</v>
      </c>
      <c r="J45" s="689">
        <v>18658.691413450135</v>
      </c>
      <c r="K45" s="692">
        <v>19181.529813535177</v>
      </c>
      <c r="L45" s="688">
        <v>18004.32034717621</v>
      </c>
      <c r="M45" s="689">
        <v>18851.600228886455</v>
      </c>
      <c r="N45" s="690">
        <v>19821.812883116483</v>
      </c>
      <c r="O45" s="691">
        <v>17680.980485492517</v>
      </c>
      <c r="P45" s="689">
        <v>18896.76171190563</v>
      </c>
      <c r="Q45" s="690">
        <v>20055.231385241215</v>
      </c>
      <c r="R45" s="678"/>
    </row>
    <row r="46" spans="1:18" ht="14.4">
      <c r="A46" s="701" t="s">
        <v>661</v>
      </c>
      <c r="B46" s="703" t="s">
        <v>29</v>
      </c>
      <c r="C46" s="693" t="s">
        <v>654</v>
      </c>
      <c r="D46" s="687">
        <v>16901.121992167016</v>
      </c>
      <c r="E46" s="689">
        <v>17078.300343414616</v>
      </c>
      <c r="F46" s="691">
        <v>17466.035958212269</v>
      </c>
      <c r="G46" s="689">
        <v>17886.409513148788</v>
      </c>
      <c r="H46" s="692">
        <v>18494.068814658454</v>
      </c>
      <c r="I46" s="691">
        <v>17221.53992656415</v>
      </c>
      <c r="J46" s="689">
        <v>18029.111688282748</v>
      </c>
      <c r="K46" s="692">
        <v>18551.539145515857</v>
      </c>
      <c r="L46" s="688">
        <v>17153.74731388464</v>
      </c>
      <c r="M46" s="689">
        <v>17960.913677224016</v>
      </c>
      <c r="N46" s="690">
        <v>18891.773741328077</v>
      </c>
      <c r="O46" s="691">
        <v>16908.456758138665</v>
      </c>
      <c r="P46" s="689">
        <v>18093.329180292585</v>
      </c>
      <c r="Q46" s="690">
        <v>19263.650693749598</v>
      </c>
      <c r="R46" s="678"/>
    </row>
    <row r="47" spans="1:18" ht="14.4">
      <c r="A47" s="701" t="s">
        <v>661</v>
      </c>
      <c r="B47" s="704" t="s">
        <v>29</v>
      </c>
      <c r="C47" s="693" t="s">
        <v>655</v>
      </c>
      <c r="D47" s="687">
        <v>16285.901898663013</v>
      </c>
      <c r="E47" s="689">
        <v>16480.458691465243</v>
      </c>
      <c r="F47" s="691">
        <v>16865.85127193305</v>
      </c>
      <c r="G47" s="689">
        <v>17266.471053531601</v>
      </c>
      <c r="H47" s="692">
        <v>17851.626255200099</v>
      </c>
      <c r="I47" s="691">
        <v>16649.943009620412</v>
      </c>
      <c r="J47" s="689">
        <v>17415.527148491536</v>
      </c>
      <c r="K47" s="692">
        <v>17939.2690038088</v>
      </c>
      <c r="L47" s="688">
        <v>16594.567933967635</v>
      </c>
      <c r="M47" s="689">
        <v>17383.275162934922</v>
      </c>
      <c r="N47" s="690">
        <v>18296.37990744667</v>
      </c>
      <c r="O47" s="691">
        <v>16405.413700150129</v>
      </c>
      <c r="P47" s="689">
        <v>17577.037161074128</v>
      </c>
      <c r="Q47" s="690">
        <v>18755.570442068736</v>
      </c>
      <c r="R47" s="678"/>
    </row>
    <row r="48" spans="1:18" ht="14.4">
      <c r="A48" s="701" t="s">
        <v>662</v>
      </c>
      <c r="B48" s="703" t="s">
        <v>683</v>
      </c>
      <c r="C48" s="686" t="s">
        <v>653</v>
      </c>
      <c r="D48" s="687">
        <v>33412.58667374737</v>
      </c>
      <c r="E48" s="689">
        <v>30015.510421736843</v>
      </c>
      <c r="F48" s="691">
        <v>27191.474878992813</v>
      </c>
      <c r="G48" s="689">
        <v>26703.078990645947</v>
      </c>
      <c r="H48" s="692">
        <v>26331.461041842071</v>
      </c>
      <c r="I48" s="691">
        <v>23927.319282433942</v>
      </c>
      <c r="J48" s="689">
        <v>23976.204474225258</v>
      </c>
      <c r="K48" s="692">
        <v>24121.681895479367</v>
      </c>
      <c r="L48" s="688">
        <v>22795.062235582118</v>
      </c>
      <c r="M48" s="689">
        <v>23247.563229373813</v>
      </c>
      <c r="N48" s="690">
        <v>23884.70330518483</v>
      </c>
      <c r="O48" s="691">
        <v>21661.946496838875</v>
      </c>
      <c r="P48" s="689">
        <v>22481.914618591862</v>
      </c>
      <c r="Q48" s="690">
        <v>23275.385100322594</v>
      </c>
      <c r="R48" s="678"/>
    </row>
    <row r="49" spans="1:18" ht="14.4">
      <c r="A49" s="701" t="s">
        <v>662</v>
      </c>
      <c r="B49" s="703" t="s">
        <v>683</v>
      </c>
      <c r="C49" s="693" t="s">
        <v>654</v>
      </c>
      <c r="D49" s="687">
        <v>24682.229311310493</v>
      </c>
      <c r="E49" s="689">
        <v>25185.226292842108</v>
      </c>
      <c r="F49" s="691">
        <v>24668.345200870612</v>
      </c>
      <c r="G49" s="689">
        <v>24325.895011217664</v>
      </c>
      <c r="H49" s="692">
        <v>24098.947673051967</v>
      </c>
      <c r="I49" s="691">
        <v>22294.78620409733</v>
      </c>
      <c r="J49" s="689">
        <v>22681.788996835166</v>
      </c>
      <c r="K49" s="692">
        <v>22881.931819090951</v>
      </c>
      <c r="L49" s="688">
        <v>21381.664185361016</v>
      </c>
      <c r="M49" s="689">
        <v>21846.466011612003</v>
      </c>
      <c r="N49" s="690">
        <v>22490.791122164628</v>
      </c>
      <c r="O49" s="691">
        <v>20408.898541181392</v>
      </c>
      <c r="P49" s="689">
        <v>21252.498899429029</v>
      </c>
      <c r="Q49" s="690">
        <v>22111.224696261688</v>
      </c>
      <c r="R49" s="678"/>
    </row>
    <row r="50" spans="1:18" ht="15" thickBot="1">
      <c r="A50" s="701" t="s">
        <v>662</v>
      </c>
      <c r="B50" s="704" t="s">
        <v>683</v>
      </c>
      <c r="C50" s="693" t="s">
        <v>655</v>
      </c>
      <c r="D50" s="687">
        <v>24580.656742908399</v>
      </c>
      <c r="E50" s="689">
        <v>24582.064207342104</v>
      </c>
      <c r="F50" s="691">
        <v>22943.093396983208</v>
      </c>
      <c r="G50" s="689">
        <v>22704.290649165654</v>
      </c>
      <c r="H50" s="692">
        <v>22592.543897687472</v>
      </c>
      <c r="I50" s="691">
        <v>21082.297699783856</v>
      </c>
      <c r="J50" s="689">
        <v>21481.454036422409</v>
      </c>
      <c r="K50" s="692">
        <v>21728.665341923472</v>
      </c>
      <c r="L50" s="688">
        <v>20347.695956109266</v>
      </c>
      <c r="M50" s="689">
        <v>20837.039642432002</v>
      </c>
      <c r="N50" s="690">
        <v>21501.106724197532</v>
      </c>
      <c r="O50" s="691">
        <v>19734.259280128936</v>
      </c>
      <c r="P50" s="689">
        <v>20584.577680918639</v>
      </c>
      <c r="Q50" s="690">
        <v>21474.257003996994</v>
      </c>
      <c r="R50" s="678"/>
    </row>
    <row r="51" spans="1:18" ht="15" hidden="1" customHeight="1">
      <c r="A51" s="699" t="s">
        <v>663</v>
      </c>
      <c r="B51" s="702"/>
      <c r="C51" s="671" t="s">
        <v>653</v>
      </c>
      <c r="D51" s="672"/>
      <c r="E51" s="674"/>
      <c r="F51" s="676"/>
      <c r="G51" s="674"/>
      <c r="H51" s="677"/>
      <c r="I51" s="676"/>
      <c r="J51" s="674"/>
      <c r="K51" s="677"/>
      <c r="L51" s="673"/>
      <c r="M51" s="674"/>
      <c r="N51" s="675"/>
      <c r="O51" s="676"/>
      <c r="P51" s="674"/>
      <c r="Q51" s="675"/>
      <c r="R51" s="678"/>
    </row>
    <row r="52" spans="1:18" ht="15" hidden="1" customHeight="1">
      <c r="A52" s="699"/>
      <c r="B52" s="702"/>
      <c r="C52" s="679" t="s">
        <v>654</v>
      </c>
      <c r="D52" s="680"/>
      <c r="E52" s="682"/>
      <c r="F52" s="684"/>
      <c r="G52" s="682"/>
      <c r="H52" s="685"/>
      <c r="I52" s="684"/>
      <c r="J52" s="682"/>
      <c r="K52" s="685"/>
      <c r="L52" s="681"/>
      <c r="M52" s="682"/>
      <c r="N52" s="683"/>
      <c r="O52" s="684"/>
      <c r="P52" s="682"/>
      <c r="Q52" s="683"/>
      <c r="R52" s="678"/>
    </row>
    <row r="53" spans="1:18" ht="15" hidden="1" customHeight="1">
      <c r="A53" s="699"/>
      <c r="B53" s="680"/>
      <c r="C53" s="679" t="s">
        <v>655</v>
      </c>
      <c r="D53" s="680"/>
      <c r="E53" s="682"/>
      <c r="F53" s="684"/>
      <c r="G53" s="682"/>
      <c r="H53" s="685"/>
      <c r="I53" s="684"/>
      <c r="J53" s="682"/>
      <c r="K53" s="685"/>
      <c r="L53" s="681"/>
      <c r="M53" s="682"/>
      <c r="N53" s="683"/>
      <c r="O53" s="684"/>
      <c r="P53" s="682"/>
      <c r="Q53" s="683"/>
      <c r="R53" s="678"/>
    </row>
    <row r="54" spans="1:18" ht="15" hidden="1" customHeight="1">
      <c r="A54" s="701" t="s">
        <v>664</v>
      </c>
      <c r="B54" s="703"/>
      <c r="C54" s="686" t="s">
        <v>653</v>
      </c>
      <c r="D54" s="687"/>
      <c r="E54" s="689"/>
      <c r="F54" s="691"/>
      <c r="G54" s="689"/>
      <c r="H54" s="692"/>
      <c r="I54" s="691"/>
      <c r="J54" s="689"/>
      <c r="K54" s="692"/>
      <c r="L54" s="688"/>
      <c r="M54" s="689"/>
      <c r="N54" s="690"/>
      <c r="O54" s="691"/>
      <c r="P54" s="689"/>
      <c r="Q54" s="690"/>
      <c r="R54" s="678"/>
    </row>
    <row r="55" spans="1:18" ht="15" hidden="1" customHeight="1">
      <c r="A55" s="701"/>
      <c r="B55" s="703"/>
      <c r="C55" s="693" t="s">
        <v>654</v>
      </c>
      <c r="D55" s="687"/>
      <c r="E55" s="689"/>
      <c r="F55" s="691"/>
      <c r="G55" s="689"/>
      <c r="H55" s="692"/>
      <c r="I55" s="691"/>
      <c r="J55" s="689"/>
      <c r="K55" s="692"/>
      <c r="L55" s="688"/>
      <c r="M55" s="689"/>
      <c r="N55" s="690"/>
      <c r="O55" s="691"/>
      <c r="P55" s="689"/>
      <c r="Q55" s="690"/>
      <c r="R55" s="678"/>
    </row>
    <row r="56" spans="1:18" ht="15.75" hidden="1" customHeight="1" thickBot="1">
      <c r="A56" s="701"/>
      <c r="B56" s="704"/>
      <c r="C56" s="693" t="s">
        <v>655</v>
      </c>
      <c r="D56" s="687"/>
      <c r="E56" s="689"/>
      <c r="F56" s="691"/>
      <c r="G56" s="689"/>
      <c r="H56" s="692"/>
      <c r="I56" s="691"/>
      <c r="J56" s="689"/>
      <c r="K56" s="692"/>
      <c r="L56" s="688"/>
      <c r="M56" s="689"/>
      <c r="N56" s="690"/>
      <c r="O56" s="691"/>
      <c r="P56" s="689"/>
      <c r="Q56" s="690"/>
      <c r="R56" s="678"/>
    </row>
    <row r="57" spans="1:18" ht="15" hidden="1" customHeight="1">
      <c r="A57" s="699" t="s">
        <v>665</v>
      </c>
      <c r="B57" s="702"/>
      <c r="C57" s="671" t="s">
        <v>653</v>
      </c>
      <c r="D57" s="672"/>
      <c r="E57" s="674"/>
      <c r="F57" s="676"/>
      <c r="G57" s="674"/>
      <c r="H57" s="677"/>
      <c r="I57" s="676"/>
      <c r="J57" s="674"/>
      <c r="K57" s="677"/>
      <c r="L57" s="673"/>
      <c r="M57" s="674"/>
      <c r="N57" s="675"/>
      <c r="O57" s="676"/>
      <c r="P57" s="674"/>
      <c r="Q57" s="675"/>
      <c r="R57" s="678"/>
    </row>
    <row r="58" spans="1:18" ht="15" hidden="1" customHeight="1">
      <c r="A58" s="699"/>
      <c r="B58" s="702"/>
      <c r="C58" s="679" t="s">
        <v>654</v>
      </c>
      <c r="D58" s="680"/>
      <c r="E58" s="682"/>
      <c r="F58" s="684"/>
      <c r="G58" s="682"/>
      <c r="H58" s="685"/>
      <c r="I58" s="684"/>
      <c r="J58" s="682"/>
      <c r="K58" s="685"/>
      <c r="L58" s="681"/>
      <c r="M58" s="682"/>
      <c r="N58" s="683"/>
      <c r="O58" s="684"/>
      <c r="P58" s="682"/>
      <c r="Q58" s="683"/>
      <c r="R58" s="678"/>
    </row>
    <row r="59" spans="1:18" ht="15" hidden="1" customHeight="1">
      <c r="A59" s="699"/>
      <c r="B59" s="680"/>
      <c r="C59" s="679" t="s">
        <v>655</v>
      </c>
      <c r="D59" s="680"/>
      <c r="E59" s="682"/>
      <c r="F59" s="684"/>
      <c r="G59" s="682"/>
      <c r="H59" s="685"/>
      <c r="I59" s="684"/>
      <c r="J59" s="682"/>
      <c r="K59" s="685"/>
      <c r="L59" s="681"/>
      <c r="M59" s="682"/>
      <c r="N59" s="683"/>
      <c r="O59" s="684"/>
      <c r="P59" s="682"/>
      <c r="Q59" s="683"/>
      <c r="R59" s="678"/>
    </row>
    <row r="60" spans="1:18" ht="15" hidden="1" customHeight="1">
      <c r="A60" s="701" t="s">
        <v>666</v>
      </c>
      <c r="B60" s="703"/>
      <c r="C60" s="686" t="s">
        <v>653</v>
      </c>
      <c r="D60" s="687"/>
      <c r="E60" s="689"/>
      <c r="F60" s="691"/>
      <c r="G60" s="689"/>
      <c r="H60" s="692"/>
      <c r="I60" s="691"/>
      <c r="J60" s="689"/>
      <c r="K60" s="692"/>
      <c r="L60" s="688"/>
      <c r="M60" s="689"/>
      <c r="N60" s="690"/>
      <c r="O60" s="691"/>
      <c r="P60" s="689"/>
      <c r="Q60" s="690"/>
      <c r="R60" s="678"/>
    </row>
    <row r="61" spans="1:18" ht="15" hidden="1" customHeight="1">
      <c r="A61" s="701"/>
      <c r="B61" s="703"/>
      <c r="C61" s="693" t="s">
        <v>654</v>
      </c>
      <c r="D61" s="687"/>
      <c r="E61" s="689"/>
      <c r="F61" s="691"/>
      <c r="G61" s="689"/>
      <c r="H61" s="692"/>
      <c r="I61" s="691"/>
      <c r="J61" s="689"/>
      <c r="K61" s="692"/>
      <c r="L61" s="688"/>
      <c r="M61" s="689"/>
      <c r="N61" s="690"/>
      <c r="O61" s="691"/>
      <c r="P61" s="689"/>
      <c r="Q61" s="690"/>
      <c r="R61" s="678"/>
    </row>
    <row r="62" spans="1:18" ht="15.75" hidden="1" customHeight="1" thickBot="1">
      <c r="A62" s="701"/>
      <c r="B62" s="704"/>
      <c r="C62" s="693" t="s">
        <v>655</v>
      </c>
      <c r="D62" s="687"/>
      <c r="E62" s="689"/>
      <c r="F62" s="691"/>
      <c r="G62" s="689"/>
      <c r="H62" s="692"/>
      <c r="I62" s="691"/>
      <c r="J62" s="689"/>
      <c r="K62" s="692"/>
      <c r="L62" s="688"/>
      <c r="M62" s="689"/>
      <c r="N62" s="690"/>
      <c r="O62" s="691"/>
      <c r="P62" s="689"/>
      <c r="Q62" s="690"/>
      <c r="R62" s="678"/>
    </row>
    <row r="63" spans="1:18" ht="15" hidden="1" customHeight="1">
      <c r="A63" s="699" t="s">
        <v>667</v>
      </c>
      <c r="B63" s="702"/>
      <c r="C63" s="671" t="s">
        <v>653</v>
      </c>
      <c r="D63" s="672"/>
      <c r="E63" s="674"/>
      <c r="F63" s="676"/>
      <c r="G63" s="674"/>
      <c r="H63" s="677"/>
      <c r="I63" s="676"/>
      <c r="J63" s="674"/>
      <c r="K63" s="677"/>
      <c r="L63" s="673"/>
      <c r="M63" s="674"/>
      <c r="N63" s="675"/>
      <c r="O63" s="676"/>
      <c r="P63" s="674"/>
      <c r="Q63" s="675"/>
      <c r="R63" s="678"/>
    </row>
    <row r="64" spans="1:18" ht="15" hidden="1" customHeight="1">
      <c r="A64" s="699"/>
      <c r="B64" s="702"/>
      <c r="C64" s="679" t="s">
        <v>654</v>
      </c>
      <c r="D64" s="680"/>
      <c r="E64" s="682"/>
      <c r="F64" s="684"/>
      <c r="G64" s="682"/>
      <c r="H64" s="685"/>
      <c r="I64" s="684"/>
      <c r="J64" s="682"/>
      <c r="K64" s="685"/>
      <c r="L64" s="681"/>
      <c r="M64" s="682"/>
      <c r="N64" s="683"/>
      <c r="O64" s="684"/>
      <c r="P64" s="682"/>
      <c r="Q64" s="683"/>
      <c r="R64" s="678"/>
    </row>
    <row r="65" spans="1:18" ht="15" hidden="1" customHeight="1">
      <c r="A65" s="699"/>
      <c r="B65" s="680"/>
      <c r="C65" s="679" t="s">
        <v>655</v>
      </c>
      <c r="D65" s="680"/>
      <c r="E65" s="682"/>
      <c r="F65" s="684"/>
      <c r="G65" s="682"/>
      <c r="H65" s="685"/>
      <c r="I65" s="684"/>
      <c r="J65" s="682"/>
      <c r="K65" s="685"/>
      <c r="L65" s="681"/>
      <c r="M65" s="682"/>
      <c r="N65" s="683"/>
      <c r="O65" s="684"/>
      <c r="P65" s="682"/>
      <c r="Q65" s="683"/>
      <c r="R65" s="678"/>
    </row>
    <row r="66" spans="1:18" ht="14.4">
      <c r="A66" s="699" t="s">
        <v>668</v>
      </c>
      <c r="B66" s="702" t="s">
        <v>416</v>
      </c>
      <c r="C66" s="671" t="s">
        <v>653</v>
      </c>
      <c r="D66" s="672">
        <v>22786.401472967598</v>
      </c>
      <c r="E66" s="674">
        <v>23490.454828072863</v>
      </c>
      <c r="F66" s="676">
        <v>24127.859634122124</v>
      </c>
      <c r="G66" s="674">
        <v>23950.01021188575</v>
      </c>
      <c r="H66" s="677">
        <v>23888.509393991015</v>
      </c>
      <c r="I66" s="676">
        <v>21974.090868235435</v>
      </c>
      <c r="J66" s="674">
        <v>21950.600947551771</v>
      </c>
      <c r="K66" s="677">
        <v>22087.116735848263</v>
      </c>
      <c r="L66" s="673">
        <v>20667.020842699403</v>
      </c>
      <c r="M66" s="674">
        <v>20815.031636791929</v>
      </c>
      <c r="N66" s="675">
        <v>21002.614786791928</v>
      </c>
      <c r="O66" s="676">
        <v>19823.969171075463</v>
      </c>
      <c r="P66" s="674">
        <v>20106.074591378889</v>
      </c>
      <c r="Q66" s="675">
        <v>20868.947538372715</v>
      </c>
      <c r="R66" s="678"/>
    </row>
    <row r="67" spans="1:18" ht="14.4">
      <c r="A67" s="699" t="s">
        <v>668</v>
      </c>
      <c r="B67" s="702" t="s">
        <v>416</v>
      </c>
      <c r="C67" s="679" t="s">
        <v>654</v>
      </c>
      <c r="D67" s="1220">
        <f>D66</f>
        <v>22786.401472967598</v>
      </c>
      <c r="E67" s="1220">
        <f>E66</f>
        <v>23490.454828072863</v>
      </c>
      <c r="F67" s="681">
        <v>21636.363427817625</v>
      </c>
      <c r="G67" s="681">
        <v>21558.728457173314</v>
      </c>
      <c r="H67" s="681">
        <v>21594.662152436467</v>
      </c>
      <c r="I67" s="681">
        <v>20231.252945278655</v>
      </c>
      <c r="J67" s="681">
        <v>20336.069460015497</v>
      </c>
      <c r="K67" s="681">
        <v>20533.343538061945</v>
      </c>
      <c r="L67" s="681">
        <v>19266.097202977908</v>
      </c>
      <c r="M67" s="681">
        <v>19484.183356557231</v>
      </c>
      <c r="N67" s="681">
        <v>19783.061077609862</v>
      </c>
      <c r="O67" s="681">
        <v>18385.838492529547</v>
      </c>
      <c r="P67" s="681">
        <v>18836.357505490778</v>
      </c>
      <c r="Q67" s="681">
        <v>19710.125906708228</v>
      </c>
      <c r="R67" s="678"/>
    </row>
    <row r="68" spans="1:18" ht="15" thickBot="1">
      <c r="A68" s="699" t="s">
        <v>668</v>
      </c>
      <c r="B68" s="680" t="s">
        <v>416</v>
      </c>
      <c r="C68" s="679" t="s">
        <v>655</v>
      </c>
      <c r="D68" s="1220">
        <f>D67</f>
        <v>22786.401472967598</v>
      </c>
      <c r="E68" s="1220">
        <f>E67</f>
        <v>23490.454828072863</v>
      </c>
      <c r="F68" s="684">
        <v>20544.043481513134</v>
      </c>
      <c r="G68" s="682">
        <v>20505.707662460882</v>
      </c>
      <c r="H68" s="685">
        <v>20574.311570881928</v>
      </c>
      <c r="I68" s="684">
        <v>19322.045682321877</v>
      </c>
      <c r="J68" s="682">
        <v>19463.170603374507</v>
      </c>
      <c r="K68" s="685">
        <v>19697.876836170915</v>
      </c>
      <c r="L68" s="681">
        <v>18438.617615581428</v>
      </c>
      <c r="M68" s="682">
        <v>18707.659416015962</v>
      </c>
      <c r="N68" s="683">
        <v>19060.09122548965</v>
      </c>
      <c r="O68" s="684">
        <v>17681.308732140875</v>
      </c>
      <c r="P68" s="682">
        <v>18207.504845128329</v>
      </c>
      <c r="Q68" s="683">
        <v>19135.837637937842</v>
      </c>
      <c r="R68" s="678"/>
    </row>
    <row r="69" spans="1:18" ht="14.4">
      <c r="A69" s="699" t="s">
        <v>669</v>
      </c>
      <c r="B69" s="702" t="s">
        <v>685</v>
      </c>
      <c r="C69" s="671" t="s">
        <v>653</v>
      </c>
      <c r="D69" s="672">
        <v>30710.190260747375</v>
      </c>
      <c r="E69" s="674">
        <v>29737.578340736844</v>
      </c>
      <c r="F69" s="676">
        <v>28645.948841879323</v>
      </c>
      <c r="G69" s="674">
        <v>28097.411438717219</v>
      </c>
      <c r="H69" s="677">
        <v>27356.852523875114</v>
      </c>
      <c r="I69" s="676">
        <v>24400.330069412692</v>
      </c>
      <c r="J69" s="674">
        <v>24097.333096339553</v>
      </c>
      <c r="K69" s="677">
        <v>24105.955969971132</v>
      </c>
      <c r="L69" s="673">
        <v>22685.213275317197</v>
      </c>
      <c r="M69" s="674">
        <v>22666.865387717196</v>
      </c>
      <c r="N69" s="675">
        <v>22724.04406771719</v>
      </c>
      <c r="O69" s="676">
        <v>21501.966225902212</v>
      </c>
      <c r="P69" s="674">
        <v>21721.638896428525</v>
      </c>
      <c r="Q69" s="675">
        <v>22248.272494954839</v>
      </c>
      <c r="R69" s="678"/>
    </row>
    <row r="70" spans="1:18" ht="14.4">
      <c r="A70" s="699" t="s">
        <v>669</v>
      </c>
      <c r="B70" s="702" t="s">
        <v>685</v>
      </c>
      <c r="C70" s="679" t="s">
        <v>654</v>
      </c>
      <c r="D70" s="1220">
        <f>D69</f>
        <v>30710.190260747375</v>
      </c>
      <c r="E70" s="1220">
        <f>E69</f>
        <v>29737.578340736844</v>
      </c>
      <c r="F70" s="684">
        <v>25239.356630170052</v>
      </c>
      <c r="G70" s="682">
        <v>24865.694757664791</v>
      </c>
      <c r="H70" s="685">
        <v>24348.412585559523</v>
      </c>
      <c r="I70" s="684">
        <v>22397.678699642245</v>
      </c>
      <c r="J70" s="682">
        <v>22219.352748947505</v>
      </c>
      <c r="K70" s="685">
        <v>22305.365377052771</v>
      </c>
      <c r="L70" s="681">
        <v>21075.121843087294</v>
      </c>
      <c r="M70" s="682">
        <v>21146.65223866624</v>
      </c>
      <c r="N70" s="683">
        <v>21305.925870245192</v>
      </c>
      <c r="O70" s="684">
        <v>19866.509431079463</v>
      </c>
      <c r="P70" s="682">
        <v>20246.443959289987</v>
      </c>
      <c r="Q70" s="683">
        <v>20917.174332700521</v>
      </c>
      <c r="R70" s="678"/>
    </row>
    <row r="71" spans="1:18" ht="14.4">
      <c r="A71" s="699" t="s">
        <v>669</v>
      </c>
      <c r="B71" s="680" t="s">
        <v>685</v>
      </c>
      <c r="C71" s="679" t="s">
        <v>655</v>
      </c>
      <c r="D71" s="1220">
        <f>D70</f>
        <v>30710.190260747375</v>
      </c>
      <c r="E71" s="1220">
        <f>E70</f>
        <v>29737.578340736844</v>
      </c>
      <c r="F71" s="684">
        <v>23558.281447580786</v>
      </c>
      <c r="G71" s="682">
        <v>23273.087745412366</v>
      </c>
      <c r="H71" s="685">
        <v>22875.619553043944</v>
      </c>
      <c r="I71" s="684">
        <v>21313.810092471795</v>
      </c>
      <c r="J71" s="682">
        <v>21165.145238450736</v>
      </c>
      <c r="K71" s="685">
        <v>21298.896264029689</v>
      </c>
      <c r="L71" s="681">
        <v>20071.680897392929</v>
      </c>
      <c r="M71" s="682">
        <v>20210.060977203455</v>
      </c>
      <c r="N71" s="683">
        <v>20440.601801413977</v>
      </c>
      <c r="O71" s="684">
        <v>19202.065879256064</v>
      </c>
      <c r="P71" s="682">
        <v>19643.458972203432</v>
      </c>
      <c r="Q71" s="683">
        <v>20370.241970350802</v>
      </c>
      <c r="R71" s="678"/>
    </row>
    <row r="72" spans="1:18" ht="14.4">
      <c r="A72" s="701" t="s">
        <v>670</v>
      </c>
      <c r="B72" s="703" t="s">
        <v>684</v>
      </c>
      <c r="C72" s="686" t="s">
        <v>653</v>
      </c>
      <c r="D72" s="687">
        <v>21071.072250787369</v>
      </c>
      <c r="E72" s="689">
        <v>20550.039228976842</v>
      </c>
      <c r="F72" s="691">
        <v>18639.279879639322</v>
      </c>
      <c r="G72" s="689">
        <v>18521.978343117218</v>
      </c>
      <c r="H72" s="692">
        <v>18478.348220035114</v>
      </c>
      <c r="I72" s="691">
        <v>17256.501704348691</v>
      </c>
      <c r="J72" s="689">
        <v>17260.985761939552</v>
      </c>
      <c r="K72" s="692">
        <v>17487.999552459132</v>
      </c>
      <c r="L72" s="688">
        <v>16771.952538810288</v>
      </c>
      <c r="M72" s="689">
        <v>16983.07233529029</v>
      </c>
      <c r="N72" s="690">
        <v>17344.76763695429</v>
      </c>
      <c r="O72" s="691">
        <v>16153.271774690649</v>
      </c>
      <c r="P72" s="689">
        <v>16831.331436416964</v>
      </c>
      <c r="Q72" s="690">
        <v>17730.326482783279</v>
      </c>
      <c r="R72" s="678"/>
    </row>
    <row r="73" spans="1:18" ht="14.4">
      <c r="A73" s="701" t="s">
        <v>670</v>
      </c>
      <c r="B73" s="703" t="s">
        <v>684</v>
      </c>
      <c r="C73" s="693" t="s">
        <v>654</v>
      </c>
      <c r="D73" s="1220">
        <f>D72</f>
        <v>21071.072250787369</v>
      </c>
      <c r="E73" s="1220">
        <f>E72</f>
        <v>20550.039228976842</v>
      </c>
      <c r="F73" s="691">
        <v>17921.701376410056</v>
      </c>
      <c r="G73" s="689">
        <v>17847.993051264792</v>
      </c>
      <c r="H73" s="692">
        <v>17845.53493843953</v>
      </c>
      <c r="I73" s="691">
        <v>16729.217962250241</v>
      </c>
      <c r="J73" s="689">
        <v>16840.805019747506</v>
      </c>
      <c r="K73" s="692">
        <v>17098.483829916768</v>
      </c>
      <c r="L73" s="688">
        <v>16150.019901295296</v>
      </c>
      <c r="M73" s="689">
        <v>16418.089272714242</v>
      </c>
      <c r="N73" s="690">
        <v>16833.583120005191</v>
      </c>
      <c r="O73" s="691">
        <v>15869.781410823462</v>
      </c>
      <c r="P73" s="689">
        <v>16570.843327433988</v>
      </c>
      <c r="Q73" s="690">
        <v>17493.257029324515</v>
      </c>
      <c r="R73" s="678"/>
    </row>
    <row r="74" spans="1:18" ht="15" thickBot="1">
      <c r="A74" s="701" t="s">
        <v>670</v>
      </c>
      <c r="B74" s="704" t="s">
        <v>684</v>
      </c>
      <c r="C74" s="693" t="s">
        <v>655</v>
      </c>
      <c r="D74" s="1220">
        <f>D73</f>
        <v>21071.072250787369</v>
      </c>
      <c r="E74" s="1220">
        <f>E73</f>
        <v>20550.039228976842</v>
      </c>
      <c r="F74" s="691">
        <v>17301.458273180782</v>
      </c>
      <c r="G74" s="689">
        <v>17266.536159412364</v>
      </c>
      <c r="H74" s="692">
        <v>17300.790056843944</v>
      </c>
      <c r="I74" s="691">
        <v>16217.540820151791</v>
      </c>
      <c r="J74" s="689">
        <v>16364.462438450739</v>
      </c>
      <c r="K74" s="692">
        <v>16651.812468269687</v>
      </c>
      <c r="L74" s="688">
        <v>15852.473291608931</v>
      </c>
      <c r="M74" s="689">
        <v>16139.958751499453</v>
      </c>
      <c r="N74" s="690">
        <v>16574.030529933978</v>
      </c>
      <c r="O74" s="691">
        <v>15427.397221816063</v>
      </c>
      <c r="P74" s="689">
        <v>16172.81717676343</v>
      </c>
      <c r="Q74" s="690">
        <v>17139.939118910799</v>
      </c>
      <c r="R74" s="678"/>
    </row>
    <row r="75" spans="1:18" ht="14.4">
      <c r="A75" s="699" t="s">
        <v>671</v>
      </c>
      <c r="B75" s="702" t="s">
        <v>684</v>
      </c>
      <c r="C75" s="671" t="s">
        <v>653</v>
      </c>
      <c r="D75" s="672">
        <v>20896.478505347368</v>
      </c>
      <c r="E75" s="674">
        <v>20285.065787856845</v>
      </c>
      <c r="F75" s="676">
        <v>18280.63084905142</v>
      </c>
      <c r="G75" s="674">
        <v>18164.79793700932</v>
      </c>
      <c r="H75" s="677">
        <v>18107.314775847211</v>
      </c>
      <c r="I75" s="676">
        <v>16862.746809912223</v>
      </c>
      <c r="J75" s="674">
        <v>16881.379258747314</v>
      </c>
      <c r="K75" s="677">
        <v>17103.404702002892</v>
      </c>
      <c r="L75" s="673">
        <v>16374.192984130053</v>
      </c>
      <c r="M75" s="674">
        <v>16535.526966242051</v>
      </c>
      <c r="N75" s="675">
        <v>16885.233491362051</v>
      </c>
      <c r="O75" s="676">
        <v>15803.662210432527</v>
      </c>
      <c r="P75" s="674">
        <v>16470.781840510841</v>
      </c>
      <c r="Q75" s="675">
        <v>17329.183902333159</v>
      </c>
      <c r="R75" s="678"/>
    </row>
    <row r="76" spans="1:18" ht="14.4">
      <c r="A76" s="699" t="s">
        <v>671</v>
      </c>
      <c r="B76" s="702" t="s">
        <v>684</v>
      </c>
      <c r="C76" s="679" t="s">
        <v>654</v>
      </c>
      <c r="D76" s="1220">
        <f>D75</f>
        <v>20896.478505347368</v>
      </c>
      <c r="E76" s="1220">
        <f>E75</f>
        <v>20285.065787856845</v>
      </c>
      <c r="F76" s="684">
        <v>17588.310890664055</v>
      </c>
      <c r="G76" s="682">
        <v>17517.683387958794</v>
      </c>
      <c r="H76" s="685">
        <v>17505.947906893529</v>
      </c>
      <c r="I76" s="684">
        <v>16376.03565137749</v>
      </c>
      <c r="J76" s="682">
        <v>16475.757456362753</v>
      </c>
      <c r="K76" s="685">
        <v>16730.786281540015</v>
      </c>
      <c r="L76" s="681">
        <v>15794.847461404999</v>
      </c>
      <c r="M76" s="682">
        <v>16021.022849079947</v>
      </c>
      <c r="N76" s="683">
        <v>16427.176573618897</v>
      </c>
      <c r="O76" s="684">
        <v>15560.164044825789</v>
      </c>
      <c r="P76" s="682">
        <v>16252.678776940318</v>
      </c>
      <c r="Q76" s="683">
        <v>17138.584381142842</v>
      </c>
      <c r="R76" s="678"/>
    </row>
    <row r="77" spans="1:18" ht="14.4">
      <c r="A77" s="699" t="s">
        <v>671</v>
      </c>
      <c r="B77" s="680" t="s">
        <v>684</v>
      </c>
      <c r="C77" s="679" t="s">
        <v>655</v>
      </c>
      <c r="D77" s="1220">
        <f>D76</f>
        <v>20896.478505347368</v>
      </c>
      <c r="E77" s="1220">
        <f>E76</f>
        <v>20285.065787856845</v>
      </c>
      <c r="F77" s="684">
        <v>17010.254332276683</v>
      </c>
      <c r="G77" s="682">
        <v>16979.120238908265</v>
      </c>
      <c r="H77" s="685">
        <v>17006.887437939844</v>
      </c>
      <c r="I77" s="684">
        <v>15908.13569284275</v>
      </c>
      <c r="J77" s="682">
        <v>16044.635445221698</v>
      </c>
      <c r="K77" s="685">
        <v>16331.344252320645</v>
      </c>
      <c r="L77" s="681">
        <v>15547.676975460578</v>
      </c>
      <c r="M77" s="682">
        <v>15796.525409263104</v>
      </c>
      <c r="N77" s="683">
        <v>16223.46082839363</v>
      </c>
      <c r="O77" s="684">
        <v>15160.833390110842</v>
      </c>
      <c r="P77" s="682">
        <v>15899.470402018211</v>
      </c>
      <c r="Q77" s="683">
        <v>16835.648607045579</v>
      </c>
      <c r="R77" s="678"/>
    </row>
    <row r="78" spans="1:18" ht="14.4">
      <c r="A78" s="701" t="s">
        <v>672</v>
      </c>
      <c r="B78" s="703" t="s">
        <v>684</v>
      </c>
      <c r="C78" s="686" t="s">
        <v>653</v>
      </c>
      <c r="D78" s="687">
        <v>27812.910674307372</v>
      </c>
      <c r="E78" s="689">
        <v>26849.426271856846</v>
      </c>
      <c r="F78" s="691">
        <v>22930.492482359321</v>
      </c>
      <c r="G78" s="689">
        <v>22356.731673997219</v>
      </c>
      <c r="H78" s="692">
        <v>21887.35433507511</v>
      </c>
      <c r="I78" s="691">
        <v>20400.761587484689</v>
      </c>
      <c r="J78" s="689">
        <v>20032.274005651554</v>
      </c>
      <c r="K78" s="692">
        <v>19992.902968267135</v>
      </c>
      <c r="L78" s="688">
        <v>19658.693123514291</v>
      </c>
      <c r="M78" s="689">
        <v>19498.124397466294</v>
      </c>
      <c r="N78" s="690">
        <v>19503.195705498292</v>
      </c>
      <c r="O78" s="691">
        <v>18460.129934786648</v>
      </c>
      <c r="P78" s="689">
        <v>18842.439185888961</v>
      </c>
      <c r="Q78" s="690">
        <v>19419.538856767278</v>
      </c>
      <c r="R78" s="678"/>
    </row>
    <row r="79" spans="1:18" ht="14.4">
      <c r="A79" s="701" t="s">
        <v>672</v>
      </c>
      <c r="B79" s="703" t="s">
        <v>684</v>
      </c>
      <c r="C79" s="693" t="s">
        <v>654</v>
      </c>
      <c r="D79" s="1220">
        <f>D78</f>
        <v>27812.910674307372</v>
      </c>
      <c r="E79" s="1220">
        <f>E78</f>
        <v>26849.426271856846</v>
      </c>
      <c r="F79" s="691">
        <v>21833.499345570053</v>
      </c>
      <c r="G79" s="689">
        <v>21346.644687904791</v>
      </c>
      <c r="H79" s="692">
        <v>20957.853210559526</v>
      </c>
      <c r="I79" s="691">
        <v>19602.548688458246</v>
      </c>
      <c r="J79" s="689">
        <v>19374.48507648351</v>
      </c>
      <c r="K79" s="692">
        <v>19389.411627740774</v>
      </c>
      <c r="L79" s="688">
        <v>18620.976745327294</v>
      </c>
      <c r="M79" s="689">
        <v>18571.321011722241</v>
      </c>
      <c r="N79" s="690">
        <v>18681.782178757192</v>
      </c>
      <c r="O79" s="691">
        <v>18074.626443415462</v>
      </c>
      <c r="P79" s="689">
        <v>18493.356483177988</v>
      </c>
      <c r="Q79" s="690">
        <v>19108.308016892519</v>
      </c>
      <c r="R79" s="678"/>
    </row>
    <row r="80" spans="1:18" ht="15" thickBot="1">
      <c r="A80" s="701" t="s">
        <v>672</v>
      </c>
      <c r="B80" s="704" t="s">
        <v>684</v>
      </c>
      <c r="C80" s="693" t="s">
        <v>655</v>
      </c>
      <c r="D80" s="1220">
        <f>D79</f>
        <v>27812.910674307372</v>
      </c>
      <c r="E80" s="1220">
        <f>E79</f>
        <v>26849.426271856846</v>
      </c>
      <c r="F80" s="691">
        <v>20845.222608780783</v>
      </c>
      <c r="G80" s="689">
        <v>20437.715101812366</v>
      </c>
      <c r="H80" s="692">
        <v>20122.996486043947</v>
      </c>
      <c r="I80" s="691">
        <v>18821.46938943179</v>
      </c>
      <c r="J80" s="689">
        <v>18661.677308210739</v>
      </c>
      <c r="K80" s="692">
        <v>18729.661848109685</v>
      </c>
      <c r="L80" s="688">
        <v>18213.897000472927</v>
      </c>
      <c r="M80" s="689">
        <v>18198.573009715448</v>
      </c>
      <c r="N80" s="690">
        <v>18341.572336237979</v>
      </c>
      <c r="O80" s="691">
        <v>17342.677771896062</v>
      </c>
      <c r="P80" s="689">
        <v>17842.959051323436</v>
      </c>
      <c r="Q80" s="690">
        <v>18543.064847230802</v>
      </c>
      <c r="R80" s="678"/>
    </row>
    <row r="81" spans="1:19" ht="14.4">
      <c r="A81" s="699" t="s">
        <v>673</v>
      </c>
      <c r="B81" s="702" t="s">
        <v>684</v>
      </c>
      <c r="C81" s="671" t="s">
        <v>653</v>
      </c>
      <c r="D81" s="672">
        <v>27762.209334947369</v>
      </c>
      <c r="E81" s="674">
        <v>26650.130561456845</v>
      </c>
      <c r="F81" s="676">
        <v>22655.542394011423</v>
      </c>
      <c r="G81" s="674">
        <v>22065.406800689318</v>
      </c>
      <c r="H81" s="677">
        <v>21552.309325767208</v>
      </c>
      <c r="I81" s="676">
        <v>20057.500130360222</v>
      </c>
      <c r="J81" s="674">
        <v>19716.271667835314</v>
      </c>
      <c r="K81" s="677">
        <v>19652.753186738897</v>
      </c>
      <c r="L81" s="673">
        <v>19270.631539138049</v>
      </c>
      <c r="M81" s="674">
        <v>19094.925145346053</v>
      </c>
      <c r="N81" s="675">
        <v>19095.919813282049</v>
      </c>
      <c r="O81" s="676">
        <v>18119.131345312529</v>
      </c>
      <c r="P81" s="674">
        <v>18477.218749534844</v>
      </c>
      <c r="Q81" s="675">
        <v>19059.118735005159</v>
      </c>
      <c r="R81" s="678"/>
    </row>
    <row r="82" spans="1:19" ht="14.4">
      <c r="A82" s="699" t="s">
        <v>673</v>
      </c>
      <c r="B82" s="702" t="s">
        <v>684</v>
      </c>
      <c r="C82" s="679" t="s">
        <v>654</v>
      </c>
      <c r="D82" s="1220">
        <f>D81</f>
        <v>27762.209334947369</v>
      </c>
      <c r="E82" s="1220">
        <f>E81</f>
        <v>26650.130561456845</v>
      </c>
      <c r="F82" s="684">
        <v>21572.558723544054</v>
      </c>
      <c r="G82" s="682">
        <v>21073.743262998792</v>
      </c>
      <c r="H82" s="685">
        <v>20648.829077653529</v>
      </c>
      <c r="I82" s="684">
        <v>19294.008195121489</v>
      </c>
      <c r="J82" s="682">
        <v>19066.604998026753</v>
      </c>
      <c r="K82" s="685">
        <v>19061.541892548015</v>
      </c>
      <c r="L82" s="681">
        <v>18273.493194269002</v>
      </c>
      <c r="M82" s="682">
        <v>18211.614688311944</v>
      </c>
      <c r="N82" s="683">
        <v>18319.651620978893</v>
      </c>
      <c r="O82" s="684">
        <v>17772.433336585789</v>
      </c>
      <c r="P82" s="682">
        <v>18169.740460588317</v>
      </c>
      <c r="Q82" s="683">
        <v>18791.837283286844</v>
      </c>
      <c r="R82" s="678"/>
    </row>
    <row r="83" spans="1:19" ht="14.4">
      <c r="A83" s="699" t="s">
        <v>673</v>
      </c>
      <c r="B83" s="680" t="s">
        <v>684</v>
      </c>
      <c r="C83" s="679" t="s">
        <v>655</v>
      </c>
      <c r="D83" s="1220">
        <f>D82</f>
        <v>27762.209334947369</v>
      </c>
      <c r="E83" s="1220">
        <f>E82</f>
        <v>26650.130561456845</v>
      </c>
      <c r="F83" s="684">
        <v>20617.449453076686</v>
      </c>
      <c r="G83" s="682">
        <v>20200.804125308263</v>
      </c>
      <c r="H83" s="685">
        <v>19855.497229539844</v>
      </c>
      <c r="I83" s="684">
        <v>18551.136259882747</v>
      </c>
      <c r="J83" s="682">
        <v>18392.775919461696</v>
      </c>
      <c r="K83" s="685">
        <v>18444.560789600648</v>
      </c>
      <c r="L83" s="681">
        <v>17915.260102788576</v>
      </c>
      <c r="M83" s="682">
        <v>17889.681263527102</v>
      </c>
      <c r="N83" s="683">
        <v>18032.431857113628</v>
      </c>
      <c r="O83" s="684">
        <v>17082.292252510844</v>
      </c>
      <c r="P83" s="682">
        <v>17564.544909538214</v>
      </c>
      <c r="Q83" s="683">
        <v>18271.717217605579</v>
      </c>
      <c r="R83" s="678"/>
    </row>
    <row r="84" spans="1:19" ht="14.4">
      <c r="A84" s="701" t="s">
        <v>674</v>
      </c>
      <c r="B84" s="703" t="s">
        <v>684</v>
      </c>
      <c r="C84" s="686" t="s">
        <v>653</v>
      </c>
      <c r="D84" s="687">
        <v>35169.830941507367</v>
      </c>
      <c r="E84" s="689">
        <v>33590.96511977684</v>
      </c>
      <c r="F84" s="691">
        <v>27571.067436759324</v>
      </c>
      <c r="G84" s="689">
        <v>26408.438985037221</v>
      </c>
      <c r="H84" s="692">
        <v>25453.426339395111</v>
      </c>
      <c r="I84" s="691">
        <v>23719.805911068692</v>
      </c>
      <c r="J84" s="689">
        <v>22953.958175123556</v>
      </c>
      <c r="K84" s="692">
        <v>22588.815156811132</v>
      </c>
      <c r="L84" s="688">
        <v>22661.71571471429</v>
      </c>
      <c r="M84" s="689">
        <v>22082.86733545029</v>
      </c>
      <c r="N84" s="690">
        <v>21709.703915514292</v>
      </c>
      <c r="O84" s="691">
        <v>20839.409085506646</v>
      </c>
      <c r="P84" s="689">
        <v>20897.848265792964</v>
      </c>
      <c r="Q84" s="690">
        <v>21143.048934751278</v>
      </c>
      <c r="R84" s="678"/>
    </row>
    <row r="85" spans="1:19" ht="14.4">
      <c r="A85" s="701" t="s">
        <v>674</v>
      </c>
      <c r="B85" s="703" t="s">
        <v>684</v>
      </c>
      <c r="C85" s="693" t="s">
        <v>654</v>
      </c>
      <c r="D85" s="1220">
        <f>D84</f>
        <v>35169.830941507367</v>
      </c>
      <c r="E85" s="1220">
        <f>E84</f>
        <v>33590.96511977684</v>
      </c>
      <c r="F85" s="691">
        <v>26064.047303770058</v>
      </c>
      <c r="G85" s="689">
        <v>25043.344723024791</v>
      </c>
      <c r="H85" s="692">
        <v>24213.89171451953</v>
      </c>
      <c r="I85" s="691">
        <v>22635.404318410245</v>
      </c>
      <c r="J85" s="689">
        <v>22045.767898499507</v>
      </c>
      <c r="K85" s="692">
        <v>21763.611300572771</v>
      </c>
      <c r="L85" s="688">
        <v>21191.412994927294</v>
      </c>
      <c r="M85" s="689">
        <v>20784.197929994243</v>
      </c>
      <c r="N85" s="690">
        <v>20571.146644485194</v>
      </c>
      <c r="O85" s="691">
        <v>20348.846912855461</v>
      </c>
      <c r="P85" s="689">
        <v>20458.275280585985</v>
      </c>
      <c r="Q85" s="690">
        <v>20756.26706246052</v>
      </c>
      <c r="R85" s="678"/>
    </row>
    <row r="86" spans="1:19" ht="15" thickBot="1">
      <c r="A86" s="701" t="s">
        <v>674</v>
      </c>
      <c r="B86" s="704" t="s">
        <v>684</v>
      </c>
      <c r="C86" s="693" t="s">
        <v>655</v>
      </c>
      <c r="D86" s="1220">
        <f>D85</f>
        <v>35169.830941507367</v>
      </c>
      <c r="E86" s="1220">
        <f>E85</f>
        <v>33590.96511977684</v>
      </c>
      <c r="F86" s="691">
        <v>24677.906570780789</v>
      </c>
      <c r="G86" s="689">
        <v>23788.467861012366</v>
      </c>
      <c r="H86" s="692">
        <v>23075.711489643945</v>
      </c>
      <c r="I86" s="691">
        <v>21569.782325751788</v>
      </c>
      <c r="J86" s="689">
        <v>21083.746382770736</v>
      </c>
      <c r="K86" s="692">
        <v>20883.072405229686</v>
      </c>
      <c r="L86" s="688">
        <v>20670.285064672928</v>
      </c>
      <c r="M86" s="689">
        <v>20314.173023059451</v>
      </c>
      <c r="N86" s="690">
        <v>20148.474865893979</v>
      </c>
      <c r="O86" s="691">
        <v>19318.275397496065</v>
      </c>
      <c r="P86" s="689">
        <v>19549.958701243435</v>
      </c>
      <c r="Q86" s="690">
        <v>19974.819495550804</v>
      </c>
      <c r="R86" s="678"/>
    </row>
    <row r="87" spans="1:19" ht="14.4">
      <c r="A87" s="699" t="s">
        <v>675</v>
      </c>
      <c r="B87" s="702" t="s">
        <v>684</v>
      </c>
      <c r="C87" s="671" t="s">
        <v>653</v>
      </c>
      <c r="D87" s="672">
        <v>35277.313854147367</v>
      </c>
      <c r="E87" s="674">
        <v>33477.635120736843</v>
      </c>
      <c r="F87" s="676">
        <v>27378.631952731419</v>
      </c>
      <c r="G87" s="674">
        <v>26184.310323889316</v>
      </c>
      <c r="H87" s="677">
        <v>25210.647770887212</v>
      </c>
      <c r="I87" s="676">
        <v>23428.89305349622</v>
      </c>
      <c r="J87" s="674">
        <v>22640.930031227315</v>
      </c>
      <c r="K87" s="677">
        <v>22279.090937522895</v>
      </c>
      <c r="L87" s="673">
        <v>22321.965881410048</v>
      </c>
      <c r="M87" s="674">
        <v>21630.12398534605</v>
      </c>
      <c r="N87" s="675">
        <v>21248.266182754051</v>
      </c>
      <c r="O87" s="676">
        <v>20536.157433760527</v>
      </c>
      <c r="P87" s="674">
        <v>20471.960584798842</v>
      </c>
      <c r="Q87" s="675">
        <v>20759.036761341162</v>
      </c>
      <c r="R87" s="678"/>
    </row>
    <row r="88" spans="1:19" ht="14.4">
      <c r="A88" s="699" t="s">
        <v>675</v>
      </c>
      <c r="B88" s="702" t="s">
        <v>684</v>
      </c>
      <c r="C88" s="679" t="s">
        <v>654</v>
      </c>
      <c r="D88" s="1220">
        <f>D87</f>
        <v>35277.313854147367</v>
      </c>
      <c r="E88" s="1220">
        <f>E87</f>
        <v>33477.635120736843</v>
      </c>
      <c r="F88" s="684">
        <v>25873.186735704054</v>
      </c>
      <c r="G88" s="682">
        <v>24828.315742598796</v>
      </c>
      <c r="H88" s="685">
        <v>23986.359319013533</v>
      </c>
      <c r="I88" s="684">
        <v>22373.009041329489</v>
      </c>
      <c r="J88" s="682">
        <v>21738.943497802753</v>
      </c>
      <c r="K88" s="685">
        <v>21462.448664100019</v>
      </c>
      <c r="L88" s="681">
        <v>20884.643487645</v>
      </c>
      <c r="M88" s="682">
        <v>20381.478808311942</v>
      </c>
      <c r="N88" s="683">
        <v>20162.166651954896</v>
      </c>
      <c r="O88" s="684">
        <v>20081.450154681792</v>
      </c>
      <c r="P88" s="682">
        <v>20075.479202716317</v>
      </c>
      <c r="Q88" s="683">
        <v>20416.342754358844</v>
      </c>
      <c r="R88" s="678"/>
    </row>
    <row r="89" spans="1:19" ht="14.4">
      <c r="A89" s="699" t="s">
        <v>675</v>
      </c>
      <c r="B89" s="680" t="s">
        <v>684</v>
      </c>
      <c r="C89" s="679" t="s">
        <v>655</v>
      </c>
      <c r="D89" s="1220">
        <f>D88</f>
        <v>35277.313854147367</v>
      </c>
      <c r="E89" s="1220">
        <f>E88</f>
        <v>33477.635120736843</v>
      </c>
      <c r="F89" s="684">
        <v>24510.678918676684</v>
      </c>
      <c r="G89" s="682">
        <v>23602.048561308264</v>
      </c>
      <c r="H89" s="685">
        <v>22880.539267139848</v>
      </c>
      <c r="I89" s="684">
        <v>21339.706629162749</v>
      </c>
      <c r="J89" s="682">
        <v>20814.268555621697</v>
      </c>
      <c r="K89" s="685">
        <v>20621.162781920648</v>
      </c>
      <c r="L89" s="681">
        <v>20409.316383940575</v>
      </c>
      <c r="M89" s="682">
        <v>19963.0013035271</v>
      </c>
      <c r="N89" s="683">
        <v>19793.613053465629</v>
      </c>
      <c r="O89" s="684">
        <v>19087.685659550843</v>
      </c>
      <c r="P89" s="682">
        <v>19219.734772258209</v>
      </c>
      <c r="Q89" s="683">
        <v>19682.79432288558</v>
      </c>
      <c r="R89" s="678"/>
    </row>
    <row r="90" spans="1:19" ht="13.8">
      <c r="A90" s="695"/>
      <c r="B90" s="695"/>
      <c r="C90" s="695"/>
      <c r="D90" s="695"/>
      <c r="E90" s="695"/>
      <c r="F90" s="695"/>
      <c r="G90" s="695"/>
      <c r="H90" s="695"/>
      <c r="I90" s="695"/>
      <c r="J90" s="695"/>
      <c r="K90" s="695"/>
      <c r="L90" s="695"/>
      <c r="M90" s="695"/>
      <c r="N90" s="695"/>
      <c r="O90" s="695"/>
      <c r="P90" s="695"/>
      <c r="Q90" s="695"/>
      <c r="R90" s="695"/>
    </row>
    <row r="91" spans="1:19" ht="13.8">
      <c r="A91" s="695"/>
      <c r="B91" s="695"/>
      <c r="C91" s="695"/>
      <c r="D91" s="1017"/>
      <c r="E91" s="1017"/>
      <c r="F91" s="1017"/>
      <c r="G91" s="1017"/>
      <c r="H91" s="1017"/>
      <c r="I91" s="1017"/>
      <c r="J91" s="1017"/>
      <c r="K91" s="1017"/>
      <c r="L91" s="1017"/>
      <c r="M91" s="1017"/>
      <c r="N91" s="1017"/>
      <c r="O91" s="1017"/>
      <c r="P91" s="1017"/>
      <c r="Q91" s="1017"/>
      <c r="R91" s="695"/>
    </row>
    <row r="92" spans="1:19" ht="13.8">
      <c r="A92" s="695"/>
      <c r="B92" s="695"/>
      <c r="C92" s="695"/>
      <c r="D92" s="1016"/>
      <c r="F92" s="1016"/>
      <c r="H92" s="1016"/>
      <c r="I92" s="1016"/>
      <c r="K92" s="1016"/>
      <c r="L92" s="1016"/>
      <c r="N92" s="1016"/>
      <c r="O92" s="1016"/>
      <c r="Q92" s="1016"/>
      <c r="R92" s="695"/>
    </row>
    <row r="93" spans="1:19" ht="13.8">
      <c r="A93" s="695"/>
      <c r="B93" s="695"/>
      <c r="C93" s="695"/>
      <c r="D93" s="695"/>
      <c r="E93" s="695"/>
      <c r="F93" s="695"/>
      <c r="G93" s="695"/>
      <c r="H93" s="695"/>
      <c r="I93" s="695"/>
      <c r="J93" s="695"/>
      <c r="K93" s="695"/>
      <c r="L93" s="695"/>
      <c r="M93" s="695"/>
      <c r="N93" s="695"/>
      <c r="O93" s="695"/>
      <c r="P93" s="695"/>
      <c r="Q93" s="695"/>
      <c r="R93" s="695"/>
      <c r="S93" s="695"/>
    </row>
    <row r="94" spans="1:19" ht="13.8">
      <c r="A94" s="695"/>
      <c r="B94" s="695"/>
      <c r="C94" s="695"/>
      <c r="D94" s="695"/>
      <c r="E94" s="695"/>
      <c r="F94" s="695"/>
      <c r="G94" s="695"/>
      <c r="H94" s="695"/>
      <c r="I94" s="695"/>
      <c r="J94" s="695"/>
      <c r="K94" s="695"/>
      <c r="L94" s="695"/>
      <c r="M94" s="695"/>
      <c r="N94" s="695"/>
      <c r="O94" s="695"/>
      <c r="P94" s="695"/>
      <c r="Q94" s="695"/>
      <c r="R94" s="695"/>
    </row>
    <row r="95" spans="1:19" ht="13.8">
      <c r="A95" s="695"/>
      <c r="B95" s="695"/>
      <c r="C95" s="695"/>
      <c r="D95" s="695"/>
      <c r="E95" s="695"/>
      <c r="F95" s="695"/>
      <c r="G95" s="695"/>
      <c r="H95" s="695"/>
      <c r="I95" s="695"/>
      <c r="J95" s="695"/>
      <c r="K95" s="695"/>
      <c r="L95" s="695"/>
      <c r="M95" s="695"/>
      <c r="N95" s="695"/>
      <c r="O95" s="695"/>
      <c r="P95" s="695"/>
      <c r="Q95" s="695"/>
      <c r="R95" s="695"/>
    </row>
    <row r="96" spans="1:19" ht="13.8">
      <c r="A96" s="695"/>
      <c r="B96" s="695"/>
      <c r="C96" s="695"/>
      <c r="D96" s="695"/>
      <c r="E96" s="695"/>
      <c r="F96" s="695"/>
      <c r="G96" s="695"/>
      <c r="H96" s="695"/>
      <c r="I96" s="695"/>
      <c r="J96" s="695"/>
      <c r="K96" s="695"/>
      <c r="L96" s="695"/>
      <c r="M96" s="695"/>
      <c r="N96" s="695"/>
      <c r="O96" s="695"/>
      <c r="P96" s="695"/>
      <c r="Q96" s="695"/>
      <c r="R96" s="695"/>
    </row>
    <row r="97" spans="1:18" ht="13.8">
      <c r="A97" s="695"/>
      <c r="B97" s="695"/>
      <c r="C97" s="695"/>
      <c r="D97" s="695"/>
      <c r="E97" s="695"/>
      <c r="F97" s="695"/>
      <c r="G97" s="695"/>
      <c r="H97" s="695"/>
      <c r="I97" s="695"/>
      <c r="J97" s="695"/>
      <c r="K97" s="695"/>
      <c r="L97" s="695"/>
      <c r="M97" s="695"/>
      <c r="N97" s="695"/>
      <c r="O97" s="695"/>
      <c r="P97" s="695"/>
      <c r="Q97" s="695"/>
      <c r="R97" s="695"/>
    </row>
    <row r="98" spans="1:18" ht="13.8">
      <c r="A98" s="695"/>
      <c r="B98" s="695"/>
      <c r="C98" s="695"/>
      <c r="D98" s="695"/>
      <c r="E98" s="695"/>
      <c r="F98" s="695"/>
      <c r="G98" s="695"/>
      <c r="H98" s="695"/>
      <c r="I98" s="695"/>
      <c r="J98" s="695"/>
      <c r="K98" s="695"/>
      <c r="L98" s="695"/>
      <c r="M98" s="695"/>
      <c r="N98" s="695"/>
      <c r="O98" s="695"/>
      <c r="P98" s="695"/>
      <c r="Q98" s="695"/>
      <c r="R98" s="695"/>
    </row>
    <row r="99" spans="1:18" ht="13.8">
      <c r="A99" s="695"/>
      <c r="B99" s="695"/>
      <c r="C99" s="695"/>
      <c r="D99" s="695"/>
      <c r="E99" s="695"/>
      <c r="F99" s="695"/>
      <c r="G99" s="695"/>
      <c r="H99" s="695"/>
      <c r="I99" s="695"/>
      <c r="J99" s="695"/>
      <c r="K99" s="695"/>
      <c r="L99" s="695"/>
      <c r="M99" s="695"/>
      <c r="N99" s="695"/>
      <c r="O99" s="695"/>
      <c r="P99" s="695"/>
      <c r="Q99" s="695"/>
      <c r="R99" s="695"/>
    </row>
    <row r="100" spans="1:18" ht="13.8">
      <c r="A100" s="695"/>
      <c r="B100" s="695"/>
      <c r="C100" s="695"/>
      <c r="D100" s="695"/>
      <c r="E100" s="695"/>
      <c r="F100" s="695"/>
      <c r="G100" s="695"/>
      <c r="H100" s="695"/>
      <c r="I100" s="695"/>
      <c r="J100" s="695"/>
      <c r="K100" s="695"/>
      <c r="L100" s="695"/>
      <c r="M100" s="695"/>
      <c r="N100" s="695"/>
      <c r="O100" s="695"/>
      <c r="P100" s="695"/>
      <c r="Q100" s="695"/>
      <c r="R100" s="695"/>
    </row>
    <row r="101" spans="1:18" ht="13.8">
      <c r="A101" s="695"/>
      <c r="B101" s="695"/>
      <c r="C101" s="695"/>
      <c r="D101" s="695"/>
      <c r="E101" s="695"/>
      <c r="F101" s="695"/>
      <c r="G101" s="695"/>
      <c r="H101" s="695"/>
      <c r="I101" s="695"/>
      <c r="J101" s="695"/>
      <c r="K101" s="695"/>
      <c r="L101" s="695"/>
      <c r="M101" s="695"/>
      <c r="N101" s="695"/>
      <c r="O101" s="695"/>
      <c r="P101" s="695"/>
      <c r="Q101" s="695"/>
      <c r="R101" s="695"/>
    </row>
    <row r="102" spans="1:18" ht="13.8">
      <c r="A102" s="695"/>
      <c r="B102" s="695"/>
      <c r="C102" s="695"/>
      <c r="D102" s="695"/>
      <c r="E102" s="695"/>
      <c r="F102" s="695"/>
      <c r="G102" s="695"/>
      <c r="H102" s="695"/>
      <c r="I102" s="695"/>
      <c r="J102" s="695"/>
      <c r="K102" s="695"/>
      <c r="L102" s="695"/>
      <c r="M102" s="695"/>
      <c r="N102" s="695"/>
      <c r="O102" s="695"/>
      <c r="P102" s="695"/>
      <c r="Q102" s="695"/>
      <c r="R102" s="695"/>
    </row>
    <row r="103" spans="1:18" ht="13.8">
      <c r="A103" s="695"/>
      <c r="B103" s="695"/>
      <c r="C103" s="695"/>
      <c r="D103" s="695"/>
      <c r="E103" s="695"/>
      <c r="F103" s="695"/>
      <c r="G103" s="695"/>
      <c r="H103" s="695"/>
      <c r="I103" s="695"/>
      <c r="J103" s="695"/>
      <c r="K103" s="695"/>
      <c r="L103" s="695"/>
      <c r="M103" s="695"/>
      <c r="N103" s="695"/>
      <c r="O103" s="695"/>
      <c r="P103" s="695"/>
      <c r="Q103" s="695"/>
      <c r="R103" s="695"/>
    </row>
    <row r="104" spans="1:18" ht="13.8">
      <c r="A104" s="695"/>
      <c r="B104" s="695"/>
      <c r="C104" s="695"/>
      <c r="D104" s="695"/>
      <c r="E104" s="695"/>
      <c r="F104" s="695"/>
      <c r="G104" s="695"/>
      <c r="H104" s="695"/>
      <c r="I104" s="695"/>
      <c r="J104" s="695"/>
      <c r="K104" s="695"/>
      <c r="L104" s="695"/>
      <c r="M104" s="695"/>
      <c r="N104" s="695"/>
      <c r="O104" s="695"/>
      <c r="P104" s="695"/>
      <c r="Q104" s="695"/>
      <c r="R104" s="695"/>
    </row>
    <row r="105" spans="1:18" ht="13.8">
      <c r="A105" s="695"/>
      <c r="B105" s="695"/>
      <c r="C105" s="695"/>
      <c r="D105" s="695"/>
      <c r="E105" s="695"/>
      <c r="F105" s="695"/>
      <c r="G105" s="695"/>
      <c r="H105" s="695"/>
      <c r="I105" s="695"/>
      <c r="J105" s="695"/>
      <c r="K105" s="695"/>
      <c r="L105" s="695"/>
      <c r="M105" s="695"/>
      <c r="N105" s="695"/>
      <c r="O105" s="695"/>
      <c r="P105" s="695"/>
      <c r="Q105" s="695"/>
      <c r="R105" s="695"/>
    </row>
    <row r="106" spans="1:18" ht="13.8">
      <c r="A106" s="695"/>
      <c r="B106" s="695"/>
      <c r="C106" s="695"/>
      <c r="D106" s="695"/>
      <c r="E106" s="695"/>
      <c r="F106" s="695"/>
      <c r="G106" s="695"/>
      <c r="H106" s="695"/>
      <c r="I106" s="695"/>
      <c r="J106" s="695"/>
      <c r="K106" s="695"/>
      <c r="L106" s="695"/>
      <c r="M106" s="695"/>
      <c r="N106" s="695"/>
      <c r="O106" s="695"/>
      <c r="P106" s="695"/>
      <c r="Q106" s="695"/>
      <c r="R106" s="695"/>
    </row>
    <row r="107" spans="1:18" ht="13.8">
      <c r="A107" s="695"/>
      <c r="B107" s="695"/>
      <c r="C107" s="695"/>
      <c r="D107" s="695"/>
      <c r="E107" s="695"/>
      <c r="F107" s="695"/>
      <c r="G107" s="695"/>
      <c r="H107" s="695"/>
      <c r="I107" s="695"/>
      <c r="J107" s="695"/>
      <c r="K107" s="695"/>
      <c r="L107" s="695"/>
      <c r="M107" s="695"/>
      <c r="N107" s="695"/>
      <c r="O107" s="695"/>
      <c r="P107" s="695"/>
      <c r="Q107" s="695"/>
      <c r="R107" s="695"/>
    </row>
    <row r="108" spans="1:18" ht="13.8">
      <c r="A108" s="695"/>
      <c r="B108" s="695"/>
      <c r="C108" s="695"/>
      <c r="D108" s="695"/>
      <c r="E108" s="695"/>
      <c r="F108" s="695"/>
      <c r="G108" s="695"/>
      <c r="H108" s="695"/>
      <c r="I108" s="695"/>
      <c r="J108" s="695"/>
      <c r="K108" s="695"/>
      <c r="L108" s="695"/>
      <c r="M108" s="695"/>
      <c r="N108" s="695"/>
      <c r="O108" s="695"/>
      <c r="P108" s="695"/>
      <c r="Q108" s="695"/>
      <c r="R108" s="695"/>
    </row>
    <row r="109" spans="1:18" ht="13.8">
      <c r="A109" s="695"/>
      <c r="B109" s="695"/>
      <c r="C109" s="695"/>
      <c r="D109" s="695"/>
      <c r="E109" s="695"/>
      <c r="F109" s="695"/>
      <c r="G109" s="695"/>
      <c r="H109" s="695"/>
      <c r="I109" s="695"/>
      <c r="J109" s="695"/>
      <c r="K109" s="695"/>
      <c r="L109" s="695"/>
      <c r="M109" s="695"/>
      <c r="N109" s="695"/>
      <c r="O109" s="695"/>
      <c r="P109" s="695"/>
      <c r="Q109" s="695"/>
      <c r="R109" s="695"/>
    </row>
    <row r="110" spans="1:18" ht="13.8">
      <c r="A110" s="695"/>
      <c r="B110" s="695"/>
      <c r="C110" s="695"/>
      <c r="D110" s="695"/>
      <c r="E110" s="695"/>
      <c r="F110" s="695"/>
      <c r="G110" s="695"/>
      <c r="H110" s="695"/>
      <c r="I110" s="695"/>
      <c r="J110" s="695"/>
      <c r="K110" s="695"/>
      <c r="L110" s="695"/>
      <c r="M110" s="695"/>
      <c r="N110" s="695"/>
      <c r="O110" s="695"/>
      <c r="P110" s="695"/>
      <c r="Q110" s="695"/>
      <c r="R110" s="695"/>
    </row>
    <row r="111" spans="1:18" ht="13.8">
      <c r="A111" s="695"/>
      <c r="B111" s="695"/>
      <c r="C111" s="695"/>
      <c r="D111" s="695"/>
      <c r="E111" s="695"/>
      <c r="F111" s="695"/>
      <c r="G111" s="695"/>
      <c r="H111" s="695"/>
      <c r="I111" s="695"/>
      <c r="J111" s="695"/>
      <c r="K111" s="695"/>
      <c r="L111" s="695"/>
      <c r="M111" s="695"/>
      <c r="N111" s="695"/>
      <c r="O111" s="695"/>
      <c r="P111" s="695"/>
      <c r="Q111" s="695"/>
      <c r="R111" s="695"/>
    </row>
    <row r="112" spans="1:18" ht="13.8">
      <c r="A112" s="695"/>
      <c r="B112" s="695"/>
      <c r="C112" s="695"/>
      <c r="D112" s="695"/>
      <c r="E112" s="695"/>
      <c r="F112" s="695"/>
      <c r="G112" s="695"/>
      <c r="H112" s="695"/>
      <c r="I112" s="695"/>
      <c r="J112" s="695"/>
      <c r="K112" s="695"/>
      <c r="L112" s="695"/>
      <c r="M112" s="695"/>
      <c r="N112" s="695"/>
      <c r="O112" s="695"/>
      <c r="P112" s="695"/>
      <c r="Q112" s="695"/>
      <c r="R112" s="695"/>
    </row>
    <row r="113" spans="1:18" ht="13.8">
      <c r="A113" s="695"/>
      <c r="B113" s="695"/>
      <c r="C113" s="695"/>
      <c r="D113" s="695"/>
      <c r="E113" s="695"/>
      <c r="F113" s="695"/>
      <c r="G113" s="695"/>
      <c r="H113" s="695"/>
      <c r="I113" s="695"/>
      <c r="J113" s="695"/>
      <c r="K113" s="695"/>
      <c r="L113" s="695"/>
      <c r="M113" s="695"/>
      <c r="N113" s="695"/>
      <c r="O113" s="695"/>
      <c r="P113" s="695"/>
      <c r="Q113" s="695"/>
      <c r="R113" s="695"/>
    </row>
    <row r="114" spans="1:18" ht="13.8">
      <c r="A114" s="695"/>
      <c r="B114" s="695"/>
      <c r="C114" s="695"/>
      <c r="D114" s="695"/>
      <c r="E114" s="695"/>
      <c r="F114" s="695"/>
      <c r="G114" s="695"/>
      <c r="H114" s="695"/>
      <c r="I114" s="695"/>
      <c r="J114" s="695"/>
      <c r="K114" s="695"/>
      <c r="L114" s="695"/>
      <c r="M114" s="695"/>
      <c r="N114" s="695"/>
      <c r="O114" s="695"/>
      <c r="P114" s="695"/>
      <c r="Q114" s="695"/>
      <c r="R114" s="695"/>
    </row>
    <row r="115" spans="1:18" ht="13.8">
      <c r="A115" s="695"/>
      <c r="B115" s="695"/>
      <c r="C115" s="695"/>
      <c r="D115" s="695"/>
      <c r="E115" s="695"/>
      <c r="F115" s="695"/>
      <c r="G115" s="695"/>
      <c r="H115" s="695"/>
      <c r="I115" s="695"/>
      <c r="J115" s="695"/>
      <c r="K115" s="695"/>
      <c r="L115" s="695"/>
      <c r="M115" s="695"/>
      <c r="N115" s="695"/>
      <c r="O115" s="695"/>
      <c r="P115" s="695"/>
      <c r="Q115" s="695"/>
      <c r="R115" s="695"/>
    </row>
    <row r="116" spans="1:18" ht="13.8">
      <c r="A116" s="695"/>
      <c r="B116" s="695"/>
      <c r="C116" s="695"/>
      <c r="D116" s="695"/>
      <c r="E116" s="695"/>
      <c r="F116" s="695"/>
      <c r="G116" s="695"/>
      <c r="H116" s="695"/>
      <c r="I116" s="695"/>
      <c r="J116" s="695"/>
      <c r="K116" s="695"/>
      <c r="L116" s="695"/>
      <c r="M116" s="695"/>
      <c r="N116" s="695"/>
      <c r="O116" s="695"/>
      <c r="P116" s="695"/>
      <c r="Q116" s="695"/>
      <c r="R116" s="695"/>
    </row>
    <row r="117" spans="1:18" ht="13.8">
      <c r="A117" s="695"/>
      <c r="B117" s="695"/>
      <c r="C117" s="695"/>
      <c r="D117" s="695"/>
      <c r="E117" s="695"/>
      <c r="F117" s="695"/>
      <c r="G117" s="695"/>
      <c r="H117" s="695"/>
      <c r="I117" s="695"/>
      <c r="J117" s="695"/>
      <c r="K117" s="695"/>
      <c r="L117" s="695"/>
      <c r="M117" s="695"/>
      <c r="N117" s="695"/>
      <c r="O117" s="695"/>
      <c r="P117" s="695"/>
      <c r="Q117" s="695"/>
      <c r="R117" s="695"/>
    </row>
    <row r="118" spans="1:18" ht="13.8">
      <c r="A118" s="695"/>
      <c r="B118" s="695"/>
      <c r="C118" s="695"/>
      <c r="D118" s="695"/>
      <c r="E118" s="695"/>
      <c r="F118" s="695"/>
      <c r="G118" s="695"/>
      <c r="H118" s="695"/>
      <c r="I118" s="695"/>
      <c r="J118" s="695"/>
      <c r="K118" s="695"/>
      <c r="L118" s="695"/>
      <c r="M118" s="695"/>
      <c r="N118" s="695"/>
      <c r="O118" s="695"/>
      <c r="P118" s="695"/>
      <c r="Q118" s="695"/>
      <c r="R118" s="695"/>
    </row>
    <row r="119" spans="1:18" ht="13.8">
      <c r="A119" s="695"/>
      <c r="B119" s="695"/>
      <c r="C119" s="695"/>
      <c r="D119" s="695"/>
      <c r="E119" s="695"/>
      <c r="F119" s="695"/>
      <c r="G119" s="695"/>
      <c r="H119" s="695"/>
      <c r="I119" s="695"/>
      <c r="J119" s="695"/>
      <c r="K119" s="695"/>
      <c r="L119" s="695"/>
      <c r="M119" s="695"/>
      <c r="N119" s="695"/>
      <c r="O119" s="695"/>
      <c r="P119" s="695"/>
      <c r="Q119" s="695"/>
      <c r="R119" s="695"/>
    </row>
    <row r="120" spans="1:18" ht="13.8">
      <c r="A120" s="695"/>
      <c r="B120" s="695"/>
      <c r="C120" s="695"/>
      <c r="D120" s="695"/>
      <c r="E120" s="695"/>
      <c r="F120" s="695"/>
      <c r="G120" s="695"/>
      <c r="H120" s="695"/>
      <c r="I120" s="695"/>
      <c r="J120" s="695"/>
      <c r="K120" s="695"/>
      <c r="L120" s="695"/>
      <c r="M120" s="695"/>
      <c r="N120" s="695"/>
      <c r="O120" s="695"/>
      <c r="P120" s="695"/>
      <c r="Q120" s="695"/>
      <c r="R120" s="695"/>
    </row>
    <row r="121" spans="1:18" ht="13.8">
      <c r="A121" s="695"/>
      <c r="B121" s="695"/>
      <c r="C121" s="695"/>
      <c r="D121" s="695"/>
      <c r="E121" s="695"/>
      <c r="F121" s="695"/>
      <c r="G121" s="695"/>
      <c r="H121" s="695"/>
      <c r="I121" s="695"/>
      <c r="J121" s="695"/>
      <c r="K121" s="695"/>
      <c r="L121" s="695"/>
      <c r="M121" s="695"/>
      <c r="N121" s="695"/>
      <c r="O121" s="695"/>
      <c r="P121" s="695"/>
      <c r="Q121" s="695"/>
      <c r="R121" s="695"/>
    </row>
    <row r="122" spans="1:18" ht="13.8">
      <c r="A122" s="695"/>
      <c r="B122" s="695"/>
      <c r="C122" s="695"/>
      <c r="D122" s="695"/>
      <c r="E122" s="695"/>
      <c r="F122" s="695"/>
      <c r="G122" s="695"/>
      <c r="H122" s="695"/>
      <c r="I122" s="695"/>
      <c r="J122" s="695"/>
      <c r="K122" s="695"/>
      <c r="L122" s="695"/>
      <c r="M122" s="695"/>
      <c r="N122" s="695"/>
      <c r="O122" s="695"/>
      <c r="P122" s="695"/>
      <c r="Q122" s="695"/>
      <c r="R122" s="695"/>
    </row>
    <row r="123" spans="1:18" ht="13.8">
      <c r="A123" s="695"/>
      <c r="B123" s="695"/>
      <c r="C123" s="695"/>
      <c r="D123" s="695"/>
      <c r="E123" s="695"/>
      <c r="F123" s="695"/>
      <c r="G123" s="695"/>
      <c r="H123" s="695"/>
      <c r="I123" s="695"/>
      <c r="J123" s="695"/>
      <c r="K123" s="695"/>
      <c r="L123" s="695"/>
      <c r="M123" s="695"/>
      <c r="N123" s="695"/>
      <c r="O123" s="695"/>
      <c r="P123" s="695"/>
      <c r="Q123" s="695"/>
      <c r="R123" s="695"/>
    </row>
    <row r="124" spans="1:18" ht="13.8">
      <c r="A124" s="695"/>
      <c r="B124" s="695"/>
      <c r="C124" s="695"/>
      <c r="D124" s="695"/>
      <c r="E124" s="695"/>
      <c r="F124" s="695"/>
      <c r="G124" s="695"/>
      <c r="H124" s="695"/>
      <c r="I124" s="695"/>
      <c r="J124" s="695"/>
      <c r="K124" s="695"/>
      <c r="L124" s="695"/>
      <c r="M124" s="695"/>
      <c r="N124" s="695"/>
      <c r="O124" s="695"/>
      <c r="P124" s="695"/>
      <c r="Q124" s="695"/>
      <c r="R124" s="695"/>
    </row>
    <row r="125" spans="1:18" ht="13.8">
      <c r="A125" s="695"/>
      <c r="B125" s="695"/>
      <c r="C125" s="695"/>
      <c r="D125" s="695"/>
      <c r="E125" s="695"/>
      <c r="F125" s="695"/>
      <c r="G125" s="695"/>
      <c r="H125" s="695"/>
      <c r="I125" s="695"/>
      <c r="J125" s="695"/>
      <c r="K125" s="695"/>
      <c r="L125" s="695"/>
      <c r="M125" s="695"/>
      <c r="N125" s="695"/>
      <c r="O125" s="695"/>
      <c r="P125" s="695"/>
      <c r="Q125" s="695"/>
      <c r="R125" s="695"/>
    </row>
    <row r="126" spans="1:18" ht="13.8">
      <c r="A126" s="695"/>
      <c r="B126" s="695"/>
      <c r="C126" s="695"/>
      <c r="D126" s="695"/>
      <c r="E126" s="695"/>
      <c r="F126" s="695"/>
      <c r="G126" s="695"/>
      <c r="H126" s="695"/>
      <c r="I126" s="695"/>
      <c r="J126" s="695"/>
      <c r="K126" s="695"/>
      <c r="L126" s="695"/>
      <c r="M126" s="695"/>
      <c r="N126" s="695"/>
      <c r="O126" s="695"/>
      <c r="P126" s="695"/>
      <c r="Q126" s="695"/>
      <c r="R126" s="695"/>
    </row>
    <row r="127" spans="1:18" ht="13.8">
      <c r="A127" s="695"/>
      <c r="B127" s="695"/>
      <c r="C127" s="695"/>
      <c r="D127" s="695"/>
      <c r="E127" s="695"/>
      <c r="F127" s="695"/>
      <c r="G127" s="695"/>
      <c r="H127" s="695"/>
      <c r="I127" s="695"/>
      <c r="J127" s="695"/>
      <c r="K127" s="695"/>
      <c r="L127" s="695"/>
      <c r="M127" s="695"/>
      <c r="N127" s="695"/>
      <c r="O127" s="695"/>
      <c r="P127" s="695"/>
      <c r="Q127" s="695"/>
      <c r="R127" s="695"/>
    </row>
    <row r="128" spans="1:18" ht="13.8">
      <c r="A128" s="695"/>
      <c r="B128" s="695"/>
      <c r="C128" s="695"/>
      <c r="D128" s="695"/>
      <c r="E128" s="695"/>
      <c r="F128" s="695"/>
      <c r="G128" s="695"/>
      <c r="H128" s="695"/>
      <c r="I128" s="695"/>
      <c r="J128" s="695"/>
      <c r="K128" s="695"/>
      <c r="L128" s="695"/>
      <c r="M128" s="695"/>
      <c r="N128" s="695"/>
      <c r="O128" s="695"/>
      <c r="P128" s="695"/>
      <c r="Q128" s="695"/>
      <c r="R128" s="695"/>
    </row>
    <row r="129" spans="1:18" ht="13.8">
      <c r="A129" s="695"/>
      <c r="B129" s="695"/>
      <c r="C129" s="695"/>
      <c r="D129" s="695"/>
      <c r="E129" s="695"/>
      <c r="F129" s="695"/>
      <c r="G129" s="695"/>
      <c r="H129" s="695"/>
      <c r="I129" s="695"/>
      <c r="J129" s="695"/>
      <c r="K129" s="695"/>
      <c r="L129" s="695"/>
      <c r="M129" s="695"/>
      <c r="N129" s="695"/>
      <c r="O129" s="695"/>
      <c r="P129" s="695"/>
      <c r="Q129" s="695"/>
      <c r="R129" s="695"/>
    </row>
    <row r="130" spans="1:18" ht="13.8">
      <c r="A130" s="695"/>
      <c r="B130" s="695"/>
      <c r="C130" s="695"/>
      <c r="D130" s="695"/>
      <c r="E130" s="695"/>
      <c r="F130" s="695"/>
      <c r="G130" s="695"/>
      <c r="H130" s="695"/>
      <c r="I130" s="695"/>
      <c r="J130" s="695"/>
      <c r="K130" s="695"/>
      <c r="L130" s="695"/>
      <c r="M130" s="695"/>
      <c r="N130" s="695"/>
      <c r="O130" s="695"/>
      <c r="P130" s="695"/>
      <c r="Q130" s="695"/>
      <c r="R130" s="695"/>
    </row>
    <row r="131" spans="1:18" ht="13.8">
      <c r="A131" s="695"/>
      <c r="B131" s="695"/>
      <c r="C131" s="695"/>
      <c r="D131" s="695"/>
      <c r="E131" s="695"/>
      <c r="F131" s="695"/>
      <c r="G131" s="695"/>
      <c r="H131" s="695"/>
      <c r="I131" s="695"/>
      <c r="J131" s="695"/>
      <c r="K131" s="695"/>
      <c r="L131" s="695"/>
      <c r="M131" s="695"/>
      <c r="N131" s="695"/>
      <c r="O131" s="695"/>
      <c r="P131" s="695"/>
      <c r="Q131" s="695"/>
      <c r="R131" s="695"/>
    </row>
    <row r="132" spans="1:18" ht="13.8">
      <c r="A132" s="695"/>
      <c r="B132" s="695"/>
      <c r="C132" s="695"/>
      <c r="D132" s="695"/>
      <c r="E132" s="695"/>
      <c r="F132" s="695"/>
      <c r="G132" s="695"/>
      <c r="H132" s="695"/>
      <c r="I132" s="695"/>
      <c r="J132" s="695"/>
      <c r="K132" s="695"/>
      <c r="L132" s="695"/>
      <c r="M132" s="695"/>
      <c r="N132" s="695"/>
      <c r="O132" s="695"/>
      <c r="P132" s="695"/>
      <c r="Q132" s="695"/>
      <c r="R132" s="695"/>
    </row>
    <row r="133" spans="1:18" ht="13.8">
      <c r="A133" s="695"/>
      <c r="B133" s="695"/>
      <c r="C133" s="695"/>
      <c r="D133" s="695"/>
      <c r="E133" s="695"/>
      <c r="F133" s="695"/>
      <c r="G133" s="695"/>
      <c r="H133" s="695"/>
      <c r="I133" s="695"/>
      <c r="J133" s="695"/>
      <c r="K133" s="695"/>
      <c r="L133" s="695"/>
      <c r="M133" s="695"/>
      <c r="N133" s="695"/>
      <c r="O133" s="695"/>
      <c r="P133" s="695"/>
      <c r="Q133" s="695"/>
      <c r="R133" s="695"/>
    </row>
    <row r="134" spans="1:18" ht="13.8">
      <c r="A134" s="695"/>
      <c r="B134" s="695"/>
      <c r="C134" s="695"/>
      <c r="D134" s="695"/>
      <c r="E134" s="695"/>
      <c r="F134" s="695"/>
      <c r="G134" s="695"/>
      <c r="H134" s="695"/>
      <c r="I134" s="695"/>
      <c r="J134" s="695"/>
      <c r="K134" s="695"/>
      <c r="L134" s="695"/>
      <c r="M134" s="695"/>
      <c r="N134" s="695"/>
      <c r="O134" s="695"/>
      <c r="P134" s="695"/>
      <c r="Q134" s="695"/>
      <c r="R134" s="695"/>
    </row>
    <row r="135" spans="1:18" ht="13.8">
      <c r="A135" s="695"/>
      <c r="B135" s="695"/>
      <c r="C135" s="695"/>
      <c r="D135" s="695"/>
      <c r="E135" s="695"/>
      <c r="F135" s="695"/>
      <c r="G135" s="695"/>
      <c r="H135" s="695"/>
      <c r="I135" s="695"/>
      <c r="J135" s="695"/>
      <c r="K135" s="695"/>
      <c r="L135" s="695"/>
      <c r="M135" s="695"/>
      <c r="N135" s="695"/>
      <c r="O135" s="695"/>
      <c r="P135" s="695"/>
      <c r="Q135" s="695"/>
      <c r="R135" s="695"/>
    </row>
    <row r="136" spans="1:18" ht="13.8">
      <c r="A136" s="695"/>
      <c r="B136" s="695"/>
      <c r="C136" s="695"/>
      <c r="D136" s="695"/>
      <c r="E136" s="695"/>
      <c r="F136" s="695"/>
      <c r="G136" s="695"/>
      <c r="H136" s="695"/>
      <c r="I136" s="695"/>
      <c r="J136" s="695"/>
      <c r="K136" s="695"/>
      <c r="L136" s="695"/>
      <c r="M136" s="695"/>
      <c r="N136" s="695"/>
      <c r="O136" s="695"/>
      <c r="P136" s="695"/>
      <c r="Q136" s="695"/>
      <c r="R136" s="695"/>
    </row>
    <row r="137" spans="1:18" ht="13.8">
      <c r="A137" s="695"/>
      <c r="B137" s="695"/>
      <c r="C137" s="695"/>
      <c r="D137" s="695"/>
      <c r="E137" s="695"/>
      <c r="F137" s="695"/>
      <c r="G137" s="695"/>
      <c r="H137" s="695"/>
      <c r="I137" s="695"/>
      <c r="J137" s="695"/>
      <c r="K137" s="695"/>
      <c r="L137" s="695"/>
      <c r="M137" s="695"/>
      <c r="N137" s="695"/>
      <c r="O137" s="695"/>
      <c r="P137" s="695"/>
      <c r="Q137" s="695"/>
      <c r="R137" s="695"/>
    </row>
    <row r="138" spans="1:18" ht="13.8">
      <c r="A138" s="695"/>
      <c r="B138" s="695"/>
      <c r="C138" s="695"/>
      <c r="D138" s="695"/>
      <c r="E138" s="695"/>
      <c r="F138" s="695"/>
      <c r="G138" s="695"/>
      <c r="H138" s="695"/>
      <c r="I138" s="695"/>
      <c r="J138" s="695"/>
      <c r="K138" s="695"/>
      <c r="L138" s="695"/>
      <c r="M138" s="695"/>
      <c r="N138" s="695"/>
      <c r="O138" s="695"/>
      <c r="P138" s="695"/>
      <c r="Q138" s="695"/>
      <c r="R138" s="695"/>
    </row>
    <row r="139" spans="1:18" ht="13.8">
      <c r="A139" s="695"/>
      <c r="B139" s="695"/>
      <c r="C139" s="695"/>
      <c r="D139" s="695"/>
      <c r="E139" s="695"/>
      <c r="F139" s="695"/>
      <c r="G139" s="695"/>
      <c r="H139" s="695"/>
      <c r="I139" s="695"/>
      <c r="J139" s="695"/>
      <c r="K139" s="695"/>
      <c r="L139" s="695"/>
      <c r="M139" s="695"/>
      <c r="N139" s="695"/>
      <c r="O139" s="695"/>
      <c r="P139" s="695"/>
      <c r="Q139" s="695"/>
      <c r="R139" s="695"/>
    </row>
    <row r="140" spans="1:18" ht="13.8">
      <c r="A140" s="695"/>
      <c r="B140" s="695"/>
      <c r="C140" s="695"/>
      <c r="D140" s="695"/>
      <c r="E140" s="695"/>
      <c r="F140" s="695"/>
      <c r="G140" s="695"/>
      <c r="H140" s="695"/>
      <c r="I140" s="695"/>
      <c r="J140" s="695"/>
      <c r="K140" s="695"/>
      <c r="L140" s="695"/>
      <c r="M140" s="695"/>
      <c r="N140" s="695"/>
      <c r="O140" s="695"/>
      <c r="P140" s="695"/>
      <c r="Q140" s="695"/>
      <c r="R140" s="695"/>
    </row>
    <row r="141" spans="1:18" ht="13.8">
      <c r="A141" s="695"/>
      <c r="B141" s="695"/>
      <c r="C141" s="695"/>
      <c r="D141" s="695"/>
      <c r="E141" s="695"/>
      <c r="F141" s="695"/>
      <c r="G141" s="695"/>
      <c r="H141" s="695"/>
      <c r="I141" s="695"/>
      <c r="J141" s="695"/>
      <c r="K141" s="695"/>
      <c r="L141" s="695"/>
      <c r="M141" s="695"/>
      <c r="N141" s="695"/>
      <c r="O141" s="695"/>
      <c r="P141" s="695"/>
      <c r="Q141" s="695"/>
      <c r="R141" s="695"/>
    </row>
    <row r="142" spans="1:18" ht="13.8">
      <c r="A142" s="695"/>
      <c r="B142" s="695"/>
      <c r="C142" s="695"/>
      <c r="D142" s="695"/>
      <c r="E142" s="695"/>
      <c r="F142" s="695"/>
      <c r="G142" s="695"/>
      <c r="H142" s="695"/>
      <c r="I142" s="695"/>
      <c r="J142" s="695"/>
      <c r="K142" s="695"/>
      <c r="L142" s="695"/>
      <c r="M142" s="695"/>
      <c r="N142" s="695"/>
      <c r="O142" s="695"/>
      <c r="P142" s="695"/>
      <c r="Q142" s="695"/>
      <c r="R142" s="695"/>
    </row>
    <row r="143" spans="1:18" ht="13.8">
      <c r="A143" s="695"/>
      <c r="B143" s="695"/>
      <c r="C143" s="695"/>
      <c r="D143" s="695"/>
      <c r="E143" s="695"/>
      <c r="F143" s="695"/>
      <c r="G143" s="695"/>
      <c r="H143" s="695"/>
      <c r="I143" s="695"/>
      <c r="J143" s="695"/>
      <c r="K143" s="695"/>
      <c r="L143" s="695"/>
      <c r="M143" s="695"/>
      <c r="N143" s="695"/>
      <c r="O143" s="695"/>
      <c r="P143" s="695"/>
      <c r="Q143" s="695"/>
      <c r="R143" s="695"/>
    </row>
    <row r="144" spans="1:18" ht="13.8">
      <c r="A144" s="695"/>
      <c r="B144" s="695"/>
      <c r="C144" s="695"/>
      <c r="D144" s="695"/>
      <c r="E144" s="695"/>
      <c r="F144" s="695"/>
      <c r="G144" s="695"/>
      <c r="H144" s="695"/>
      <c r="I144" s="695"/>
      <c r="J144" s="695"/>
      <c r="K144" s="695"/>
      <c r="L144" s="695"/>
      <c r="M144" s="695"/>
      <c r="N144" s="695"/>
      <c r="O144" s="695"/>
      <c r="P144" s="695"/>
      <c r="Q144" s="695"/>
      <c r="R144" s="695"/>
    </row>
    <row r="145" spans="1:18" ht="13.8">
      <c r="A145" s="695"/>
      <c r="B145" s="695"/>
      <c r="C145" s="695"/>
      <c r="D145" s="695"/>
      <c r="E145" s="695"/>
      <c r="F145" s="695"/>
      <c r="G145" s="695"/>
      <c r="H145" s="695"/>
      <c r="I145" s="695"/>
      <c r="J145" s="695"/>
      <c r="K145" s="695"/>
      <c r="L145" s="695"/>
      <c r="M145" s="695"/>
      <c r="N145" s="695"/>
      <c r="O145" s="695"/>
      <c r="P145" s="695"/>
      <c r="Q145" s="695"/>
      <c r="R145" s="695"/>
    </row>
    <row r="146" spans="1:18" ht="13.8">
      <c r="A146" s="695"/>
      <c r="B146" s="695"/>
      <c r="C146" s="695"/>
      <c r="D146" s="695"/>
      <c r="E146" s="695"/>
      <c r="F146" s="695"/>
      <c r="G146" s="695"/>
      <c r="H146" s="695"/>
      <c r="I146" s="695"/>
      <c r="J146" s="695"/>
      <c r="K146" s="695"/>
      <c r="L146" s="695"/>
      <c r="M146" s="695"/>
      <c r="N146" s="695"/>
      <c r="O146" s="695"/>
      <c r="P146" s="695"/>
      <c r="Q146" s="695"/>
      <c r="R146" s="695"/>
    </row>
    <row r="147" spans="1:18" ht="13.8">
      <c r="A147" s="695"/>
      <c r="B147" s="695"/>
      <c r="C147" s="695"/>
      <c r="D147" s="695"/>
      <c r="E147" s="695"/>
      <c r="F147" s="695"/>
      <c r="G147" s="695"/>
      <c r="H147" s="695"/>
      <c r="I147" s="695"/>
      <c r="J147" s="695"/>
      <c r="K147" s="695"/>
      <c r="L147" s="695"/>
      <c r="M147" s="695"/>
      <c r="N147" s="695"/>
      <c r="O147" s="695"/>
      <c r="P147" s="695"/>
      <c r="Q147" s="695"/>
      <c r="R147" s="695"/>
    </row>
    <row r="148" spans="1:18" ht="13.8">
      <c r="A148" s="695"/>
      <c r="B148" s="695"/>
      <c r="C148" s="695"/>
      <c r="D148" s="695"/>
      <c r="E148" s="695"/>
      <c r="F148" s="695"/>
      <c r="G148" s="695"/>
      <c r="H148" s="695"/>
      <c r="I148" s="695"/>
      <c r="J148" s="695"/>
      <c r="K148" s="695"/>
      <c r="L148" s="695"/>
      <c r="M148" s="695"/>
      <c r="N148" s="695"/>
      <c r="O148" s="695"/>
      <c r="P148" s="695"/>
      <c r="Q148" s="695"/>
      <c r="R148" s="695"/>
    </row>
    <row r="149" spans="1:18" ht="13.8">
      <c r="A149" s="695"/>
      <c r="B149" s="695"/>
      <c r="C149" s="695"/>
      <c r="D149" s="695"/>
      <c r="E149" s="695"/>
      <c r="F149" s="695"/>
      <c r="G149" s="695"/>
      <c r="H149" s="695"/>
      <c r="I149" s="695"/>
      <c r="J149" s="695"/>
      <c r="K149" s="695"/>
      <c r="L149" s="695"/>
      <c r="M149" s="695"/>
      <c r="N149" s="695"/>
      <c r="O149" s="695"/>
      <c r="P149" s="695"/>
      <c r="Q149" s="695"/>
      <c r="R149" s="695"/>
    </row>
    <row r="150" spans="1:18" ht="13.8">
      <c r="A150" s="695"/>
      <c r="B150" s="695"/>
      <c r="C150" s="695"/>
      <c r="D150" s="695"/>
      <c r="E150" s="695"/>
      <c r="F150" s="695"/>
      <c r="G150" s="695"/>
      <c r="H150" s="695"/>
      <c r="I150" s="695"/>
      <c r="J150" s="695"/>
      <c r="K150" s="695"/>
      <c r="L150" s="695"/>
      <c r="M150" s="695"/>
      <c r="N150" s="695"/>
      <c r="O150" s="695"/>
      <c r="P150" s="695"/>
      <c r="Q150" s="695"/>
      <c r="R150" s="695"/>
    </row>
    <row r="151" spans="1:18" ht="13.8">
      <c r="A151" s="695"/>
      <c r="B151" s="695"/>
      <c r="C151" s="695"/>
      <c r="D151" s="695"/>
      <c r="E151" s="695"/>
      <c r="F151" s="695"/>
      <c r="G151" s="695"/>
      <c r="H151" s="695"/>
      <c r="I151" s="695"/>
      <c r="J151" s="695"/>
      <c r="K151" s="695"/>
      <c r="L151" s="695"/>
      <c r="M151" s="695"/>
      <c r="N151" s="695"/>
      <c r="O151" s="695"/>
      <c r="P151" s="695"/>
      <c r="Q151" s="695"/>
      <c r="R151" s="695"/>
    </row>
    <row r="152" spans="1:18" ht="13.8">
      <c r="A152" s="695"/>
      <c r="B152" s="695"/>
      <c r="C152" s="695"/>
      <c r="D152" s="695"/>
      <c r="E152" s="695"/>
      <c r="F152" s="695"/>
      <c r="G152" s="695"/>
      <c r="H152" s="695"/>
      <c r="I152" s="695"/>
      <c r="J152" s="695"/>
      <c r="K152" s="695"/>
      <c r="L152" s="695"/>
      <c r="M152" s="695"/>
      <c r="N152" s="695"/>
      <c r="O152" s="695"/>
      <c r="P152" s="695"/>
      <c r="Q152" s="695"/>
      <c r="R152" s="695"/>
    </row>
    <row r="153" spans="1:18" ht="13.8">
      <c r="A153" s="695"/>
      <c r="B153" s="695"/>
      <c r="C153" s="695"/>
      <c r="D153" s="695"/>
      <c r="E153" s="695"/>
      <c r="F153" s="695"/>
      <c r="G153" s="695"/>
      <c r="H153" s="695"/>
      <c r="I153" s="695"/>
      <c r="J153" s="695"/>
      <c r="K153" s="695"/>
      <c r="L153" s="695"/>
      <c r="M153" s="695"/>
      <c r="N153" s="695"/>
      <c r="O153" s="695"/>
      <c r="P153" s="695"/>
      <c r="Q153" s="695"/>
      <c r="R153" s="695"/>
    </row>
    <row r="154" spans="1:18" ht="13.8">
      <c r="A154" s="695"/>
      <c r="B154" s="695"/>
      <c r="C154" s="695"/>
      <c r="D154" s="695"/>
      <c r="E154" s="695"/>
      <c r="F154" s="695"/>
      <c r="G154" s="695"/>
      <c r="H154" s="695"/>
      <c r="I154" s="695"/>
      <c r="J154" s="695"/>
      <c r="K154" s="695"/>
      <c r="L154" s="695"/>
      <c r="M154" s="695"/>
      <c r="N154" s="695"/>
      <c r="O154" s="695"/>
      <c r="P154" s="695"/>
      <c r="Q154" s="695"/>
      <c r="R154" s="695"/>
    </row>
    <row r="155" spans="1:18" ht="13.8">
      <c r="A155" s="695"/>
      <c r="B155" s="695"/>
      <c r="C155" s="695"/>
      <c r="D155" s="695"/>
      <c r="E155" s="695"/>
      <c r="F155" s="695"/>
      <c r="G155" s="695"/>
      <c r="H155" s="695"/>
      <c r="I155" s="695"/>
      <c r="J155" s="695"/>
      <c r="K155" s="695"/>
      <c r="L155" s="695"/>
      <c r="M155" s="695"/>
      <c r="N155" s="695"/>
      <c r="O155" s="695"/>
      <c r="P155" s="695"/>
      <c r="Q155" s="695"/>
      <c r="R155" s="695"/>
    </row>
    <row r="156" spans="1:18" ht="13.8">
      <c r="A156" s="695"/>
      <c r="B156" s="695"/>
      <c r="C156" s="695"/>
      <c r="D156" s="695"/>
      <c r="E156" s="695"/>
      <c r="F156" s="695"/>
      <c r="G156" s="695"/>
      <c r="H156" s="695"/>
      <c r="I156" s="695"/>
      <c r="J156" s="695"/>
      <c r="K156" s="695"/>
      <c r="L156" s="695"/>
      <c r="M156" s="695"/>
      <c r="N156" s="695"/>
      <c r="O156" s="695"/>
      <c r="P156" s="695"/>
      <c r="Q156" s="695"/>
      <c r="R156" s="695"/>
    </row>
    <row r="157" spans="1:18" ht="13.8">
      <c r="A157" s="695"/>
      <c r="B157" s="695"/>
      <c r="C157" s="695"/>
      <c r="D157" s="695"/>
      <c r="E157" s="695"/>
      <c r="F157" s="695"/>
      <c r="G157" s="695"/>
      <c r="H157" s="695"/>
      <c r="I157" s="695"/>
      <c r="J157" s="695"/>
      <c r="K157" s="695"/>
      <c r="L157" s="695"/>
      <c r="M157" s="695"/>
      <c r="N157" s="695"/>
      <c r="O157" s="695"/>
      <c r="P157" s="695"/>
      <c r="Q157" s="695"/>
      <c r="R157" s="695"/>
    </row>
    <row r="158" spans="1:18" ht="13.8">
      <c r="A158" s="695"/>
      <c r="B158" s="695"/>
      <c r="C158" s="695"/>
      <c r="D158" s="695"/>
      <c r="E158" s="695"/>
      <c r="F158" s="695"/>
      <c r="G158" s="695"/>
      <c r="H158" s="695"/>
      <c r="I158" s="695"/>
      <c r="J158" s="695"/>
      <c r="K158" s="695"/>
      <c r="L158" s="695"/>
      <c r="M158" s="695"/>
      <c r="N158" s="695"/>
      <c r="O158" s="695"/>
      <c r="P158" s="695"/>
      <c r="Q158" s="695"/>
      <c r="R158" s="695"/>
    </row>
    <row r="159" spans="1:18" ht="13.8">
      <c r="A159" s="695"/>
      <c r="B159" s="695"/>
      <c r="C159" s="695"/>
      <c r="D159" s="695"/>
      <c r="E159" s="695"/>
      <c r="F159" s="695"/>
      <c r="G159" s="695"/>
      <c r="H159" s="695"/>
      <c r="I159" s="695"/>
      <c r="J159" s="695"/>
      <c r="K159" s="695"/>
      <c r="L159" s="695"/>
      <c r="M159" s="695"/>
      <c r="N159" s="695"/>
      <c r="O159" s="695"/>
      <c r="P159" s="695"/>
      <c r="Q159" s="695"/>
      <c r="R159" s="695"/>
    </row>
    <row r="160" spans="1:18" ht="13.8">
      <c r="A160" s="695"/>
      <c r="B160" s="695"/>
      <c r="C160" s="695"/>
      <c r="D160" s="695"/>
      <c r="E160" s="695"/>
      <c r="F160" s="695"/>
      <c r="G160" s="695"/>
      <c r="H160" s="695"/>
      <c r="I160" s="695"/>
      <c r="J160" s="695"/>
      <c r="K160" s="695"/>
      <c r="L160" s="695"/>
      <c r="M160" s="695"/>
      <c r="N160" s="695"/>
      <c r="O160" s="695"/>
      <c r="P160" s="695"/>
      <c r="Q160" s="695"/>
      <c r="R160" s="695"/>
    </row>
    <row r="161" spans="1:18" ht="13.8">
      <c r="A161" s="695"/>
      <c r="B161" s="695"/>
      <c r="C161" s="695"/>
      <c r="D161" s="695"/>
      <c r="E161" s="695"/>
      <c r="F161" s="695"/>
      <c r="G161" s="695"/>
      <c r="H161" s="695"/>
      <c r="I161" s="695"/>
      <c r="J161" s="695"/>
      <c r="K161" s="695"/>
      <c r="L161" s="695"/>
      <c r="M161" s="695"/>
      <c r="N161" s="695"/>
      <c r="O161" s="695"/>
      <c r="P161" s="695"/>
      <c r="Q161" s="695"/>
      <c r="R161" s="695"/>
    </row>
    <row r="162" spans="1:18" ht="13.8">
      <c r="A162" s="695"/>
      <c r="B162" s="695"/>
      <c r="C162" s="695"/>
      <c r="D162" s="695"/>
      <c r="E162" s="695"/>
      <c r="F162" s="695"/>
      <c r="G162" s="695"/>
      <c r="H162" s="695"/>
      <c r="I162" s="695"/>
      <c r="J162" s="695"/>
      <c r="K162" s="695"/>
      <c r="L162" s="695"/>
      <c r="M162" s="695"/>
      <c r="N162" s="695"/>
      <c r="O162" s="695"/>
      <c r="P162" s="695"/>
      <c r="Q162" s="695"/>
      <c r="R162" s="695"/>
    </row>
    <row r="163" spans="1:18" ht="13.8">
      <c r="A163" s="695"/>
      <c r="B163" s="695"/>
      <c r="C163" s="695"/>
      <c r="D163" s="695"/>
      <c r="E163" s="695"/>
      <c r="F163" s="695"/>
      <c r="G163" s="695"/>
      <c r="H163" s="695"/>
      <c r="I163" s="695"/>
      <c r="J163" s="695"/>
      <c r="K163" s="695"/>
      <c r="L163" s="695"/>
      <c r="M163" s="695"/>
      <c r="N163" s="695"/>
      <c r="O163" s="695"/>
      <c r="P163" s="695"/>
      <c r="Q163" s="695"/>
      <c r="R163" s="695"/>
    </row>
    <row r="164" spans="1:18" ht="13.8">
      <c r="A164" s="695"/>
      <c r="B164" s="695"/>
      <c r="C164" s="695"/>
      <c r="D164" s="695"/>
      <c r="E164" s="695"/>
      <c r="F164" s="695"/>
      <c r="G164" s="695"/>
      <c r="H164" s="695"/>
      <c r="I164" s="695"/>
      <c r="J164" s="695"/>
      <c r="K164" s="695"/>
      <c r="L164" s="695"/>
      <c r="M164" s="695"/>
      <c r="N164" s="695"/>
      <c r="O164" s="695"/>
      <c r="P164" s="695"/>
      <c r="Q164" s="695"/>
      <c r="R164" s="695"/>
    </row>
    <row r="165" spans="1:18" ht="13.8">
      <c r="A165" s="695"/>
      <c r="B165" s="695"/>
      <c r="C165" s="695"/>
      <c r="D165" s="695"/>
      <c r="E165" s="695"/>
      <c r="F165" s="695"/>
      <c r="G165" s="695"/>
      <c r="H165" s="695"/>
      <c r="I165" s="695"/>
      <c r="J165" s="695"/>
      <c r="K165" s="695"/>
      <c r="L165" s="695"/>
      <c r="M165" s="695"/>
      <c r="N165" s="695"/>
      <c r="O165" s="695"/>
      <c r="P165" s="695"/>
      <c r="Q165" s="695"/>
      <c r="R165" s="695"/>
    </row>
    <row r="166" spans="1:18" ht="13.8">
      <c r="A166" s="695"/>
      <c r="B166" s="695"/>
      <c r="C166" s="695"/>
      <c r="D166" s="695"/>
      <c r="E166" s="695"/>
      <c r="F166" s="695"/>
      <c r="G166" s="695"/>
      <c r="H166" s="695"/>
      <c r="I166" s="695"/>
      <c r="J166" s="695"/>
      <c r="K166" s="695"/>
      <c r="L166" s="695"/>
      <c r="M166" s="695"/>
      <c r="N166" s="695"/>
      <c r="O166" s="695"/>
      <c r="P166" s="695"/>
      <c r="Q166" s="695"/>
      <c r="R166" s="695"/>
    </row>
    <row r="167" spans="1:18" ht="13.8">
      <c r="A167" s="695"/>
      <c r="B167" s="695"/>
      <c r="C167" s="695"/>
      <c r="D167" s="695"/>
      <c r="E167" s="695"/>
      <c r="F167" s="695"/>
      <c r="G167" s="695"/>
      <c r="H167" s="695"/>
      <c r="I167" s="695"/>
      <c r="J167" s="695"/>
      <c r="K167" s="695"/>
      <c r="L167" s="695"/>
      <c r="M167" s="695"/>
      <c r="N167" s="695"/>
      <c r="O167" s="695"/>
      <c r="P167" s="695"/>
      <c r="Q167" s="695"/>
      <c r="R167" s="695"/>
    </row>
    <row r="168" spans="1:18" ht="13.8">
      <c r="A168" s="695"/>
      <c r="B168" s="695"/>
      <c r="C168" s="695"/>
      <c r="D168" s="695"/>
      <c r="E168" s="695"/>
      <c r="F168" s="695"/>
      <c r="G168" s="695"/>
      <c r="H168" s="695"/>
      <c r="I168" s="695"/>
      <c r="J168" s="695"/>
      <c r="K168" s="695"/>
      <c r="L168" s="695"/>
      <c r="M168" s="695"/>
      <c r="N168" s="695"/>
      <c r="O168" s="695"/>
      <c r="P168" s="695"/>
      <c r="Q168" s="695"/>
      <c r="R168" s="695"/>
    </row>
    <row r="169" spans="1:18" ht="13.8">
      <c r="A169" s="695"/>
      <c r="B169" s="695"/>
      <c r="C169" s="695"/>
      <c r="D169" s="695"/>
      <c r="E169" s="695"/>
      <c r="F169" s="695"/>
      <c r="G169" s="695"/>
      <c r="H169" s="695"/>
      <c r="I169" s="695"/>
      <c r="J169" s="695"/>
      <c r="K169" s="695"/>
      <c r="L169" s="695"/>
      <c r="M169" s="695"/>
      <c r="N169" s="695"/>
      <c r="O169" s="695"/>
      <c r="P169" s="695"/>
      <c r="Q169" s="695"/>
      <c r="R169" s="695"/>
    </row>
    <row r="170" spans="1:18" ht="13.8">
      <c r="A170" s="695"/>
      <c r="B170" s="695"/>
      <c r="C170" s="695"/>
      <c r="D170" s="695"/>
      <c r="E170" s="695"/>
      <c r="F170" s="695"/>
      <c r="G170" s="695"/>
      <c r="H170" s="695"/>
      <c r="I170" s="695"/>
      <c r="J170" s="695"/>
      <c r="K170" s="695"/>
      <c r="L170" s="695"/>
      <c r="M170" s="695"/>
      <c r="N170" s="695"/>
      <c r="O170" s="695"/>
      <c r="P170" s="695"/>
      <c r="Q170" s="695"/>
      <c r="R170" s="695"/>
    </row>
    <row r="171" spans="1:18" ht="13.8">
      <c r="A171" s="695"/>
      <c r="B171" s="695"/>
      <c r="C171" s="695"/>
      <c r="D171" s="695"/>
      <c r="E171" s="695"/>
      <c r="F171" s="695"/>
      <c r="G171" s="695"/>
      <c r="H171" s="695"/>
      <c r="I171" s="695"/>
      <c r="J171" s="695"/>
      <c r="K171" s="695"/>
      <c r="L171" s="695"/>
      <c r="M171" s="695"/>
      <c r="N171" s="695"/>
      <c r="O171" s="695"/>
      <c r="P171" s="695"/>
      <c r="Q171" s="695"/>
      <c r="R171" s="695"/>
    </row>
    <row r="172" spans="1:18" ht="13.8">
      <c r="A172" s="695"/>
      <c r="B172" s="695"/>
      <c r="C172" s="695"/>
      <c r="D172" s="695"/>
      <c r="E172" s="695"/>
      <c r="F172" s="695"/>
      <c r="G172" s="695"/>
      <c r="H172" s="695"/>
      <c r="I172" s="695"/>
      <c r="J172" s="695"/>
      <c r="K172" s="695"/>
      <c r="L172" s="695"/>
      <c r="M172" s="695"/>
      <c r="N172" s="695"/>
      <c r="O172" s="695"/>
      <c r="P172" s="695"/>
      <c r="Q172" s="695"/>
      <c r="R172" s="695"/>
    </row>
    <row r="173" spans="1:18" ht="13.8">
      <c r="A173" s="695"/>
      <c r="B173" s="695"/>
      <c r="C173" s="695"/>
      <c r="D173" s="695"/>
      <c r="E173" s="695"/>
      <c r="F173" s="695"/>
      <c r="G173" s="695"/>
      <c r="H173" s="695"/>
      <c r="I173" s="695"/>
      <c r="J173" s="695"/>
      <c r="K173" s="695"/>
      <c r="L173" s="695"/>
      <c r="M173" s="695"/>
      <c r="N173" s="695"/>
      <c r="O173" s="695"/>
      <c r="P173" s="695"/>
      <c r="Q173" s="695"/>
      <c r="R173" s="695"/>
    </row>
    <row r="174" spans="1:18" ht="13.8">
      <c r="A174" s="695"/>
      <c r="B174" s="695"/>
      <c r="C174" s="695"/>
      <c r="D174" s="695"/>
      <c r="E174" s="695"/>
      <c r="F174" s="695"/>
      <c r="G174" s="695"/>
      <c r="H174" s="695"/>
      <c r="I174" s="695"/>
      <c r="J174" s="695"/>
      <c r="K174" s="695"/>
      <c r="L174" s="695"/>
      <c r="M174" s="695"/>
      <c r="N174" s="695"/>
      <c r="O174" s="695"/>
      <c r="P174" s="695"/>
      <c r="Q174" s="695"/>
      <c r="R174" s="695"/>
    </row>
    <row r="175" spans="1:18" ht="13.8">
      <c r="A175" s="695"/>
      <c r="B175" s="695"/>
      <c r="C175" s="695"/>
      <c r="D175" s="695"/>
      <c r="E175" s="695"/>
      <c r="F175" s="695"/>
      <c r="G175" s="695"/>
      <c r="H175" s="695"/>
      <c r="I175" s="695"/>
      <c r="J175" s="695"/>
      <c r="K175" s="695"/>
      <c r="L175" s="695"/>
      <c r="M175" s="695"/>
      <c r="N175" s="695"/>
      <c r="O175" s="695"/>
      <c r="P175" s="695"/>
      <c r="Q175" s="695"/>
      <c r="R175" s="695"/>
    </row>
    <row r="176" spans="1:18" ht="13.8">
      <c r="A176" s="695"/>
      <c r="B176" s="695"/>
      <c r="C176" s="695"/>
      <c r="D176" s="695"/>
      <c r="E176" s="695"/>
      <c r="F176" s="695"/>
      <c r="G176" s="695"/>
      <c r="H176" s="695"/>
      <c r="I176" s="695"/>
      <c r="J176" s="695"/>
      <c r="K176" s="695"/>
      <c r="L176" s="695"/>
      <c r="M176" s="695"/>
      <c r="N176" s="695"/>
      <c r="O176" s="695"/>
      <c r="P176" s="695"/>
      <c r="Q176" s="695"/>
      <c r="R176" s="695"/>
    </row>
    <row r="177" spans="1:18" ht="13.8">
      <c r="A177" s="695"/>
      <c r="B177" s="695"/>
      <c r="C177" s="695"/>
      <c r="D177" s="695"/>
      <c r="E177" s="695"/>
      <c r="F177" s="695"/>
      <c r="G177" s="695"/>
      <c r="H177" s="695"/>
      <c r="I177" s="695"/>
      <c r="J177" s="695"/>
      <c r="K177" s="695"/>
      <c r="L177" s="695"/>
      <c r="M177" s="695"/>
      <c r="N177" s="695"/>
      <c r="O177" s="695"/>
      <c r="P177" s="695"/>
      <c r="Q177" s="695"/>
      <c r="R177" s="695"/>
    </row>
    <row r="178" spans="1:18" ht="13.8">
      <c r="A178" s="695"/>
      <c r="B178" s="695"/>
      <c r="C178" s="695"/>
      <c r="D178" s="695"/>
      <c r="E178" s="695"/>
      <c r="F178" s="695"/>
      <c r="G178" s="695"/>
      <c r="H178" s="695"/>
      <c r="I178" s="695"/>
      <c r="J178" s="695"/>
      <c r="K178" s="695"/>
      <c r="L178" s="695"/>
      <c r="M178" s="695"/>
      <c r="N178" s="695"/>
      <c r="O178" s="695"/>
      <c r="P178" s="695"/>
      <c r="Q178" s="695"/>
      <c r="R178" s="695"/>
    </row>
    <row r="179" spans="1:18" ht="13.8">
      <c r="A179" s="695"/>
      <c r="B179" s="695"/>
      <c r="C179" s="695"/>
      <c r="D179" s="695"/>
      <c r="E179" s="695"/>
      <c r="F179" s="695"/>
      <c r="G179" s="695"/>
      <c r="H179" s="695"/>
      <c r="I179" s="695"/>
      <c r="J179" s="695"/>
      <c r="K179" s="695"/>
      <c r="L179" s="695"/>
      <c r="M179" s="695"/>
      <c r="N179" s="695"/>
      <c r="O179" s="695"/>
      <c r="P179" s="695"/>
      <c r="Q179" s="695"/>
      <c r="R179" s="695"/>
    </row>
    <row r="180" spans="1:18" ht="13.8">
      <c r="A180" s="695"/>
      <c r="B180" s="695"/>
      <c r="C180" s="695"/>
      <c r="D180" s="695"/>
      <c r="E180" s="695"/>
      <c r="F180" s="695"/>
      <c r="G180" s="695"/>
      <c r="H180" s="695"/>
      <c r="I180" s="695"/>
      <c r="J180" s="695"/>
      <c r="K180" s="695"/>
      <c r="L180" s="695"/>
      <c r="M180" s="695"/>
      <c r="N180" s="695"/>
      <c r="O180" s="695"/>
      <c r="P180" s="695"/>
      <c r="Q180" s="695"/>
      <c r="R180" s="695"/>
    </row>
    <row r="181" spans="1:18" ht="13.8">
      <c r="A181" s="695"/>
      <c r="B181" s="695"/>
      <c r="C181" s="695"/>
      <c r="D181" s="695"/>
      <c r="E181" s="695"/>
      <c r="F181" s="695"/>
      <c r="G181" s="695"/>
      <c r="H181" s="695"/>
      <c r="I181" s="695"/>
      <c r="J181" s="695"/>
      <c r="K181" s="695"/>
      <c r="L181" s="695"/>
      <c r="M181" s="695"/>
      <c r="N181" s="695"/>
      <c r="O181" s="695"/>
      <c r="P181" s="695"/>
      <c r="Q181" s="695"/>
      <c r="R181" s="695"/>
    </row>
    <row r="182" spans="1:18" ht="13.8">
      <c r="A182" s="695"/>
      <c r="B182" s="695"/>
      <c r="C182" s="695"/>
      <c r="D182" s="695"/>
      <c r="E182" s="695"/>
      <c r="F182" s="695"/>
      <c r="G182" s="695"/>
      <c r="H182" s="695"/>
      <c r="I182" s="695"/>
      <c r="J182" s="695"/>
      <c r="K182" s="695"/>
      <c r="L182" s="695"/>
      <c r="M182" s="695"/>
      <c r="N182" s="695"/>
      <c r="O182" s="695"/>
      <c r="P182" s="695"/>
      <c r="Q182" s="695"/>
      <c r="R182" s="695"/>
    </row>
    <row r="183" spans="1:18" ht="13.8">
      <c r="A183" s="695"/>
      <c r="B183" s="695"/>
      <c r="C183" s="695"/>
      <c r="D183" s="695"/>
      <c r="E183" s="695"/>
      <c r="F183" s="695"/>
      <c r="G183" s="695"/>
      <c r="H183" s="695"/>
      <c r="I183" s="695"/>
      <c r="J183" s="695"/>
      <c r="K183" s="695"/>
      <c r="L183" s="695"/>
      <c r="M183" s="695"/>
      <c r="N183" s="695"/>
      <c r="O183" s="695"/>
      <c r="P183" s="695"/>
      <c r="Q183" s="695"/>
      <c r="R183" s="695"/>
    </row>
    <row r="184" spans="1:18" ht="13.8">
      <c r="A184" s="695"/>
      <c r="B184" s="695"/>
      <c r="C184" s="695"/>
      <c r="D184" s="695"/>
      <c r="E184" s="695"/>
      <c r="F184" s="695"/>
      <c r="G184" s="695"/>
      <c r="H184" s="695"/>
      <c r="I184" s="695"/>
      <c r="J184" s="695"/>
      <c r="K184" s="695"/>
      <c r="L184" s="695"/>
      <c r="M184" s="695"/>
      <c r="N184" s="695"/>
      <c r="O184" s="695"/>
      <c r="P184" s="695"/>
      <c r="Q184" s="695"/>
      <c r="R184" s="695"/>
    </row>
    <row r="185" spans="1:18" ht="13.8">
      <c r="A185" s="695"/>
      <c r="B185" s="695"/>
      <c r="C185" s="695"/>
      <c r="D185" s="695"/>
      <c r="E185" s="695"/>
      <c r="F185" s="695"/>
      <c r="G185" s="695"/>
      <c r="H185" s="695"/>
      <c r="I185" s="695"/>
      <c r="J185" s="695"/>
      <c r="K185" s="695"/>
      <c r="L185" s="695"/>
      <c r="M185" s="695"/>
      <c r="N185" s="695"/>
      <c r="O185" s="695"/>
      <c r="P185" s="695"/>
      <c r="Q185" s="695"/>
      <c r="R185" s="695"/>
    </row>
    <row r="186" spans="1:18" ht="13.8">
      <c r="A186" s="695"/>
      <c r="B186" s="695"/>
      <c r="C186" s="695"/>
      <c r="D186" s="695"/>
      <c r="E186" s="695"/>
      <c r="F186" s="695"/>
      <c r="G186" s="695"/>
      <c r="H186" s="695"/>
      <c r="I186" s="695"/>
      <c r="J186" s="695"/>
      <c r="K186" s="695"/>
      <c r="L186" s="695"/>
      <c r="M186" s="695"/>
      <c r="N186" s="695"/>
      <c r="O186" s="695"/>
      <c r="P186" s="695"/>
      <c r="Q186" s="695"/>
      <c r="R186" s="695"/>
    </row>
    <row r="187" spans="1:18" ht="13.8">
      <c r="A187" s="695"/>
      <c r="B187" s="695"/>
      <c r="C187" s="695"/>
      <c r="D187" s="695"/>
      <c r="E187" s="695"/>
      <c r="F187" s="695"/>
      <c r="G187" s="695"/>
      <c r="H187" s="695"/>
      <c r="I187" s="695"/>
      <c r="J187" s="695"/>
      <c r="K187" s="695"/>
      <c r="L187" s="695"/>
      <c r="M187" s="695"/>
      <c r="N187" s="695"/>
      <c r="O187" s="695"/>
      <c r="P187" s="695"/>
      <c r="Q187" s="695"/>
      <c r="R187" s="695"/>
    </row>
    <row r="188" spans="1:18" ht="13.8">
      <c r="A188" s="695"/>
      <c r="B188" s="695"/>
      <c r="C188" s="695"/>
      <c r="D188" s="695"/>
      <c r="E188" s="695"/>
      <c r="F188" s="695"/>
      <c r="G188" s="695"/>
      <c r="H188" s="695"/>
      <c r="I188" s="695"/>
      <c r="J188" s="695"/>
      <c r="K188" s="695"/>
      <c r="L188" s="695"/>
      <c r="M188" s="695"/>
      <c r="N188" s="695"/>
      <c r="O188" s="695"/>
      <c r="P188" s="695"/>
      <c r="Q188" s="695"/>
      <c r="R188" s="695"/>
    </row>
    <row r="189" spans="1:18" ht="13.8">
      <c r="A189" s="695"/>
      <c r="B189" s="695"/>
      <c r="C189" s="695"/>
      <c r="D189" s="695"/>
      <c r="E189" s="695"/>
      <c r="F189" s="695"/>
      <c r="G189" s="695"/>
      <c r="H189" s="695"/>
      <c r="I189" s="695"/>
      <c r="J189" s="695"/>
      <c r="K189" s="695"/>
      <c r="L189" s="695"/>
      <c r="M189" s="695"/>
      <c r="N189" s="695"/>
      <c r="O189" s="695"/>
      <c r="P189" s="695"/>
      <c r="Q189" s="695"/>
      <c r="R189" s="695"/>
    </row>
    <row r="190" spans="1:18" ht="13.8">
      <c r="A190" s="695"/>
      <c r="B190" s="695"/>
      <c r="C190" s="695"/>
      <c r="D190" s="695"/>
      <c r="E190" s="695"/>
      <c r="F190" s="695"/>
      <c r="G190" s="695"/>
      <c r="H190" s="695"/>
      <c r="I190" s="695"/>
      <c r="J190" s="695"/>
      <c r="K190" s="695"/>
      <c r="L190" s="695"/>
      <c r="M190" s="695"/>
      <c r="N190" s="695"/>
      <c r="O190" s="695"/>
      <c r="P190" s="695"/>
      <c r="Q190" s="695"/>
      <c r="R190" s="695"/>
    </row>
    <row r="191" spans="1:18" ht="13.8">
      <c r="A191" s="695"/>
      <c r="B191" s="695"/>
      <c r="C191" s="695"/>
      <c r="D191" s="695"/>
      <c r="E191" s="695"/>
      <c r="F191" s="695"/>
      <c r="G191" s="695"/>
      <c r="H191" s="695"/>
      <c r="I191" s="695"/>
      <c r="J191" s="695"/>
      <c r="K191" s="695"/>
      <c r="L191" s="695"/>
      <c r="M191" s="695"/>
      <c r="N191" s="695"/>
      <c r="O191" s="695"/>
      <c r="P191" s="695"/>
      <c r="Q191" s="695"/>
      <c r="R191" s="695"/>
    </row>
    <row r="192" spans="1:18" ht="13.8">
      <c r="A192" s="695"/>
      <c r="B192" s="695"/>
      <c r="C192" s="695"/>
      <c r="D192" s="695"/>
      <c r="E192" s="695"/>
      <c r="F192" s="695"/>
      <c r="G192" s="695"/>
      <c r="H192" s="695"/>
      <c r="I192" s="695"/>
      <c r="J192" s="695"/>
      <c r="K192" s="695"/>
      <c r="L192" s="695"/>
      <c r="M192" s="695"/>
      <c r="N192" s="695"/>
      <c r="O192" s="695"/>
      <c r="P192" s="695"/>
      <c r="Q192" s="695"/>
      <c r="R192" s="695"/>
    </row>
    <row r="193" spans="1:18" ht="13.8">
      <c r="A193" s="695"/>
      <c r="B193" s="695"/>
      <c r="C193" s="695"/>
      <c r="D193" s="695"/>
      <c r="E193" s="695"/>
      <c r="F193" s="695"/>
      <c r="G193" s="695"/>
      <c r="H193" s="695"/>
      <c r="I193" s="695"/>
      <c r="J193" s="695"/>
      <c r="K193" s="695"/>
      <c r="L193" s="695"/>
      <c r="M193" s="695"/>
      <c r="N193" s="695"/>
      <c r="O193" s="695"/>
      <c r="P193" s="695"/>
      <c r="Q193" s="695"/>
      <c r="R193" s="695"/>
    </row>
    <row r="194" spans="1:18" ht="13.8">
      <c r="A194" s="695"/>
      <c r="B194" s="695"/>
      <c r="C194" s="695"/>
      <c r="D194" s="695"/>
      <c r="E194" s="695"/>
      <c r="F194" s="695"/>
      <c r="G194" s="695"/>
      <c r="H194" s="695"/>
      <c r="I194" s="695"/>
      <c r="J194" s="695"/>
      <c r="K194" s="695"/>
      <c r="L194" s="695"/>
      <c r="M194" s="695"/>
      <c r="N194" s="695"/>
      <c r="O194" s="695"/>
      <c r="P194" s="695"/>
      <c r="Q194" s="695"/>
      <c r="R194" s="695"/>
    </row>
    <row r="195" spans="1:18" ht="13.8">
      <c r="A195" s="695"/>
      <c r="B195" s="695"/>
      <c r="C195" s="695"/>
      <c r="D195" s="695"/>
      <c r="E195" s="695"/>
      <c r="F195" s="695"/>
      <c r="G195" s="695"/>
      <c r="H195" s="695"/>
      <c r="I195" s="695"/>
      <c r="J195" s="695"/>
      <c r="K195" s="695"/>
      <c r="L195" s="695"/>
      <c r="M195" s="695"/>
      <c r="N195" s="695"/>
      <c r="O195" s="695"/>
      <c r="P195" s="695"/>
      <c r="Q195" s="695"/>
      <c r="R195" s="695"/>
    </row>
    <row r="196" spans="1:18" ht="13.8">
      <c r="A196" s="695"/>
      <c r="B196" s="695"/>
      <c r="C196" s="695"/>
      <c r="D196" s="695"/>
      <c r="E196" s="695"/>
      <c r="F196" s="695"/>
      <c r="G196" s="695"/>
      <c r="H196" s="695"/>
      <c r="I196" s="695"/>
      <c r="J196" s="695"/>
      <c r="K196" s="695"/>
      <c r="L196" s="695"/>
      <c r="M196" s="695"/>
      <c r="N196" s="695"/>
      <c r="O196" s="695"/>
      <c r="P196" s="695"/>
      <c r="Q196" s="695"/>
      <c r="R196" s="695"/>
    </row>
    <row r="197" spans="1:18" ht="13.8">
      <c r="A197" s="695"/>
      <c r="B197" s="695"/>
      <c r="C197" s="695"/>
      <c r="D197" s="695"/>
      <c r="E197" s="695"/>
      <c r="F197" s="695"/>
      <c r="G197" s="695"/>
      <c r="H197" s="695"/>
      <c r="I197" s="695"/>
      <c r="J197" s="695"/>
      <c r="K197" s="695"/>
      <c r="L197" s="695"/>
      <c r="M197" s="695"/>
      <c r="N197" s="695"/>
      <c r="O197" s="695"/>
      <c r="P197" s="695"/>
      <c r="Q197" s="695"/>
      <c r="R197" s="695"/>
    </row>
    <row r="198" spans="1:18" ht="13.8">
      <c r="A198" s="695"/>
      <c r="B198" s="695"/>
      <c r="C198" s="695"/>
      <c r="D198" s="695"/>
      <c r="E198" s="695"/>
      <c r="F198" s="695"/>
      <c r="G198" s="695"/>
      <c r="H198" s="695"/>
      <c r="I198" s="695"/>
      <c r="J198" s="695"/>
      <c r="K198" s="695"/>
      <c r="L198" s="695"/>
      <c r="M198" s="695"/>
      <c r="N198" s="695"/>
      <c r="O198" s="695"/>
      <c r="P198" s="695"/>
      <c r="Q198" s="695"/>
      <c r="R198" s="695"/>
    </row>
    <row r="199" spans="1:18" ht="13.8">
      <c r="A199" s="695"/>
      <c r="B199" s="695"/>
      <c r="C199" s="695"/>
      <c r="D199" s="695"/>
      <c r="E199" s="695"/>
      <c r="F199" s="695"/>
      <c r="G199" s="695"/>
      <c r="H199" s="695"/>
      <c r="I199" s="695"/>
      <c r="J199" s="695"/>
      <c r="K199" s="695"/>
      <c r="L199" s="695"/>
      <c r="M199" s="695"/>
      <c r="N199" s="695"/>
      <c r="O199" s="695"/>
      <c r="P199" s="695"/>
      <c r="Q199" s="695"/>
      <c r="R199" s="695"/>
    </row>
    <row r="200" spans="1:18" ht="13.8">
      <c r="A200" s="695"/>
      <c r="B200" s="695"/>
      <c r="C200" s="695"/>
      <c r="D200" s="695"/>
      <c r="E200" s="695"/>
      <c r="F200" s="695"/>
      <c r="G200" s="695"/>
      <c r="H200" s="695"/>
      <c r="I200" s="695"/>
      <c r="J200" s="695"/>
      <c r="K200" s="695"/>
      <c r="L200" s="695"/>
      <c r="M200" s="695"/>
      <c r="N200" s="695"/>
      <c r="O200" s="695"/>
      <c r="P200" s="695"/>
      <c r="Q200" s="695"/>
      <c r="R200" s="695"/>
    </row>
    <row r="201" spans="1:18" ht="13.8">
      <c r="A201" s="695"/>
      <c r="B201" s="695"/>
      <c r="C201" s="695"/>
      <c r="D201" s="695"/>
      <c r="E201" s="695"/>
      <c r="F201" s="695"/>
      <c r="G201" s="695"/>
      <c r="H201" s="695"/>
      <c r="I201" s="695"/>
      <c r="J201" s="695"/>
      <c r="K201" s="695"/>
      <c r="L201" s="695"/>
      <c r="M201" s="695"/>
      <c r="N201" s="695"/>
      <c r="O201" s="695"/>
      <c r="P201" s="695"/>
      <c r="Q201" s="695"/>
      <c r="R201" s="695"/>
    </row>
    <row r="202" spans="1:18" ht="13.8">
      <c r="A202" s="695"/>
      <c r="B202" s="695"/>
      <c r="C202" s="695"/>
      <c r="D202" s="695"/>
      <c r="E202" s="695"/>
      <c r="F202" s="695"/>
      <c r="G202" s="695"/>
      <c r="H202" s="695"/>
      <c r="I202" s="695"/>
      <c r="J202" s="695"/>
      <c r="K202" s="695"/>
      <c r="L202" s="695"/>
      <c r="M202" s="695"/>
      <c r="N202" s="695"/>
      <c r="O202" s="695"/>
      <c r="P202" s="695"/>
      <c r="Q202" s="695"/>
      <c r="R202" s="695"/>
    </row>
    <row r="203" spans="1:18" ht="13.8">
      <c r="A203" s="695"/>
      <c r="B203" s="695"/>
      <c r="C203" s="695"/>
      <c r="D203" s="695"/>
      <c r="E203" s="695"/>
      <c r="F203" s="695"/>
      <c r="G203" s="695"/>
      <c r="H203" s="695"/>
      <c r="I203" s="695"/>
      <c r="J203" s="695"/>
      <c r="K203" s="695"/>
      <c r="L203" s="695"/>
      <c r="M203" s="695"/>
      <c r="N203" s="695"/>
      <c r="O203" s="695"/>
      <c r="P203" s="695"/>
      <c r="Q203" s="695"/>
      <c r="R203" s="695"/>
    </row>
    <row r="204" spans="1:18" ht="13.8">
      <c r="A204" s="695"/>
      <c r="B204" s="695"/>
      <c r="C204" s="695"/>
      <c r="D204" s="695"/>
      <c r="E204" s="695"/>
      <c r="F204" s="695"/>
      <c r="G204" s="695"/>
      <c r="H204" s="695"/>
      <c r="I204" s="695"/>
      <c r="J204" s="695"/>
      <c r="K204" s="695"/>
      <c r="L204" s="695"/>
      <c r="M204" s="695"/>
      <c r="N204" s="695"/>
      <c r="O204" s="695"/>
      <c r="P204" s="695"/>
      <c r="Q204" s="695"/>
      <c r="R204" s="695"/>
    </row>
    <row r="205" spans="1:18" ht="13.8">
      <c r="A205" s="695"/>
      <c r="B205" s="695"/>
      <c r="C205" s="695"/>
      <c r="D205" s="695"/>
      <c r="E205" s="695"/>
      <c r="F205" s="695"/>
      <c r="G205" s="695"/>
      <c r="H205" s="695"/>
      <c r="I205" s="695"/>
      <c r="J205" s="695"/>
      <c r="K205" s="695"/>
      <c r="L205" s="695"/>
      <c r="M205" s="695"/>
      <c r="N205" s="695"/>
      <c r="O205" s="695"/>
      <c r="P205" s="695"/>
      <c r="Q205" s="695"/>
      <c r="R205" s="695"/>
    </row>
    <row r="206" spans="1:18" ht="13.8">
      <c r="A206" s="695"/>
      <c r="B206" s="695"/>
      <c r="C206" s="695"/>
      <c r="D206" s="695"/>
      <c r="E206" s="695"/>
      <c r="F206" s="695"/>
      <c r="G206" s="695"/>
      <c r="H206" s="695"/>
      <c r="I206" s="695"/>
      <c r="J206" s="695"/>
      <c r="K206" s="695"/>
      <c r="L206" s="695"/>
      <c r="M206" s="695"/>
      <c r="N206" s="695"/>
      <c r="O206" s="695"/>
      <c r="P206" s="695"/>
      <c r="Q206" s="695"/>
      <c r="R206" s="695"/>
    </row>
    <row r="207" spans="1:18" ht="13.8">
      <c r="A207" s="695"/>
      <c r="B207" s="695"/>
      <c r="C207" s="695"/>
      <c r="D207" s="695"/>
      <c r="E207" s="695"/>
      <c r="F207" s="695"/>
      <c r="G207" s="695"/>
      <c r="H207" s="695"/>
      <c r="I207" s="695"/>
      <c r="J207" s="695"/>
      <c r="K207" s="695"/>
      <c r="L207" s="695"/>
      <c r="M207" s="695"/>
      <c r="N207" s="695"/>
      <c r="O207" s="695"/>
      <c r="P207" s="695"/>
      <c r="Q207" s="695"/>
      <c r="R207" s="695"/>
    </row>
    <row r="208" spans="1:18" ht="13.8">
      <c r="A208" s="695"/>
      <c r="B208" s="695"/>
      <c r="C208" s="695"/>
      <c r="D208" s="695"/>
      <c r="E208" s="695"/>
      <c r="F208" s="695"/>
      <c r="G208" s="695"/>
      <c r="H208" s="695"/>
      <c r="I208" s="695"/>
      <c r="J208" s="695"/>
      <c r="K208" s="695"/>
      <c r="L208" s="695"/>
      <c r="M208" s="695"/>
      <c r="N208" s="695"/>
      <c r="O208" s="695"/>
      <c r="P208" s="695"/>
      <c r="Q208" s="695"/>
      <c r="R208" s="695"/>
    </row>
    <row r="209" spans="1:18" ht="13.8">
      <c r="A209" s="695"/>
      <c r="B209" s="695"/>
      <c r="C209" s="695"/>
      <c r="D209" s="695"/>
      <c r="E209" s="695"/>
      <c r="F209" s="695"/>
      <c r="G209" s="695"/>
      <c r="H209" s="695"/>
      <c r="I209" s="695"/>
      <c r="J209" s="695"/>
      <c r="K209" s="695"/>
      <c r="L209" s="695"/>
      <c r="M209" s="695"/>
      <c r="N209" s="695"/>
      <c r="O209" s="695"/>
      <c r="P209" s="695"/>
      <c r="Q209" s="695"/>
      <c r="R209" s="695"/>
    </row>
    <row r="210" spans="1:18" ht="13.8">
      <c r="A210" s="695"/>
      <c r="B210" s="695"/>
      <c r="C210" s="695"/>
      <c r="D210" s="695"/>
      <c r="E210" s="695"/>
      <c r="F210" s="695"/>
      <c r="G210" s="695"/>
      <c r="H210" s="695"/>
      <c r="I210" s="695"/>
      <c r="J210" s="695"/>
      <c r="K210" s="695"/>
      <c r="L210" s="695"/>
      <c r="M210" s="695"/>
      <c r="N210" s="695"/>
      <c r="O210" s="695"/>
      <c r="P210" s="695"/>
      <c r="Q210" s="695"/>
      <c r="R210" s="695"/>
    </row>
    <row r="211" spans="1:18" ht="13.8">
      <c r="A211" s="695"/>
      <c r="B211" s="695"/>
      <c r="C211" s="695"/>
      <c r="D211" s="695"/>
      <c r="E211" s="695"/>
      <c r="F211" s="695"/>
      <c r="G211" s="695"/>
      <c r="H211" s="695"/>
      <c r="I211" s="695"/>
      <c r="J211" s="695"/>
      <c r="K211" s="695"/>
      <c r="L211" s="695"/>
      <c r="M211" s="695"/>
      <c r="N211" s="695"/>
      <c r="O211" s="695"/>
      <c r="P211" s="695"/>
      <c r="Q211" s="695"/>
      <c r="R211" s="695"/>
    </row>
    <row r="212" spans="1:18" ht="13.8">
      <c r="A212" s="695"/>
      <c r="B212" s="695"/>
      <c r="C212" s="695"/>
      <c r="D212" s="695"/>
      <c r="E212" s="695"/>
      <c r="F212" s="695"/>
      <c r="G212" s="695"/>
      <c r="H212" s="695"/>
      <c r="I212" s="695"/>
      <c r="J212" s="695"/>
      <c r="K212" s="695"/>
      <c r="L212" s="695"/>
      <c r="M212" s="695"/>
      <c r="N212" s="695"/>
      <c r="O212" s="695"/>
      <c r="P212" s="695"/>
      <c r="Q212" s="695"/>
      <c r="R212" s="695"/>
    </row>
    <row r="213" spans="1:18" ht="13.8">
      <c r="A213" s="695"/>
      <c r="B213" s="695"/>
      <c r="C213" s="695"/>
      <c r="D213" s="695"/>
      <c r="E213" s="695"/>
      <c r="F213" s="695"/>
      <c r="G213" s="695"/>
      <c r="H213" s="695"/>
      <c r="I213" s="695"/>
      <c r="J213" s="695"/>
      <c r="K213" s="695"/>
      <c r="L213" s="695"/>
      <c r="M213" s="695"/>
      <c r="N213" s="695"/>
      <c r="O213" s="695"/>
      <c r="P213" s="695"/>
      <c r="Q213" s="695"/>
      <c r="R213" s="695"/>
    </row>
    <row r="214" spans="1:18" ht="13.8">
      <c r="A214" s="695"/>
      <c r="B214" s="695"/>
      <c r="C214" s="695"/>
      <c r="D214" s="695"/>
      <c r="E214" s="695"/>
      <c r="F214" s="695"/>
      <c r="G214" s="695"/>
      <c r="H214" s="695"/>
      <c r="I214" s="695"/>
      <c r="J214" s="695"/>
      <c r="K214" s="695"/>
      <c r="L214" s="695"/>
      <c r="M214" s="695"/>
      <c r="N214" s="695"/>
      <c r="O214" s="695"/>
      <c r="P214" s="695"/>
      <c r="Q214" s="695"/>
      <c r="R214" s="695"/>
    </row>
    <row r="215" spans="1:18" ht="13.8">
      <c r="A215" s="695"/>
      <c r="B215" s="695"/>
      <c r="C215" s="695"/>
      <c r="D215" s="695"/>
      <c r="E215" s="695"/>
      <c r="F215" s="695"/>
      <c r="G215" s="695"/>
      <c r="H215" s="695"/>
      <c r="I215" s="695"/>
      <c r="J215" s="695"/>
      <c r="K215" s="695"/>
      <c r="L215" s="695"/>
      <c r="M215" s="695"/>
      <c r="N215" s="695"/>
      <c r="O215" s="695"/>
      <c r="P215" s="695"/>
      <c r="Q215" s="695"/>
      <c r="R215" s="695"/>
    </row>
    <row r="216" spans="1:18" ht="13.8">
      <c r="A216" s="695"/>
      <c r="B216" s="695"/>
      <c r="C216" s="695"/>
      <c r="D216" s="695"/>
      <c r="E216" s="695"/>
      <c r="F216" s="695"/>
      <c r="G216" s="695"/>
      <c r="H216" s="695"/>
      <c r="I216" s="695"/>
      <c r="J216" s="695"/>
      <c r="K216" s="695"/>
      <c r="L216" s="695"/>
      <c r="M216" s="695"/>
      <c r="N216" s="695"/>
      <c r="O216" s="695"/>
      <c r="P216" s="695"/>
      <c r="Q216" s="695"/>
      <c r="R216" s="695"/>
    </row>
    <row r="217" spans="1:18" ht="13.8">
      <c r="A217" s="695"/>
      <c r="B217" s="695"/>
      <c r="C217" s="695"/>
      <c r="D217" s="695"/>
      <c r="E217" s="695"/>
      <c r="F217" s="695"/>
      <c r="G217" s="695"/>
      <c r="H217" s="695"/>
      <c r="I217" s="695"/>
      <c r="J217" s="695"/>
      <c r="K217" s="695"/>
      <c r="L217" s="695"/>
      <c r="M217" s="695"/>
      <c r="N217" s="695"/>
      <c r="O217" s="695"/>
      <c r="P217" s="695"/>
      <c r="Q217" s="695"/>
      <c r="R217" s="695"/>
    </row>
    <row r="218" spans="1:18" ht="13.8">
      <c r="A218" s="695"/>
      <c r="B218" s="695"/>
      <c r="C218" s="695"/>
      <c r="D218" s="695"/>
      <c r="E218" s="695"/>
      <c r="F218" s="695"/>
      <c r="G218" s="695"/>
      <c r="H218" s="695"/>
      <c r="I218" s="695"/>
      <c r="J218" s="695"/>
      <c r="K218" s="695"/>
      <c r="L218" s="695"/>
      <c r="M218" s="695"/>
      <c r="N218" s="695"/>
      <c r="O218" s="695"/>
      <c r="P218" s="695"/>
      <c r="Q218" s="695"/>
      <c r="R218" s="695"/>
    </row>
    <row r="219" spans="1:18" ht="13.8">
      <c r="A219" s="695"/>
      <c r="B219" s="695"/>
      <c r="C219" s="695"/>
      <c r="D219" s="695"/>
      <c r="E219" s="695"/>
      <c r="F219" s="695"/>
      <c r="G219" s="695"/>
      <c r="H219" s="695"/>
      <c r="I219" s="695"/>
      <c r="J219" s="695"/>
      <c r="K219" s="695"/>
      <c r="L219" s="695"/>
      <c r="M219" s="695"/>
      <c r="N219" s="695"/>
      <c r="O219" s="695"/>
      <c r="P219" s="695"/>
      <c r="Q219" s="695"/>
      <c r="R219" s="695"/>
    </row>
    <row r="220" spans="1:18" ht="13.8">
      <c r="A220" s="695"/>
      <c r="B220" s="695"/>
      <c r="C220" s="695"/>
      <c r="D220" s="695"/>
      <c r="E220" s="695"/>
      <c r="F220" s="695"/>
      <c r="G220" s="695"/>
      <c r="H220" s="695"/>
      <c r="I220" s="695"/>
      <c r="J220" s="695"/>
      <c r="K220" s="695"/>
      <c r="L220" s="695"/>
      <c r="M220" s="695"/>
      <c r="N220" s="695"/>
      <c r="O220" s="695"/>
      <c r="P220" s="695"/>
      <c r="Q220" s="695"/>
      <c r="R220" s="695"/>
    </row>
    <row r="221" spans="1:18" ht="13.8">
      <c r="A221" s="695"/>
      <c r="B221" s="695"/>
      <c r="C221" s="695"/>
      <c r="D221" s="695"/>
      <c r="E221" s="695"/>
      <c r="F221" s="695"/>
      <c r="G221" s="695"/>
      <c r="H221" s="695"/>
      <c r="I221" s="695"/>
      <c r="J221" s="695"/>
      <c r="K221" s="695"/>
      <c r="L221" s="695"/>
      <c r="M221" s="695"/>
      <c r="N221" s="695"/>
      <c r="O221" s="695"/>
      <c r="P221" s="695"/>
      <c r="Q221" s="695"/>
      <c r="R221" s="695"/>
    </row>
    <row r="222" spans="1:18" ht="13.8">
      <c r="A222" s="695"/>
      <c r="B222" s="695"/>
      <c r="C222" s="695"/>
      <c r="D222" s="695"/>
      <c r="E222" s="695"/>
      <c r="F222" s="695"/>
      <c r="G222" s="695"/>
      <c r="H222" s="695"/>
      <c r="I222" s="695"/>
      <c r="J222" s="695"/>
      <c r="K222" s="695"/>
      <c r="L222" s="695"/>
      <c r="M222" s="695"/>
      <c r="N222" s="695"/>
      <c r="O222" s="695"/>
      <c r="P222" s="695"/>
      <c r="Q222" s="695"/>
      <c r="R222" s="695"/>
    </row>
    <row r="223" spans="1:18" ht="13.8">
      <c r="A223" s="695"/>
      <c r="B223" s="695"/>
      <c r="C223" s="695"/>
      <c r="D223" s="695"/>
      <c r="E223" s="695"/>
      <c r="F223" s="695"/>
      <c r="G223" s="695"/>
      <c r="H223" s="695"/>
      <c r="I223" s="695"/>
      <c r="J223" s="695"/>
      <c r="K223" s="695"/>
      <c r="L223" s="695"/>
      <c r="M223" s="695"/>
      <c r="N223" s="695"/>
      <c r="O223" s="695"/>
      <c r="P223" s="695"/>
      <c r="Q223" s="695"/>
      <c r="R223" s="695"/>
    </row>
    <row r="224" spans="1:18" ht="13.8">
      <c r="A224" s="695"/>
      <c r="B224" s="695"/>
      <c r="C224" s="695"/>
      <c r="D224" s="695"/>
      <c r="E224" s="695"/>
      <c r="F224" s="695"/>
      <c r="G224" s="695"/>
      <c r="H224" s="695"/>
      <c r="I224" s="695"/>
      <c r="J224" s="695"/>
      <c r="K224" s="695"/>
      <c r="L224" s="695"/>
      <c r="M224" s="695"/>
      <c r="N224" s="695"/>
      <c r="O224" s="695"/>
      <c r="P224" s="695"/>
      <c r="Q224" s="695"/>
      <c r="R224" s="695"/>
    </row>
    <row r="225" spans="1:18" ht="13.8">
      <c r="A225" s="695"/>
      <c r="B225" s="695"/>
      <c r="C225" s="695"/>
      <c r="D225" s="695"/>
      <c r="E225" s="695"/>
      <c r="F225" s="695"/>
      <c r="G225" s="695"/>
      <c r="H225" s="695"/>
      <c r="I225" s="695"/>
      <c r="J225" s="695"/>
      <c r="K225" s="695"/>
      <c r="L225" s="695"/>
      <c r="M225" s="695"/>
      <c r="N225" s="695"/>
      <c r="O225" s="695"/>
      <c r="P225" s="695"/>
      <c r="Q225" s="695"/>
      <c r="R225" s="695"/>
    </row>
    <row r="226" spans="1:18" ht="13.8">
      <c r="A226" s="695"/>
      <c r="B226" s="695"/>
      <c r="C226" s="695"/>
      <c r="D226" s="695"/>
      <c r="E226" s="695"/>
      <c r="F226" s="695"/>
      <c r="G226" s="695"/>
      <c r="H226" s="695"/>
      <c r="I226" s="695"/>
      <c r="J226" s="695"/>
      <c r="K226" s="695"/>
      <c r="L226" s="695"/>
      <c r="M226" s="695"/>
      <c r="N226" s="695"/>
      <c r="O226" s="695"/>
      <c r="P226" s="695"/>
      <c r="Q226" s="695"/>
      <c r="R226" s="695"/>
    </row>
    <row r="227" spans="1:18" ht="13.8">
      <c r="A227" s="695"/>
      <c r="B227" s="695"/>
      <c r="C227" s="695"/>
      <c r="D227" s="695"/>
      <c r="E227" s="695"/>
      <c r="F227" s="695"/>
      <c r="G227" s="695"/>
      <c r="H227" s="695"/>
      <c r="I227" s="695"/>
      <c r="J227" s="695"/>
      <c r="K227" s="695"/>
      <c r="L227" s="695"/>
      <c r="M227" s="695"/>
      <c r="N227" s="695"/>
      <c r="O227" s="695"/>
      <c r="P227" s="695"/>
      <c r="Q227" s="695"/>
      <c r="R227" s="695"/>
    </row>
    <row r="228" spans="1:18" ht="13.8">
      <c r="A228" s="695"/>
      <c r="B228" s="695"/>
      <c r="C228" s="695"/>
      <c r="D228" s="695"/>
      <c r="E228" s="695"/>
      <c r="F228" s="695"/>
      <c r="G228" s="695"/>
      <c r="H228" s="695"/>
      <c r="I228" s="695"/>
      <c r="J228" s="695"/>
      <c r="K228" s="695"/>
      <c r="L228" s="695"/>
      <c r="M228" s="695"/>
      <c r="N228" s="695"/>
      <c r="O228" s="695"/>
      <c r="P228" s="695"/>
      <c r="Q228" s="695"/>
      <c r="R228" s="695"/>
    </row>
    <row r="229" spans="1:18" ht="13.8">
      <c r="A229" s="695"/>
      <c r="B229" s="695"/>
      <c r="C229" s="695"/>
      <c r="D229" s="695"/>
      <c r="E229" s="695"/>
      <c r="F229" s="695"/>
      <c r="G229" s="695"/>
      <c r="H229" s="695"/>
      <c r="I229" s="695"/>
      <c r="J229" s="695"/>
      <c r="K229" s="695"/>
      <c r="L229" s="695"/>
      <c r="M229" s="695"/>
      <c r="N229" s="695"/>
      <c r="O229" s="695"/>
      <c r="P229" s="695"/>
      <c r="Q229" s="695"/>
      <c r="R229" s="695"/>
    </row>
    <row r="230" spans="1:18" ht="13.8">
      <c r="A230" s="695"/>
      <c r="B230" s="695"/>
      <c r="C230" s="695"/>
      <c r="D230" s="695"/>
      <c r="E230" s="695"/>
      <c r="F230" s="695"/>
      <c r="G230" s="695"/>
      <c r="H230" s="695"/>
      <c r="I230" s="695"/>
      <c r="J230" s="695"/>
      <c r="K230" s="695"/>
      <c r="L230" s="695"/>
      <c r="M230" s="695"/>
      <c r="N230" s="695"/>
      <c r="O230" s="695"/>
      <c r="P230" s="695"/>
      <c r="Q230" s="695"/>
      <c r="R230" s="695"/>
    </row>
    <row r="231" spans="1:18" ht="13.8">
      <c r="A231" s="695"/>
      <c r="B231" s="695"/>
      <c r="C231" s="695"/>
      <c r="D231" s="695"/>
      <c r="E231" s="695"/>
      <c r="F231" s="695"/>
      <c r="G231" s="695"/>
      <c r="H231" s="695"/>
      <c r="I231" s="695"/>
      <c r="J231" s="695"/>
      <c r="K231" s="695"/>
      <c r="L231" s="695"/>
      <c r="M231" s="695"/>
      <c r="N231" s="695"/>
      <c r="O231" s="695"/>
      <c r="P231" s="695"/>
      <c r="Q231" s="695"/>
      <c r="R231" s="695"/>
    </row>
    <row r="232" spans="1:18" ht="13.8">
      <c r="A232" s="695"/>
      <c r="B232" s="695"/>
      <c r="C232" s="695"/>
      <c r="D232" s="695"/>
      <c r="E232" s="695"/>
      <c r="F232" s="695"/>
      <c r="G232" s="695"/>
      <c r="H232" s="695"/>
      <c r="I232" s="695"/>
      <c r="J232" s="695"/>
      <c r="K232" s="695"/>
      <c r="L232" s="695"/>
      <c r="M232" s="695"/>
      <c r="N232" s="695"/>
      <c r="O232" s="695"/>
      <c r="P232" s="695"/>
      <c r="Q232" s="695"/>
      <c r="R232" s="695"/>
    </row>
    <row r="233" spans="1:18" ht="13.8">
      <c r="A233" s="695"/>
      <c r="B233" s="695"/>
      <c r="C233" s="695"/>
      <c r="D233" s="695"/>
      <c r="E233" s="695"/>
      <c r="F233" s="695"/>
      <c r="G233" s="695"/>
      <c r="H233" s="695"/>
      <c r="I233" s="695"/>
      <c r="J233" s="695"/>
      <c r="K233" s="695"/>
      <c r="L233" s="695"/>
      <c r="M233" s="695"/>
      <c r="N233" s="695"/>
      <c r="O233" s="695"/>
      <c r="P233" s="695"/>
      <c r="Q233" s="695"/>
      <c r="R233" s="695"/>
    </row>
    <row r="234" spans="1:18" ht="13.8">
      <c r="A234" s="695"/>
      <c r="B234" s="695"/>
      <c r="C234" s="695"/>
      <c r="D234" s="695"/>
      <c r="E234" s="695"/>
      <c r="F234" s="695"/>
      <c r="G234" s="695"/>
      <c r="H234" s="695"/>
      <c r="I234" s="695"/>
      <c r="J234" s="695"/>
      <c r="K234" s="695"/>
      <c r="L234" s="695"/>
      <c r="M234" s="695"/>
      <c r="N234" s="695"/>
      <c r="O234" s="695"/>
      <c r="P234" s="695"/>
      <c r="Q234" s="695"/>
      <c r="R234" s="695"/>
    </row>
    <row r="235" spans="1:18" ht="13.8">
      <c r="A235" s="695"/>
      <c r="B235" s="695"/>
      <c r="C235" s="695"/>
      <c r="D235" s="695"/>
      <c r="E235" s="695"/>
      <c r="F235" s="695"/>
      <c r="G235" s="695"/>
      <c r="H235" s="695"/>
      <c r="I235" s="695"/>
      <c r="J235" s="695"/>
      <c r="K235" s="695"/>
      <c r="L235" s="695"/>
      <c r="M235" s="695"/>
      <c r="N235" s="695"/>
      <c r="O235" s="695"/>
      <c r="P235" s="695"/>
      <c r="Q235" s="695"/>
      <c r="R235" s="695"/>
    </row>
    <row r="236" spans="1:18" ht="13.8">
      <c r="A236" s="695"/>
      <c r="B236" s="695"/>
      <c r="C236" s="695"/>
      <c r="D236" s="695"/>
      <c r="E236" s="695"/>
      <c r="F236" s="695"/>
      <c r="G236" s="695"/>
      <c r="H236" s="695"/>
      <c r="I236" s="695"/>
      <c r="J236" s="695"/>
      <c r="K236" s="695"/>
      <c r="L236" s="695"/>
      <c r="M236" s="695"/>
      <c r="N236" s="695"/>
      <c r="O236" s="695"/>
      <c r="P236" s="695"/>
      <c r="Q236" s="695"/>
      <c r="R236" s="695"/>
    </row>
    <row r="237" spans="1:18" ht="13.8">
      <c r="A237" s="695"/>
      <c r="B237" s="695"/>
      <c r="C237" s="695"/>
      <c r="D237" s="695"/>
      <c r="E237" s="695"/>
      <c r="F237" s="695"/>
      <c r="G237" s="695"/>
      <c r="H237" s="695"/>
      <c r="I237" s="695"/>
      <c r="J237" s="695"/>
      <c r="K237" s="695"/>
      <c r="L237" s="695"/>
      <c r="M237" s="695"/>
      <c r="N237" s="695"/>
      <c r="O237" s="695"/>
      <c r="P237" s="695"/>
      <c r="Q237" s="695"/>
      <c r="R237" s="695"/>
    </row>
    <row r="238" spans="1:18" ht="13.8">
      <c r="A238" s="695"/>
      <c r="B238" s="695"/>
      <c r="C238" s="695"/>
      <c r="D238" s="695"/>
      <c r="E238" s="695"/>
      <c r="F238" s="695"/>
      <c r="G238" s="695"/>
      <c r="H238" s="695"/>
      <c r="I238" s="695"/>
      <c r="J238" s="695"/>
      <c r="K238" s="695"/>
      <c r="L238" s="695"/>
      <c r="M238" s="695"/>
      <c r="N238" s="695"/>
      <c r="O238" s="695"/>
      <c r="P238" s="695"/>
      <c r="Q238" s="695"/>
      <c r="R238" s="695"/>
    </row>
    <row r="239" spans="1:18" ht="13.8">
      <c r="A239" s="695"/>
      <c r="B239" s="695"/>
      <c r="C239" s="695"/>
      <c r="D239" s="695"/>
      <c r="E239" s="695"/>
      <c r="F239" s="695"/>
      <c r="G239" s="695"/>
      <c r="H239" s="695"/>
      <c r="I239" s="695"/>
      <c r="J239" s="695"/>
      <c r="K239" s="695"/>
      <c r="L239" s="695"/>
      <c r="M239" s="695"/>
      <c r="N239" s="695"/>
      <c r="O239" s="695"/>
      <c r="P239" s="695"/>
      <c r="Q239" s="695"/>
      <c r="R239" s="695"/>
    </row>
    <row r="240" spans="1:18" ht="13.8">
      <c r="A240" s="695"/>
      <c r="B240" s="695"/>
      <c r="C240" s="695"/>
      <c r="D240" s="695"/>
      <c r="E240" s="695"/>
      <c r="F240" s="695"/>
      <c r="G240" s="695"/>
      <c r="H240" s="695"/>
      <c r="I240" s="695"/>
      <c r="J240" s="695"/>
      <c r="K240" s="695"/>
      <c r="L240" s="695"/>
      <c r="M240" s="695"/>
      <c r="N240" s="695"/>
      <c r="O240" s="695"/>
      <c r="P240" s="695"/>
      <c r="Q240" s="695"/>
      <c r="R240" s="695"/>
    </row>
    <row r="241" spans="1:18" ht="13.8">
      <c r="A241" s="695"/>
      <c r="B241" s="695"/>
      <c r="C241" s="695"/>
      <c r="D241" s="695"/>
      <c r="E241" s="695"/>
      <c r="F241" s="695"/>
      <c r="G241" s="695"/>
      <c r="H241" s="695"/>
      <c r="I241" s="695"/>
      <c r="J241" s="695"/>
      <c r="K241" s="695"/>
      <c r="L241" s="695"/>
      <c r="M241" s="695"/>
      <c r="N241" s="695"/>
      <c r="O241" s="695"/>
      <c r="P241" s="695"/>
      <c r="Q241" s="695"/>
      <c r="R241" s="695"/>
    </row>
    <row r="242" spans="1:18" ht="13.8">
      <c r="A242" s="695"/>
      <c r="B242" s="695"/>
      <c r="C242" s="695"/>
      <c r="D242" s="695"/>
      <c r="E242" s="695"/>
      <c r="F242" s="695"/>
      <c r="G242" s="695"/>
      <c r="H242" s="695"/>
      <c r="I242" s="695"/>
      <c r="J242" s="695"/>
      <c r="K242" s="695"/>
      <c r="L242" s="695"/>
      <c r="M242" s="695"/>
      <c r="N242" s="695"/>
      <c r="O242" s="695"/>
      <c r="P242" s="695"/>
      <c r="Q242" s="695"/>
      <c r="R242" s="695"/>
    </row>
    <row r="243" spans="1:18" ht="13.8">
      <c r="A243" s="695"/>
      <c r="B243" s="695"/>
      <c r="C243" s="695"/>
      <c r="D243" s="695"/>
      <c r="E243" s="695"/>
      <c r="F243" s="695"/>
      <c r="G243" s="695"/>
      <c r="H243" s="695"/>
      <c r="I243" s="695"/>
      <c r="J243" s="695"/>
      <c r="K243" s="695"/>
      <c r="L243" s="695"/>
      <c r="M243" s="695"/>
      <c r="N243" s="695"/>
      <c r="O243" s="695"/>
      <c r="P243" s="695"/>
      <c r="Q243" s="695"/>
      <c r="R243" s="695"/>
    </row>
    <row r="244" spans="1:18" ht="13.8">
      <c r="A244" s="695"/>
      <c r="B244" s="695"/>
      <c r="C244" s="695"/>
      <c r="D244" s="695"/>
      <c r="E244" s="695"/>
      <c r="F244" s="695"/>
      <c r="G244" s="695"/>
      <c r="H244" s="695"/>
      <c r="I244" s="695"/>
      <c r="J244" s="695"/>
      <c r="K244" s="695"/>
      <c r="L244" s="695"/>
      <c r="M244" s="695"/>
      <c r="N244" s="695"/>
      <c r="O244" s="695"/>
      <c r="P244" s="695"/>
      <c r="Q244" s="695"/>
      <c r="R244" s="695"/>
    </row>
    <row r="245" spans="1:18" ht="13.8">
      <c r="A245" s="695"/>
      <c r="B245" s="695"/>
      <c r="C245" s="695"/>
      <c r="D245" s="695"/>
      <c r="E245" s="695"/>
      <c r="F245" s="695"/>
      <c r="G245" s="695"/>
      <c r="H245" s="695"/>
      <c r="I245" s="695"/>
      <c r="J245" s="695"/>
      <c r="K245" s="695"/>
      <c r="L245" s="695"/>
      <c r="M245" s="695"/>
      <c r="N245" s="695"/>
      <c r="O245" s="695"/>
      <c r="P245" s="695"/>
      <c r="Q245" s="695"/>
      <c r="R245" s="695"/>
    </row>
    <row r="246" spans="1:18" ht="13.8">
      <c r="A246" s="695"/>
      <c r="B246" s="695"/>
      <c r="C246" s="695"/>
      <c r="D246" s="695"/>
      <c r="E246" s="695"/>
      <c r="F246" s="695"/>
      <c r="G246" s="695"/>
      <c r="H246" s="695"/>
      <c r="I246" s="695"/>
      <c r="J246" s="695"/>
      <c r="K246" s="695"/>
      <c r="L246" s="695"/>
      <c r="M246" s="695"/>
      <c r="N246" s="695"/>
      <c r="O246" s="695"/>
      <c r="P246" s="695"/>
      <c r="Q246" s="695"/>
      <c r="R246" s="695"/>
    </row>
    <row r="247" spans="1:18" ht="13.8">
      <c r="A247" s="695"/>
      <c r="B247" s="695"/>
      <c r="C247" s="695"/>
      <c r="D247" s="695"/>
      <c r="E247" s="695"/>
      <c r="F247" s="695"/>
      <c r="G247" s="695"/>
      <c r="H247" s="695"/>
      <c r="I247" s="695"/>
      <c r="J247" s="695"/>
      <c r="K247" s="695"/>
      <c r="L247" s="695"/>
      <c r="M247" s="695"/>
      <c r="N247" s="695"/>
      <c r="O247" s="695"/>
      <c r="P247" s="695"/>
      <c r="Q247" s="695"/>
      <c r="R247" s="695"/>
    </row>
    <row r="248" spans="1:18" ht="13.8">
      <c r="A248" s="695"/>
      <c r="B248" s="695"/>
      <c r="C248" s="695"/>
      <c r="D248" s="695"/>
      <c r="E248" s="695"/>
      <c r="F248" s="695"/>
      <c r="G248" s="695"/>
      <c r="H248" s="695"/>
      <c r="I248" s="695"/>
      <c r="J248" s="695"/>
      <c r="K248" s="695"/>
      <c r="L248" s="695"/>
      <c r="M248" s="695"/>
      <c r="N248" s="695"/>
      <c r="O248" s="695"/>
      <c r="P248" s="695"/>
      <c r="Q248" s="695"/>
      <c r="R248" s="695"/>
    </row>
    <row r="249" spans="1:18" ht="13.8">
      <c r="A249" s="695"/>
      <c r="B249" s="695"/>
      <c r="C249" s="695"/>
      <c r="D249" s="695"/>
      <c r="E249" s="695"/>
      <c r="F249" s="695"/>
      <c r="G249" s="695"/>
      <c r="H249" s="695"/>
      <c r="I249" s="695"/>
      <c r="J249" s="695"/>
      <c r="K249" s="695"/>
      <c r="L249" s="695"/>
      <c r="M249" s="695"/>
      <c r="N249" s="695"/>
      <c r="O249" s="695"/>
      <c r="P249" s="695"/>
      <c r="Q249" s="695"/>
      <c r="R249" s="695"/>
    </row>
    <row r="250" spans="1:18" ht="13.8">
      <c r="A250" s="695"/>
      <c r="B250" s="695"/>
      <c r="C250" s="695"/>
      <c r="D250" s="695"/>
      <c r="E250" s="695"/>
      <c r="F250" s="695"/>
      <c r="G250" s="695"/>
      <c r="H250" s="695"/>
      <c r="I250" s="695"/>
      <c r="J250" s="695"/>
      <c r="K250" s="695"/>
      <c r="L250" s="695"/>
      <c r="M250" s="695"/>
      <c r="N250" s="695"/>
      <c r="O250" s="695"/>
      <c r="P250" s="695"/>
      <c r="Q250" s="695"/>
      <c r="R250" s="695"/>
    </row>
    <row r="251" spans="1:18" ht="13.8">
      <c r="A251" s="695"/>
      <c r="B251" s="695"/>
      <c r="C251" s="695"/>
      <c r="D251" s="695"/>
      <c r="E251" s="695"/>
      <c r="F251" s="695"/>
      <c r="G251" s="695"/>
      <c r="H251" s="695"/>
      <c r="I251" s="695"/>
      <c r="J251" s="695"/>
      <c r="K251" s="695"/>
      <c r="L251" s="695"/>
      <c r="M251" s="695"/>
      <c r="N251" s="695"/>
      <c r="O251" s="695"/>
      <c r="P251" s="695"/>
      <c r="Q251" s="695"/>
      <c r="R251" s="695"/>
    </row>
    <row r="252" spans="1:18" ht="13.8">
      <c r="A252" s="695"/>
      <c r="B252" s="695"/>
      <c r="C252" s="695"/>
      <c r="D252" s="695"/>
      <c r="E252" s="695"/>
      <c r="F252" s="695"/>
      <c r="G252" s="695"/>
      <c r="H252" s="695"/>
      <c r="I252" s="695"/>
      <c r="J252" s="695"/>
      <c r="K252" s="695"/>
      <c r="L252" s="695"/>
      <c r="M252" s="695"/>
      <c r="N252" s="695"/>
      <c r="O252" s="695"/>
      <c r="P252" s="695"/>
      <c r="Q252" s="695"/>
      <c r="R252" s="695"/>
    </row>
    <row r="253" spans="1:18" ht="13.8">
      <c r="A253" s="695"/>
      <c r="B253" s="695"/>
      <c r="C253" s="695"/>
      <c r="D253" s="695"/>
      <c r="E253" s="695"/>
      <c r="F253" s="695"/>
      <c r="G253" s="695"/>
      <c r="H253" s="695"/>
      <c r="I253" s="695"/>
      <c r="J253" s="695"/>
      <c r="K253" s="695"/>
      <c r="L253" s="695"/>
      <c r="M253" s="695"/>
      <c r="N253" s="695"/>
      <c r="O253" s="695"/>
      <c r="P253" s="695"/>
      <c r="Q253" s="695"/>
      <c r="R253" s="695"/>
    </row>
    <row r="254" spans="1:18" ht="13.8">
      <c r="A254" s="695"/>
      <c r="B254" s="695"/>
      <c r="C254" s="695"/>
      <c r="D254" s="695"/>
      <c r="E254" s="695"/>
      <c r="F254" s="695"/>
      <c r="G254" s="695"/>
      <c r="H254" s="695"/>
      <c r="I254" s="695"/>
      <c r="J254" s="695"/>
      <c r="K254" s="695"/>
      <c r="L254" s="695"/>
      <c r="M254" s="695"/>
      <c r="N254" s="695"/>
      <c r="O254" s="695"/>
      <c r="P254" s="695"/>
      <c r="Q254" s="695"/>
      <c r="R254" s="695"/>
    </row>
    <row r="255" spans="1:18" ht="13.8">
      <c r="A255" s="695"/>
      <c r="B255" s="695"/>
      <c r="C255" s="695"/>
      <c r="D255" s="695"/>
      <c r="E255" s="695"/>
      <c r="F255" s="695"/>
      <c r="G255" s="695"/>
      <c r="H255" s="695"/>
      <c r="I255" s="695"/>
      <c r="J255" s="695"/>
      <c r="K255" s="695"/>
      <c r="L255" s="695"/>
      <c r="M255" s="695"/>
      <c r="N255" s="695"/>
      <c r="O255" s="695"/>
      <c r="P255" s="695"/>
      <c r="Q255" s="695"/>
      <c r="R255" s="695"/>
    </row>
    <row r="256" spans="1:18" ht="13.8">
      <c r="A256" s="695"/>
      <c r="B256" s="695"/>
      <c r="C256" s="695"/>
      <c r="D256" s="695"/>
      <c r="E256" s="695"/>
      <c r="F256" s="695"/>
      <c r="G256" s="695"/>
      <c r="H256" s="695"/>
      <c r="I256" s="695"/>
      <c r="J256" s="695"/>
      <c r="K256" s="695"/>
      <c r="L256" s="695"/>
      <c r="M256" s="695"/>
      <c r="N256" s="695"/>
      <c r="O256" s="695"/>
      <c r="P256" s="695"/>
      <c r="Q256" s="695"/>
      <c r="R256" s="695"/>
    </row>
    <row r="257" spans="1:18" ht="13.8">
      <c r="A257" s="695"/>
      <c r="B257" s="695"/>
      <c r="C257" s="695"/>
      <c r="D257" s="695"/>
      <c r="E257" s="695"/>
      <c r="F257" s="695"/>
      <c r="G257" s="695"/>
      <c r="H257" s="695"/>
      <c r="I257" s="695"/>
      <c r="J257" s="695"/>
      <c r="K257" s="695"/>
      <c r="L257" s="695"/>
      <c r="M257" s="695"/>
      <c r="N257" s="695"/>
      <c r="O257" s="695"/>
      <c r="P257" s="695"/>
      <c r="Q257" s="695"/>
      <c r="R257" s="695"/>
    </row>
    <row r="258" spans="1:18" ht="13.8">
      <c r="A258" s="695"/>
      <c r="B258" s="695"/>
      <c r="C258" s="695"/>
      <c r="D258" s="695"/>
      <c r="E258" s="695"/>
      <c r="F258" s="695"/>
      <c r="G258" s="695"/>
      <c r="H258" s="695"/>
      <c r="I258" s="695"/>
      <c r="J258" s="695"/>
      <c r="K258" s="695"/>
      <c r="L258" s="695"/>
      <c r="M258" s="695"/>
      <c r="N258" s="695"/>
      <c r="O258" s="695"/>
      <c r="P258" s="695"/>
      <c r="Q258" s="695"/>
      <c r="R258" s="695"/>
    </row>
    <row r="259" spans="1:18" ht="13.8">
      <c r="A259" s="695"/>
      <c r="B259" s="695"/>
      <c r="C259" s="695"/>
      <c r="D259" s="695"/>
      <c r="E259" s="695"/>
      <c r="F259" s="695"/>
      <c r="G259" s="695"/>
      <c r="H259" s="695"/>
      <c r="I259" s="695"/>
      <c r="J259" s="695"/>
      <c r="K259" s="695"/>
      <c r="L259" s="695"/>
      <c r="M259" s="695"/>
      <c r="N259" s="695"/>
      <c r="O259" s="695"/>
      <c r="P259" s="695"/>
      <c r="Q259" s="695"/>
      <c r="R259" s="695"/>
    </row>
    <row r="260" spans="1:18" ht="13.8">
      <c r="A260" s="695"/>
      <c r="B260" s="695"/>
      <c r="C260" s="695"/>
      <c r="D260" s="695"/>
      <c r="E260" s="695"/>
      <c r="F260" s="695"/>
      <c r="G260" s="695"/>
      <c r="H260" s="695"/>
      <c r="I260" s="695"/>
      <c r="J260" s="695"/>
      <c r="K260" s="695"/>
      <c r="L260" s="695"/>
      <c r="M260" s="695"/>
      <c r="N260" s="695"/>
      <c r="O260" s="695"/>
      <c r="P260" s="695"/>
      <c r="Q260" s="695"/>
      <c r="R260" s="695"/>
    </row>
    <row r="261" spans="1:18" ht="13.8">
      <c r="A261" s="695"/>
      <c r="B261" s="695"/>
      <c r="C261" s="695"/>
      <c r="D261" s="695"/>
      <c r="E261" s="695"/>
      <c r="F261" s="695"/>
      <c r="G261" s="695"/>
      <c r="H261" s="695"/>
      <c r="I261" s="695"/>
      <c r="J261" s="695"/>
      <c r="K261" s="695"/>
      <c r="L261" s="695"/>
      <c r="M261" s="695"/>
      <c r="N261" s="695"/>
      <c r="O261" s="695"/>
      <c r="P261" s="695"/>
      <c r="Q261" s="695"/>
      <c r="R261" s="695"/>
    </row>
    <row r="262" spans="1:18" ht="13.8">
      <c r="A262" s="695"/>
      <c r="B262" s="695"/>
      <c r="C262" s="695"/>
      <c r="D262" s="695"/>
      <c r="E262" s="695"/>
      <c r="F262" s="695"/>
      <c r="G262" s="695"/>
      <c r="H262" s="695"/>
      <c r="I262" s="695"/>
      <c r="J262" s="695"/>
      <c r="K262" s="695"/>
      <c r="L262" s="695"/>
      <c r="M262" s="695"/>
      <c r="N262" s="695"/>
      <c r="O262" s="695"/>
      <c r="P262" s="695"/>
      <c r="Q262" s="695"/>
      <c r="R262" s="695"/>
    </row>
  </sheetData>
  <mergeCells count="1">
    <mergeCell ref="D21:Q21"/>
  </mergeCells>
  <pageMargins left="0.7" right="0.7" top="0.75" bottom="0.75" header="0.3" footer="0.3"/>
  <pageSetup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Q40"/>
  <sheetViews>
    <sheetView workbookViewId="0">
      <selection activeCell="D28" sqref="D28"/>
    </sheetView>
  </sheetViews>
  <sheetFormatPr defaultRowHeight="13.2"/>
  <cols>
    <col min="1" max="1" width="14.88671875" style="549" customWidth="1"/>
    <col min="2" max="2" width="13.109375" style="549" bestFit="1" customWidth="1"/>
    <col min="3" max="3" width="12.88671875" style="549" bestFit="1" customWidth="1"/>
    <col min="4" max="17" width="10.6640625" style="549" customWidth="1"/>
  </cols>
  <sheetData>
    <row r="1" spans="1:17" s="549" customFormat="1"/>
    <row r="2" spans="1:17" s="549" customFormat="1" ht="17.399999999999999">
      <c r="A2" s="696" t="s">
        <v>765</v>
      </c>
    </row>
    <row r="3" spans="1:17" s="549" customFormat="1"/>
    <row r="4" spans="1:17" s="549" customFormat="1">
      <c r="A4" s="526" t="s">
        <v>945</v>
      </c>
    </row>
    <row r="5" spans="1:17" s="549" customFormat="1"/>
    <row r="6" spans="1:17">
      <c r="A6" s="526" t="s">
        <v>942</v>
      </c>
      <c r="B6" s="550"/>
    </row>
    <row r="7" spans="1:17" s="549" customFormat="1" ht="13.8" thickBot="1">
      <c r="A7" s="526"/>
      <c r="B7" s="550"/>
    </row>
    <row r="8" spans="1:17" s="549" customFormat="1" ht="18.600000000000001" thickBot="1">
      <c r="A8" s="845"/>
      <c r="B8" s="845"/>
      <c r="C8" s="659"/>
      <c r="D8" s="1669" t="s">
        <v>946</v>
      </c>
      <c r="E8" s="1670"/>
      <c r="F8" s="1670"/>
      <c r="G8" s="1670"/>
      <c r="H8" s="1670"/>
      <c r="I8" s="1670"/>
      <c r="J8" s="1670"/>
      <c r="K8" s="1670"/>
      <c r="L8" s="1670"/>
      <c r="M8" s="1670"/>
      <c r="N8" s="1670"/>
      <c r="O8" s="1670"/>
      <c r="P8" s="1670"/>
      <c r="Q8" s="1670"/>
    </row>
    <row r="9" spans="1:17" s="549" customFormat="1" ht="15" thickBot="1">
      <c r="A9" s="661"/>
      <c r="B9" s="716" t="s">
        <v>705</v>
      </c>
      <c r="C9" s="717">
        <v>0.55000000000000004</v>
      </c>
      <c r="D9" s="662">
        <v>2010</v>
      </c>
      <c r="E9" s="907">
        <v>2015</v>
      </c>
      <c r="F9" s="706">
        <v>2020</v>
      </c>
      <c r="G9" s="706">
        <v>2020</v>
      </c>
      <c r="H9" s="706">
        <v>2020</v>
      </c>
      <c r="I9" s="706">
        <v>2025</v>
      </c>
      <c r="J9" s="706">
        <v>2025</v>
      </c>
      <c r="K9" s="706">
        <v>2025</v>
      </c>
      <c r="L9" s="706">
        <v>2030</v>
      </c>
      <c r="M9" s="706">
        <v>2030</v>
      </c>
      <c r="N9" s="706">
        <v>2030</v>
      </c>
      <c r="O9" s="706">
        <v>2045</v>
      </c>
      <c r="P9" s="706">
        <v>2045</v>
      </c>
      <c r="Q9" s="706">
        <v>2045</v>
      </c>
    </row>
    <row r="10" spans="1:17" s="549" customFormat="1" ht="15" thickBot="1">
      <c r="A10" s="659"/>
      <c r="B10" s="718" t="s">
        <v>706</v>
      </c>
      <c r="C10" s="717">
        <v>0.7</v>
      </c>
      <c r="D10" s="902" t="s">
        <v>97</v>
      </c>
      <c r="E10" s="668" t="s">
        <v>650</v>
      </c>
      <c r="F10" s="667" t="s">
        <v>649</v>
      </c>
      <c r="G10" s="668" t="s">
        <v>650</v>
      </c>
      <c r="H10" s="669" t="s">
        <v>651</v>
      </c>
      <c r="I10" s="667" t="s">
        <v>649</v>
      </c>
      <c r="J10" s="668" t="s">
        <v>650</v>
      </c>
      <c r="K10" s="669" t="s">
        <v>651</v>
      </c>
      <c r="L10" s="667" t="s">
        <v>649</v>
      </c>
      <c r="M10" s="668" t="s">
        <v>650</v>
      </c>
      <c r="N10" s="669" t="s">
        <v>651</v>
      </c>
      <c r="O10" s="667" t="s">
        <v>649</v>
      </c>
      <c r="P10" s="668" t="s">
        <v>650</v>
      </c>
      <c r="Q10" s="669" t="s">
        <v>651</v>
      </c>
    </row>
    <row r="11" spans="1:17" s="549" customFormat="1" ht="15" thickBot="1">
      <c r="A11" s="841" t="s">
        <v>652</v>
      </c>
      <c r="B11" s="1671" t="s">
        <v>724</v>
      </c>
      <c r="C11" s="831" t="s">
        <v>707</v>
      </c>
      <c r="D11" s="772">
        <v>21.629500080679531</v>
      </c>
      <c r="E11" s="768">
        <v>22.432305258244632</v>
      </c>
      <c r="F11" s="772">
        <v>23.656938307161095</v>
      </c>
      <c r="G11" s="768">
        <v>26.365326088559847</v>
      </c>
      <c r="H11" s="768">
        <v>28.966832853641758</v>
      </c>
      <c r="I11" s="772">
        <v>24.577475097851309</v>
      </c>
      <c r="J11" s="768">
        <v>27.514280898845904</v>
      </c>
      <c r="K11" s="768">
        <v>30.397480368650079</v>
      </c>
      <c r="L11" s="772">
        <v>26.79640808143176</v>
      </c>
      <c r="M11" s="768">
        <v>29.687458395475506</v>
      </c>
      <c r="N11" s="768">
        <v>34.662379221652174</v>
      </c>
      <c r="O11" s="772">
        <v>28.779134238740202</v>
      </c>
      <c r="P11" s="768">
        <v>32.322938975920614</v>
      </c>
      <c r="Q11" s="769">
        <v>37.178361574172619</v>
      </c>
    </row>
    <row r="12" spans="1:17" s="549" customFormat="1" ht="15" thickBot="1">
      <c r="A12" s="841" t="s">
        <v>652</v>
      </c>
      <c r="B12" s="1672"/>
      <c r="C12" s="832" t="s">
        <v>712</v>
      </c>
      <c r="D12" s="773">
        <v>28.832610599697755</v>
      </c>
      <c r="E12" s="771">
        <v>29.817411191828196</v>
      </c>
      <c r="F12" s="773">
        <v>31.017288580246209</v>
      </c>
      <c r="G12" s="771">
        <v>35.715342870680914</v>
      </c>
      <c r="H12" s="771">
        <v>39.786839131336215</v>
      </c>
      <c r="I12" s="773">
        <v>32.802607099590361</v>
      </c>
      <c r="J12" s="771">
        <v>38.057328749339348</v>
      </c>
      <c r="K12" s="771">
        <v>42.685999999999993</v>
      </c>
      <c r="L12" s="773">
        <v>37.17593240846152</v>
      </c>
      <c r="M12" s="771">
        <v>42.427</v>
      </c>
      <c r="N12" s="771">
        <v>51.757999999999996</v>
      </c>
      <c r="O12" s="773">
        <v>40.62186537176256</v>
      </c>
      <c r="P12" s="771">
        <v>47.088999999999992</v>
      </c>
      <c r="Q12" s="833">
        <v>56.370999999999995</v>
      </c>
    </row>
    <row r="13" spans="1:17" s="549" customFormat="1" ht="15" thickBot="1">
      <c r="A13" s="841" t="s">
        <v>652</v>
      </c>
      <c r="B13" s="1673"/>
      <c r="C13" s="834" t="s">
        <v>713</v>
      </c>
      <c r="D13" s="776">
        <v>24.369106899803356</v>
      </c>
      <c r="E13" s="775">
        <v>25.246108699483596</v>
      </c>
      <c r="F13" s="776">
        <v>26.485133151966629</v>
      </c>
      <c r="G13" s="775">
        <v>29.886110918910482</v>
      </c>
      <c r="H13" s="775">
        <v>33.006017577377165</v>
      </c>
      <c r="I13" s="776">
        <v>27.703412661484542</v>
      </c>
      <c r="J13" s="775">
        <v>31.432815365509438</v>
      </c>
      <c r="K13" s="775">
        <v>34.92144052814789</v>
      </c>
      <c r="L13" s="776">
        <v>30.64688408067784</v>
      </c>
      <c r="M13" s="775">
        <v>34.325576844572282</v>
      </c>
      <c r="N13" s="775">
        <v>40.71386857407829</v>
      </c>
      <c r="O13" s="776">
        <v>33.124816876076721</v>
      </c>
      <c r="P13" s="775">
        <v>37.633384849813808</v>
      </c>
      <c r="Q13" s="835">
        <v>43.905134511968392</v>
      </c>
    </row>
    <row r="14" spans="1:17" s="549" customFormat="1" ht="15" thickBot="1">
      <c r="A14" s="916" t="s">
        <v>656</v>
      </c>
      <c r="B14" s="1674" t="s">
        <v>724</v>
      </c>
      <c r="C14" s="836" t="s">
        <v>707</v>
      </c>
      <c r="D14" s="798">
        <v>23.983551659654605</v>
      </c>
      <c r="E14" s="786">
        <v>24.680231328340895</v>
      </c>
      <c r="F14" s="798">
        <v>26.651896073903082</v>
      </c>
      <c r="G14" s="786">
        <v>29.238684852457549</v>
      </c>
      <c r="H14" s="786">
        <v>32.373985222934891</v>
      </c>
      <c r="I14" s="798">
        <v>27.719252664332942</v>
      </c>
      <c r="J14" s="786">
        <v>30.689940393080452</v>
      </c>
      <c r="K14" s="786">
        <v>34.893100733039162</v>
      </c>
      <c r="L14" s="798">
        <v>28.689401270446837</v>
      </c>
      <c r="M14" s="786">
        <v>31.7752196862841</v>
      </c>
      <c r="N14" s="786">
        <v>36.982301407851118</v>
      </c>
      <c r="O14" s="798">
        <v>30.386272429521267</v>
      </c>
      <c r="P14" s="786">
        <v>33.747341758349876</v>
      </c>
      <c r="Q14" s="787">
        <v>40.495521467810534</v>
      </c>
    </row>
    <row r="15" spans="1:17" s="549" customFormat="1" ht="15" thickBot="1">
      <c r="A15" s="916" t="s">
        <v>656</v>
      </c>
      <c r="B15" s="1675"/>
      <c r="C15" s="837" t="s">
        <v>712</v>
      </c>
      <c r="D15" s="808">
        <v>29.184722622347184</v>
      </c>
      <c r="E15" s="794">
        <v>29.854560292672684</v>
      </c>
      <c r="F15" s="808">
        <v>31.79109121453385</v>
      </c>
      <c r="G15" s="794">
        <v>35.4938898339757</v>
      </c>
      <c r="H15" s="794">
        <v>39.545894792743866</v>
      </c>
      <c r="I15" s="808">
        <v>33.43263897136567</v>
      </c>
      <c r="J15" s="794">
        <v>37.978779056269317</v>
      </c>
      <c r="K15" s="794">
        <v>43.621794999999999</v>
      </c>
      <c r="L15" s="808">
        <v>35.470391265557787</v>
      </c>
      <c r="M15" s="794">
        <v>40.327535084609906</v>
      </c>
      <c r="N15" s="794">
        <v>48.23959</v>
      </c>
      <c r="O15" s="808">
        <v>37.99587110049054</v>
      </c>
      <c r="P15" s="794">
        <v>43.213450000000002</v>
      </c>
      <c r="Q15" s="838">
        <v>53.839449999999999</v>
      </c>
    </row>
    <row r="16" spans="1:17" s="549" customFormat="1" ht="15" thickBot="1">
      <c r="A16" s="916" t="s">
        <v>656</v>
      </c>
      <c r="B16" s="1676"/>
      <c r="C16" s="839" t="s">
        <v>713</v>
      </c>
      <c r="D16" s="810">
        <v>26.074661010202725</v>
      </c>
      <c r="E16" s="811">
        <v>26.767944826482193</v>
      </c>
      <c r="F16" s="810">
        <v>28.742785369119833</v>
      </c>
      <c r="G16" s="811">
        <v>31.757188030419517</v>
      </c>
      <c r="H16" s="811">
        <v>35.250821557215943</v>
      </c>
      <c r="I16" s="810">
        <v>30.028492121455269</v>
      </c>
      <c r="J16" s="811">
        <v>33.590971726705575</v>
      </c>
      <c r="K16" s="811">
        <v>38.345951269150454</v>
      </c>
      <c r="L16" s="810">
        <v>31.389801985770131</v>
      </c>
      <c r="M16" s="811">
        <v>35.127512463468591</v>
      </c>
      <c r="N16" s="811">
        <v>41.321603343632695</v>
      </c>
      <c r="O16" s="810">
        <v>33.39603904746798</v>
      </c>
      <c r="P16" s="811">
        <v>37.437753470545459</v>
      </c>
      <c r="Q16" s="840">
        <v>45.578992162506935</v>
      </c>
    </row>
    <row r="17" spans="1:17" s="550" customFormat="1" ht="15" thickBot="1">
      <c r="A17" s="917" t="s">
        <v>657</v>
      </c>
      <c r="B17" s="1677" t="s">
        <v>724</v>
      </c>
      <c r="C17" s="918" t="s">
        <v>707</v>
      </c>
      <c r="D17" s="919">
        <v>21.629500080679531</v>
      </c>
      <c r="E17" s="920">
        <v>22.432305258244632</v>
      </c>
      <c r="F17" s="919">
        <v>23.656938307161095</v>
      </c>
      <c r="G17" s="920">
        <v>26.365326088559847</v>
      </c>
      <c r="H17" s="920">
        <v>28.966832853641758</v>
      </c>
      <c r="I17" s="919">
        <v>24.577475097851309</v>
      </c>
      <c r="J17" s="920">
        <v>27.514280898845904</v>
      </c>
      <c r="K17" s="920">
        <v>30.397480368650079</v>
      </c>
      <c r="L17" s="919">
        <v>26.79640808143176</v>
      </c>
      <c r="M17" s="920">
        <v>29.687458395475506</v>
      </c>
      <c r="N17" s="920">
        <v>34.662379221652174</v>
      </c>
      <c r="O17" s="919">
        <v>28.779134238740202</v>
      </c>
      <c r="P17" s="920">
        <v>32.322938975920614</v>
      </c>
      <c r="Q17" s="921">
        <v>37.178361574172619</v>
      </c>
    </row>
    <row r="18" spans="1:17" s="550" customFormat="1" ht="15" thickBot="1">
      <c r="A18" s="917" t="s">
        <v>657</v>
      </c>
      <c r="B18" s="1678"/>
      <c r="C18" s="922" t="s">
        <v>712</v>
      </c>
      <c r="D18" s="923">
        <v>28.832610599697755</v>
      </c>
      <c r="E18" s="924">
        <v>29.817411191828196</v>
      </c>
      <c r="F18" s="923">
        <v>31.017288580246209</v>
      </c>
      <c r="G18" s="924">
        <v>35.715342870680914</v>
      </c>
      <c r="H18" s="924">
        <v>39.786839131336215</v>
      </c>
      <c r="I18" s="923">
        <v>32.802607099590361</v>
      </c>
      <c r="J18" s="924">
        <v>38.057328749339348</v>
      </c>
      <c r="K18" s="924">
        <v>42.685999999999993</v>
      </c>
      <c r="L18" s="923">
        <v>37.17593240846152</v>
      </c>
      <c r="M18" s="924">
        <v>42.427</v>
      </c>
      <c r="N18" s="924">
        <v>51.757999999999996</v>
      </c>
      <c r="O18" s="923">
        <v>40.62186537176256</v>
      </c>
      <c r="P18" s="924">
        <v>47.088999999999992</v>
      </c>
      <c r="Q18" s="925">
        <v>56.370999999999995</v>
      </c>
    </row>
    <row r="19" spans="1:17" s="550" customFormat="1" ht="15" thickBot="1">
      <c r="A19" s="917" t="s">
        <v>657</v>
      </c>
      <c r="B19" s="1679"/>
      <c r="C19" s="926" t="s">
        <v>713</v>
      </c>
      <c r="D19" s="927">
        <v>24.369106899803356</v>
      </c>
      <c r="E19" s="928">
        <v>25.246108699483596</v>
      </c>
      <c r="F19" s="927">
        <v>26.485133151966629</v>
      </c>
      <c r="G19" s="928">
        <v>29.886110918910482</v>
      </c>
      <c r="H19" s="928">
        <v>33.006017577377165</v>
      </c>
      <c r="I19" s="927">
        <v>27.703412661484542</v>
      </c>
      <c r="J19" s="928">
        <v>31.432815365509438</v>
      </c>
      <c r="K19" s="928">
        <v>34.92144052814789</v>
      </c>
      <c r="L19" s="927">
        <v>30.64688408067784</v>
      </c>
      <c r="M19" s="928">
        <v>34.325576844572282</v>
      </c>
      <c r="N19" s="928">
        <v>40.71386857407829</v>
      </c>
      <c r="O19" s="927">
        <v>33.124816876076721</v>
      </c>
      <c r="P19" s="928">
        <v>37.633384849813808</v>
      </c>
      <c r="Q19" s="929">
        <v>43.905134511968392</v>
      </c>
    </row>
    <row r="20" spans="1:17" s="549" customFormat="1" ht="15" thickBot="1">
      <c r="A20" s="841" t="s">
        <v>658</v>
      </c>
      <c r="B20" s="1671" t="s">
        <v>724</v>
      </c>
      <c r="C20" s="831" t="s">
        <v>707</v>
      </c>
      <c r="D20" s="772">
        <f>D11*$H$31</f>
        <v>21.059736362714361</v>
      </c>
      <c r="E20" s="772">
        <f t="shared" ref="E20:Q20" si="0">E11*$H$31</f>
        <v>21.841394067565574</v>
      </c>
      <c r="F20" s="772">
        <f t="shared" si="0"/>
        <v>23.033767865159028</v>
      </c>
      <c r="G20" s="772">
        <f t="shared" si="0"/>
        <v>25.670811367389739</v>
      </c>
      <c r="H20" s="772">
        <f t="shared" si="0"/>
        <v>28.203789310203188</v>
      </c>
      <c r="I20" s="772">
        <f t="shared" si="0"/>
        <v>23.930055900102186</v>
      </c>
      <c r="J20" s="772">
        <f t="shared" si="0"/>
        <v>26.789500440509393</v>
      </c>
      <c r="K20" s="772">
        <f t="shared" si="0"/>
        <v>29.596750746281884</v>
      </c>
      <c r="L20" s="772">
        <f t="shared" si="0"/>
        <v>26.09053780982866</v>
      </c>
      <c r="M20" s="772">
        <f t="shared" si="0"/>
        <v>28.905432153109803</v>
      </c>
      <c r="N20" s="772">
        <f t="shared" si="0"/>
        <v>33.749303746713743</v>
      </c>
      <c r="O20" s="772">
        <f t="shared" si="0"/>
        <v>28.02103504724154</v>
      </c>
      <c r="P20" s="772">
        <f t="shared" si="0"/>
        <v>31.471488973942424</v>
      </c>
      <c r="Q20" s="772">
        <f t="shared" si="0"/>
        <v>36.19901015877511</v>
      </c>
    </row>
    <row r="21" spans="1:17" s="549" customFormat="1" ht="15" thickBot="1">
      <c r="A21" s="841" t="s">
        <v>658</v>
      </c>
      <c r="B21" s="1672"/>
      <c r="C21" s="832" t="s">
        <v>712</v>
      </c>
      <c r="D21" s="772">
        <f t="shared" ref="D21:Q22" si="1">D12*$H$31</f>
        <v>28.073102735315821</v>
      </c>
      <c r="E21" s="772">
        <f t="shared" si="1"/>
        <v>29.031961736344591</v>
      </c>
      <c r="F21" s="772">
        <f t="shared" si="1"/>
        <v>30.200231986392446</v>
      </c>
      <c r="G21" s="772">
        <f t="shared" si="1"/>
        <v>34.774530255202251</v>
      </c>
      <c r="H21" s="772">
        <f t="shared" si="1"/>
        <v>38.738775269249949</v>
      </c>
      <c r="I21" s="772">
        <f t="shared" si="1"/>
        <v>31.938521692609186</v>
      </c>
      <c r="J21" s="772">
        <f t="shared" si="1"/>
        <v>37.054823603905348</v>
      </c>
      <c r="K21" s="772">
        <f t="shared" si="1"/>
        <v>41.561566519136242</v>
      </c>
      <c r="L21" s="772">
        <f t="shared" si="1"/>
        <v>36.196644982082802</v>
      </c>
      <c r="M21" s="772">
        <f t="shared" si="1"/>
        <v>41.309389090273008</v>
      </c>
      <c r="N21" s="772">
        <f t="shared" si="1"/>
        <v>50.394592135535156</v>
      </c>
      <c r="O21" s="772">
        <f t="shared" si="1"/>
        <v>39.551805270578342</v>
      </c>
      <c r="P21" s="772">
        <f t="shared" si="1"/>
        <v>45.848582809811333</v>
      </c>
      <c r="Q21" s="772">
        <f t="shared" si="1"/>
        <v>54.886076611775039</v>
      </c>
    </row>
    <row r="22" spans="1:17" s="549" customFormat="1" ht="15" thickBot="1">
      <c r="A22" s="841" t="s">
        <v>658</v>
      </c>
      <c r="B22" s="1673"/>
      <c r="C22" s="834" t="s">
        <v>713</v>
      </c>
      <c r="D22" s="772">
        <f t="shared" si="1"/>
        <v>23.727176531605661</v>
      </c>
      <c r="E22" s="772">
        <f t="shared" si="1"/>
        <v>24.581076373118396</v>
      </c>
      <c r="F22" s="772">
        <f t="shared" si="1"/>
        <v>25.787462476307027</v>
      </c>
      <c r="G22" s="772">
        <f t="shared" si="1"/>
        <v>29.09885177703655</v>
      </c>
      <c r="H22" s="772">
        <f t="shared" si="1"/>
        <v>32.136573936980305</v>
      </c>
      <c r="I22" s="772">
        <f t="shared" si="1"/>
        <v>26.973650099268404</v>
      </c>
      <c r="J22" s="772">
        <f t="shared" si="1"/>
        <v>30.604812976089313</v>
      </c>
      <c r="K22" s="772">
        <f t="shared" si="1"/>
        <v>34.001540867138615</v>
      </c>
      <c r="L22" s="772">
        <f t="shared" si="1"/>
        <v>29.839584672336358</v>
      </c>
      <c r="M22" s="772">
        <f t="shared" si="1"/>
        <v>33.421373408925966</v>
      </c>
      <c r="N22" s="772">
        <f t="shared" si="1"/>
        <v>39.641384926976663</v>
      </c>
      <c r="O22" s="772">
        <f t="shared" si="1"/>
        <v>32.252243827701577</v>
      </c>
      <c r="P22" s="772">
        <f t="shared" si="1"/>
        <v>36.642047223347021</v>
      </c>
      <c r="Q22" s="772">
        <f t="shared" si="1"/>
        <v>42.748586622096212</v>
      </c>
    </row>
    <row r="23" spans="1:17" s="549" customFormat="1" ht="15" thickBot="1">
      <c r="A23" s="917" t="s">
        <v>659</v>
      </c>
      <c r="B23" s="1677" t="s">
        <v>724</v>
      </c>
      <c r="C23" s="918" t="s">
        <v>707</v>
      </c>
      <c r="D23" s="919">
        <v>24.520116916531542</v>
      </c>
      <c r="E23" s="920">
        <v>25.499168356624114</v>
      </c>
      <c r="F23" s="919">
        <v>26.817574650553432</v>
      </c>
      <c r="G23" s="920">
        <v>30.0394779568194</v>
      </c>
      <c r="H23" s="920">
        <v>33.188083654247798</v>
      </c>
      <c r="I23" s="919">
        <v>27.941841025153426</v>
      </c>
      <c r="J23" s="920">
        <v>31.547801009968911</v>
      </c>
      <c r="K23" s="920">
        <v>34.815593456723114</v>
      </c>
      <c r="L23" s="919">
        <v>30.583001235751542</v>
      </c>
      <c r="M23" s="920">
        <v>33.974123469497748</v>
      </c>
      <c r="N23" s="920">
        <v>39.673946101893179</v>
      </c>
      <c r="O23" s="919">
        <v>32.972309104790156</v>
      </c>
      <c r="P23" s="920">
        <v>36.890180169404175</v>
      </c>
      <c r="Q23" s="921">
        <v>42.55179805862236</v>
      </c>
    </row>
    <row r="24" spans="1:17" s="549" customFormat="1" ht="15" thickBot="1">
      <c r="A24" s="917" t="s">
        <v>659</v>
      </c>
      <c r="B24" s="1678"/>
      <c r="C24" s="922" t="s">
        <v>712</v>
      </c>
      <c r="D24" s="923">
        <v>30.199639044917589</v>
      </c>
      <c r="E24" s="924">
        <v>31.20099524778281</v>
      </c>
      <c r="F24" s="923">
        <v>32.423231436884102</v>
      </c>
      <c r="G24" s="924">
        <v>37.316305431867654</v>
      </c>
      <c r="H24" s="924">
        <v>41.494480211824346</v>
      </c>
      <c r="I24" s="923">
        <v>34.329455453894838</v>
      </c>
      <c r="J24" s="924">
        <v>39.912885898021543</v>
      </c>
      <c r="K24" s="924">
        <v>44.317</v>
      </c>
      <c r="L24" s="923">
        <v>38.896562302986879</v>
      </c>
      <c r="M24" s="924">
        <v>44.421999999999997</v>
      </c>
      <c r="N24" s="924">
        <v>53.563999999999993</v>
      </c>
      <c r="O24" s="923">
        <v>42.573999999999998</v>
      </c>
      <c r="P24" s="924">
        <v>48.698999999999991</v>
      </c>
      <c r="Q24" s="925">
        <v>57.896999999999991</v>
      </c>
    </row>
    <row r="25" spans="1:17" s="549" customFormat="1" ht="15" thickBot="1">
      <c r="A25" s="917" t="s">
        <v>659</v>
      </c>
      <c r="B25" s="1679"/>
      <c r="C25" s="926" t="s">
        <v>713</v>
      </c>
      <c r="D25" s="927">
        <v>26.787099869797412</v>
      </c>
      <c r="E25" s="928">
        <v>27.783992317414153</v>
      </c>
      <c r="F25" s="927">
        <v>29.080016186656909</v>
      </c>
      <c r="G25" s="928">
        <v>32.929061872619499</v>
      </c>
      <c r="H25" s="928">
        <v>36.473681852510722</v>
      </c>
      <c r="I25" s="927">
        <v>30.495225039001323</v>
      </c>
      <c r="J25" s="928">
        <v>34.83299110383431</v>
      </c>
      <c r="K25" s="928">
        <v>38.53321623814756</v>
      </c>
      <c r="L25" s="927">
        <v>33.83752108426625</v>
      </c>
      <c r="M25" s="928">
        <v>37.995498577147316</v>
      </c>
      <c r="N25" s="928">
        <v>44.915221625587662</v>
      </c>
      <c r="O25" s="927">
        <v>36.696581020552507</v>
      </c>
      <c r="P25" s="928">
        <v>41.408634257127893</v>
      </c>
      <c r="Q25" s="929">
        <v>48.314204605386664</v>
      </c>
    </row>
    <row r="26" spans="1:17" s="549" customFormat="1" ht="15" thickBot="1">
      <c r="A26" s="917" t="s">
        <v>668</v>
      </c>
      <c r="B26" s="1677" t="s">
        <v>724</v>
      </c>
      <c r="C26" s="918" t="s">
        <v>707</v>
      </c>
      <c r="D26" s="919">
        <v>57.784999999999997</v>
      </c>
      <c r="E26" s="920">
        <v>61.123999999999988</v>
      </c>
      <c r="F26" s="919">
        <v>63.846999999999994</v>
      </c>
      <c r="G26" s="920">
        <v>70.994</v>
      </c>
      <c r="H26" s="920">
        <v>80.345999999999989</v>
      </c>
      <c r="I26" s="919">
        <v>69.565999999999988</v>
      </c>
      <c r="J26" s="920">
        <v>78.882999999999996</v>
      </c>
      <c r="K26" s="920">
        <v>88.472999999999999</v>
      </c>
      <c r="L26" s="919">
        <v>75.844999999999985</v>
      </c>
      <c r="M26" s="920">
        <v>87.85</v>
      </c>
      <c r="N26" s="920">
        <v>104.67799999999998</v>
      </c>
      <c r="O26" s="919">
        <v>84.084000000000003</v>
      </c>
      <c r="P26" s="920">
        <v>99.581999999999994</v>
      </c>
      <c r="Q26" s="921">
        <v>121.02299999999998</v>
      </c>
    </row>
    <row r="27" spans="1:17" s="549" customFormat="1" ht="15" thickBot="1">
      <c r="A27" s="917" t="s">
        <v>668</v>
      </c>
      <c r="B27" s="1678"/>
      <c r="C27" s="922" t="s">
        <v>712</v>
      </c>
      <c r="D27" s="923">
        <v>60.451999999999998</v>
      </c>
      <c r="E27" s="924">
        <v>62.782999999999994</v>
      </c>
      <c r="F27" s="923">
        <v>63.67199999999999</v>
      </c>
      <c r="G27" s="924">
        <v>69.852999999999994</v>
      </c>
      <c r="H27" s="924">
        <v>77.174999999999997</v>
      </c>
      <c r="I27" s="923">
        <v>69.642999999999986</v>
      </c>
      <c r="J27" s="924">
        <v>77.748999999999995</v>
      </c>
      <c r="K27" s="924">
        <v>85.511999999999986</v>
      </c>
      <c r="L27" s="923">
        <v>76.048000000000002</v>
      </c>
      <c r="M27" s="924">
        <v>88.486999999999995</v>
      </c>
      <c r="N27" s="924">
        <v>103.15899999999999</v>
      </c>
      <c r="O27" s="923">
        <v>83.516999999999996</v>
      </c>
      <c r="P27" s="924">
        <v>97.957999999999998</v>
      </c>
      <c r="Q27" s="925">
        <v>118.22299999999998</v>
      </c>
    </row>
    <row r="28" spans="1:17" s="549" customFormat="1" ht="15" thickBot="1">
      <c r="A28" s="917" t="s">
        <v>668</v>
      </c>
      <c r="B28" s="1679"/>
      <c r="C28" s="926" t="s">
        <v>713</v>
      </c>
      <c r="D28" s="927">
        <v>58.955438859714931</v>
      </c>
      <c r="E28" s="928">
        <v>61.859569527269855</v>
      </c>
      <c r="F28" s="927">
        <v>63.768131104339936</v>
      </c>
      <c r="G28" s="928">
        <v>70.475970892378399</v>
      </c>
      <c r="H28" s="928">
        <v>78.887388289985154</v>
      </c>
      <c r="I28" s="927">
        <v>69.600628918800666</v>
      </c>
      <c r="J28" s="928">
        <v>78.368633082585688</v>
      </c>
      <c r="K28" s="928">
        <v>87.115563239792522</v>
      </c>
      <c r="L28" s="927">
        <v>75.936215723047283</v>
      </c>
      <c r="M28" s="928">
        <v>88.135511367018381</v>
      </c>
      <c r="N28" s="928">
        <v>103.98895059876708</v>
      </c>
      <c r="O28" s="927">
        <v>83.827900179236181</v>
      </c>
      <c r="P28" s="928">
        <v>98.844585768597838</v>
      </c>
      <c r="Q28" s="929">
        <v>119.746760032808</v>
      </c>
    </row>
    <row r="29" spans="1:17" s="549" customFormat="1">
      <c r="A29" s="526"/>
      <c r="B29" s="550"/>
    </row>
    <row r="30" spans="1:17" ht="13.8">
      <c r="A30" s="844"/>
      <c r="B30" s="844"/>
      <c r="C30" s="658"/>
    </row>
    <row r="31" spans="1:17" ht="13.8">
      <c r="A31" s="695"/>
      <c r="B31" s="695"/>
      <c r="C31" s="695"/>
      <c r="D31" s="695"/>
      <c r="E31" s="695"/>
      <c r="F31" s="695"/>
      <c r="G31" s="695"/>
      <c r="H31" s="1227">
        <v>0.97365802649899846</v>
      </c>
      <c r="I31" s="695" t="s">
        <v>947</v>
      </c>
      <c r="J31" s="695"/>
      <c r="K31" s="695"/>
      <c r="L31" s="695"/>
      <c r="M31" s="695"/>
      <c r="N31" s="695"/>
      <c r="O31" s="695"/>
      <c r="P31" s="695"/>
      <c r="Q31" s="695"/>
    </row>
    <row r="32" spans="1:17" ht="13.8">
      <c r="A32" s="695" t="s">
        <v>725</v>
      </c>
      <c r="B32" s="695"/>
      <c r="C32" s="695"/>
      <c r="D32" s="695"/>
      <c r="E32" s="695"/>
      <c r="F32" s="695"/>
      <c r="G32" s="695"/>
      <c r="H32"/>
      <c r="I32"/>
      <c r="J32"/>
      <c r="K32"/>
      <c r="L32"/>
      <c r="M32"/>
      <c r="N32"/>
      <c r="O32"/>
      <c r="P32"/>
      <c r="Q32"/>
    </row>
    <row r="33" spans="1:17">
      <c r="H33"/>
      <c r="I33"/>
      <c r="J33"/>
      <c r="K33"/>
      <c r="L33"/>
      <c r="M33"/>
      <c r="N33"/>
      <c r="O33"/>
      <c r="P33"/>
      <c r="Q33"/>
    </row>
    <row r="34" spans="1:17">
      <c r="H34"/>
      <c r="I34"/>
      <c r="J34"/>
      <c r="K34"/>
      <c r="L34"/>
      <c r="M34"/>
      <c r="N34"/>
      <c r="O34"/>
      <c r="P34"/>
      <c r="Q34"/>
    </row>
    <row r="35" spans="1:17" ht="14.4">
      <c r="A35" s="1681" t="s">
        <v>726</v>
      </c>
      <c r="B35" s="1681"/>
      <c r="C35" s="1681"/>
      <c r="D35" s="1681"/>
      <c r="E35" s="1681"/>
      <c r="F35" s="1681"/>
    </row>
    <row r="36" spans="1:17" ht="14.4">
      <c r="A36" s="842" t="s">
        <v>727</v>
      </c>
      <c r="B36" s="1682" t="s">
        <v>728</v>
      </c>
      <c r="C36" s="1682"/>
      <c r="D36" s="1682"/>
      <c r="E36" s="1682"/>
      <c r="F36" s="1682"/>
    </row>
    <row r="37" spans="1:17" ht="14.4">
      <c r="A37" s="843" t="s">
        <v>707</v>
      </c>
      <c r="B37" s="1680" t="s">
        <v>729</v>
      </c>
      <c r="C37" s="1680"/>
      <c r="D37" s="1680"/>
      <c r="E37" s="1680"/>
      <c r="F37" s="1680"/>
    </row>
    <row r="38" spans="1:17" ht="14.4">
      <c r="A38" s="843" t="s">
        <v>712</v>
      </c>
      <c r="B38" s="1680" t="s">
        <v>730</v>
      </c>
      <c r="C38" s="1680"/>
      <c r="D38" s="1680"/>
      <c r="E38" s="1680"/>
      <c r="F38" s="1680"/>
    </row>
    <row r="39" spans="1:17" ht="14.4">
      <c r="A39" s="843" t="s">
        <v>723</v>
      </c>
      <c r="B39" s="1680" t="s">
        <v>731</v>
      </c>
      <c r="C39" s="1680"/>
      <c r="D39" s="1680"/>
      <c r="E39" s="1680"/>
      <c r="F39" s="1680"/>
    </row>
    <row r="40" spans="1:17" ht="14.4">
      <c r="A40" s="843" t="s">
        <v>724</v>
      </c>
      <c r="B40" s="1680" t="s">
        <v>732</v>
      </c>
      <c r="C40" s="1680"/>
      <c r="D40" s="1680"/>
      <c r="E40" s="1680"/>
      <c r="F40" s="1680"/>
    </row>
  </sheetData>
  <mergeCells count="13">
    <mergeCell ref="B40:F40"/>
    <mergeCell ref="A35:F35"/>
    <mergeCell ref="B36:F36"/>
    <mergeCell ref="B37:F37"/>
    <mergeCell ref="B38:F38"/>
    <mergeCell ref="B39:F39"/>
    <mergeCell ref="D8:Q8"/>
    <mergeCell ref="B11:B13"/>
    <mergeCell ref="B14:B16"/>
    <mergeCell ref="B26:B28"/>
    <mergeCell ref="B23:B25"/>
    <mergeCell ref="B20:B22"/>
    <mergeCell ref="B17:B19"/>
  </mergeCells>
  <pageMargins left="0.7" right="0.7" top="0.75" bottom="0.75" header="0.3" footer="0.3"/>
  <pageSetup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S65"/>
  <sheetViews>
    <sheetView topLeftCell="C12" workbookViewId="0">
      <selection activeCell="M30" sqref="M30"/>
    </sheetView>
  </sheetViews>
  <sheetFormatPr defaultRowHeight="13.8"/>
  <cols>
    <col min="1" max="1" width="9.109375" style="760"/>
    <col min="2" max="2" width="29.44140625" style="760" customWidth="1"/>
    <col min="3" max="3" width="9.44140625" style="760" bestFit="1" customWidth="1"/>
    <col min="4" max="4" width="9.109375" style="829"/>
    <col min="5" max="5" width="20.5546875" style="830" bestFit="1" customWidth="1"/>
    <col min="6" max="19" width="10.6640625" style="830" customWidth="1"/>
  </cols>
  <sheetData>
    <row r="1" spans="1:19" s="549" customFormat="1">
      <c r="A1" s="760"/>
      <c r="B1" s="760"/>
      <c r="C1" s="760"/>
      <c r="D1" s="829"/>
      <c r="E1" s="830"/>
      <c r="F1" s="830"/>
      <c r="G1" s="830"/>
      <c r="H1" s="830"/>
      <c r="I1" s="830"/>
      <c r="J1" s="830"/>
      <c r="K1" s="830"/>
      <c r="L1" s="830"/>
      <c r="M1" s="830"/>
      <c r="N1" s="830"/>
      <c r="O1" s="830"/>
      <c r="P1" s="830"/>
      <c r="Q1" s="830"/>
      <c r="R1" s="830"/>
      <c r="S1" s="830"/>
    </row>
    <row r="2" spans="1:19" s="549" customFormat="1" ht="18">
      <c r="A2" s="847" t="s">
        <v>734</v>
      </c>
      <c r="B2" s="760"/>
      <c r="C2" s="760"/>
      <c r="D2" s="829"/>
      <c r="E2" s="830"/>
      <c r="F2" s="830"/>
      <c r="G2" s="830"/>
      <c r="H2" s="830"/>
      <c r="I2" s="830"/>
      <c r="J2" s="830"/>
      <c r="K2" s="830"/>
      <c r="L2" s="830"/>
      <c r="M2" s="830"/>
      <c r="N2" s="830"/>
      <c r="O2" s="830"/>
      <c r="P2" s="830"/>
      <c r="Q2" s="830"/>
      <c r="R2" s="830"/>
      <c r="S2" s="830"/>
    </row>
    <row r="3" spans="1:19" s="549" customFormat="1">
      <c r="A3" s="760"/>
      <c r="B3" s="760"/>
      <c r="C3" s="760"/>
      <c r="D3" s="829"/>
      <c r="E3" s="830"/>
      <c r="F3" s="830"/>
      <c r="G3" s="830"/>
      <c r="H3" s="830"/>
      <c r="I3" s="830"/>
      <c r="J3" s="830"/>
      <c r="K3" s="830"/>
      <c r="L3" s="830"/>
      <c r="M3" s="830"/>
      <c r="N3" s="830"/>
      <c r="O3" s="830"/>
      <c r="P3" s="830"/>
      <c r="Q3" s="830"/>
      <c r="R3" s="830"/>
      <c r="S3" s="830"/>
    </row>
    <row r="4" spans="1:19" ht="14.4">
      <c r="A4" s="712" t="s">
        <v>715</v>
      </c>
      <c r="C4" s="761"/>
      <c r="D4" s="762"/>
      <c r="E4" s="763"/>
      <c r="F4" s="763"/>
      <c r="G4" s="763"/>
      <c r="H4" s="763"/>
      <c r="I4" s="763"/>
      <c r="J4" s="763"/>
      <c r="K4" s="763"/>
      <c r="L4" s="763"/>
      <c r="M4" s="763"/>
      <c r="N4" s="763"/>
      <c r="O4" s="763"/>
      <c r="P4" s="763"/>
      <c r="Q4" s="763"/>
      <c r="R4" s="763"/>
      <c r="S4" s="763"/>
    </row>
    <row r="5" spans="1:19" ht="14.4">
      <c r="A5" s="712" t="s">
        <v>716</v>
      </c>
      <c r="C5" s="761"/>
      <c r="D5" s="762"/>
      <c r="E5" s="763"/>
      <c r="F5" s="763"/>
      <c r="G5" s="763"/>
      <c r="H5" s="763"/>
      <c r="I5" s="763"/>
      <c r="J5" s="763"/>
      <c r="K5" s="763"/>
      <c r="L5" s="763"/>
      <c r="M5" s="763"/>
      <c r="N5" s="763"/>
      <c r="O5" s="763"/>
      <c r="P5" s="763"/>
      <c r="Q5" s="763"/>
      <c r="R5" s="763"/>
      <c r="S5" s="763"/>
    </row>
    <row r="6" spans="1:19" ht="14.4">
      <c r="A6" s="712"/>
      <c r="C6" s="764"/>
      <c r="D6" s="765"/>
      <c r="E6" s="766"/>
      <c r="F6" s="766"/>
      <c r="G6" s="766"/>
      <c r="H6" s="766"/>
      <c r="I6" s="766"/>
      <c r="J6" s="766"/>
      <c r="K6" s="766"/>
      <c r="L6" s="766"/>
      <c r="M6" s="766"/>
      <c r="N6" s="766"/>
      <c r="O6" s="766"/>
      <c r="P6" s="766"/>
      <c r="Q6" s="766"/>
      <c r="R6" s="766"/>
      <c r="S6" s="766"/>
    </row>
    <row r="7" spans="1:19" ht="14.4">
      <c r="A7" s="846" t="s">
        <v>717</v>
      </c>
      <c r="C7" s="764"/>
      <c r="D7" s="765"/>
      <c r="E7" s="766"/>
      <c r="F7" s="766"/>
      <c r="G7" s="766"/>
      <c r="H7" s="766"/>
      <c r="I7" s="766"/>
      <c r="J7" s="766"/>
      <c r="K7" s="766"/>
      <c r="L7" s="766"/>
      <c r="M7" s="766"/>
      <c r="N7" s="766"/>
      <c r="O7" s="766"/>
      <c r="P7" s="766"/>
      <c r="Q7" s="766"/>
      <c r="R7" s="766"/>
      <c r="S7" s="766"/>
    </row>
    <row r="8" spans="1:19" s="549" customFormat="1" ht="13.2"/>
    <row r="9" spans="1:19" s="549" customFormat="1" ht="13.2">
      <c r="A9" s="526" t="s">
        <v>944</v>
      </c>
    </row>
    <row r="10" spans="1:19" s="549" customFormat="1" ht="13.2"/>
    <row r="11" spans="1:19" s="549" customFormat="1" ht="13.2">
      <c r="A11" s="526" t="s">
        <v>942</v>
      </c>
      <c r="B11" s="550"/>
    </row>
    <row r="12" spans="1:19" s="549" customFormat="1" ht="13.2">
      <c r="A12" s="526"/>
      <c r="B12" s="550"/>
    </row>
    <row r="13" spans="1:19" s="549" customFormat="1" thickBot="1">
      <c r="A13" s="526"/>
    </row>
    <row r="14" spans="1:19" s="549" customFormat="1" ht="18.600000000000001" thickBot="1">
      <c r="A14" s="526"/>
      <c r="B14" s="550"/>
      <c r="F14" s="1669" t="s">
        <v>946</v>
      </c>
      <c r="G14" s="1670"/>
      <c r="H14" s="1670"/>
      <c r="I14" s="1670"/>
      <c r="J14" s="1670"/>
      <c r="K14" s="1670"/>
      <c r="L14" s="1670"/>
      <c r="M14" s="1670"/>
      <c r="N14" s="1670"/>
      <c r="O14" s="1670"/>
      <c r="P14" s="1670"/>
      <c r="Q14" s="1670"/>
      <c r="R14" s="1670"/>
      <c r="S14" s="1670"/>
    </row>
    <row r="15" spans="1:19" s="549" customFormat="1" ht="15" thickBot="1">
      <c r="A15" s="526"/>
      <c r="B15" s="550"/>
      <c r="F15" s="662">
        <v>2010</v>
      </c>
      <c r="G15" s="907">
        <v>2015</v>
      </c>
      <c r="H15" s="706">
        <v>2020</v>
      </c>
      <c r="I15" s="706">
        <v>2020</v>
      </c>
      <c r="J15" s="706">
        <v>2020</v>
      </c>
      <c r="K15" s="706">
        <v>2025</v>
      </c>
      <c r="L15" s="706">
        <v>2025</v>
      </c>
      <c r="M15" s="706">
        <v>2025</v>
      </c>
      <c r="N15" s="706">
        <v>2030</v>
      </c>
      <c r="O15" s="706">
        <v>2030</v>
      </c>
      <c r="P15" s="706">
        <v>2030</v>
      </c>
      <c r="Q15" s="706">
        <v>2045</v>
      </c>
      <c r="R15" s="706">
        <v>2045</v>
      </c>
      <c r="S15" s="706">
        <v>2045</v>
      </c>
    </row>
    <row r="16" spans="1:19" s="549" customFormat="1" ht="15" thickBot="1">
      <c r="A16" s="526"/>
      <c r="B16" s="550"/>
      <c r="F16" s="902" t="s">
        <v>97</v>
      </c>
      <c r="G16" s="668" t="s">
        <v>650</v>
      </c>
      <c r="H16" s="667" t="s">
        <v>649</v>
      </c>
      <c r="I16" s="668" t="s">
        <v>650</v>
      </c>
      <c r="J16" s="669" t="s">
        <v>651</v>
      </c>
      <c r="K16" s="667" t="s">
        <v>649</v>
      </c>
      <c r="L16" s="668" t="s">
        <v>650</v>
      </c>
      <c r="M16" s="669" t="s">
        <v>651</v>
      </c>
      <c r="N16" s="667" t="s">
        <v>649</v>
      </c>
      <c r="O16" s="668" t="s">
        <v>650</v>
      </c>
      <c r="P16" s="669" t="s">
        <v>651</v>
      </c>
      <c r="Q16" s="667" t="s">
        <v>649</v>
      </c>
      <c r="R16" s="668" t="s">
        <v>650</v>
      </c>
      <c r="S16" s="669" t="s">
        <v>651</v>
      </c>
    </row>
    <row r="17" spans="1:19" s="549" customFormat="1" ht="15" hidden="1" thickBot="1">
      <c r="A17" s="526"/>
      <c r="B17" s="550"/>
      <c r="F17" s="902" t="s">
        <v>97</v>
      </c>
      <c r="G17" s="668" t="s">
        <v>650</v>
      </c>
      <c r="H17" s="667" t="s">
        <v>649</v>
      </c>
      <c r="I17" s="668" t="s">
        <v>650</v>
      </c>
      <c r="J17" s="669" t="s">
        <v>651</v>
      </c>
      <c r="K17" s="667" t="s">
        <v>649</v>
      </c>
      <c r="L17" s="668" t="s">
        <v>650</v>
      </c>
      <c r="M17" s="669" t="s">
        <v>651</v>
      </c>
      <c r="N17" s="667" t="s">
        <v>649</v>
      </c>
      <c r="O17" s="668" t="s">
        <v>650</v>
      </c>
      <c r="P17" s="669" t="s">
        <v>651</v>
      </c>
      <c r="Q17" s="667" t="s">
        <v>649</v>
      </c>
      <c r="R17" s="668" t="s">
        <v>650</v>
      </c>
      <c r="S17" s="669" t="s">
        <v>651</v>
      </c>
    </row>
    <row r="18" spans="1:19" s="549" customFormat="1" ht="15" hidden="1" thickBot="1">
      <c r="A18" s="526"/>
      <c r="B18" s="903" t="e">
        <f>#REF!</f>
        <v>#REF!</v>
      </c>
      <c r="C18" s="905" t="s">
        <v>713</v>
      </c>
      <c r="D18" s="903" t="s">
        <v>722</v>
      </c>
      <c r="E18" s="905" t="s">
        <v>709</v>
      </c>
      <c r="F18" s="777" t="e">
        <f>#REF!</f>
        <v>#REF!</v>
      </c>
      <c r="G18" s="779" t="e">
        <f>#REF!</f>
        <v>#REF!</v>
      </c>
      <c r="H18" s="778" t="e">
        <f>#REF!</f>
        <v>#REF!</v>
      </c>
      <c r="I18" s="779" t="e">
        <f>#REF!</f>
        <v>#REF!</v>
      </c>
      <c r="J18" s="780" t="e">
        <f>#REF!</f>
        <v>#REF!</v>
      </c>
      <c r="K18" s="778" t="e">
        <f>#REF!</f>
        <v>#REF!</v>
      </c>
      <c r="L18" s="779" t="e">
        <f>#REF!</f>
        <v>#REF!</v>
      </c>
      <c r="M18" s="780" t="e">
        <f>#REF!</f>
        <v>#REF!</v>
      </c>
      <c r="N18" s="778" t="e">
        <f>#REF!</f>
        <v>#REF!</v>
      </c>
      <c r="O18" s="779" t="e">
        <f>#REF!</f>
        <v>#REF!</v>
      </c>
      <c r="P18" s="780" t="e">
        <f>#REF!</f>
        <v>#REF!</v>
      </c>
      <c r="Q18" s="778" t="e">
        <f>#REF!</f>
        <v>#REF!</v>
      </c>
      <c r="R18" s="779" t="e">
        <f>#REF!</f>
        <v>#REF!</v>
      </c>
      <c r="S18" s="779" t="e">
        <f>#REF!</f>
        <v>#REF!</v>
      </c>
    </row>
    <row r="19" spans="1:19" s="549" customFormat="1" ht="15" hidden="1" thickBot="1">
      <c r="A19" s="526"/>
      <c r="B19" s="906" t="e">
        <f t="shared" ref="B19:D20" si="0">B18</f>
        <v>#REF!</v>
      </c>
      <c r="C19" s="770" t="str">
        <f t="shared" si="0"/>
        <v>Combined</v>
      </c>
      <c r="D19" s="906" t="str">
        <f t="shared" si="0"/>
        <v>CD+CS</v>
      </c>
      <c r="E19" s="770" t="s">
        <v>719</v>
      </c>
      <c r="F19" s="777" t="e">
        <f>#REF!</f>
        <v>#REF!</v>
      </c>
      <c r="G19" s="779" t="e">
        <f>#REF!</f>
        <v>#REF!</v>
      </c>
      <c r="H19" s="778" t="e">
        <f>#REF!</f>
        <v>#REF!</v>
      </c>
      <c r="I19" s="779" t="e">
        <f>#REF!</f>
        <v>#REF!</v>
      </c>
      <c r="J19" s="780" t="e">
        <f>#REF!</f>
        <v>#REF!</v>
      </c>
      <c r="K19" s="778" t="e">
        <f>#REF!</f>
        <v>#REF!</v>
      </c>
      <c r="L19" s="779" t="e">
        <f>#REF!</f>
        <v>#REF!</v>
      </c>
      <c r="M19" s="780" t="e">
        <f>#REF!</f>
        <v>#REF!</v>
      </c>
      <c r="N19" s="778" t="e">
        <f>#REF!</f>
        <v>#REF!</v>
      </c>
      <c r="O19" s="779" t="e">
        <f>#REF!</f>
        <v>#REF!</v>
      </c>
      <c r="P19" s="780" t="e">
        <f>#REF!</f>
        <v>#REF!</v>
      </c>
      <c r="Q19" s="778" t="e">
        <f>#REF!</f>
        <v>#REF!</v>
      </c>
      <c r="R19" s="779" t="e">
        <f>#REF!</f>
        <v>#REF!</v>
      </c>
      <c r="S19" s="779" t="e">
        <f>#REF!</f>
        <v>#REF!</v>
      </c>
    </row>
    <row r="20" spans="1:19" s="549" customFormat="1" ht="15" hidden="1" thickBot="1">
      <c r="A20" s="526"/>
      <c r="B20" s="904" t="e">
        <f t="shared" si="0"/>
        <v>#REF!</v>
      </c>
      <c r="C20" s="774" t="str">
        <f t="shared" si="0"/>
        <v>Combined</v>
      </c>
      <c r="D20" s="904" t="str">
        <f t="shared" si="0"/>
        <v>CD+CS</v>
      </c>
      <c r="E20" s="774" t="s">
        <v>720</v>
      </c>
      <c r="F20" s="781" t="e">
        <f>#REF!</f>
        <v>#REF!</v>
      </c>
      <c r="G20" s="779" t="e">
        <f>#REF!</f>
        <v>#REF!</v>
      </c>
      <c r="H20" s="778" t="e">
        <f>#REF!</f>
        <v>#REF!</v>
      </c>
      <c r="I20" s="779" t="e">
        <f>#REF!</f>
        <v>#REF!</v>
      </c>
      <c r="J20" s="780" t="e">
        <f>#REF!</f>
        <v>#REF!</v>
      </c>
      <c r="K20" s="778" t="e">
        <f>#REF!</f>
        <v>#REF!</v>
      </c>
      <c r="L20" s="779" t="e">
        <f>#REF!</f>
        <v>#REF!</v>
      </c>
      <c r="M20" s="780" t="e">
        <f>#REF!</f>
        <v>#REF!</v>
      </c>
      <c r="N20" s="778" t="e">
        <f>#REF!</f>
        <v>#REF!</v>
      </c>
      <c r="O20" s="779" t="e">
        <f>#REF!</f>
        <v>#REF!</v>
      </c>
      <c r="P20" s="780" t="e">
        <f>#REF!</f>
        <v>#REF!</v>
      </c>
      <c r="Q20" s="778" t="e">
        <f>#REF!</f>
        <v>#REF!</v>
      </c>
      <c r="R20" s="779" t="e">
        <f>#REF!</f>
        <v>#REF!</v>
      </c>
      <c r="S20" s="779" t="e">
        <f>#REF!</f>
        <v>#REF!</v>
      </c>
    </row>
    <row r="21" spans="1:19" s="549" customFormat="1" ht="14.4">
      <c r="A21" s="526"/>
      <c r="B21" s="777" t="str">
        <f>$B$41</f>
        <v>SI Erev HEV PHEV40</v>
      </c>
      <c r="C21" s="905" t="s">
        <v>713</v>
      </c>
      <c r="D21" s="903" t="s">
        <v>722</v>
      </c>
      <c r="E21" s="905" t="s">
        <v>709</v>
      </c>
      <c r="F21" s="777">
        <f>F63/$E$40</f>
        <v>226.19000000000005</v>
      </c>
      <c r="G21" s="777">
        <f t="shared" ref="G21:S21" si="1">G63/$E$40</f>
        <v>179.51285714285717</v>
      </c>
      <c r="H21" s="777">
        <f t="shared" si="1"/>
        <v>200.45214285714289</v>
      </c>
      <c r="I21" s="777">
        <f t="shared" si="1"/>
        <v>165.65714285714287</v>
      </c>
      <c r="J21" s="777">
        <f t="shared" si="1"/>
        <v>141.92214285714286</v>
      </c>
      <c r="K21" s="777">
        <f t="shared" si="1"/>
        <v>190.45500000000004</v>
      </c>
      <c r="L21" s="777">
        <f t="shared" si="1"/>
        <v>156.87357142857144</v>
      </c>
      <c r="M21" s="777">
        <f t="shared" si="1"/>
        <v>132.08000000000001</v>
      </c>
      <c r="N21" s="777">
        <f t="shared" si="1"/>
        <v>166.41642857142858</v>
      </c>
      <c r="O21" s="777">
        <f t="shared" si="1"/>
        <v>137.83000000000001</v>
      </c>
      <c r="P21" s="777">
        <f t="shared" si="1"/>
        <v>116.08714285714287</v>
      </c>
      <c r="Q21" s="777">
        <f t="shared" si="1"/>
        <v>151.93357142857144</v>
      </c>
      <c r="R21" s="777">
        <f t="shared" si="1"/>
        <v>130.06571428571428</v>
      </c>
      <c r="S21" s="777">
        <f t="shared" si="1"/>
        <v>105.76857142857145</v>
      </c>
    </row>
    <row r="22" spans="1:19" s="549" customFormat="1" ht="14.4">
      <c r="A22" s="526"/>
      <c r="B22" s="777" t="str">
        <f>$B$41</f>
        <v>SI Erev HEV PHEV40</v>
      </c>
      <c r="C22" s="770" t="str">
        <f t="shared" ref="C22:D23" si="2">C21</f>
        <v>Combined</v>
      </c>
      <c r="D22" s="906" t="str">
        <f t="shared" si="2"/>
        <v>CD+CS</v>
      </c>
      <c r="E22" s="770" t="s">
        <v>719</v>
      </c>
      <c r="F22" s="777">
        <f t="shared" ref="F22:S22" si="3">F64</f>
        <v>132.08500924509781</v>
      </c>
      <c r="G22" s="777">
        <f t="shared" si="3"/>
        <v>173.24288637794723</v>
      </c>
      <c r="H22" s="777">
        <f t="shared" si="3"/>
        <v>153.31548636287303</v>
      </c>
      <c r="I22" s="777">
        <f t="shared" si="3"/>
        <v>201.62251937159667</v>
      </c>
      <c r="J22" s="777">
        <f t="shared" si="3"/>
        <v>244.24905120873404</v>
      </c>
      <c r="K22" s="777">
        <f t="shared" si="3"/>
        <v>159.97908081608429</v>
      </c>
      <c r="L22" s="777">
        <f t="shared" si="3"/>
        <v>213.2696629213483</v>
      </c>
      <c r="M22" s="777">
        <f t="shared" si="3"/>
        <v>254.98362976727722</v>
      </c>
      <c r="N22" s="777">
        <f t="shared" si="3"/>
        <v>184.85243051003013</v>
      </c>
      <c r="O22" s="777">
        <f t="shared" si="3"/>
        <v>247.15341949138693</v>
      </c>
      <c r="P22" s="777">
        <f t="shared" si="3"/>
        <v>309.49821035282451</v>
      </c>
      <c r="Q22" s="777">
        <f t="shared" si="3"/>
        <v>202.49312379660202</v>
      </c>
      <c r="R22" s="777">
        <f t="shared" si="3"/>
        <v>273.44971782483361</v>
      </c>
      <c r="S22" s="777">
        <f t="shared" si="3"/>
        <v>378.29835948606814</v>
      </c>
    </row>
    <row r="23" spans="1:19" s="549" customFormat="1" ht="15" thickBot="1">
      <c r="A23" s="526"/>
      <c r="B23" s="777" t="str">
        <f>$B$41</f>
        <v>SI Erev HEV PHEV40</v>
      </c>
      <c r="C23" s="774" t="str">
        <f t="shared" si="2"/>
        <v>Combined</v>
      </c>
      <c r="D23" s="904" t="str">
        <f t="shared" si="2"/>
        <v>CD+CS</v>
      </c>
      <c r="E23" s="774" t="s">
        <v>720</v>
      </c>
      <c r="F23" s="777">
        <f t="shared" ref="F23:S23" si="4">F65</f>
        <v>92.459506471568446</v>
      </c>
      <c r="G23" s="777">
        <f t="shared" si="4"/>
        <v>121.27002046456306</v>
      </c>
      <c r="H23" s="777">
        <f t="shared" si="4"/>
        <v>107.3208404540111</v>
      </c>
      <c r="I23" s="777">
        <f t="shared" si="4"/>
        <v>141.13576356011765</v>
      </c>
      <c r="J23" s="777">
        <f t="shared" si="4"/>
        <v>170.97433584611383</v>
      </c>
      <c r="K23" s="777">
        <f t="shared" si="4"/>
        <v>111.98535657125899</v>
      </c>
      <c r="L23" s="777">
        <f t="shared" si="4"/>
        <v>149.2887640449438</v>
      </c>
      <c r="M23" s="777">
        <f t="shared" si="4"/>
        <v>178.48854083709404</v>
      </c>
      <c r="N23" s="777">
        <f t="shared" si="4"/>
        <v>129.3967013570211</v>
      </c>
      <c r="O23" s="777">
        <f t="shared" si="4"/>
        <v>173.0073936439708</v>
      </c>
      <c r="P23" s="777">
        <f t="shared" si="4"/>
        <v>216.64874724697714</v>
      </c>
      <c r="Q23" s="777">
        <f t="shared" si="4"/>
        <v>141.74518665762142</v>
      </c>
      <c r="R23" s="777">
        <f t="shared" si="4"/>
        <v>191.41480247738349</v>
      </c>
      <c r="S23" s="777">
        <f t="shared" si="4"/>
        <v>264.80885164024767</v>
      </c>
    </row>
    <row r="24" spans="1:19" s="549" customFormat="1" ht="13.2">
      <c r="A24" s="526"/>
      <c r="B24" s="550"/>
    </row>
    <row r="25" spans="1:19" s="549" customFormat="1" ht="14.4">
      <c r="A25" s="526"/>
      <c r="B25" s="550"/>
      <c r="E25" s="1333" t="s">
        <v>152</v>
      </c>
      <c r="F25" s="1290">
        <f t="shared" ref="F25:S25" si="5">(F21/1000*$F$34/$H$34+1/(F23*$H$33/$F$33))</f>
        <v>1.3416680897535009</v>
      </c>
      <c r="G25" s="1290">
        <f t="shared" si="5"/>
        <v>1.0387153984979758</v>
      </c>
      <c r="H25" s="1290">
        <f>(H21/1000*$F$34/$H$34+1/(H23*$H$33/$F$33))</f>
        <v>1.1683705852152215</v>
      </c>
      <c r="I25" s="1290">
        <f>(I21/1000*$F$34/$H$34+1/(I23*$H$33/$F$33))</f>
        <v>0.91803726814143438</v>
      </c>
      <c r="J25" s="1290">
        <f t="shared" si="5"/>
        <v>0.76939821327862334</v>
      </c>
      <c r="K25" s="1290">
        <f t="shared" si="5"/>
        <v>1.1160186873950648</v>
      </c>
      <c r="L25" s="1290">
        <f t="shared" si="5"/>
        <v>0.86849023838766959</v>
      </c>
      <c r="M25" s="1290">
        <f t="shared" si="5"/>
        <v>0.7283562339372941</v>
      </c>
      <c r="N25" s="1290">
        <f t="shared" si="5"/>
        <v>0.96940329222038968</v>
      </c>
      <c r="O25" s="1290">
        <f t="shared" si="5"/>
        <v>0.75493362611854686</v>
      </c>
      <c r="P25" s="1290">
        <f t="shared" si="5"/>
        <v>0.61633053527657833</v>
      </c>
      <c r="Q25" s="1290">
        <f t="shared" si="5"/>
        <v>0.88498469378978828</v>
      </c>
      <c r="R25" s="1290">
        <f t="shared" si="5"/>
        <v>0.69461650879984616</v>
      </c>
      <c r="S25" s="1290">
        <f t="shared" si="5"/>
        <v>0.52838535018149346</v>
      </c>
    </row>
    <row r="26" spans="1:19" s="549" customFormat="1" ht="14.4">
      <c r="A26" s="526"/>
      <c r="B26" s="550"/>
      <c r="E26" s="1333" t="s">
        <v>774</v>
      </c>
      <c r="F26" s="1290">
        <f t="shared" ref="F26:S26" si="6">1000/F25</f>
        <v>745.34082433437459</v>
      </c>
      <c r="G26" s="1290">
        <f t="shared" si="6"/>
        <v>962.72761667540522</v>
      </c>
      <c r="H26" s="1290">
        <f t="shared" si="6"/>
        <v>855.89282429238278</v>
      </c>
      <c r="I26" s="1290">
        <f t="shared" si="6"/>
        <v>1089.2803971068615</v>
      </c>
      <c r="J26" s="1290">
        <f t="shared" si="6"/>
        <v>1299.7170811441285</v>
      </c>
      <c r="K26" s="1290">
        <f t="shared" si="6"/>
        <v>896.04234346123019</v>
      </c>
      <c r="L26" s="1290">
        <f t="shared" si="6"/>
        <v>1151.4234194001708</v>
      </c>
      <c r="M26" s="1290">
        <f t="shared" si="6"/>
        <v>1372.9545425790814</v>
      </c>
      <c r="N26" s="1290">
        <f t="shared" si="6"/>
        <v>1031.562413729305</v>
      </c>
      <c r="O26" s="1290">
        <f t="shared" si="6"/>
        <v>1324.6197617947548</v>
      </c>
      <c r="P26" s="1290">
        <f t="shared" si="6"/>
        <v>1622.5060138408523</v>
      </c>
      <c r="Q26" s="1290">
        <f t="shared" si="6"/>
        <v>1129.963045708372</v>
      </c>
      <c r="R26" s="1290">
        <f t="shared" si="6"/>
        <v>1439.6432957342081</v>
      </c>
      <c r="S26" s="1290">
        <f t="shared" si="6"/>
        <v>1892.5581484356314</v>
      </c>
    </row>
    <row r="27" spans="1:19" s="549" customFormat="1" ht="13.2">
      <c r="A27" s="526"/>
      <c r="B27" s="550"/>
      <c r="E27" s="1290"/>
      <c r="F27" s="1290"/>
      <c r="G27" s="1290"/>
      <c r="H27" s="1290"/>
      <c r="I27" s="1290"/>
      <c r="J27" s="1290"/>
      <c r="K27" s="1290"/>
      <c r="L27" s="1290"/>
      <c r="M27" s="1290"/>
      <c r="N27" s="1290"/>
      <c r="O27" s="1290"/>
      <c r="P27" s="1290"/>
      <c r="Q27" s="1290"/>
      <c r="R27" s="1290"/>
      <c r="S27" s="1290"/>
    </row>
    <row r="28" spans="1:19" s="549" customFormat="1" ht="13.2">
      <c r="A28" s="526"/>
      <c r="B28" s="550"/>
      <c r="E28" s="1290"/>
      <c r="F28" s="1290"/>
      <c r="G28" s="1290"/>
      <c r="H28" s="1290"/>
      <c r="I28" s="1290"/>
      <c r="J28" s="1290"/>
      <c r="K28" s="1290"/>
      <c r="L28" s="1290"/>
      <c r="M28" s="1290"/>
      <c r="N28" s="1290"/>
      <c r="O28" s="1290"/>
      <c r="P28" s="1290"/>
      <c r="Q28" s="1290"/>
      <c r="R28" s="1290"/>
      <c r="S28" s="1290"/>
    </row>
    <row r="29" spans="1:19" s="549" customFormat="1" ht="13.2">
      <c r="A29" s="526"/>
      <c r="B29" s="550"/>
      <c r="E29" s="1290"/>
      <c r="F29" s="1290"/>
      <c r="G29" s="1290"/>
      <c r="H29" s="1290"/>
      <c r="I29" s="1290"/>
      <c r="J29" s="1290"/>
      <c r="K29" s="1290"/>
      <c r="L29" s="1334"/>
      <c r="M29" s="1290"/>
      <c r="N29" s="1290"/>
      <c r="O29" s="1334"/>
      <c r="P29" s="1290"/>
      <c r="Q29" s="1290"/>
      <c r="R29" s="1290"/>
      <c r="S29" s="1290"/>
    </row>
    <row r="30" spans="1:19" s="549" customFormat="1" ht="13.2">
      <c r="A30" s="526"/>
      <c r="B30" s="550"/>
      <c r="E30" s="1290"/>
      <c r="F30" s="1290"/>
      <c r="G30" s="1290"/>
      <c r="H30" s="1290"/>
      <c r="I30" s="1290"/>
      <c r="J30" s="1290"/>
      <c r="K30" s="1290"/>
      <c r="L30" s="1290"/>
      <c r="M30" s="1290"/>
      <c r="N30" s="1290"/>
      <c r="O30" s="1290"/>
      <c r="P30" s="1290"/>
      <c r="Q30" s="1290"/>
      <c r="R30" s="1290"/>
      <c r="S30" s="1290"/>
    </row>
    <row r="31" spans="1:19" s="549" customFormat="1" ht="13.2">
      <c r="A31" s="526"/>
      <c r="B31" s="550"/>
      <c r="E31" s="1686" t="s">
        <v>761</v>
      </c>
      <c r="F31" s="1687"/>
      <c r="G31" s="1687"/>
      <c r="H31" s="1687"/>
      <c r="I31" s="1687"/>
      <c r="J31" s="1290"/>
      <c r="K31" s="1290"/>
      <c r="L31" s="1290"/>
      <c r="M31" s="1290"/>
      <c r="N31" s="1290"/>
      <c r="O31" s="1290"/>
      <c r="P31" s="1290"/>
      <c r="Q31" s="1290"/>
      <c r="R31" s="1290"/>
      <c r="S31" s="1290"/>
    </row>
    <row r="32" spans="1:19" s="549" customFormat="1" ht="13.2">
      <c r="A32" s="526"/>
      <c r="B32" s="550"/>
      <c r="E32" s="1335" t="s">
        <v>762</v>
      </c>
      <c r="F32" s="1336"/>
      <c r="G32" s="1336" t="s">
        <v>763</v>
      </c>
      <c r="H32" s="1335" t="s">
        <v>770</v>
      </c>
      <c r="I32" s="1337" t="s">
        <v>771</v>
      </c>
      <c r="J32" s="1290"/>
      <c r="K32" s="1290"/>
      <c r="L32" s="1290"/>
      <c r="M32" s="1290"/>
      <c r="N32" s="1290"/>
      <c r="O32" s="1290"/>
      <c r="P32" s="1290"/>
      <c r="Q32" s="1290"/>
      <c r="R32" s="1290"/>
      <c r="S32" s="1290"/>
    </row>
    <row r="33" spans="1:19" s="549" customFormat="1" ht="13.2">
      <c r="A33" s="526"/>
      <c r="B33" s="550"/>
      <c r="E33" s="959" t="s">
        <v>679</v>
      </c>
      <c r="F33" s="1290">
        <v>32.85</v>
      </c>
      <c r="G33" s="959" t="s">
        <v>735</v>
      </c>
      <c r="H33" s="1338">
        <v>0.42514370699999998</v>
      </c>
      <c r="I33" s="1339">
        <f>(H33/F33)*1000</f>
        <v>12.941969771689497</v>
      </c>
      <c r="J33" s="1290"/>
      <c r="K33" s="1290"/>
      <c r="L33" s="1290"/>
      <c r="M33" s="1290"/>
      <c r="N33" s="1290"/>
      <c r="O33" s="1290"/>
      <c r="P33" s="1290"/>
      <c r="Q33" s="1290"/>
      <c r="R33" s="1290"/>
      <c r="S33" s="1290"/>
    </row>
    <row r="34" spans="1:19" s="549" customFormat="1" ht="13.2">
      <c r="A34" s="526"/>
      <c r="B34" s="550"/>
      <c r="E34" s="959" t="s">
        <v>684</v>
      </c>
      <c r="F34" s="1290">
        <v>3.6</v>
      </c>
      <c r="G34" s="959" t="s">
        <v>764</v>
      </c>
      <c r="H34" s="1290">
        <f>1.609344</f>
        <v>1.6093440000000001</v>
      </c>
      <c r="I34" s="1290">
        <f>1/(F34/H34/1000000)</f>
        <v>447040.00000000006</v>
      </c>
      <c r="J34" s="1290"/>
      <c r="K34" s="1290"/>
      <c r="L34" s="1290"/>
      <c r="M34" s="1290"/>
      <c r="N34" s="1290"/>
      <c r="O34" s="1290"/>
      <c r="P34" s="1290"/>
      <c r="Q34" s="1290"/>
      <c r="R34" s="1290"/>
      <c r="S34" s="1290"/>
    </row>
    <row r="35" spans="1:19" s="549" customFormat="1" ht="13.2">
      <c r="A35" s="526"/>
      <c r="B35" s="550"/>
    </row>
    <row r="36" spans="1:19" s="549" customFormat="1">
      <c r="A36" s="844"/>
      <c r="B36" s="844"/>
      <c r="C36" s="658"/>
    </row>
    <row r="37" spans="1:19" ht="16.2" thickBot="1">
      <c r="A37" s="767"/>
      <c r="B37" s="761"/>
      <c r="C37" s="764"/>
      <c r="D37" s="765"/>
      <c r="E37" s="766"/>
      <c r="F37" s="766"/>
      <c r="G37" s="766"/>
      <c r="H37" s="766"/>
      <c r="I37" s="766"/>
      <c r="J37" s="766"/>
      <c r="K37" s="766"/>
      <c r="L37" s="766"/>
      <c r="M37" s="766"/>
      <c r="N37" s="766"/>
      <c r="O37" s="766"/>
      <c r="P37" s="766"/>
      <c r="Q37" s="766"/>
      <c r="R37" s="766"/>
      <c r="S37" s="766"/>
    </row>
    <row r="38" spans="1:19" ht="18.600000000000001" thickBot="1">
      <c r="A38" s="708"/>
      <c r="B38" s="712"/>
      <c r="C38" s="712"/>
      <c r="D38" s="713"/>
      <c r="E38" s="714"/>
      <c r="F38" s="1669" t="s">
        <v>946</v>
      </c>
      <c r="G38" s="1670"/>
      <c r="H38" s="1670"/>
      <c r="I38" s="1670"/>
      <c r="J38" s="1670"/>
      <c r="K38" s="1670"/>
      <c r="L38" s="1670"/>
      <c r="M38" s="1670"/>
      <c r="N38" s="1670"/>
      <c r="O38" s="1670"/>
      <c r="P38" s="1670"/>
      <c r="Q38" s="1670"/>
      <c r="R38" s="1670"/>
      <c r="S38" s="1670"/>
    </row>
    <row r="39" spans="1:19" ht="15" thickBot="1">
      <c r="A39" s="708"/>
      <c r="B39" s="715"/>
      <c r="C39" s="715"/>
      <c r="D39" s="716" t="s">
        <v>705</v>
      </c>
      <c r="E39" s="717">
        <v>0.55000000000000004</v>
      </c>
      <c r="F39" s="662" t="s">
        <v>644</v>
      </c>
      <c r="G39" s="1684"/>
      <c r="H39" s="1683" t="s">
        <v>645</v>
      </c>
      <c r="I39" s="1684"/>
      <c r="J39" s="1685"/>
      <c r="K39" s="1683" t="s">
        <v>646</v>
      </c>
      <c r="L39" s="1684"/>
      <c r="M39" s="1685"/>
      <c r="N39" s="1683" t="s">
        <v>647</v>
      </c>
      <c r="O39" s="1684"/>
      <c r="P39" s="1685"/>
      <c r="Q39" s="1683" t="s">
        <v>648</v>
      </c>
      <c r="R39" s="1684"/>
      <c r="S39" s="1684"/>
    </row>
    <row r="40" spans="1:19" ht="15" thickBot="1">
      <c r="A40" s="708"/>
      <c r="B40" s="712"/>
      <c r="C40" s="712"/>
      <c r="D40" s="718" t="s">
        <v>706</v>
      </c>
      <c r="E40" s="717">
        <v>0.7</v>
      </c>
      <c r="F40" s="666" t="s">
        <v>97</v>
      </c>
      <c r="G40" s="668" t="s">
        <v>650</v>
      </c>
      <c r="H40" s="667" t="s">
        <v>649</v>
      </c>
      <c r="I40" s="668" t="s">
        <v>650</v>
      </c>
      <c r="J40" s="669" t="s">
        <v>651</v>
      </c>
      <c r="K40" s="667" t="s">
        <v>649</v>
      </c>
      <c r="L40" s="668" t="s">
        <v>650</v>
      </c>
      <c r="M40" s="669" t="s">
        <v>651</v>
      </c>
      <c r="N40" s="667" t="s">
        <v>649</v>
      </c>
      <c r="O40" s="668" t="s">
        <v>650</v>
      </c>
      <c r="P40" s="669" t="s">
        <v>651</v>
      </c>
      <c r="Q40" s="667" t="s">
        <v>649</v>
      </c>
      <c r="R40" s="668" t="s">
        <v>650</v>
      </c>
      <c r="S40" s="669" t="s">
        <v>651</v>
      </c>
    </row>
    <row r="41" spans="1:19" ht="14.4">
      <c r="A41" s="782"/>
      <c r="B41" s="1688" t="s">
        <v>660</v>
      </c>
      <c r="C41" s="1691" t="s">
        <v>707</v>
      </c>
      <c r="D41" s="1693" t="s">
        <v>718</v>
      </c>
      <c r="E41" s="783" t="s">
        <v>709</v>
      </c>
      <c r="F41" s="784">
        <v>211.84</v>
      </c>
      <c r="G41" s="786">
        <v>172.13</v>
      </c>
      <c r="H41" s="785">
        <v>190.39</v>
      </c>
      <c r="I41" s="786">
        <v>162.84</v>
      </c>
      <c r="J41" s="787">
        <v>142.38999999999999</v>
      </c>
      <c r="K41" s="785">
        <v>184.02</v>
      </c>
      <c r="L41" s="786">
        <v>155.4</v>
      </c>
      <c r="M41" s="787">
        <v>135.21</v>
      </c>
      <c r="N41" s="785">
        <v>167</v>
      </c>
      <c r="O41" s="786">
        <v>141.86000000000001</v>
      </c>
      <c r="P41" s="787">
        <v>118.6</v>
      </c>
      <c r="Q41" s="785">
        <v>157.4</v>
      </c>
      <c r="R41" s="786">
        <v>133.84</v>
      </c>
      <c r="S41" s="786">
        <v>110.83</v>
      </c>
    </row>
    <row r="42" spans="1:19" ht="14.4">
      <c r="A42" s="782"/>
      <c r="B42" s="1689"/>
      <c r="C42" s="1692"/>
      <c r="D42" s="1694"/>
      <c r="E42" s="788" t="s">
        <v>710</v>
      </c>
      <c r="F42" s="789">
        <v>40.64</v>
      </c>
      <c r="G42" s="791">
        <v>40.380000000000003</v>
      </c>
      <c r="H42" s="790">
        <v>40.42</v>
      </c>
      <c r="I42" s="791">
        <v>40.520000000000003</v>
      </c>
      <c r="J42" s="792">
        <v>40.47</v>
      </c>
      <c r="K42" s="790">
        <v>40.43</v>
      </c>
      <c r="L42" s="791">
        <v>40.53</v>
      </c>
      <c r="M42" s="792">
        <v>40.42</v>
      </c>
      <c r="N42" s="790">
        <v>40.58</v>
      </c>
      <c r="O42" s="791">
        <v>40.47</v>
      </c>
      <c r="P42" s="792">
        <v>40.93</v>
      </c>
      <c r="Q42" s="790">
        <v>40.43</v>
      </c>
      <c r="R42" s="791">
        <v>40.43</v>
      </c>
      <c r="S42" s="791">
        <v>40.42</v>
      </c>
    </row>
    <row r="43" spans="1:19" ht="14.4">
      <c r="A43" s="782"/>
      <c r="B43" s="1689"/>
      <c r="C43" s="1692"/>
      <c r="D43" s="1694"/>
      <c r="E43" s="788" t="s">
        <v>719</v>
      </c>
      <c r="F43" s="789">
        <v>65535</v>
      </c>
      <c r="G43" s="794">
        <v>65535</v>
      </c>
      <c r="H43" s="793">
        <v>65535</v>
      </c>
      <c r="I43" s="794">
        <v>65535</v>
      </c>
      <c r="J43" s="795">
        <v>65535</v>
      </c>
      <c r="K43" s="793">
        <v>65535</v>
      </c>
      <c r="L43" s="794">
        <v>65535</v>
      </c>
      <c r="M43" s="795">
        <v>65535</v>
      </c>
      <c r="N43" s="793">
        <v>65535</v>
      </c>
      <c r="O43" s="794">
        <v>65535</v>
      </c>
      <c r="P43" s="795">
        <v>65535</v>
      </c>
      <c r="Q43" s="793">
        <v>65535</v>
      </c>
      <c r="R43" s="794">
        <v>65535</v>
      </c>
      <c r="S43" s="794">
        <v>65535</v>
      </c>
    </row>
    <row r="44" spans="1:19" ht="15" thickBot="1">
      <c r="A44" s="782"/>
      <c r="B44" s="1689"/>
      <c r="C44" s="1692"/>
      <c r="D44" s="1695"/>
      <c r="E44" s="796" t="s">
        <v>720</v>
      </c>
      <c r="F44" s="789">
        <f t="shared" ref="F44:S44" si="7">MAX(1/(0.003259+1.1805/F43),$E$40*F43)</f>
        <v>45874.5</v>
      </c>
      <c r="G44" s="794">
        <f t="shared" si="7"/>
        <v>45874.5</v>
      </c>
      <c r="H44" s="793">
        <f t="shared" si="7"/>
        <v>45874.5</v>
      </c>
      <c r="I44" s="794">
        <f t="shared" si="7"/>
        <v>45874.5</v>
      </c>
      <c r="J44" s="795">
        <f t="shared" si="7"/>
        <v>45874.5</v>
      </c>
      <c r="K44" s="793">
        <f t="shared" si="7"/>
        <v>45874.5</v>
      </c>
      <c r="L44" s="794">
        <f t="shared" si="7"/>
        <v>45874.5</v>
      </c>
      <c r="M44" s="795">
        <f t="shared" si="7"/>
        <v>45874.5</v>
      </c>
      <c r="N44" s="793">
        <f t="shared" si="7"/>
        <v>45874.5</v>
      </c>
      <c r="O44" s="794">
        <f t="shared" si="7"/>
        <v>45874.5</v>
      </c>
      <c r="P44" s="795">
        <f t="shared" si="7"/>
        <v>45874.5</v>
      </c>
      <c r="Q44" s="793">
        <f t="shared" si="7"/>
        <v>45874.5</v>
      </c>
      <c r="R44" s="794">
        <f t="shared" si="7"/>
        <v>45874.5</v>
      </c>
      <c r="S44" s="794">
        <f t="shared" si="7"/>
        <v>45874.5</v>
      </c>
    </row>
    <row r="45" spans="1:19" ht="14.4">
      <c r="A45" s="782"/>
      <c r="B45" s="1689"/>
      <c r="C45" s="1692"/>
      <c r="D45" s="1691" t="s">
        <v>721</v>
      </c>
      <c r="E45" s="797" t="s">
        <v>719</v>
      </c>
      <c r="F45" s="784">
        <v>50.75</v>
      </c>
      <c r="G45" s="786">
        <v>71.03</v>
      </c>
      <c r="H45" s="798">
        <v>61.83</v>
      </c>
      <c r="I45" s="786">
        <v>84.3</v>
      </c>
      <c r="J45" s="799">
        <v>105.33</v>
      </c>
      <c r="K45" s="798">
        <v>66.11</v>
      </c>
      <c r="L45" s="786">
        <v>90.67</v>
      </c>
      <c r="M45" s="799">
        <v>114.85</v>
      </c>
      <c r="N45" s="798">
        <v>74.37</v>
      </c>
      <c r="O45" s="786">
        <v>103.13</v>
      </c>
      <c r="P45" s="799">
        <v>138.11000000000001</v>
      </c>
      <c r="Q45" s="798">
        <v>82.32</v>
      </c>
      <c r="R45" s="786">
        <v>115.43</v>
      </c>
      <c r="S45" s="786">
        <v>165.1</v>
      </c>
    </row>
    <row r="46" spans="1:19" ht="15" thickBot="1">
      <c r="A46" s="782"/>
      <c r="B46" s="1689"/>
      <c r="C46" s="1692"/>
      <c r="D46" s="1696"/>
      <c r="E46" s="796" t="s">
        <v>720</v>
      </c>
      <c r="F46" s="800">
        <f t="shared" ref="F46:S46" si="8">MAX(1/(0.003259+1.1805/F45),$E$40*F45)</f>
        <v>37.707271577986155</v>
      </c>
      <c r="G46" s="791">
        <f t="shared" si="8"/>
        <v>50.305003920114629</v>
      </c>
      <c r="H46" s="801">
        <f t="shared" si="8"/>
        <v>44.739379438975121</v>
      </c>
      <c r="I46" s="791">
        <f t="shared" si="8"/>
        <v>59.009999999999991</v>
      </c>
      <c r="J46" s="792">
        <f t="shared" si="8"/>
        <v>73.730999999999995</v>
      </c>
      <c r="K46" s="801">
        <f t="shared" si="8"/>
        <v>47.358345268612972</v>
      </c>
      <c r="L46" s="791">
        <f t="shared" si="8"/>
        <v>63.468999999999994</v>
      </c>
      <c r="M46" s="792">
        <f t="shared" si="8"/>
        <v>80.394999999999996</v>
      </c>
      <c r="N46" s="801">
        <f t="shared" si="8"/>
        <v>52.267532768569879</v>
      </c>
      <c r="O46" s="791">
        <f t="shared" si="8"/>
        <v>72.190999999999988</v>
      </c>
      <c r="P46" s="792">
        <f t="shared" si="8"/>
        <v>96.677000000000007</v>
      </c>
      <c r="Q46" s="801">
        <f t="shared" si="8"/>
        <v>57.623999999999988</v>
      </c>
      <c r="R46" s="791">
        <f t="shared" si="8"/>
        <v>80.801000000000002</v>
      </c>
      <c r="S46" s="791">
        <f t="shared" si="8"/>
        <v>115.57</v>
      </c>
    </row>
    <row r="47" spans="1:19" ht="14.4">
      <c r="A47" s="782"/>
      <c r="B47" s="1689"/>
      <c r="C47" s="1692"/>
      <c r="D47" s="1693" t="s">
        <v>722</v>
      </c>
      <c r="E47" s="802" t="s">
        <v>709</v>
      </c>
      <c r="F47" s="803">
        <v>154.4</v>
      </c>
      <c r="G47" s="805">
        <v>121.42</v>
      </c>
      <c r="H47" s="804">
        <v>135.47</v>
      </c>
      <c r="I47" s="805">
        <v>111.37</v>
      </c>
      <c r="J47" s="806">
        <v>95.57</v>
      </c>
      <c r="K47" s="804">
        <v>128.4</v>
      </c>
      <c r="L47" s="805">
        <v>105.28</v>
      </c>
      <c r="M47" s="806">
        <v>88.82</v>
      </c>
      <c r="N47" s="804">
        <v>113.22</v>
      </c>
      <c r="O47" s="805">
        <v>93.34</v>
      </c>
      <c r="P47" s="806">
        <v>78.75</v>
      </c>
      <c r="Q47" s="804">
        <v>103.37</v>
      </c>
      <c r="R47" s="805">
        <v>88.13</v>
      </c>
      <c r="S47" s="805">
        <v>72.31</v>
      </c>
    </row>
    <row r="48" spans="1:19" ht="14.4">
      <c r="A48" s="782"/>
      <c r="B48" s="1689"/>
      <c r="C48" s="1692"/>
      <c r="D48" s="1694"/>
      <c r="E48" s="807" t="s">
        <v>719</v>
      </c>
      <c r="F48" s="789">
        <v>135.69999999999999</v>
      </c>
      <c r="G48" s="794">
        <v>189.49</v>
      </c>
      <c r="H48" s="808">
        <v>165.25</v>
      </c>
      <c r="I48" s="794">
        <v>227.02</v>
      </c>
      <c r="J48" s="795">
        <v>282.17</v>
      </c>
      <c r="K48" s="808">
        <v>177.47</v>
      </c>
      <c r="L48" s="794">
        <v>244.2</v>
      </c>
      <c r="M48" s="795">
        <v>306.55</v>
      </c>
      <c r="N48" s="808">
        <v>200.23</v>
      </c>
      <c r="O48" s="794">
        <v>276.27</v>
      </c>
      <c r="P48" s="795">
        <v>371.23</v>
      </c>
      <c r="Q48" s="808">
        <v>221.55</v>
      </c>
      <c r="R48" s="794">
        <v>309.52999999999997</v>
      </c>
      <c r="S48" s="794">
        <v>439.92</v>
      </c>
    </row>
    <row r="49" spans="1:19" ht="15" thickBot="1">
      <c r="A49" s="782"/>
      <c r="B49" s="1689"/>
      <c r="C49" s="1692"/>
      <c r="D49" s="1695"/>
      <c r="E49" s="796" t="s">
        <v>720</v>
      </c>
      <c r="F49" s="809">
        <f t="shared" ref="F49:S49" si="9">MAX(1/(0.003259+1.1805/F48),$E$40*F48)</f>
        <v>94.989999999999981</v>
      </c>
      <c r="G49" s="811">
        <f t="shared" si="9"/>
        <v>132.643</v>
      </c>
      <c r="H49" s="810">
        <f t="shared" si="9"/>
        <v>115.675</v>
      </c>
      <c r="I49" s="811">
        <f t="shared" si="9"/>
        <v>158.91399999999999</v>
      </c>
      <c r="J49" s="812">
        <f t="shared" si="9"/>
        <v>197.51900000000001</v>
      </c>
      <c r="K49" s="810">
        <f t="shared" si="9"/>
        <v>124.22899999999998</v>
      </c>
      <c r="L49" s="811">
        <f t="shared" si="9"/>
        <v>170.93999999999997</v>
      </c>
      <c r="M49" s="812">
        <f t="shared" si="9"/>
        <v>214.58500000000001</v>
      </c>
      <c r="N49" s="810">
        <f t="shared" si="9"/>
        <v>140.16099999999997</v>
      </c>
      <c r="O49" s="811">
        <f t="shared" si="9"/>
        <v>193.38899999999998</v>
      </c>
      <c r="P49" s="812">
        <f t="shared" si="9"/>
        <v>259.86099999999999</v>
      </c>
      <c r="Q49" s="810">
        <f t="shared" si="9"/>
        <v>155.08500000000001</v>
      </c>
      <c r="R49" s="811">
        <f t="shared" si="9"/>
        <v>216.67099999999996</v>
      </c>
      <c r="S49" s="811">
        <f t="shared" si="9"/>
        <v>307.94400000000002</v>
      </c>
    </row>
    <row r="50" spans="1:19" ht="14.4">
      <c r="A50" s="782"/>
      <c r="B50" s="1689"/>
      <c r="C50" s="1691" t="s">
        <v>712</v>
      </c>
      <c r="D50" s="1691" t="s">
        <v>718</v>
      </c>
      <c r="E50" s="813" t="s">
        <v>709</v>
      </c>
      <c r="F50" s="814">
        <v>239.37</v>
      </c>
      <c r="G50" s="816">
        <v>200.6</v>
      </c>
      <c r="H50" s="815">
        <v>221.75</v>
      </c>
      <c r="I50" s="816">
        <v>192.02</v>
      </c>
      <c r="J50" s="817">
        <v>167.96</v>
      </c>
      <c r="K50" s="815">
        <v>215.54</v>
      </c>
      <c r="L50" s="816">
        <v>187.04</v>
      </c>
      <c r="M50" s="817">
        <v>163.77000000000001</v>
      </c>
      <c r="N50" s="815">
        <v>191.61</v>
      </c>
      <c r="O50" s="816">
        <v>164.35</v>
      </c>
      <c r="P50" s="817">
        <v>139.94</v>
      </c>
      <c r="Q50" s="815">
        <v>180.52</v>
      </c>
      <c r="R50" s="816">
        <v>155.04</v>
      </c>
      <c r="S50" s="816">
        <v>126.68</v>
      </c>
    </row>
    <row r="51" spans="1:19" ht="14.4">
      <c r="A51" s="782"/>
      <c r="B51" s="1689"/>
      <c r="C51" s="1692"/>
      <c r="D51" s="1692"/>
      <c r="E51" s="818" t="s">
        <v>710</v>
      </c>
      <c r="F51" s="800">
        <v>35.979999999999997</v>
      </c>
      <c r="G51" s="791">
        <v>34.67</v>
      </c>
      <c r="H51" s="790">
        <v>34.71</v>
      </c>
      <c r="I51" s="791">
        <v>34.380000000000003</v>
      </c>
      <c r="J51" s="792">
        <v>34.32</v>
      </c>
      <c r="K51" s="790">
        <v>34.53</v>
      </c>
      <c r="L51" s="791">
        <v>33.68</v>
      </c>
      <c r="M51" s="792">
        <v>33.380000000000003</v>
      </c>
      <c r="N51" s="790">
        <v>35.380000000000003</v>
      </c>
      <c r="O51" s="791">
        <v>34.94</v>
      </c>
      <c r="P51" s="792">
        <v>34.700000000000003</v>
      </c>
      <c r="Q51" s="790">
        <v>35.26</v>
      </c>
      <c r="R51" s="791">
        <v>34.92</v>
      </c>
      <c r="S51" s="791">
        <v>35.380000000000003</v>
      </c>
    </row>
    <row r="52" spans="1:19" ht="14.4">
      <c r="A52" s="782"/>
      <c r="B52" s="1689"/>
      <c r="C52" s="1692"/>
      <c r="D52" s="1692"/>
      <c r="E52" s="819" t="s">
        <v>719</v>
      </c>
      <c r="F52" s="800">
        <v>65535</v>
      </c>
      <c r="G52" s="791">
        <v>65535</v>
      </c>
      <c r="H52" s="790">
        <v>65535</v>
      </c>
      <c r="I52" s="791">
        <v>65535</v>
      </c>
      <c r="J52" s="792">
        <v>65535</v>
      </c>
      <c r="K52" s="790">
        <v>65535</v>
      </c>
      <c r="L52" s="791">
        <v>65535</v>
      </c>
      <c r="M52" s="792">
        <v>65535</v>
      </c>
      <c r="N52" s="790">
        <v>65535</v>
      </c>
      <c r="O52" s="791">
        <v>65535</v>
      </c>
      <c r="P52" s="792">
        <v>65535</v>
      </c>
      <c r="Q52" s="790">
        <v>65535</v>
      </c>
      <c r="R52" s="791">
        <v>65535</v>
      </c>
      <c r="S52" s="791">
        <v>65535</v>
      </c>
    </row>
    <row r="53" spans="1:19" ht="15" thickBot="1">
      <c r="A53" s="782"/>
      <c r="B53" s="1689"/>
      <c r="C53" s="1692"/>
      <c r="D53" s="1696"/>
      <c r="E53" s="796" t="s">
        <v>720</v>
      </c>
      <c r="F53" s="789">
        <f>MAX(1/(0.001376+1.3466/F52),$E$40*F52)</f>
        <v>45874.5</v>
      </c>
      <c r="G53" s="794">
        <f t="shared" ref="G53:S53" si="10">MAX(1/(0.001376+1.3466/G52),$E$40*G52)</f>
        <v>45874.5</v>
      </c>
      <c r="H53" s="793">
        <f t="shared" si="10"/>
        <v>45874.5</v>
      </c>
      <c r="I53" s="794">
        <f t="shared" si="10"/>
        <v>45874.5</v>
      </c>
      <c r="J53" s="795">
        <f t="shared" si="10"/>
        <v>45874.5</v>
      </c>
      <c r="K53" s="793">
        <f t="shared" si="10"/>
        <v>45874.5</v>
      </c>
      <c r="L53" s="794">
        <f t="shared" si="10"/>
        <v>45874.5</v>
      </c>
      <c r="M53" s="795">
        <f t="shared" si="10"/>
        <v>45874.5</v>
      </c>
      <c r="N53" s="793">
        <f t="shared" si="10"/>
        <v>45874.5</v>
      </c>
      <c r="O53" s="794">
        <f t="shared" si="10"/>
        <v>45874.5</v>
      </c>
      <c r="P53" s="795">
        <f t="shared" si="10"/>
        <v>45874.5</v>
      </c>
      <c r="Q53" s="793">
        <f t="shared" si="10"/>
        <v>45874.5</v>
      </c>
      <c r="R53" s="794">
        <f t="shared" si="10"/>
        <v>45874.5</v>
      </c>
      <c r="S53" s="794">
        <f t="shared" si="10"/>
        <v>45874.5</v>
      </c>
    </row>
    <row r="54" spans="1:19" ht="14.4">
      <c r="A54" s="782"/>
      <c r="B54" s="1689"/>
      <c r="C54" s="1692"/>
      <c r="D54" s="1691" t="s">
        <v>721</v>
      </c>
      <c r="E54" s="797" t="s">
        <v>719</v>
      </c>
      <c r="F54" s="784">
        <v>53.38</v>
      </c>
      <c r="G54" s="786">
        <v>66.95</v>
      </c>
      <c r="H54" s="798">
        <v>60.19</v>
      </c>
      <c r="I54" s="786">
        <v>76.09</v>
      </c>
      <c r="J54" s="799">
        <v>90.56</v>
      </c>
      <c r="K54" s="798">
        <v>61.18</v>
      </c>
      <c r="L54" s="786">
        <v>80.59</v>
      </c>
      <c r="M54" s="799">
        <v>93.31</v>
      </c>
      <c r="N54" s="798">
        <v>70.989999999999995</v>
      </c>
      <c r="O54" s="786">
        <v>91.89</v>
      </c>
      <c r="P54" s="799">
        <v>110.3</v>
      </c>
      <c r="Q54" s="798">
        <v>77.05</v>
      </c>
      <c r="R54" s="786">
        <v>100.42</v>
      </c>
      <c r="S54" s="786">
        <v>135.94999999999999</v>
      </c>
    </row>
    <row r="55" spans="1:19" ht="15" thickBot="1">
      <c r="A55" s="782"/>
      <c r="B55" s="1689"/>
      <c r="C55" s="1692"/>
      <c r="D55" s="1696"/>
      <c r="E55" s="796" t="s">
        <v>720</v>
      </c>
      <c r="F55" s="800">
        <f>MAX(1/(0.001376+1.3466/F54),$E$40*F54)</f>
        <v>37.590202401761829</v>
      </c>
      <c r="G55" s="791">
        <f t="shared" ref="G55:S55" si="11">MAX(1/(0.001376+1.3466/G54),$E$40*G54)</f>
        <v>46.865000000000002</v>
      </c>
      <c r="H55" s="801">
        <f t="shared" si="11"/>
        <v>42.132999999999996</v>
      </c>
      <c r="I55" s="791">
        <f t="shared" si="11"/>
        <v>53.262999999999998</v>
      </c>
      <c r="J55" s="792">
        <f t="shared" si="11"/>
        <v>63.391999999999996</v>
      </c>
      <c r="K55" s="801">
        <f t="shared" si="11"/>
        <v>42.826000000000001</v>
      </c>
      <c r="L55" s="791">
        <f t="shared" si="11"/>
        <v>56.412999999999997</v>
      </c>
      <c r="M55" s="792">
        <f t="shared" si="11"/>
        <v>65.316999999999993</v>
      </c>
      <c r="N55" s="801">
        <f t="shared" si="11"/>
        <v>49.692999999999991</v>
      </c>
      <c r="O55" s="791">
        <f t="shared" si="11"/>
        <v>64.322999999999993</v>
      </c>
      <c r="P55" s="792">
        <f t="shared" si="11"/>
        <v>77.209999999999994</v>
      </c>
      <c r="Q55" s="801">
        <f t="shared" si="11"/>
        <v>53.934999999999995</v>
      </c>
      <c r="R55" s="791">
        <f t="shared" si="11"/>
        <v>70.293999999999997</v>
      </c>
      <c r="S55" s="791">
        <f t="shared" si="11"/>
        <v>95.164999999999992</v>
      </c>
    </row>
    <row r="56" spans="1:19" ht="14.4">
      <c r="A56" s="782"/>
      <c r="B56" s="1689"/>
      <c r="C56" s="1692"/>
      <c r="D56" s="1693" t="s">
        <v>722</v>
      </c>
      <c r="E56" s="802" t="s">
        <v>709</v>
      </c>
      <c r="F56" s="785">
        <v>163.13999999999999</v>
      </c>
      <c r="G56" s="786">
        <v>130.84</v>
      </c>
      <c r="H56" s="798">
        <v>146.24</v>
      </c>
      <c r="I56" s="786">
        <v>121.57</v>
      </c>
      <c r="J56" s="799">
        <v>103.96</v>
      </c>
      <c r="K56" s="798">
        <v>139.33000000000001</v>
      </c>
      <c r="L56" s="786">
        <v>115.35</v>
      </c>
      <c r="M56" s="799">
        <v>96.9</v>
      </c>
      <c r="N56" s="798">
        <v>120.49</v>
      </c>
      <c r="O56" s="786">
        <v>100.32</v>
      </c>
      <c r="P56" s="799">
        <v>84.33</v>
      </c>
      <c r="Q56" s="798">
        <v>110</v>
      </c>
      <c r="R56" s="786">
        <v>94.61</v>
      </c>
      <c r="S56" s="786">
        <v>76.150000000000006</v>
      </c>
    </row>
    <row r="57" spans="1:19" ht="14.4">
      <c r="A57" s="782"/>
      <c r="B57" s="1689"/>
      <c r="C57" s="1692"/>
      <c r="D57" s="1694"/>
      <c r="E57" s="807" t="s">
        <v>719</v>
      </c>
      <c r="F57" s="789">
        <v>127.92</v>
      </c>
      <c r="G57" s="794">
        <v>156.81</v>
      </c>
      <c r="H57" s="808">
        <v>140.88</v>
      </c>
      <c r="I57" s="794">
        <v>177.37</v>
      </c>
      <c r="J57" s="795">
        <v>209.79</v>
      </c>
      <c r="K57" s="808">
        <v>142.78</v>
      </c>
      <c r="L57" s="794">
        <v>184.68</v>
      </c>
      <c r="M57" s="795">
        <v>211.5</v>
      </c>
      <c r="N57" s="808">
        <v>168.99</v>
      </c>
      <c r="O57" s="794">
        <v>218.95</v>
      </c>
      <c r="P57" s="795">
        <v>257.22000000000003</v>
      </c>
      <c r="Q57" s="808">
        <v>183.23</v>
      </c>
      <c r="R57" s="794">
        <v>239.35</v>
      </c>
      <c r="S57" s="794">
        <v>323</v>
      </c>
    </row>
    <row r="58" spans="1:19" ht="15" thickBot="1">
      <c r="A58" s="708"/>
      <c r="B58" s="1689"/>
      <c r="C58" s="1692"/>
      <c r="D58" s="1695"/>
      <c r="E58" s="796" t="s">
        <v>720</v>
      </c>
      <c r="F58" s="809">
        <f>MAX(1/(0.001376+1.3466/F57),$E$40*F57)</f>
        <v>89.543999999999997</v>
      </c>
      <c r="G58" s="811">
        <f t="shared" ref="G58:S58" si="12">MAX(1/(0.001376+1.3466/G57),$E$40*G57)</f>
        <v>109.767</v>
      </c>
      <c r="H58" s="810">
        <f t="shared" si="12"/>
        <v>98.615999999999985</v>
      </c>
      <c r="I58" s="811">
        <f t="shared" si="12"/>
        <v>124.15899999999999</v>
      </c>
      <c r="J58" s="812">
        <f t="shared" si="12"/>
        <v>146.85299999999998</v>
      </c>
      <c r="K58" s="810">
        <f t="shared" si="12"/>
        <v>99.945999999999998</v>
      </c>
      <c r="L58" s="811">
        <f t="shared" si="12"/>
        <v>129.27600000000001</v>
      </c>
      <c r="M58" s="812">
        <f t="shared" si="12"/>
        <v>148.04999999999998</v>
      </c>
      <c r="N58" s="810">
        <f t="shared" si="12"/>
        <v>118.29299999999999</v>
      </c>
      <c r="O58" s="811">
        <f t="shared" si="12"/>
        <v>153.26499999999999</v>
      </c>
      <c r="P58" s="812">
        <f t="shared" si="12"/>
        <v>180.054</v>
      </c>
      <c r="Q58" s="810">
        <f t="shared" si="12"/>
        <v>128.261</v>
      </c>
      <c r="R58" s="811">
        <f t="shared" si="12"/>
        <v>167.54499999999999</v>
      </c>
      <c r="S58" s="811">
        <f t="shared" si="12"/>
        <v>226.1</v>
      </c>
    </row>
    <row r="59" spans="1:19" ht="14.4">
      <c r="A59" s="708"/>
      <c r="B59" s="1689"/>
      <c r="C59" s="1691" t="s">
        <v>713</v>
      </c>
      <c r="D59" s="1691" t="s">
        <v>718</v>
      </c>
      <c r="E59" s="820" t="s">
        <v>719</v>
      </c>
      <c r="F59" s="814">
        <f t="shared" ref="F59:S62" si="13">1/(0.55/F43+0.45/F52)</f>
        <v>65535</v>
      </c>
      <c r="G59" s="816">
        <f>1/(0.55/G43+0.45/G52)</f>
        <v>65535</v>
      </c>
      <c r="H59" s="821">
        <f t="shared" si="13"/>
        <v>65535</v>
      </c>
      <c r="I59" s="816">
        <f t="shared" si="13"/>
        <v>65535</v>
      </c>
      <c r="J59" s="817">
        <f t="shared" si="13"/>
        <v>65535</v>
      </c>
      <c r="K59" s="821">
        <f t="shared" si="13"/>
        <v>65535</v>
      </c>
      <c r="L59" s="816">
        <f t="shared" si="13"/>
        <v>65535</v>
      </c>
      <c r="M59" s="817">
        <f t="shared" si="13"/>
        <v>65535</v>
      </c>
      <c r="N59" s="821">
        <f t="shared" si="13"/>
        <v>65535</v>
      </c>
      <c r="O59" s="816">
        <f t="shared" si="13"/>
        <v>65535</v>
      </c>
      <c r="P59" s="817">
        <f t="shared" si="13"/>
        <v>65535</v>
      </c>
      <c r="Q59" s="821">
        <f t="shared" si="13"/>
        <v>65535</v>
      </c>
      <c r="R59" s="816">
        <f t="shared" si="13"/>
        <v>65535</v>
      </c>
      <c r="S59" s="816">
        <f t="shared" si="13"/>
        <v>65535</v>
      </c>
    </row>
    <row r="60" spans="1:19" ht="15" thickBot="1">
      <c r="A60" s="708"/>
      <c r="B60" s="1689"/>
      <c r="C60" s="1692"/>
      <c r="D60" s="1696"/>
      <c r="E60" s="796" t="s">
        <v>720</v>
      </c>
      <c r="F60" s="814">
        <f t="shared" si="13"/>
        <v>45874.499999999993</v>
      </c>
      <c r="G60" s="816">
        <f>1/(0.55/G44+0.45/G53)</f>
        <v>45874.499999999993</v>
      </c>
      <c r="H60" s="821">
        <f t="shared" si="13"/>
        <v>45874.499999999993</v>
      </c>
      <c r="I60" s="816">
        <f t="shared" si="13"/>
        <v>45874.499999999993</v>
      </c>
      <c r="J60" s="817">
        <f t="shared" si="13"/>
        <v>45874.499999999993</v>
      </c>
      <c r="K60" s="821">
        <f t="shared" si="13"/>
        <v>45874.499999999993</v>
      </c>
      <c r="L60" s="816">
        <f t="shared" si="13"/>
        <v>45874.499999999993</v>
      </c>
      <c r="M60" s="817">
        <f t="shared" si="13"/>
        <v>45874.499999999993</v>
      </c>
      <c r="N60" s="821">
        <f t="shared" si="13"/>
        <v>45874.499999999993</v>
      </c>
      <c r="O60" s="816">
        <f t="shared" si="13"/>
        <v>45874.499999999993</v>
      </c>
      <c r="P60" s="817">
        <f t="shared" si="13"/>
        <v>45874.499999999993</v>
      </c>
      <c r="Q60" s="821">
        <f t="shared" si="13"/>
        <v>45874.499999999993</v>
      </c>
      <c r="R60" s="816">
        <f t="shared" si="13"/>
        <v>45874.499999999993</v>
      </c>
      <c r="S60" s="816">
        <f t="shared" si="13"/>
        <v>45874.499999999993</v>
      </c>
    </row>
    <row r="61" spans="1:19" ht="14.4">
      <c r="A61" s="708"/>
      <c r="B61" s="1689"/>
      <c r="C61" s="1692"/>
      <c r="D61" s="1691" t="s">
        <v>721</v>
      </c>
      <c r="E61" s="822" t="s">
        <v>719</v>
      </c>
      <c r="F61" s="784">
        <f t="shared" si="13"/>
        <v>51.90070215435901</v>
      </c>
      <c r="G61" s="786">
        <f t="shared" si="13"/>
        <v>69.134104323554212</v>
      </c>
      <c r="H61" s="798">
        <f t="shared" si="13"/>
        <v>61.081074382878143</v>
      </c>
      <c r="I61" s="786">
        <f t="shared" si="13"/>
        <v>80.396405316822182</v>
      </c>
      <c r="J61" s="799">
        <f t="shared" si="13"/>
        <v>98.128055222644576</v>
      </c>
      <c r="K61" s="798">
        <f t="shared" si="13"/>
        <v>63.79661663919493</v>
      </c>
      <c r="L61" s="786">
        <f t="shared" si="13"/>
        <v>85.838583981392276</v>
      </c>
      <c r="M61" s="799">
        <f t="shared" si="13"/>
        <v>104.04214925778861</v>
      </c>
      <c r="N61" s="798">
        <f t="shared" si="13"/>
        <v>72.810005378494296</v>
      </c>
      <c r="O61" s="786">
        <f t="shared" si="13"/>
        <v>97.749470850352765</v>
      </c>
      <c r="P61" s="799">
        <f t="shared" si="13"/>
        <v>124.03692560731835</v>
      </c>
      <c r="Q61" s="798">
        <f t="shared" si="13"/>
        <v>79.861951738509092</v>
      </c>
      <c r="R61" s="786">
        <f t="shared" si="13"/>
        <v>108.15521042785365</v>
      </c>
      <c r="S61" s="786">
        <f t="shared" si="13"/>
        <v>150.57168732285709</v>
      </c>
    </row>
    <row r="62" spans="1:19" ht="15" thickBot="1">
      <c r="A62" s="708"/>
      <c r="B62" s="1689"/>
      <c r="C62" s="1692"/>
      <c r="D62" s="1696"/>
      <c r="E62" s="796" t="s">
        <v>720</v>
      </c>
      <c r="F62" s="823">
        <f t="shared" si="13"/>
        <v>37.654500337760979</v>
      </c>
      <c r="G62" s="825">
        <f t="shared" si="13"/>
        <v>48.696505542168929</v>
      </c>
      <c r="H62" s="824">
        <f t="shared" si="13"/>
        <v>43.527684384673613</v>
      </c>
      <c r="I62" s="825">
        <f t="shared" si="13"/>
        <v>56.277483721775525</v>
      </c>
      <c r="J62" s="826">
        <f t="shared" si="13"/>
        <v>68.689638655851198</v>
      </c>
      <c r="K62" s="824">
        <f t="shared" si="13"/>
        <v>45.205469490079921</v>
      </c>
      <c r="L62" s="825">
        <f t="shared" si="13"/>
        <v>60.087008786974593</v>
      </c>
      <c r="M62" s="826">
        <f t="shared" si="13"/>
        <v>72.829504480452016</v>
      </c>
      <c r="N62" s="824">
        <f t="shared" si="13"/>
        <v>51.076732756753572</v>
      </c>
      <c r="O62" s="825">
        <f t="shared" si="13"/>
        <v>68.424629595246927</v>
      </c>
      <c r="P62" s="826">
        <f t="shared" si="13"/>
        <v>86.825847925122829</v>
      </c>
      <c r="Q62" s="824">
        <f t="shared" si="13"/>
        <v>55.90336621695635</v>
      </c>
      <c r="R62" s="825">
        <f t="shared" si="13"/>
        <v>75.708647299497542</v>
      </c>
      <c r="S62" s="825">
        <f t="shared" si="13"/>
        <v>105.40018112599996</v>
      </c>
    </row>
    <row r="63" spans="1:19" ht="14.4">
      <c r="A63" s="708"/>
      <c r="B63" s="1689"/>
      <c r="C63" s="1692"/>
      <c r="D63" s="1691" t="s">
        <v>722</v>
      </c>
      <c r="E63" s="827" t="s">
        <v>709</v>
      </c>
      <c r="F63" s="814">
        <f t="shared" ref="F63:S63" si="14">0.55*F47+0.45*F56</f>
        <v>158.33300000000003</v>
      </c>
      <c r="G63" s="816">
        <f>0.55*G47+0.45*G56</f>
        <v>125.65900000000001</v>
      </c>
      <c r="H63" s="815">
        <f t="shared" si="14"/>
        <v>140.31650000000002</v>
      </c>
      <c r="I63" s="816">
        <f t="shared" si="14"/>
        <v>115.96000000000001</v>
      </c>
      <c r="J63" s="817">
        <f t="shared" si="14"/>
        <v>99.345499999999987</v>
      </c>
      <c r="K63" s="815">
        <f t="shared" si="14"/>
        <v>133.31850000000003</v>
      </c>
      <c r="L63" s="816">
        <f t="shared" si="14"/>
        <v>109.8115</v>
      </c>
      <c r="M63" s="817">
        <f t="shared" si="14"/>
        <v>92.456000000000003</v>
      </c>
      <c r="N63" s="815">
        <f t="shared" si="14"/>
        <v>116.4915</v>
      </c>
      <c r="O63" s="816">
        <f t="shared" si="14"/>
        <v>96.480999999999995</v>
      </c>
      <c r="P63" s="817">
        <f t="shared" si="14"/>
        <v>81.260999999999996</v>
      </c>
      <c r="Q63" s="815">
        <f t="shared" si="14"/>
        <v>106.3535</v>
      </c>
      <c r="R63" s="816">
        <f t="shared" si="14"/>
        <v>91.045999999999992</v>
      </c>
      <c r="S63" s="816">
        <f t="shared" si="14"/>
        <v>74.038000000000011</v>
      </c>
    </row>
    <row r="64" spans="1:19" ht="14.4">
      <c r="A64" s="708"/>
      <c r="B64" s="1689"/>
      <c r="C64" s="1692"/>
      <c r="D64" s="1692"/>
      <c r="E64" s="827" t="s">
        <v>719</v>
      </c>
      <c r="F64" s="814">
        <f t="shared" ref="F64:S65" si="15">1/(0.55/F48+0.45/F57)</f>
        <v>132.08500924509781</v>
      </c>
      <c r="G64" s="816">
        <f t="shared" si="15"/>
        <v>173.24288637794723</v>
      </c>
      <c r="H64" s="815">
        <f t="shared" si="15"/>
        <v>153.31548636287303</v>
      </c>
      <c r="I64" s="816">
        <f t="shared" si="15"/>
        <v>201.62251937159667</v>
      </c>
      <c r="J64" s="817">
        <f t="shared" si="15"/>
        <v>244.24905120873404</v>
      </c>
      <c r="K64" s="815">
        <f t="shared" si="15"/>
        <v>159.97908081608429</v>
      </c>
      <c r="L64" s="816">
        <f t="shared" si="15"/>
        <v>213.2696629213483</v>
      </c>
      <c r="M64" s="817">
        <f t="shared" si="15"/>
        <v>254.98362976727722</v>
      </c>
      <c r="N64" s="815">
        <f t="shared" si="15"/>
        <v>184.85243051003013</v>
      </c>
      <c r="O64" s="816">
        <f t="shared" si="15"/>
        <v>247.15341949138693</v>
      </c>
      <c r="P64" s="817">
        <f t="shared" si="15"/>
        <v>309.49821035282451</v>
      </c>
      <c r="Q64" s="815">
        <f t="shared" si="15"/>
        <v>202.49312379660202</v>
      </c>
      <c r="R64" s="816">
        <f t="shared" si="15"/>
        <v>273.44971782483361</v>
      </c>
      <c r="S64" s="816">
        <f t="shared" si="15"/>
        <v>378.29835948606814</v>
      </c>
    </row>
    <row r="65" spans="1:19" ht="15" thickBot="1">
      <c r="A65" s="708"/>
      <c r="B65" s="1690"/>
      <c r="C65" s="1692"/>
      <c r="D65" s="1696"/>
      <c r="E65" s="828" t="s">
        <v>720</v>
      </c>
      <c r="F65" s="814">
        <f t="shared" si="15"/>
        <v>92.459506471568446</v>
      </c>
      <c r="G65" s="816">
        <f>1/(0.55/G49+0.45/G58)</f>
        <v>121.27002046456306</v>
      </c>
      <c r="H65" s="815">
        <f t="shared" si="15"/>
        <v>107.3208404540111</v>
      </c>
      <c r="I65" s="816">
        <f t="shared" si="15"/>
        <v>141.13576356011765</v>
      </c>
      <c r="J65" s="817">
        <f t="shared" si="15"/>
        <v>170.97433584611383</v>
      </c>
      <c r="K65" s="815">
        <f t="shared" si="15"/>
        <v>111.98535657125899</v>
      </c>
      <c r="L65" s="816">
        <f t="shared" si="15"/>
        <v>149.2887640449438</v>
      </c>
      <c r="M65" s="817">
        <f t="shared" si="15"/>
        <v>178.48854083709404</v>
      </c>
      <c r="N65" s="815">
        <f t="shared" si="15"/>
        <v>129.3967013570211</v>
      </c>
      <c r="O65" s="816">
        <f t="shared" si="15"/>
        <v>173.0073936439708</v>
      </c>
      <c r="P65" s="817">
        <f t="shared" si="15"/>
        <v>216.64874724697714</v>
      </c>
      <c r="Q65" s="815">
        <f t="shared" si="15"/>
        <v>141.74518665762142</v>
      </c>
      <c r="R65" s="816">
        <f t="shared" si="15"/>
        <v>191.41480247738349</v>
      </c>
      <c r="S65" s="825">
        <f t="shared" si="15"/>
        <v>264.80885164024767</v>
      </c>
    </row>
  </sheetData>
  <mergeCells count="21">
    <mergeCell ref="B41:B65"/>
    <mergeCell ref="C41:C49"/>
    <mergeCell ref="D41:D44"/>
    <mergeCell ref="D45:D46"/>
    <mergeCell ref="D47:D49"/>
    <mergeCell ref="C50:C58"/>
    <mergeCell ref="D50:D53"/>
    <mergeCell ref="D54:D55"/>
    <mergeCell ref="D56:D58"/>
    <mergeCell ref="C59:C65"/>
    <mergeCell ref="D59:D60"/>
    <mergeCell ref="D61:D62"/>
    <mergeCell ref="D63:D65"/>
    <mergeCell ref="H39:J39"/>
    <mergeCell ref="K39:M39"/>
    <mergeCell ref="N39:P39"/>
    <mergeCell ref="Q39:S39"/>
    <mergeCell ref="F14:S14"/>
    <mergeCell ref="F38:S38"/>
    <mergeCell ref="G39"/>
    <mergeCell ref="E31:I3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S56"/>
  <sheetViews>
    <sheetView workbookViewId="0">
      <selection activeCell="F12" sqref="F12:S12"/>
    </sheetView>
  </sheetViews>
  <sheetFormatPr defaultRowHeight="13.2"/>
  <cols>
    <col min="1" max="1" width="9.109375" style="549"/>
    <col min="2" max="2" width="13.88671875" style="549" bestFit="1" customWidth="1"/>
    <col min="3" max="3" width="8.33203125" style="549" customWidth="1"/>
    <col min="4" max="4" width="14.5546875" style="549" bestFit="1" customWidth="1"/>
    <col min="5" max="5" width="13.109375" style="549" customWidth="1"/>
    <col min="6" max="6" width="11.6640625" style="549" customWidth="1"/>
    <col min="7" max="19" width="10.6640625" style="549" customWidth="1"/>
  </cols>
  <sheetData>
    <row r="1" spans="1:19" s="549" customFormat="1"/>
    <row r="2" spans="1:19" s="549" customFormat="1" ht="17.399999999999999">
      <c r="A2" s="696" t="s">
        <v>733</v>
      </c>
    </row>
    <row r="3" spans="1:19" s="549" customFormat="1"/>
    <row r="4" spans="1:19" s="549" customFormat="1">
      <c r="A4" s="526" t="s">
        <v>945</v>
      </c>
    </row>
    <row r="5" spans="1:19" s="549" customFormat="1"/>
    <row r="6" spans="1:19" s="549" customFormat="1">
      <c r="A6" s="526" t="s">
        <v>942</v>
      </c>
      <c r="B6" s="550"/>
    </row>
    <row r="7" spans="1:19" s="549" customFormat="1">
      <c r="A7" s="526"/>
      <c r="B7" s="550"/>
    </row>
    <row r="8" spans="1:19" s="549" customFormat="1">
      <c r="A8" s="526"/>
      <c r="B8" s="550"/>
    </row>
    <row r="9" spans="1:19" s="549" customFormat="1">
      <c r="A9" s="526"/>
      <c r="B9" s="550"/>
    </row>
    <row r="10" spans="1:19" s="549" customFormat="1">
      <c r="A10" s="526"/>
      <c r="B10" s="550"/>
    </row>
    <row r="11" spans="1:19" s="549" customFormat="1" ht="13.8" thickBot="1">
      <c r="A11" s="526"/>
      <c r="B11" s="550"/>
    </row>
    <row r="12" spans="1:19" s="549" customFormat="1" ht="18.600000000000001" thickBot="1">
      <c r="A12" s="526"/>
      <c r="B12" s="550"/>
      <c r="F12" s="1669" t="s">
        <v>946</v>
      </c>
      <c r="G12" s="1670"/>
      <c r="H12" s="1670"/>
      <c r="I12" s="1670"/>
      <c r="J12" s="1670"/>
      <c r="K12" s="1670"/>
      <c r="L12" s="1670"/>
      <c r="M12" s="1670"/>
      <c r="N12" s="1670"/>
      <c r="O12" s="1670"/>
      <c r="P12" s="1670"/>
      <c r="Q12" s="1670"/>
      <c r="R12" s="1670"/>
      <c r="S12" s="1670"/>
    </row>
    <row r="13" spans="1:19" s="549" customFormat="1" ht="15" thickBot="1">
      <c r="A13" s="526"/>
      <c r="B13" s="550"/>
      <c r="F13" s="662">
        <v>2010</v>
      </c>
      <c r="G13" s="907">
        <v>2015</v>
      </c>
      <c r="H13" s="706">
        <v>2020</v>
      </c>
      <c r="I13" s="706">
        <v>2020</v>
      </c>
      <c r="J13" s="706">
        <v>2020</v>
      </c>
      <c r="K13" s="706">
        <v>2025</v>
      </c>
      <c r="L13" s="706">
        <v>2025</v>
      </c>
      <c r="M13" s="706">
        <v>2025</v>
      </c>
      <c r="N13" s="706">
        <v>2030</v>
      </c>
      <c r="O13" s="706">
        <v>2030</v>
      </c>
      <c r="P13" s="706">
        <v>2030</v>
      </c>
      <c r="Q13" s="706">
        <v>2045</v>
      </c>
      <c r="R13" s="706">
        <v>2045</v>
      </c>
      <c r="S13" s="910">
        <v>2045</v>
      </c>
    </row>
    <row r="14" spans="1:19" s="549" customFormat="1" ht="15" thickBot="1">
      <c r="A14" s="844"/>
      <c r="B14" s="844"/>
      <c r="C14" s="658"/>
      <c r="F14" s="911" t="s">
        <v>97</v>
      </c>
      <c r="G14" s="913" t="s">
        <v>650</v>
      </c>
      <c r="H14" s="912" t="s">
        <v>649</v>
      </c>
      <c r="I14" s="913" t="s">
        <v>650</v>
      </c>
      <c r="J14" s="914" t="s">
        <v>651</v>
      </c>
      <c r="K14" s="912" t="s">
        <v>649</v>
      </c>
      <c r="L14" s="913" t="s">
        <v>650</v>
      </c>
      <c r="M14" s="914" t="s">
        <v>651</v>
      </c>
      <c r="N14" s="912" t="s">
        <v>649</v>
      </c>
      <c r="O14" s="913" t="s">
        <v>650</v>
      </c>
      <c r="P14" s="914" t="s">
        <v>651</v>
      </c>
      <c r="Q14" s="912" t="s">
        <v>649</v>
      </c>
      <c r="R14" s="913" t="s">
        <v>650</v>
      </c>
      <c r="S14" s="915" t="s">
        <v>651</v>
      </c>
    </row>
    <row r="15" spans="1:19" ht="12.75" customHeight="1">
      <c r="B15" s="1700" t="s">
        <v>670</v>
      </c>
      <c r="C15" s="1702" t="s">
        <v>713</v>
      </c>
      <c r="D15" s="1710"/>
      <c r="E15" s="1702" t="s">
        <v>714</v>
      </c>
      <c r="F15" s="1704">
        <f t="shared" ref="F15:S15" si="0">0.43*MIN(0.003259*33700+1.1805*F33,F33/$E$32)+0.57*MIN(0.001376*33700+1.3466*F35,F35/$E$32)</f>
        <v>279.86228571428569</v>
      </c>
      <c r="G15" s="1706">
        <f t="shared" si="0"/>
        <v>272.13214285714287</v>
      </c>
      <c r="H15" s="1706">
        <f t="shared" si="0"/>
        <v>281.53771428571429</v>
      </c>
      <c r="I15" s="1706">
        <f t="shared" si="0"/>
        <v>254.08999999999997</v>
      </c>
      <c r="J15" s="1708">
        <f t="shared" si="0"/>
        <v>219.96114285714287</v>
      </c>
      <c r="K15" s="1706">
        <f t="shared" si="0"/>
        <v>274.17342857142859</v>
      </c>
      <c r="L15" s="1706">
        <f t="shared" si="0"/>
        <v>245.02628571428573</v>
      </c>
      <c r="M15" s="1708">
        <f t="shared" si="0"/>
        <v>219.84000000000003</v>
      </c>
      <c r="N15" s="1706">
        <f t="shared" si="0"/>
        <v>256.39057142857143</v>
      </c>
      <c r="O15" s="1706">
        <f t="shared" si="0"/>
        <v>235.66771428571428</v>
      </c>
      <c r="P15" s="1708">
        <f t="shared" si="0"/>
        <v>215.85142857142858</v>
      </c>
      <c r="Q15" s="1706">
        <f t="shared" si="0"/>
        <v>246.78828571428571</v>
      </c>
      <c r="R15" s="1706">
        <f t="shared" si="0"/>
        <v>225.54171428571431</v>
      </c>
      <c r="S15" s="1710">
        <f t="shared" si="0"/>
        <v>170.49328571428572</v>
      </c>
    </row>
    <row r="16" spans="1:19" ht="13.5" customHeight="1" thickBot="1">
      <c r="B16" s="1701"/>
      <c r="C16" s="1703"/>
      <c r="D16" s="1711"/>
      <c r="E16" s="1703"/>
      <c r="F16" s="1705"/>
      <c r="G16" s="1707"/>
      <c r="H16" s="1707"/>
      <c r="I16" s="1707"/>
      <c r="J16" s="1709"/>
      <c r="K16" s="1707"/>
      <c r="L16" s="1707"/>
      <c r="M16" s="1709"/>
      <c r="N16" s="1707"/>
      <c r="O16" s="1707"/>
      <c r="P16" s="1709"/>
      <c r="Q16" s="1707"/>
      <c r="R16" s="1707"/>
      <c r="S16" s="1720"/>
    </row>
    <row r="17" spans="1:19" ht="12.75" customHeight="1">
      <c r="B17" s="1721" t="s">
        <v>671</v>
      </c>
      <c r="C17" s="1723" t="s">
        <v>713</v>
      </c>
      <c r="D17" s="1724"/>
      <c r="E17" s="1723" t="s">
        <v>714</v>
      </c>
      <c r="F17" s="1727">
        <f t="shared" ref="F17:S17" si="1">0.43*MIN(0.003259*33700+1.1805*F37,F37/$E$32)+0.57*MIN(0.001376*33700+1.3466*F39,F39/$E$32)</f>
        <v>282.28614285714286</v>
      </c>
      <c r="G17" s="1713">
        <f t="shared" si="1"/>
        <v>276.75942857142854</v>
      </c>
      <c r="H17" s="1713">
        <f t="shared" si="1"/>
        <v>285.90442857142858</v>
      </c>
      <c r="I17" s="1713">
        <f t="shared" si="1"/>
        <v>257.78528571428569</v>
      </c>
      <c r="J17" s="1712">
        <f t="shared" si="1"/>
        <v>223.43014285714287</v>
      </c>
      <c r="K17" s="1713">
        <f t="shared" si="1"/>
        <v>277.77657142857146</v>
      </c>
      <c r="L17" s="1713">
        <f t="shared" si="1"/>
        <v>248.85771428571428</v>
      </c>
      <c r="M17" s="1712">
        <f t="shared" si="1"/>
        <v>223.25671428571431</v>
      </c>
      <c r="N17" s="1713">
        <f t="shared" si="1"/>
        <v>259.74828571428577</v>
      </c>
      <c r="O17" s="1713">
        <f t="shared" si="1"/>
        <v>238.72071428571428</v>
      </c>
      <c r="P17" s="1712">
        <f t="shared" si="1"/>
        <v>218.82857142857142</v>
      </c>
      <c r="Q17" s="1713">
        <f t="shared" si="1"/>
        <v>249.95571428571429</v>
      </c>
      <c r="R17" s="1713">
        <f t="shared" si="1"/>
        <v>228.345</v>
      </c>
      <c r="S17" s="1714">
        <f t="shared" si="1"/>
        <v>172.47214285714284</v>
      </c>
    </row>
    <row r="18" spans="1:19" ht="13.5" customHeight="1" thickBot="1">
      <c r="B18" s="1722"/>
      <c r="C18" s="1725"/>
      <c r="D18" s="1726"/>
      <c r="E18" s="1725"/>
      <c r="F18" s="1727"/>
      <c r="G18" s="1713"/>
      <c r="H18" s="1713"/>
      <c r="I18" s="1713"/>
      <c r="J18" s="1712"/>
      <c r="K18" s="1713"/>
      <c r="L18" s="1713"/>
      <c r="M18" s="1712"/>
      <c r="N18" s="1713"/>
      <c r="O18" s="1713"/>
      <c r="P18" s="1712"/>
      <c r="Q18" s="1713"/>
      <c r="R18" s="1713"/>
      <c r="S18" s="1714"/>
    </row>
    <row r="19" spans="1:19" ht="12.75" customHeight="1">
      <c r="B19" s="1700" t="s">
        <v>672</v>
      </c>
      <c r="C19" s="1702" t="s">
        <v>713</v>
      </c>
      <c r="D19" s="1710"/>
      <c r="E19" s="1702" t="s">
        <v>714</v>
      </c>
      <c r="F19" s="1705">
        <f t="shared" ref="F19:S19" si="2">0.43*MIN(0.003259*33700+1.1805*F41,F41/$E$32)+0.57*MIN(0.001376*33700+1.3466*F43,F43/$E$32)</f>
        <v>294.46114285714287</v>
      </c>
      <c r="G19" s="1707">
        <f t="shared" si="2"/>
        <v>284.5542857142857</v>
      </c>
      <c r="H19" s="1707">
        <f t="shared" si="2"/>
        <v>294.75914285714282</v>
      </c>
      <c r="I19" s="1707">
        <f t="shared" si="2"/>
        <v>263.92014285714288</v>
      </c>
      <c r="J19" s="1709">
        <f t="shared" si="2"/>
        <v>226.62314285714282</v>
      </c>
      <c r="K19" s="1707">
        <f t="shared" si="2"/>
        <v>284.10300000000001</v>
      </c>
      <c r="L19" s="1707">
        <f t="shared" si="2"/>
        <v>252.30385714285711</v>
      </c>
      <c r="M19" s="1709">
        <f t="shared" si="2"/>
        <v>225.23528571428574</v>
      </c>
      <c r="N19" s="1707">
        <f t="shared" si="2"/>
        <v>266.29014285714288</v>
      </c>
      <c r="O19" s="1707">
        <f t="shared" si="2"/>
        <v>243.55685714285715</v>
      </c>
      <c r="P19" s="1709">
        <f t="shared" si="2"/>
        <v>222.36057142857143</v>
      </c>
      <c r="Q19" s="1707">
        <f t="shared" si="2"/>
        <v>255.02828571428569</v>
      </c>
      <c r="R19" s="1707">
        <f t="shared" si="2"/>
        <v>232.48414285714284</v>
      </c>
      <c r="S19" s="1720">
        <f t="shared" si="2"/>
        <v>174.84542857142856</v>
      </c>
    </row>
    <row r="20" spans="1:19" ht="13.5" customHeight="1" thickBot="1">
      <c r="B20" s="1698"/>
      <c r="C20" s="1728"/>
      <c r="D20" s="1720"/>
      <c r="E20" s="1728"/>
      <c r="F20" s="1705"/>
      <c r="G20" s="1707"/>
      <c r="H20" s="1707"/>
      <c r="I20" s="1707"/>
      <c r="J20" s="1709"/>
      <c r="K20" s="1707"/>
      <c r="L20" s="1707"/>
      <c r="M20" s="1709"/>
      <c r="N20" s="1707"/>
      <c r="O20" s="1707"/>
      <c r="P20" s="1709"/>
      <c r="Q20" s="1707"/>
      <c r="R20" s="1707"/>
      <c r="S20" s="1720"/>
    </row>
    <row r="21" spans="1:19" ht="12.75" customHeight="1">
      <c r="B21" s="1729" t="s">
        <v>673</v>
      </c>
      <c r="C21" s="1729" t="s">
        <v>713</v>
      </c>
      <c r="D21" s="1729"/>
      <c r="E21" s="1731" t="s">
        <v>714</v>
      </c>
      <c r="F21" s="1727">
        <f t="shared" ref="F21:S21" si="3">0.43*MIN(0.003259*33700+1.1805*F45,F45/$E$32)+0.57*MIN(0.001376*33700+1.3466*F47,F47/$E$32)</f>
        <v>297.46357142857141</v>
      </c>
      <c r="G21" s="1713">
        <f t="shared" si="3"/>
        <v>290.15000000000003</v>
      </c>
      <c r="H21" s="1713">
        <f t="shared" si="3"/>
        <v>299.89242857142858</v>
      </c>
      <c r="I21" s="1713">
        <f t="shared" si="3"/>
        <v>267.86728571428574</v>
      </c>
      <c r="J21" s="1712">
        <f t="shared" si="3"/>
        <v>230.49885714285713</v>
      </c>
      <c r="K21" s="1713">
        <f t="shared" si="3"/>
        <v>287.88257142857145</v>
      </c>
      <c r="L21" s="1713">
        <f t="shared" si="3"/>
        <v>256.30728571428574</v>
      </c>
      <c r="M21" s="1712">
        <f t="shared" si="3"/>
        <v>228.72000000000003</v>
      </c>
      <c r="N21" s="1713">
        <f t="shared" si="3"/>
        <v>269.94342857142863</v>
      </c>
      <c r="O21" s="1713">
        <f t="shared" si="3"/>
        <v>246.86257142857141</v>
      </c>
      <c r="P21" s="1712">
        <f t="shared" si="3"/>
        <v>225.25985714285719</v>
      </c>
      <c r="Q21" s="1713">
        <f t="shared" si="3"/>
        <v>258.49128571428571</v>
      </c>
      <c r="R21" s="1713">
        <f t="shared" si="3"/>
        <v>235.48085714285713</v>
      </c>
      <c r="S21" s="1714">
        <f t="shared" si="3"/>
        <v>176.7764285714286</v>
      </c>
    </row>
    <row r="22" spans="1:19" ht="13.5" customHeight="1" thickBot="1">
      <c r="B22" s="1730"/>
      <c r="C22" s="1730"/>
      <c r="D22" s="1730"/>
      <c r="E22" s="1732"/>
      <c r="F22" s="1727"/>
      <c r="G22" s="1713"/>
      <c r="H22" s="1713"/>
      <c r="I22" s="1713"/>
      <c r="J22" s="1712"/>
      <c r="K22" s="1713"/>
      <c r="L22" s="1713"/>
      <c r="M22" s="1712"/>
      <c r="N22" s="1713"/>
      <c r="O22" s="1713"/>
      <c r="P22" s="1712"/>
      <c r="Q22" s="1713"/>
      <c r="R22" s="1713"/>
      <c r="S22" s="1714"/>
    </row>
    <row r="23" spans="1:19" ht="12.75" customHeight="1">
      <c r="B23" s="1700" t="s">
        <v>674</v>
      </c>
      <c r="C23" s="1702" t="s">
        <v>713</v>
      </c>
      <c r="D23" s="1710"/>
      <c r="E23" s="1702" t="s">
        <v>714</v>
      </c>
      <c r="F23" s="1705">
        <f t="shared" ref="F23:S23" si="4">0.43*MIN(0.003259*33700+1.1805*F49,F49/$E$32)+0.57*MIN(0.001376*33700+1.3466*F51,F51/$E$32)</f>
        <v>311.19071428571431</v>
      </c>
      <c r="G23" s="1707">
        <f t="shared" si="4"/>
        <v>298.827</v>
      </c>
      <c r="H23" s="1707">
        <f t="shared" si="4"/>
        <v>309.41628571428566</v>
      </c>
      <c r="I23" s="1707">
        <f t="shared" si="4"/>
        <v>274.29157142857139</v>
      </c>
      <c r="J23" s="1709">
        <f t="shared" si="4"/>
        <v>234.34228571428571</v>
      </c>
      <c r="K23" s="1707">
        <f t="shared" si="4"/>
        <v>294.57057142857138</v>
      </c>
      <c r="L23" s="1707">
        <f t="shared" si="4"/>
        <v>259.91114285714286</v>
      </c>
      <c r="M23" s="1709">
        <f t="shared" si="4"/>
        <v>231.10928571428573</v>
      </c>
      <c r="N23" s="1707">
        <f t="shared" si="4"/>
        <v>287.92128571428572</v>
      </c>
      <c r="O23" s="1707">
        <f t="shared" si="4"/>
        <v>262.22828571428573</v>
      </c>
      <c r="P23" s="1709">
        <f t="shared" si="4"/>
        <v>239.06257142857143</v>
      </c>
      <c r="Q23" s="1707">
        <f t="shared" si="4"/>
        <v>274.20699999999999</v>
      </c>
      <c r="R23" s="1707">
        <f t="shared" si="4"/>
        <v>249.56042857142856</v>
      </c>
      <c r="S23" s="1720">
        <f t="shared" si="4"/>
        <v>188.08628571428571</v>
      </c>
    </row>
    <row r="24" spans="1:19" ht="13.5" customHeight="1" thickBot="1">
      <c r="B24" s="1698"/>
      <c r="C24" s="1728"/>
      <c r="D24" s="1720"/>
      <c r="E24" s="1728"/>
      <c r="F24" s="1705"/>
      <c r="G24" s="1707"/>
      <c r="H24" s="1707"/>
      <c r="I24" s="1707"/>
      <c r="J24" s="1709"/>
      <c r="K24" s="1707"/>
      <c r="L24" s="1707"/>
      <c r="M24" s="1709"/>
      <c r="N24" s="1707"/>
      <c r="O24" s="1707"/>
      <c r="P24" s="1709"/>
      <c r="Q24" s="1707"/>
      <c r="R24" s="1707"/>
      <c r="S24" s="1720"/>
    </row>
    <row r="25" spans="1:19" ht="12.75" customHeight="1">
      <c r="B25" s="1729" t="s">
        <v>675</v>
      </c>
      <c r="C25" s="1729" t="s">
        <v>713</v>
      </c>
      <c r="D25" s="1729"/>
      <c r="E25" s="1731" t="s">
        <v>714</v>
      </c>
      <c r="F25" s="1727">
        <f t="shared" ref="F25:S25" si="5">0.43*MIN(0.003259*33700+1.1805*F53,F53/$E$32)+0.57*MIN(0.001376*33700+1.3466*F55,F55/$E$32)</f>
        <v>315.13528571428571</v>
      </c>
      <c r="G25" s="1713">
        <f t="shared" si="5"/>
        <v>305.11614285714285</v>
      </c>
      <c r="H25" s="1713">
        <f t="shared" si="5"/>
        <v>315.75099999999998</v>
      </c>
      <c r="I25" s="1713">
        <f t="shared" si="5"/>
        <v>279.1768571428571</v>
      </c>
      <c r="J25" s="1712">
        <f t="shared" si="5"/>
        <v>238.50471428571427</v>
      </c>
      <c r="K25" s="1713">
        <f t="shared" si="5"/>
        <v>298.839</v>
      </c>
      <c r="L25" s="1713">
        <f t="shared" si="5"/>
        <v>264.57257142857145</v>
      </c>
      <c r="M25" s="1712">
        <f t="shared" si="5"/>
        <v>234.81514285714286</v>
      </c>
      <c r="N25" s="1713">
        <f t="shared" si="5"/>
        <v>290.87728571428573</v>
      </c>
      <c r="O25" s="1713">
        <f t="shared" si="5"/>
        <v>264.86528571428573</v>
      </c>
      <c r="P25" s="1712">
        <f t="shared" si="5"/>
        <v>240.85485714285716</v>
      </c>
      <c r="Q25" s="1713">
        <f t="shared" si="5"/>
        <v>276.94200000000001</v>
      </c>
      <c r="R25" s="1713">
        <f t="shared" si="5"/>
        <v>251.73957142857142</v>
      </c>
      <c r="S25" s="1714">
        <f t="shared" si="5"/>
        <v>189.83242857142858</v>
      </c>
    </row>
    <row r="26" spans="1:19" ht="13.5" customHeight="1" thickBot="1">
      <c r="B26" s="1730"/>
      <c r="C26" s="1730"/>
      <c r="D26" s="1730"/>
      <c r="E26" s="1732"/>
      <c r="F26" s="1733"/>
      <c r="G26" s="1734"/>
      <c r="H26" s="1734"/>
      <c r="I26" s="1734"/>
      <c r="J26" s="1735"/>
      <c r="K26" s="1734"/>
      <c r="L26" s="1734"/>
      <c r="M26" s="1735"/>
      <c r="N26" s="1734"/>
      <c r="O26" s="1734"/>
      <c r="P26" s="1735"/>
      <c r="Q26" s="1734"/>
      <c r="R26" s="1734"/>
      <c r="S26" s="1736"/>
    </row>
    <row r="27" spans="1:19" s="549" customFormat="1" ht="14.4">
      <c r="B27" s="908"/>
      <c r="C27" s="908"/>
      <c r="D27" s="908"/>
      <c r="E27" s="908"/>
      <c r="F27" s="909"/>
      <c r="G27" s="909"/>
      <c r="H27" s="909"/>
      <c r="I27" s="909"/>
      <c r="J27" s="909"/>
      <c r="K27" s="909"/>
      <c r="L27" s="909"/>
      <c r="M27" s="909"/>
      <c r="N27" s="909"/>
      <c r="O27" s="909"/>
      <c r="P27" s="909"/>
      <c r="Q27" s="909"/>
      <c r="R27" s="909"/>
      <c r="S27" s="909"/>
    </row>
    <row r="28" spans="1:19" s="549" customFormat="1" ht="14.4">
      <c r="B28" s="908"/>
      <c r="C28" s="908"/>
      <c r="D28" s="908"/>
      <c r="E28" s="908"/>
      <c r="F28" s="909"/>
      <c r="G28" s="909"/>
      <c r="H28" s="909"/>
      <c r="I28" s="909"/>
      <c r="J28" s="909"/>
      <c r="K28" s="909"/>
      <c r="L28" s="909"/>
      <c r="M28" s="909"/>
      <c r="N28" s="909"/>
      <c r="O28" s="909"/>
      <c r="P28" s="909"/>
      <c r="Q28" s="909"/>
      <c r="R28" s="909"/>
      <c r="S28" s="909"/>
    </row>
    <row r="29" spans="1:19" ht="15" thickBot="1">
      <c r="A29" s="708"/>
      <c r="C29" s="709"/>
      <c r="D29" s="710"/>
      <c r="E29" s="711"/>
      <c r="F29" s="711"/>
      <c r="G29" s="711"/>
      <c r="H29" s="711"/>
      <c r="I29" s="711"/>
      <c r="J29" s="711"/>
      <c r="K29" s="711"/>
      <c r="L29" s="711"/>
      <c r="M29" s="711"/>
      <c r="N29" s="711"/>
      <c r="O29" s="711"/>
      <c r="P29" s="711"/>
      <c r="Q29" s="711"/>
      <c r="R29" s="711"/>
      <c r="S29" s="711"/>
    </row>
    <row r="30" spans="1:19" ht="18.600000000000001" thickBot="1">
      <c r="A30" s="708"/>
      <c r="B30" s="712"/>
      <c r="C30" s="712"/>
      <c r="D30" s="713"/>
      <c r="E30" s="714"/>
      <c r="F30" s="1669" t="s">
        <v>946</v>
      </c>
      <c r="G30" s="1670"/>
      <c r="H30" s="1670"/>
      <c r="I30" s="1670"/>
      <c r="J30" s="1670"/>
      <c r="K30" s="1670"/>
      <c r="L30" s="1670"/>
      <c r="M30" s="1670"/>
      <c r="N30" s="1670"/>
      <c r="O30" s="1670"/>
      <c r="P30" s="1670"/>
      <c r="Q30" s="1670"/>
      <c r="R30" s="1670"/>
      <c r="S30" s="1670"/>
    </row>
    <row r="31" spans="1:19" ht="15" thickBot="1">
      <c r="A31" s="708"/>
      <c r="B31" s="715"/>
      <c r="C31" s="715"/>
      <c r="D31" s="716" t="s">
        <v>705</v>
      </c>
      <c r="E31" s="717">
        <v>0.43</v>
      </c>
      <c r="F31" s="662" t="s">
        <v>644</v>
      </c>
      <c r="G31" s="907">
        <v>2015</v>
      </c>
      <c r="H31" s="1683" t="s">
        <v>645</v>
      </c>
      <c r="I31" s="1684"/>
      <c r="J31" s="1685"/>
      <c r="K31" s="1683" t="s">
        <v>646</v>
      </c>
      <c r="L31" s="1684"/>
      <c r="M31" s="1685"/>
      <c r="N31" s="1683" t="s">
        <v>647</v>
      </c>
      <c r="O31" s="1684"/>
      <c r="P31" s="1685"/>
      <c r="Q31" s="1683" t="s">
        <v>648</v>
      </c>
      <c r="R31" s="1684"/>
      <c r="S31" s="1684"/>
    </row>
    <row r="32" spans="1:19" ht="15" thickBot="1">
      <c r="A32" s="708"/>
      <c r="B32" s="712"/>
      <c r="C32" s="712"/>
      <c r="D32" s="718" t="s">
        <v>706</v>
      </c>
      <c r="E32" s="717">
        <v>0.7</v>
      </c>
      <c r="F32" s="666" t="s">
        <v>97</v>
      </c>
      <c r="G32" s="668" t="s">
        <v>650</v>
      </c>
      <c r="H32" s="667" t="s">
        <v>649</v>
      </c>
      <c r="I32" s="668" t="s">
        <v>650</v>
      </c>
      <c r="J32" s="669" t="s">
        <v>651</v>
      </c>
      <c r="K32" s="667" t="s">
        <v>649</v>
      </c>
      <c r="L32" s="668" t="s">
        <v>650</v>
      </c>
      <c r="M32" s="669" t="s">
        <v>651</v>
      </c>
      <c r="N32" s="667" t="s">
        <v>649</v>
      </c>
      <c r="O32" s="668" t="s">
        <v>650</v>
      </c>
      <c r="P32" s="669" t="s">
        <v>651</v>
      </c>
      <c r="Q32" s="667" t="s">
        <v>649</v>
      </c>
      <c r="R32" s="668" t="s">
        <v>650</v>
      </c>
      <c r="S32" s="669" t="s">
        <v>651</v>
      </c>
    </row>
    <row r="33" spans="1:19" ht="15" thickBot="1">
      <c r="A33" s="708"/>
      <c r="B33" s="1697" t="s">
        <v>670</v>
      </c>
      <c r="C33" s="1700" t="s">
        <v>707</v>
      </c>
      <c r="D33" s="719" t="s">
        <v>708</v>
      </c>
      <c r="E33" s="720" t="s">
        <v>709</v>
      </c>
      <c r="F33" s="721">
        <v>185.94</v>
      </c>
      <c r="G33" s="723">
        <v>179.52</v>
      </c>
      <c r="H33" s="722">
        <v>182.53</v>
      </c>
      <c r="I33" s="723">
        <v>164.24</v>
      </c>
      <c r="J33" s="724">
        <v>143.12</v>
      </c>
      <c r="K33" s="722">
        <v>176.52</v>
      </c>
      <c r="L33" s="723">
        <v>157.19999999999999</v>
      </c>
      <c r="M33" s="724">
        <v>141.12</v>
      </c>
      <c r="N33" s="722">
        <v>169.43</v>
      </c>
      <c r="O33" s="723">
        <v>154.81</v>
      </c>
      <c r="P33" s="724">
        <v>139.24</v>
      </c>
      <c r="Q33" s="725">
        <v>162.63999999999999</v>
      </c>
      <c r="R33" s="723">
        <v>147.30000000000001</v>
      </c>
      <c r="S33" s="724">
        <v>118.04</v>
      </c>
    </row>
    <row r="34" spans="1:19" ht="15" thickBot="1">
      <c r="A34" s="708"/>
      <c r="B34" s="1698"/>
      <c r="C34" s="1701"/>
      <c r="D34" s="726" t="s">
        <v>710</v>
      </c>
      <c r="E34" s="727" t="s">
        <v>711</v>
      </c>
      <c r="F34" s="728">
        <v>111.76</v>
      </c>
      <c r="G34" s="730">
        <v>112.47</v>
      </c>
      <c r="H34" s="729">
        <v>117.02</v>
      </c>
      <c r="I34" s="730">
        <v>117.73</v>
      </c>
      <c r="J34" s="731">
        <v>116.42</v>
      </c>
      <c r="K34" s="729">
        <v>118.32</v>
      </c>
      <c r="L34" s="730">
        <v>119.13</v>
      </c>
      <c r="M34" s="731">
        <v>119.15</v>
      </c>
      <c r="N34" s="729">
        <v>112.94</v>
      </c>
      <c r="O34" s="730">
        <v>113.22</v>
      </c>
      <c r="P34" s="731">
        <v>118.4</v>
      </c>
      <c r="Q34" s="732">
        <v>113.12</v>
      </c>
      <c r="R34" s="730">
        <v>114.5</v>
      </c>
      <c r="S34" s="731">
        <v>105.45</v>
      </c>
    </row>
    <row r="35" spans="1:19" ht="15" thickBot="1">
      <c r="A35" s="708"/>
      <c r="B35" s="1698"/>
      <c r="C35" s="1700" t="s">
        <v>712</v>
      </c>
      <c r="D35" s="726" t="s">
        <v>708</v>
      </c>
      <c r="E35" s="727" t="s">
        <v>709</v>
      </c>
      <c r="F35" s="728">
        <v>203.42</v>
      </c>
      <c r="G35" s="730">
        <v>198.77</v>
      </c>
      <c r="H35" s="729">
        <v>208.05</v>
      </c>
      <c r="I35" s="730">
        <v>188.14</v>
      </c>
      <c r="J35" s="731">
        <v>162.16</v>
      </c>
      <c r="K35" s="729">
        <v>203.54</v>
      </c>
      <c r="L35" s="730">
        <v>182.32</v>
      </c>
      <c r="M35" s="731">
        <v>163.52000000000001</v>
      </c>
      <c r="N35" s="729">
        <v>187.05</v>
      </c>
      <c r="O35" s="730">
        <v>172.63</v>
      </c>
      <c r="P35" s="731">
        <v>160.04</v>
      </c>
      <c r="Q35" s="732">
        <v>180.38</v>
      </c>
      <c r="R35" s="730">
        <v>165.86</v>
      </c>
      <c r="S35" s="731">
        <v>120.33</v>
      </c>
    </row>
    <row r="36" spans="1:19" ht="15" thickBot="1">
      <c r="A36" s="708"/>
      <c r="B36" s="1699"/>
      <c r="C36" s="1701"/>
      <c r="D36" s="726" t="s">
        <v>710</v>
      </c>
      <c r="E36" s="727" t="s">
        <v>711</v>
      </c>
      <c r="F36" s="728">
        <v>102.16</v>
      </c>
      <c r="G36" s="734">
        <v>101.58</v>
      </c>
      <c r="H36" s="733">
        <v>102.66</v>
      </c>
      <c r="I36" s="734">
        <v>102.77</v>
      </c>
      <c r="J36" s="735">
        <v>102.76</v>
      </c>
      <c r="K36" s="733">
        <v>102.61</v>
      </c>
      <c r="L36" s="734">
        <v>102.72</v>
      </c>
      <c r="M36" s="735">
        <v>102.82</v>
      </c>
      <c r="N36" s="733">
        <v>102.3</v>
      </c>
      <c r="O36" s="734">
        <v>101.54</v>
      </c>
      <c r="P36" s="735">
        <v>103.02</v>
      </c>
      <c r="Q36" s="736">
        <v>101.99</v>
      </c>
      <c r="R36" s="734">
        <v>101.69</v>
      </c>
      <c r="S36" s="735">
        <v>103.44</v>
      </c>
    </row>
    <row r="37" spans="1:19" ht="15" thickBot="1">
      <c r="A37" s="737"/>
      <c r="B37" s="1715" t="s">
        <v>671</v>
      </c>
      <c r="C37" s="1718" t="s">
        <v>707</v>
      </c>
      <c r="D37" s="738" t="s">
        <v>708</v>
      </c>
      <c r="E37" s="739" t="s">
        <v>709</v>
      </c>
      <c r="F37" s="740">
        <v>190.31</v>
      </c>
      <c r="G37" s="742">
        <v>185.82</v>
      </c>
      <c r="H37" s="741">
        <v>188.26</v>
      </c>
      <c r="I37" s="742">
        <v>169.5</v>
      </c>
      <c r="J37" s="743">
        <v>148.29</v>
      </c>
      <c r="K37" s="741">
        <v>181.63</v>
      </c>
      <c r="L37" s="742">
        <v>162.38999999999999</v>
      </c>
      <c r="M37" s="743">
        <v>145.9</v>
      </c>
      <c r="N37" s="741">
        <v>174.22</v>
      </c>
      <c r="O37" s="742">
        <v>159.21</v>
      </c>
      <c r="P37" s="743">
        <v>143.49</v>
      </c>
      <c r="Q37" s="744">
        <v>167.16</v>
      </c>
      <c r="R37" s="742">
        <v>151.32</v>
      </c>
      <c r="S37" s="743">
        <v>121.5</v>
      </c>
    </row>
    <row r="38" spans="1:19" ht="15" thickBot="1">
      <c r="A38" s="737"/>
      <c r="B38" s="1716"/>
      <c r="C38" s="1719"/>
      <c r="D38" s="745" t="s">
        <v>710</v>
      </c>
      <c r="E38" s="746" t="s">
        <v>711</v>
      </c>
      <c r="F38" s="747">
        <v>108.2</v>
      </c>
      <c r="G38" s="749">
        <v>109.08</v>
      </c>
      <c r="H38" s="748">
        <v>112.6</v>
      </c>
      <c r="I38" s="749">
        <v>112.77</v>
      </c>
      <c r="J38" s="750">
        <v>111.33</v>
      </c>
      <c r="K38" s="748">
        <v>113.8</v>
      </c>
      <c r="L38" s="749">
        <v>115.29</v>
      </c>
      <c r="M38" s="750">
        <v>114.38</v>
      </c>
      <c r="N38" s="748">
        <v>109.64</v>
      </c>
      <c r="O38" s="749">
        <v>110.81</v>
      </c>
      <c r="P38" s="750">
        <v>113.64</v>
      </c>
      <c r="Q38" s="751">
        <v>110.44</v>
      </c>
      <c r="R38" s="749">
        <v>112.21</v>
      </c>
      <c r="S38" s="750">
        <v>102.84</v>
      </c>
    </row>
    <row r="39" spans="1:19" ht="15" thickBot="1">
      <c r="A39" s="737"/>
      <c r="B39" s="1716"/>
      <c r="C39" s="1718" t="s">
        <v>712</v>
      </c>
      <c r="D39" s="745" t="s">
        <v>708</v>
      </c>
      <c r="E39" s="746" t="s">
        <v>709</v>
      </c>
      <c r="F39" s="747">
        <v>203.1</v>
      </c>
      <c r="G39" s="749">
        <v>199.7</v>
      </c>
      <c r="H39" s="748">
        <v>209.09</v>
      </c>
      <c r="I39" s="749">
        <v>188.71</v>
      </c>
      <c r="J39" s="750">
        <v>162.52000000000001</v>
      </c>
      <c r="K39" s="748">
        <v>204.11</v>
      </c>
      <c r="L39" s="749">
        <v>183.11</v>
      </c>
      <c r="M39" s="750">
        <v>164.11</v>
      </c>
      <c r="N39" s="748">
        <v>187.56</v>
      </c>
      <c r="O39" s="749">
        <v>173.06</v>
      </c>
      <c r="P39" s="750">
        <v>160.49</v>
      </c>
      <c r="Q39" s="751">
        <v>180.86</v>
      </c>
      <c r="R39" s="749">
        <v>166.27</v>
      </c>
      <c r="S39" s="750">
        <v>120.15</v>
      </c>
    </row>
    <row r="40" spans="1:19" ht="15" thickBot="1">
      <c r="A40" s="737"/>
      <c r="B40" s="1717"/>
      <c r="C40" s="1719"/>
      <c r="D40" s="745" t="s">
        <v>710</v>
      </c>
      <c r="E40" s="746" t="s">
        <v>711</v>
      </c>
      <c r="F40" s="747">
        <v>101.39</v>
      </c>
      <c r="G40" s="753">
        <v>101.49</v>
      </c>
      <c r="H40" s="752">
        <v>101.38</v>
      </c>
      <c r="I40" s="753">
        <v>101.29</v>
      </c>
      <c r="J40" s="754">
        <v>101.59</v>
      </c>
      <c r="K40" s="752">
        <v>101.26</v>
      </c>
      <c r="L40" s="753">
        <v>102.25</v>
      </c>
      <c r="M40" s="754">
        <v>101.68</v>
      </c>
      <c r="N40" s="752">
        <v>101.84</v>
      </c>
      <c r="O40" s="753">
        <v>101.94</v>
      </c>
      <c r="P40" s="754">
        <v>101.6</v>
      </c>
      <c r="Q40" s="755">
        <v>102.07</v>
      </c>
      <c r="R40" s="753">
        <v>102.12</v>
      </c>
      <c r="S40" s="754">
        <v>104</v>
      </c>
    </row>
    <row r="41" spans="1:19" ht="15" thickBot="1">
      <c r="A41" s="708"/>
      <c r="B41" s="1697" t="s">
        <v>672</v>
      </c>
      <c r="C41" s="1700" t="s">
        <v>707</v>
      </c>
      <c r="D41" s="719" t="s">
        <v>708</v>
      </c>
      <c r="E41" s="720" t="s">
        <v>709</v>
      </c>
      <c r="F41" s="721">
        <v>198.12</v>
      </c>
      <c r="G41" s="723">
        <v>189.84</v>
      </c>
      <c r="H41" s="722">
        <v>193.21</v>
      </c>
      <c r="I41" s="723">
        <v>172.13</v>
      </c>
      <c r="J41" s="724">
        <v>148.57</v>
      </c>
      <c r="K41" s="722">
        <v>184.32</v>
      </c>
      <c r="L41" s="723">
        <v>162.87</v>
      </c>
      <c r="M41" s="724">
        <v>145.29</v>
      </c>
      <c r="N41" s="722">
        <v>173.39</v>
      </c>
      <c r="O41" s="723">
        <v>157.30000000000001</v>
      </c>
      <c r="P41" s="724">
        <v>140.65</v>
      </c>
      <c r="Q41" s="725">
        <v>165.33</v>
      </c>
      <c r="R41" s="723">
        <v>149.19</v>
      </c>
      <c r="S41" s="724">
        <v>118.55</v>
      </c>
    </row>
    <row r="42" spans="1:19" ht="15" thickBot="1">
      <c r="A42" s="708"/>
      <c r="B42" s="1698"/>
      <c r="C42" s="1701"/>
      <c r="D42" s="726" t="s">
        <v>710</v>
      </c>
      <c r="E42" s="727" t="s">
        <v>711</v>
      </c>
      <c r="F42" s="728">
        <v>216.36</v>
      </c>
      <c r="G42" s="730">
        <v>219.29</v>
      </c>
      <c r="H42" s="729">
        <v>224.76</v>
      </c>
      <c r="I42" s="730">
        <v>229.37</v>
      </c>
      <c r="J42" s="731">
        <v>225</v>
      </c>
      <c r="K42" s="729">
        <v>231.25</v>
      </c>
      <c r="L42" s="730">
        <v>234.87</v>
      </c>
      <c r="M42" s="731">
        <v>233.97</v>
      </c>
      <c r="N42" s="729">
        <v>224.52</v>
      </c>
      <c r="O42" s="730">
        <v>227.23</v>
      </c>
      <c r="P42" s="731">
        <v>236.66</v>
      </c>
      <c r="Q42" s="732">
        <v>226.15</v>
      </c>
      <c r="R42" s="730">
        <v>229.18</v>
      </c>
      <c r="S42" s="731">
        <v>212.42</v>
      </c>
    </row>
    <row r="43" spans="1:19" ht="15" thickBot="1">
      <c r="A43" s="708"/>
      <c r="B43" s="1698"/>
      <c r="C43" s="1700" t="s">
        <v>712</v>
      </c>
      <c r="D43" s="726" t="s">
        <v>708</v>
      </c>
      <c r="E43" s="727" t="s">
        <v>709</v>
      </c>
      <c r="F43" s="728">
        <v>212.16</v>
      </c>
      <c r="G43" s="730">
        <v>206.24</v>
      </c>
      <c r="H43" s="729">
        <v>216.23</v>
      </c>
      <c r="I43" s="730">
        <v>194.26</v>
      </c>
      <c r="J43" s="731">
        <v>166.23</v>
      </c>
      <c r="K43" s="729">
        <v>209.85</v>
      </c>
      <c r="L43" s="730">
        <v>186.98</v>
      </c>
      <c r="M43" s="731">
        <v>167</v>
      </c>
      <c r="N43" s="729">
        <v>196.22</v>
      </c>
      <c r="O43" s="730">
        <v>180.44</v>
      </c>
      <c r="P43" s="731">
        <v>166.97</v>
      </c>
      <c r="Q43" s="732">
        <v>188.47</v>
      </c>
      <c r="R43" s="730">
        <v>172.96</v>
      </c>
      <c r="S43" s="731">
        <v>125.29</v>
      </c>
    </row>
    <row r="44" spans="1:19" ht="15" thickBot="1">
      <c r="A44" s="708"/>
      <c r="B44" s="1699"/>
      <c r="C44" s="1701"/>
      <c r="D44" s="726" t="s">
        <v>710</v>
      </c>
      <c r="E44" s="727" t="s">
        <v>711</v>
      </c>
      <c r="F44" s="728">
        <v>202.03</v>
      </c>
      <c r="G44" s="734">
        <v>201.85</v>
      </c>
      <c r="H44" s="733">
        <v>200.84</v>
      </c>
      <c r="I44" s="734">
        <v>203.24</v>
      </c>
      <c r="J44" s="735">
        <v>201.1</v>
      </c>
      <c r="K44" s="733">
        <v>203.11</v>
      </c>
      <c r="L44" s="734">
        <v>204.58</v>
      </c>
      <c r="M44" s="735">
        <v>203.55</v>
      </c>
      <c r="N44" s="733">
        <v>198.4</v>
      </c>
      <c r="O44" s="734">
        <v>198.08</v>
      </c>
      <c r="P44" s="735">
        <v>199.36</v>
      </c>
      <c r="Q44" s="736">
        <v>198.38</v>
      </c>
      <c r="R44" s="734">
        <v>197.69</v>
      </c>
      <c r="S44" s="735">
        <v>200.99</v>
      </c>
    </row>
    <row r="45" spans="1:19" ht="15" thickBot="1">
      <c r="A45" s="737"/>
      <c r="B45" s="1715" t="s">
        <v>673</v>
      </c>
      <c r="C45" s="1718" t="s">
        <v>707</v>
      </c>
      <c r="D45" s="738" t="s">
        <v>708</v>
      </c>
      <c r="E45" s="739" t="s">
        <v>709</v>
      </c>
      <c r="F45" s="740">
        <v>203.18</v>
      </c>
      <c r="G45" s="742">
        <v>197.12</v>
      </c>
      <c r="H45" s="741">
        <v>199.83</v>
      </c>
      <c r="I45" s="742">
        <v>177.8</v>
      </c>
      <c r="J45" s="743">
        <v>154.19</v>
      </c>
      <c r="K45" s="741">
        <v>189.81</v>
      </c>
      <c r="L45" s="742">
        <v>168.34</v>
      </c>
      <c r="M45" s="743">
        <v>150.30000000000001</v>
      </c>
      <c r="N45" s="741">
        <v>178.86</v>
      </c>
      <c r="O45" s="742">
        <v>162.35</v>
      </c>
      <c r="P45" s="743">
        <v>145.33000000000001</v>
      </c>
      <c r="Q45" s="744">
        <v>170.53</v>
      </c>
      <c r="R45" s="742">
        <v>153.79</v>
      </c>
      <c r="S45" s="743">
        <v>122.29</v>
      </c>
    </row>
    <row r="46" spans="1:19" ht="15" thickBot="1">
      <c r="A46" s="737"/>
      <c r="B46" s="1716"/>
      <c r="C46" s="1719"/>
      <c r="D46" s="745" t="s">
        <v>710</v>
      </c>
      <c r="E46" s="746" t="s">
        <v>711</v>
      </c>
      <c r="F46" s="747">
        <v>210.93</v>
      </c>
      <c r="G46" s="749">
        <v>212.77</v>
      </c>
      <c r="H46" s="748">
        <v>218.72</v>
      </c>
      <c r="I46" s="749">
        <v>220.47</v>
      </c>
      <c r="J46" s="750">
        <v>218.31</v>
      </c>
      <c r="K46" s="748">
        <v>222.86</v>
      </c>
      <c r="L46" s="749">
        <v>227.29</v>
      </c>
      <c r="M46" s="750">
        <v>224.3</v>
      </c>
      <c r="N46" s="748">
        <v>218.99</v>
      </c>
      <c r="O46" s="749">
        <v>220.95</v>
      </c>
      <c r="P46" s="750">
        <v>227.61</v>
      </c>
      <c r="Q46" s="751">
        <v>220.43</v>
      </c>
      <c r="R46" s="749">
        <v>223.73</v>
      </c>
      <c r="S46" s="750">
        <v>204.59</v>
      </c>
    </row>
    <row r="47" spans="1:19" ht="15" thickBot="1">
      <c r="A47" s="737"/>
      <c r="B47" s="1716"/>
      <c r="C47" s="1718" t="s">
        <v>712</v>
      </c>
      <c r="D47" s="745" t="s">
        <v>708</v>
      </c>
      <c r="E47" s="746" t="s">
        <v>709</v>
      </c>
      <c r="F47" s="747">
        <v>212.03</v>
      </c>
      <c r="G47" s="749">
        <v>207.62</v>
      </c>
      <c r="H47" s="748">
        <v>217.54</v>
      </c>
      <c r="I47" s="749">
        <v>194.83</v>
      </c>
      <c r="J47" s="750">
        <v>166.75</v>
      </c>
      <c r="K47" s="748">
        <v>210.35</v>
      </c>
      <c r="L47" s="749">
        <v>187.77</v>
      </c>
      <c r="M47" s="750">
        <v>167.5</v>
      </c>
      <c r="N47" s="748">
        <v>196.58</v>
      </c>
      <c r="O47" s="749">
        <v>180.69</v>
      </c>
      <c r="P47" s="750">
        <v>167</v>
      </c>
      <c r="Q47" s="751">
        <v>188.8</v>
      </c>
      <c r="R47" s="749">
        <v>173.17</v>
      </c>
      <c r="S47" s="750">
        <v>124.84</v>
      </c>
    </row>
    <row r="48" spans="1:19" ht="15" thickBot="1">
      <c r="A48" s="737"/>
      <c r="B48" s="1717"/>
      <c r="C48" s="1719"/>
      <c r="D48" s="745" t="s">
        <v>710</v>
      </c>
      <c r="E48" s="746" t="s">
        <v>711</v>
      </c>
      <c r="F48" s="747">
        <v>202.12</v>
      </c>
      <c r="G48" s="757">
        <v>202.02</v>
      </c>
      <c r="H48" s="756">
        <v>200.9</v>
      </c>
      <c r="I48" s="757">
        <v>201.19</v>
      </c>
      <c r="J48" s="758">
        <v>201.86</v>
      </c>
      <c r="K48" s="756">
        <v>201.09</v>
      </c>
      <c r="L48" s="757">
        <v>203.76</v>
      </c>
      <c r="M48" s="758">
        <v>201.27</v>
      </c>
      <c r="N48" s="756">
        <v>199.24</v>
      </c>
      <c r="O48" s="757">
        <v>198.53</v>
      </c>
      <c r="P48" s="758">
        <v>198.08</v>
      </c>
      <c r="Q48" s="759">
        <v>199.1</v>
      </c>
      <c r="R48" s="757">
        <v>198.7</v>
      </c>
      <c r="S48" s="758">
        <v>200.41</v>
      </c>
    </row>
    <row r="49" spans="1:19" ht="15" thickBot="1">
      <c r="A49" s="708"/>
      <c r="B49" s="1697" t="s">
        <v>674</v>
      </c>
      <c r="C49" s="1700" t="s">
        <v>707</v>
      </c>
      <c r="D49" s="719" t="s">
        <v>708</v>
      </c>
      <c r="E49" s="720" t="s">
        <v>709</v>
      </c>
      <c r="F49" s="721">
        <v>210.11</v>
      </c>
      <c r="G49" s="723">
        <v>199.62</v>
      </c>
      <c r="H49" s="722">
        <v>203.47</v>
      </c>
      <c r="I49" s="723">
        <v>178.82</v>
      </c>
      <c r="J49" s="724">
        <v>153.05000000000001</v>
      </c>
      <c r="K49" s="722">
        <v>191.14</v>
      </c>
      <c r="L49" s="723">
        <v>167.38</v>
      </c>
      <c r="M49" s="724">
        <v>148.41</v>
      </c>
      <c r="N49" s="722">
        <v>197.23</v>
      </c>
      <c r="O49" s="723">
        <v>178.35</v>
      </c>
      <c r="P49" s="724">
        <v>160.31</v>
      </c>
      <c r="Q49" s="725">
        <v>187.06</v>
      </c>
      <c r="R49" s="723">
        <v>168.77</v>
      </c>
      <c r="S49" s="724">
        <v>131.82</v>
      </c>
    </row>
    <row r="50" spans="1:19" ht="15" thickBot="1">
      <c r="A50" s="708"/>
      <c r="B50" s="1698"/>
      <c r="C50" s="1701"/>
      <c r="D50" s="726" t="s">
        <v>710</v>
      </c>
      <c r="E50" s="727" t="s">
        <v>711</v>
      </c>
      <c r="F50" s="728">
        <v>320.02</v>
      </c>
      <c r="G50" s="730">
        <v>324.12</v>
      </c>
      <c r="H50" s="729">
        <v>331.52</v>
      </c>
      <c r="I50" s="730">
        <v>335</v>
      </c>
      <c r="J50" s="731">
        <v>334.82</v>
      </c>
      <c r="K50" s="729">
        <v>342.9</v>
      </c>
      <c r="L50" s="730">
        <v>347.38</v>
      </c>
      <c r="M50" s="731">
        <v>348.71</v>
      </c>
      <c r="N50" s="729">
        <v>302.67</v>
      </c>
      <c r="O50" s="730">
        <v>305.72000000000003</v>
      </c>
      <c r="P50" s="731">
        <v>315.49</v>
      </c>
      <c r="Q50" s="732">
        <v>304.89999999999998</v>
      </c>
      <c r="R50" s="730">
        <v>307.81</v>
      </c>
      <c r="S50" s="731">
        <v>289.87</v>
      </c>
    </row>
    <row r="51" spans="1:19" ht="15" thickBot="1">
      <c r="A51" s="708"/>
      <c r="B51" s="1698"/>
      <c r="C51" s="1700" t="s">
        <v>712</v>
      </c>
      <c r="D51" s="726" t="s">
        <v>708</v>
      </c>
      <c r="E51" s="727" t="s">
        <v>709</v>
      </c>
      <c r="F51" s="728">
        <v>223.66</v>
      </c>
      <c r="G51" s="730">
        <v>216.39</v>
      </c>
      <c r="H51" s="729">
        <v>226.49</v>
      </c>
      <c r="I51" s="730">
        <v>201.95</v>
      </c>
      <c r="J51" s="731">
        <v>172.33</v>
      </c>
      <c r="K51" s="729">
        <v>217.56</v>
      </c>
      <c r="L51" s="730">
        <v>192.92</v>
      </c>
      <c r="M51" s="731">
        <v>171.86</v>
      </c>
      <c r="N51" s="729">
        <v>204.8</v>
      </c>
      <c r="O51" s="730">
        <v>187.49</v>
      </c>
      <c r="P51" s="731">
        <v>172.65</v>
      </c>
      <c r="Q51" s="732">
        <v>195.63</v>
      </c>
      <c r="R51" s="730">
        <v>179.16</v>
      </c>
      <c r="S51" s="731">
        <v>131.54</v>
      </c>
    </row>
    <row r="52" spans="1:19" ht="15" thickBot="1">
      <c r="A52" s="708"/>
      <c r="B52" s="1699"/>
      <c r="C52" s="1701"/>
      <c r="D52" s="726" t="s">
        <v>710</v>
      </c>
      <c r="E52" s="727" t="s">
        <v>711</v>
      </c>
      <c r="F52" s="728">
        <v>300.64</v>
      </c>
      <c r="G52" s="734">
        <v>299.01</v>
      </c>
      <c r="H52" s="733">
        <v>297.82</v>
      </c>
      <c r="I52" s="734">
        <v>296.64</v>
      </c>
      <c r="J52" s="735">
        <v>297.36</v>
      </c>
      <c r="K52" s="733">
        <v>301.26</v>
      </c>
      <c r="L52" s="734">
        <v>301.39</v>
      </c>
      <c r="M52" s="735">
        <v>301.14</v>
      </c>
      <c r="N52" s="733">
        <v>291.49</v>
      </c>
      <c r="O52" s="734">
        <v>290.82</v>
      </c>
      <c r="P52" s="735">
        <v>292.94</v>
      </c>
      <c r="Q52" s="736">
        <v>291.55</v>
      </c>
      <c r="R52" s="734">
        <v>289.95</v>
      </c>
      <c r="S52" s="735">
        <v>290.47000000000003</v>
      </c>
    </row>
    <row r="53" spans="1:19" ht="15" thickBot="1">
      <c r="A53" s="737"/>
      <c r="B53" s="1715" t="s">
        <v>675</v>
      </c>
      <c r="C53" s="1718" t="s">
        <v>707</v>
      </c>
      <c r="D53" s="738" t="s">
        <v>708</v>
      </c>
      <c r="E53" s="739" t="s">
        <v>709</v>
      </c>
      <c r="F53" s="740">
        <v>216.2</v>
      </c>
      <c r="G53" s="742">
        <v>207.83</v>
      </c>
      <c r="H53" s="741">
        <v>211.33</v>
      </c>
      <c r="I53" s="742">
        <v>185.54</v>
      </c>
      <c r="J53" s="743">
        <v>159.15</v>
      </c>
      <c r="K53" s="741">
        <v>197.28</v>
      </c>
      <c r="L53" s="742">
        <v>173.55</v>
      </c>
      <c r="M53" s="743">
        <v>153.78</v>
      </c>
      <c r="N53" s="741">
        <v>201.83</v>
      </c>
      <c r="O53" s="742">
        <v>182.55</v>
      </c>
      <c r="P53" s="743">
        <v>163.4</v>
      </c>
      <c r="Q53" s="744">
        <v>191.34</v>
      </c>
      <c r="R53" s="742">
        <v>172.45</v>
      </c>
      <c r="S53" s="743">
        <v>135.66999999999999</v>
      </c>
    </row>
    <row r="54" spans="1:19" ht="15" thickBot="1">
      <c r="A54" s="737"/>
      <c r="B54" s="1716"/>
      <c r="C54" s="1719"/>
      <c r="D54" s="745" t="s">
        <v>710</v>
      </c>
      <c r="E54" s="746" t="s">
        <v>711</v>
      </c>
      <c r="F54" s="747">
        <v>310.52</v>
      </c>
      <c r="G54" s="749">
        <v>314.07</v>
      </c>
      <c r="H54" s="748">
        <v>322.54000000000002</v>
      </c>
      <c r="I54" s="749">
        <v>325.99</v>
      </c>
      <c r="J54" s="750">
        <v>325.2</v>
      </c>
      <c r="K54" s="748">
        <v>329.35</v>
      </c>
      <c r="L54" s="749">
        <v>340.68</v>
      </c>
      <c r="M54" s="750">
        <v>334.13</v>
      </c>
      <c r="N54" s="748">
        <v>298.12</v>
      </c>
      <c r="O54" s="749">
        <v>301.04000000000002</v>
      </c>
      <c r="P54" s="750">
        <v>307.38</v>
      </c>
      <c r="Q54" s="751">
        <v>300.38</v>
      </c>
      <c r="R54" s="749">
        <v>303.66000000000003</v>
      </c>
      <c r="S54" s="750">
        <v>284.99</v>
      </c>
    </row>
    <row r="55" spans="1:19" ht="15" thickBot="1">
      <c r="A55" s="737"/>
      <c r="B55" s="1716"/>
      <c r="C55" s="1718" t="s">
        <v>712</v>
      </c>
      <c r="D55" s="745" t="s">
        <v>708</v>
      </c>
      <c r="E55" s="746" t="s">
        <v>709</v>
      </c>
      <c r="F55" s="747">
        <v>223.91</v>
      </c>
      <c r="G55" s="749">
        <v>217.92</v>
      </c>
      <c r="H55" s="748">
        <v>228.34</v>
      </c>
      <c r="I55" s="749">
        <v>202.88</v>
      </c>
      <c r="J55" s="750">
        <v>172.84</v>
      </c>
      <c r="K55" s="748">
        <v>218.17</v>
      </c>
      <c r="L55" s="749">
        <v>193.99</v>
      </c>
      <c r="M55" s="750">
        <v>172.36</v>
      </c>
      <c r="N55" s="748">
        <v>204.96</v>
      </c>
      <c r="O55" s="749">
        <v>187.56</v>
      </c>
      <c r="P55" s="750">
        <v>172.52</v>
      </c>
      <c r="Q55" s="751">
        <v>195.76</v>
      </c>
      <c r="R55" s="749">
        <v>179.06</v>
      </c>
      <c r="S55" s="750">
        <v>130.78</v>
      </c>
    </row>
    <row r="56" spans="1:19" ht="15" thickBot="1">
      <c r="A56" s="737"/>
      <c r="B56" s="1717"/>
      <c r="C56" s="1719"/>
      <c r="D56" s="745" t="s">
        <v>710</v>
      </c>
      <c r="E56" s="746" t="s">
        <v>711</v>
      </c>
      <c r="F56" s="747">
        <v>299.83999999999997</v>
      </c>
      <c r="G56" s="757">
        <v>299.52</v>
      </c>
      <c r="H56" s="756">
        <v>298.52</v>
      </c>
      <c r="I56" s="757">
        <v>298.13</v>
      </c>
      <c r="J56" s="758">
        <v>299.45</v>
      </c>
      <c r="K56" s="756">
        <v>297.81</v>
      </c>
      <c r="L56" s="757">
        <v>304.79000000000002</v>
      </c>
      <c r="M56" s="758">
        <v>298.11</v>
      </c>
      <c r="N56" s="756">
        <v>293.56</v>
      </c>
      <c r="O56" s="757">
        <v>292.99</v>
      </c>
      <c r="P56" s="758">
        <v>291.12</v>
      </c>
      <c r="Q56" s="759">
        <v>293.61</v>
      </c>
      <c r="R56" s="757">
        <v>292.45</v>
      </c>
      <c r="S56" s="758">
        <v>295.66000000000003</v>
      </c>
    </row>
  </sheetData>
  <mergeCells count="126">
    <mergeCell ref="K23:K24"/>
    <mergeCell ref="L23:L24"/>
    <mergeCell ref="P25:P26"/>
    <mergeCell ref="Q25:Q26"/>
    <mergeCell ref="R25:R26"/>
    <mergeCell ref="S25:S26"/>
    <mergeCell ref="J25:J26"/>
    <mergeCell ref="K25:K26"/>
    <mergeCell ref="L25:L26"/>
    <mergeCell ref="M25:M26"/>
    <mergeCell ref="N25:N26"/>
    <mergeCell ref="O25:O26"/>
    <mergeCell ref="B25:B26"/>
    <mergeCell ref="C25:D26"/>
    <mergeCell ref="E25:E26"/>
    <mergeCell ref="F25:F26"/>
    <mergeCell ref="G25:G26"/>
    <mergeCell ref="H25:H26"/>
    <mergeCell ref="I25:I26"/>
    <mergeCell ref="H23:H24"/>
    <mergeCell ref="I23:I24"/>
    <mergeCell ref="K19:K20"/>
    <mergeCell ref="P21:P22"/>
    <mergeCell ref="Q21:Q22"/>
    <mergeCell ref="R21:R22"/>
    <mergeCell ref="S21:S22"/>
    <mergeCell ref="B23:B24"/>
    <mergeCell ref="C23:D24"/>
    <mergeCell ref="E23:E24"/>
    <mergeCell ref="F23:F24"/>
    <mergeCell ref="G23:G24"/>
    <mergeCell ref="J21:J22"/>
    <mergeCell ref="K21:K22"/>
    <mergeCell ref="L21:L22"/>
    <mergeCell ref="M21:M22"/>
    <mergeCell ref="N21:N22"/>
    <mergeCell ref="O21:O22"/>
    <mergeCell ref="S23:S24"/>
    <mergeCell ref="M23:M24"/>
    <mergeCell ref="N23:N24"/>
    <mergeCell ref="O23:O24"/>
    <mergeCell ref="P23:P24"/>
    <mergeCell ref="Q23:Q24"/>
    <mergeCell ref="R23:R24"/>
    <mergeCell ref="J23:J24"/>
    <mergeCell ref="J17:J18"/>
    <mergeCell ref="K17:K18"/>
    <mergeCell ref="L17:L18"/>
    <mergeCell ref="L19:L20"/>
    <mergeCell ref="M17:M18"/>
    <mergeCell ref="N17:N18"/>
    <mergeCell ref="O17:O18"/>
    <mergeCell ref="S19:S20"/>
    <mergeCell ref="B21:B22"/>
    <mergeCell ref="C21:D22"/>
    <mergeCell ref="E21:E22"/>
    <mergeCell ref="F21:F22"/>
    <mergeCell ref="G21:G22"/>
    <mergeCell ref="H21:H22"/>
    <mergeCell ref="I21:I22"/>
    <mergeCell ref="M19:M20"/>
    <mergeCell ref="N19:N20"/>
    <mergeCell ref="O19:O20"/>
    <mergeCell ref="P19:P20"/>
    <mergeCell ref="Q19:Q20"/>
    <mergeCell ref="R19:R20"/>
    <mergeCell ref="H19:H20"/>
    <mergeCell ref="I19:I20"/>
    <mergeCell ref="J19:J20"/>
    <mergeCell ref="B49:B52"/>
    <mergeCell ref="C49:C50"/>
    <mergeCell ref="C51:C52"/>
    <mergeCell ref="B53:B56"/>
    <mergeCell ref="C53:C54"/>
    <mergeCell ref="C55:C56"/>
    <mergeCell ref="S15:S16"/>
    <mergeCell ref="B17:B18"/>
    <mergeCell ref="C17:D18"/>
    <mergeCell ref="E17:E18"/>
    <mergeCell ref="F17:F18"/>
    <mergeCell ref="G17:G18"/>
    <mergeCell ref="H17:H18"/>
    <mergeCell ref="I17:I18"/>
    <mergeCell ref="M15:M16"/>
    <mergeCell ref="N15:N16"/>
    <mergeCell ref="O15:O16"/>
    <mergeCell ref="P15:P16"/>
    <mergeCell ref="Q15:Q16"/>
    <mergeCell ref="R15:R16"/>
    <mergeCell ref="H15:H16"/>
    <mergeCell ref="B19:B20"/>
    <mergeCell ref="C19:D20"/>
    <mergeCell ref="E19:E20"/>
    <mergeCell ref="B45:B48"/>
    <mergeCell ref="C45:C46"/>
    <mergeCell ref="C47:C48"/>
    <mergeCell ref="B33:B36"/>
    <mergeCell ref="C33:C34"/>
    <mergeCell ref="C35:C36"/>
    <mergeCell ref="B37:B40"/>
    <mergeCell ref="C37:C38"/>
    <mergeCell ref="C39:C40"/>
    <mergeCell ref="F30:S30"/>
    <mergeCell ref="H31:J31"/>
    <mergeCell ref="K31:M31"/>
    <mergeCell ref="N31:P31"/>
    <mergeCell ref="Q31:S31"/>
    <mergeCell ref="F12:S12"/>
    <mergeCell ref="B41:B44"/>
    <mergeCell ref="C41:C42"/>
    <mergeCell ref="C43:C44"/>
    <mergeCell ref="E15:E16"/>
    <mergeCell ref="F15:F16"/>
    <mergeCell ref="G15:G16"/>
    <mergeCell ref="I15:I16"/>
    <mergeCell ref="J15:J16"/>
    <mergeCell ref="K15:K16"/>
    <mergeCell ref="L15:L16"/>
    <mergeCell ref="B15:B16"/>
    <mergeCell ref="C15:D16"/>
    <mergeCell ref="P17:P18"/>
    <mergeCell ref="Q17:Q18"/>
    <mergeCell ref="R17:R18"/>
    <mergeCell ref="S17:S18"/>
    <mergeCell ref="F19:F20"/>
    <mergeCell ref="G19:G20"/>
  </mergeCells>
  <pageMargins left="0.7" right="0.7" top="0.75" bottom="0.75" header="0.3" footer="0.3"/>
  <pageSetup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3:CF123"/>
  <sheetViews>
    <sheetView topLeftCell="A31" workbookViewId="0">
      <selection activeCell="I99" sqref="I99"/>
    </sheetView>
  </sheetViews>
  <sheetFormatPr defaultRowHeight="13.2"/>
  <cols>
    <col min="1" max="1" width="13.109375" bestFit="1" customWidth="1"/>
  </cols>
  <sheetData>
    <row r="3" spans="1:84">
      <c r="A3" s="549" t="s">
        <v>756</v>
      </c>
    </row>
    <row r="6" spans="1:84">
      <c r="A6" t="s">
        <v>757</v>
      </c>
    </row>
    <row r="7" spans="1:84">
      <c r="A7" t="s">
        <v>758</v>
      </c>
    </row>
    <row r="10" spans="1:84" ht="17.399999999999999">
      <c r="A10" s="849" t="s">
        <v>736</v>
      </c>
      <c r="B10" s="850"/>
      <c r="C10" s="850"/>
      <c r="D10" s="850"/>
      <c r="E10" s="850"/>
      <c r="F10" s="850"/>
      <c r="G10" s="850"/>
      <c r="H10" s="850"/>
      <c r="I10" s="850"/>
      <c r="J10" s="850"/>
      <c r="K10" s="850"/>
      <c r="L10" s="851"/>
      <c r="M10" s="851"/>
      <c r="N10" s="851"/>
      <c r="O10" s="851"/>
      <c r="P10" s="851"/>
      <c r="Q10" s="851"/>
      <c r="R10" s="851"/>
      <c r="S10" s="851"/>
      <c r="T10" s="851"/>
      <c r="U10" s="851"/>
      <c r="V10" s="851"/>
      <c r="W10" s="851"/>
      <c r="X10" s="851"/>
      <c r="Y10" s="851"/>
      <c r="Z10" s="851"/>
      <c r="AA10" s="851"/>
      <c r="AB10" s="851"/>
      <c r="AC10" s="851"/>
      <c r="AD10" s="851"/>
      <c r="AE10" s="851"/>
      <c r="AF10" s="851"/>
      <c r="AG10" s="851"/>
      <c r="AH10" s="851"/>
      <c r="AI10" s="851"/>
      <c r="AJ10" s="851"/>
      <c r="AK10" s="851"/>
      <c r="AL10" s="851"/>
      <c r="AM10" s="851"/>
      <c r="AN10" s="851"/>
      <c r="AO10" s="851"/>
      <c r="AP10" s="851"/>
      <c r="AQ10" s="851"/>
      <c r="AR10" s="851"/>
      <c r="AS10" s="851"/>
      <c r="AT10" s="851"/>
      <c r="AU10" s="851"/>
      <c r="AV10" s="851"/>
      <c r="AW10" s="851"/>
      <c r="AX10" s="851"/>
      <c r="AY10" s="851"/>
      <c r="AZ10" s="851"/>
      <c r="BA10" s="851"/>
      <c r="BB10" s="851"/>
      <c r="BC10" s="851"/>
      <c r="BD10" s="851"/>
      <c r="BE10" s="851"/>
      <c r="BF10" s="851"/>
      <c r="BG10" s="851"/>
      <c r="BH10" s="851"/>
      <c r="BI10" s="851"/>
      <c r="BJ10" s="851"/>
      <c r="BK10" s="851"/>
      <c r="BL10" s="851"/>
      <c r="BM10" s="851"/>
      <c r="BN10" s="851"/>
      <c r="BO10" s="851"/>
      <c r="BP10" s="851"/>
      <c r="BQ10" s="851"/>
      <c r="BR10" s="851"/>
      <c r="BS10" s="851"/>
      <c r="BT10" s="851"/>
      <c r="BU10" s="851"/>
      <c r="BV10" s="851"/>
      <c r="BW10" s="851"/>
      <c r="BX10" s="851"/>
      <c r="BY10" s="851"/>
      <c r="BZ10" s="851"/>
      <c r="CA10" s="851"/>
      <c r="CB10" s="851"/>
      <c r="CC10" s="851"/>
      <c r="CD10" s="851"/>
      <c r="CE10" s="851"/>
      <c r="CF10" s="851"/>
    </row>
    <row r="11" spans="1:84">
      <c r="A11" s="852"/>
      <c r="B11" s="852"/>
      <c r="C11" s="852"/>
      <c r="D11" s="852"/>
      <c r="E11" s="852"/>
      <c r="F11" s="852"/>
      <c r="G11" s="852"/>
      <c r="H11" s="852"/>
      <c r="I11" s="852"/>
      <c r="J11" s="852"/>
      <c r="K11" s="852"/>
      <c r="L11" s="852"/>
      <c r="M11" s="852"/>
      <c r="N11" s="852"/>
      <c r="O11" s="852"/>
      <c r="P11" s="852"/>
      <c r="Q11" s="852"/>
      <c r="R11" s="852"/>
      <c r="S11" s="852"/>
      <c r="T11" s="852"/>
      <c r="U11" s="852"/>
      <c r="V11" s="852"/>
      <c r="W11" s="852"/>
      <c r="X11" s="852"/>
      <c r="Y11" s="852"/>
      <c r="Z11" s="852"/>
      <c r="AA11" s="852"/>
      <c r="AB11" s="852"/>
      <c r="AC11" s="852"/>
      <c r="AD11" s="852"/>
      <c r="AE11" s="852"/>
      <c r="AF11" s="852"/>
      <c r="AG11" s="852"/>
      <c r="AH11" s="852"/>
      <c r="AI11" s="852"/>
      <c r="AJ11" s="852"/>
      <c r="AK11" s="852"/>
      <c r="AL11" s="852"/>
      <c r="AM11" s="852"/>
      <c r="AN11" s="852"/>
      <c r="AO11" s="852"/>
      <c r="AP11" s="852"/>
      <c r="AQ11" s="852"/>
      <c r="AR11" s="852"/>
      <c r="AS11" s="852"/>
      <c r="AT11" s="852"/>
      <c r="AU11" s="852"/>
      <c r="AV11" s="852"/>
      <c r="AW11" s="852"/>
      <c r="AX11" s="852"/>
      <c r="AY11" s="852"/>
      <c r="AZ11" s="852"/>
      <c r="BA11" s="852"/>
      <c r="BB11" s="852"/>
      <c r="BC11" s="852"/>
      <c r="BD11" s="852"/>
      <c r="BE11" s="852"/>
      <c r="BF11" s="852"/>
      <c r="BG11" s="852"/>
      <c r="BH11" s="852"/>
      <c r="BI11" s="852"/>
      <c r="BJ11" s="852"/>
      <c r="BK11" s="852"/>
      <c r="BL11" s="852"/>
      <c r="BM11" s="852"/>
      <c r="BN11" s="852"/>
      <c r="BO11" s="852"/>
      <c r="BP11" s="852"/>
      <c r="BQ11" s="852"/>
      <c r="BR11" s="852"/>
      <c r="BS11" s="852"/>
      <c r="BT11" s="852"/>
      <c r="BU11" s="852"/>
      <c r="BV11" s="852"/>
      <c r="BW11" s="852"/>
      <c r="BX11" s="852"/>
      <c r="BY11" s="852"/>
      <c r="BZ11" s="852"/>
      <c r="CA11" s="852"/>
      <c r="CB11" s="852"/>
      <c r="CC11" s="852"/>
      <c r="CD11" s="852"/>
      <c r="CE11" s="852"/>
      <c r="CF11" s="852"/>
    </row>
    <row r="12" spans="1:84">
      <c r="A12" s="852"/>
      <c r="B12" s="1737" t="s">
        <v>737</v>
      </c>
      <c r="C12" s="1738"/>
      <c r="D12" s="1738"/>
      <c r="E12" s="1738"/>
      <c r="F12" s="1738"/>
      <c r="G12" s="1738"/>
      <c r="H12" s="1738"/>
      <c r="I12" s="1738"/>
      <c r="J12" s="1738"/>
      <c r="K12" s="852"/>
      <c r="L12" s="852"/>
      <c r="M12" s="852"/>
      <c r="N12" s="852"/>
      <c r="O12" s="852"/>
      <c r="P12" s="852"/>
      <c r="Q12" s="852"/>
      <c r="R12" s="852"/>
      <c r="S12" s="852"/>
      <c r="T12" s="852"/>
      <c r="U12" s="852"/>
      <c r="V12" s="852"/>
      <c r="W12" s="852"/>
      <c r="X12" s="852"/>
      <c r="Y12" s="852"/>
      <c r="Z12" s="852"/>
      <c r="AA12" s="852"/>
      <c r="AB12" s="852"/>
      <c r="AC12" s="852"/>
      <c r="AD12" s="852"/>
      <c r="AE12" s="852"/>
      <c r="AF12" s="852"/>
      <c r="AG12" s="852"/>
      <c r="AH12" s="852"/>
      <c r="AI12" s="852"/>
      <c r="AJ12" s="852"/>
      <c r="AK12" s="852"/>
      <c r="AL12" s="852"/>
      <c r="AM12" s="852"/>
      <c r="AN12" s="852"/>
      <c r="AO12" s="852"/>
      <c r="AP12" s="852"/>
      <c r="AQ12" s="852"/>
      <c r="AR12" s="852"/>
      <c r="AS12" s="852"/>
      <c r="AT12" s="852"/>
      <c r="AU12" s="852"/>
      <c r="AV12" s="852"/>
      <c r="AW12" s="852"/>
      <c r="AX12" s="852"/>
      <c r="AY12" s="852"/>
      <c r="AZ12" s="852"/>
      <c r="BA12" s="852"/>
      <c r="BB12" s="852"/>
      <c r="BC12" s="852"/>
      <c r="BD12" s="852"/>
      <c r="BE12" s="852"/>
      <c r="BF12" s="852"/>
      <c r="BG12" s="852"/>
      <c r="BH12" s="852"/>
      <c r="BI12" s="852"/>
      <c r="BJ12" s="852"/>
      <c r="BK12" s="852"/>
      <c r="BL12" s="852"/>
      <c r="BM12" s="852"/>
      <c r="BN12" s="852"/>
      <c r="BO12" s="852"/>
      <c r="BP12" s="852"/>
      <c r="BQ12" s="852"/>
      <c r="BR12" s="852"/>
      <c r="BS12" s="852"/>
      <c r="BT12" s="852"/>
      <c r="BU12" s="852"/>
      <c r="BV12" s="852"/>
      <c r="BW12" s="852"/>
      <c r="BX12" s="852"/>
      <c r="BY12" s="852"/>
      <c r="BZ12" s="852"/>
      <c r="CA12" s="852"/>
      <c r="CB12" s="852"/>
      <c r="CC12" s="852"/>
      <c r="CD12" s="852"/>
      <c r="CE12" s="852"/>
      <c r="CF12" s="852"/>
    </row>
    <row r="13" spans="1:84">
      <c r="A13" s="852"/>
      <c r="B13" s="1738"/>
      <c r="C13" s="1738"/>
      <c r="D13" s="1738"/>
      <c r="E13" s="1738"/>
      <c r="F13" s="1738"/>
      <c r="G13" s="1738"/>
      <c r="H13" s="1738"/>
      <c r="I13" s="1738"/>
      <c r="J13" s="1738"/>
      <c r="K13" s="852"/>
      <c r="L13" s="852"/>
      <c r="M13" s="852"/>
      <c r="N13" s="852"/>
      <c r="O13" s="852"/>
      <c r="P13" s="852"/>
      <c r="Q13" s="852"/>
      <c r="R13" s="852"/>
      <c r="S13" s="852"/>
      <c r="T13" s="852"/>
      <c r="U13" s="852"/>
      <c r="V13" s="852"/>
      <c r="W13" s="852"/>
      <c r="X13" s="852"/>
      <c r="Y13" s="852"/>
      <c r="Z13" s="852"/>
      <c r="AA13" s="852"/>
      <c r="AB13" s="852"/>
      <c r="AC13" s="852"/>
      <c r="AD13" s="852"/>
      <c r="AE13" s="852"/>
      <c r="AF13" s="852"/>
      <c r="AG13" s="852"/>
      <c r="AH13" s="852"/>
      <c r="AI13" s="852"/>
      <c r="AJ13" s="852"/>
      <c r="AK13" s="852"/>
      <c r="AL13" s="852"/>
      <c r="AM13" s="852"/>
      <c r="AN13" s="852"/>
      <c r="AO13" s="852"/>
      <c r="AP13" s="852"/>
      <c r="AQ13" s="852"/>
      <c r="AR13" s="852"/>
      <c r="AS13" s="852"/>
      <c r="AT13" s="852"/>
      <c r="AU13" s="852"/>
      <c r="AV13" s="852"/>
      <c r="AW13" s="852"/>
      <c r="AX13" s="852"/>
      <c r="AY13" s="852"/>
      <c r="AZ13" s="852"/>
      <c r="BA13" s="852"/>
      <c r="BB13" s="852"/>
      <c r="BC13" s="852"/>
      <c r="BD13" s="852"/>
      <c r="BE13" s="852"/>
      <c r="BF13" s="852"/>
      <c r="BG13" s="852"/>
      <c r="BH13" s="852"/>
      <c r="BI13" s="852"/>
      <c r="BJ13" s="852"/>
      <c r="BK13" s="852"/>
      <c r="BL13" s="852"/>
      <c r="BM13" s="852"/>
      <c r="BN13" s="852"/>
      <c r="BO13" s="852"/>
      <c r="BP13" s="852"/>
      <c r="BQ13" s="852"/>
      <c r="BR13" s="852"/>
      <c r="BS13" s="852"/>
      <c r="BT13" s="852"/>
      <c r="BU13" s="852"/>
      <c r="BV13" s="852"/>
      <c r="BW13" s="852"/>
      <c r="BX13" s="852"/>
      <c r="BY13" s="852"/>
      <c r="BZ13" s="852"/>
      <c r="CA13" s="852"/>
      <c r="CB13" s="852"/>
      <c r="CC13" s="852"/>
      <c r="CD13" s="852"/>
      <c r="CE13" s="852"/>
      <c r="CF13" s="852"/>
    </row>
    <row r="14" spans="1:84">
      <c r="A14" s="852"/>
      <c r="B14" s="1738"/>
      <c r="C14" s="1738"/>
      <c r="D14" s="1738"/>
      <c r="E14" s="1738"/>
      <c r="F14" s="1738"/>
      <c r="G14" s="1738"/>
      <c r="H14" s="1738"/>
      <c r="I14" s="1738"/>
      <c r="J14" s="1738"/>
      <c r="K14" s="852"/>
      <c r="L14" s="852"/>
      <c r="M14" s="852"/>
      <c r="N14" s="852"/>
      <c r="O14" s="852"/>
      <c r="P14" s="852"/>
      <c r="Q14" s="852"/>
      <c r="R14" s="852"/>
      <c r="S14" s="852"/>
      <c r="T14" s="852"/>
      <c r="U14" s="852"/>
      <c r="V14" s="852"/>
      <c r="W14" s="852"/>
      <c r="X14" s="852"/>
      <c r="Y14" s="852"/>
      <c r="Z14" s="852"/>
      <c r="AA14" s="852"/>
      <c r="AB14" s="852"/>
      <c r="AC14" s="852"/>
      <c r="AD14" s="852"/>
      <c r="AE14" s="852"/>
      <c r="AF14" s="852"/>
      <c r="AG14" s="852"/>
      <c r="AH14" s="852"/>
      <c r="AI14" s="852"/>
      <c r="AJ14" s="852"/>
      <c r="AK14" s="852"/>
      <c r="AL14" s="852"/>
      <c r="AM14" s="852"/>
      <c r="AN14" s="852"/>
      <c r="AO14" s="852"/>
      <c r="AP14" s="852"/>
      <c r="AQ14" s="852"/>
      <c r="AR14" s="852"/>
      <c r="AS14" s="852"/>
      <c r="AT14" s="852"/>
      <c r="AU14" s="852"/>
      <c r="AV14" s="852"/>
      <c r="AW14" s="852"/>
      <c r="AX14" s="852"/>
      <c r="AY14" s="852"/>
      <c r="AZ14" s="852"/>
      <c r="BA14" s="852"/>
      <c r="BB14" s="852"/>
      <c r="BC14" s="852"/>
      <c r="BD14" s="852"/>
      <c r="BE14" s="852"/>
      <c r="BF14" s="852"/>
      <c r="BG14" s="852"/>
      <c r="BH14" s="852"/>
      <c r="BI14" s="852"/>
      <c r="BJ14" s="852"/>
      <c r="BK14" s="852"/>
      <c r="BL14" s="852"/>
      <c r="BM14" s="852"/>
      <c r="BN14" s="852"/>
      <c r="BO14" s="852"/>
      <c r="BP14" s="852"/>
      <c r="BQ14" s="852"/>
      <c r="BR14" s="852"/>
      <c r="BS14" s="852"/>
      <c r="BT14" s="852"/>
      <c r="BU14" s="852"/>
      <c r="BV14" s="852"/>
      <c r="BW14" s="852"/>
      <c r="BX14" s="852"/>
      <c r="BY14" s="852"/>
      <c r="BZ14" s="852"/>
      <c r="CA14" s="852"/>
      <c r="CB14" s="852"/>
      <c r="CC14" s="852"/>
      <c r="CD14" s="852"/>
      <c r="CE14" s="852"/>
      <c r="CF14" s="852"/>
    </row>
    <row r="15" spans="1:84">
      <c r="A15" s="852"/>
      <c r="B15" s="1738"/>
      <c r="C15" s="1738"/>
      <c r="D15" s="1738"/>
      <c r="E15" s="1738"/>
      <c r="F15" s="1738"/>
      <c r="G15" s="1738"/>
      <c r="H15" s="1738"/>
      <c r="I15" s="1738"/>
      <c r="J15" s="1738"/>
      <c r="K15" s="852"/>
      <c r="L15" s="852"/>
      <c r="M15" s="852"/>
      <c r="N15" s="852"/>
      <c r="O15" s="852"/>
      <c r="P15" s="852"/>
      <c r="Q15" s="852"/>
      <c r="R15" s="852"/>
      <c r="S15" s="852"/>
      <c r="T15" s="852"/>
      <c r="U15" s="852"/>
      <c r="V15" s="852"/>
      <c r="W15" s="852"/>
      <c r="X15" s="852"/>
      <c r="Y15" s="852"/>
      <c r="Z15" s="852"/>
      <c r="AA15" s="852"/>
      <c r="AB15" s="852"/>
      <c r="AC15" s="852"/>
      <c r="AD15" s="852"/>
      <c r="AE15" s="852"/>
      <c r="AF15" s="852"/>
      <c r="AG15" s="852"/>
      <c r="AH15" s="852"/>
      <c r="AI15" s="852"/>
      <c r="AJ15" s="852"/>
      <c r="AK15" s="852"/>
      <c r="AL15" s="852"/>
      <c r="AM15" s="852"/>
      <c r="AN15" s="852"/>
      <c r="AO15" s="852"/>
      <c r="AP15" s="852"/>
      <c r="AQ15" s="852"/>
      <c r="AR15" s="852"/>
      <c r="AS15" s="852"/>
      <c r="AT15" s="852"/>
      <c r="AU15" s="852"/>
      <c r="AV15" s="852"/>
      <c r="AW15" s="852"/>
      <c r="AX15" s="852"/>
      <c r="AY15" s="852"/>
      <c r="AZ15" s="852"/>
      <c r="BA15" s="852"/>
      <c r="BB15" s="852"/>
      <c r="BC15" s="852"/>
      <c r="BD15" s="852"/>
      <c r="BE15" s="852"/>
      <c r="BF15" s="852"/>
      <c r="BG15" s="852"/>
      <c r="BH15" s="852"/>
      <c r="BI15" s="852"/>
      <c r="BJ15" s="852"/>
      <c r="BK15" s="852"/>
      <c r="BL15" s="852"/>
      <c r="BM15" s="852"/>
      <c r="BN15" s="852"/>
      <c r="BO15" s="852"/>
      <c r="BP15" s="852"/>
      <c r="BQ15" s="852"/>
      <c r="BR15" s="852"/>
      <c r="BS15" s="852"/>
      <c r="BT15" s="852"/>
      <c r="BU15" s="852"/>
      <c r="BV15" s="852"/>
      <c r="BW15" s="852"/>
      <c r="BX15" s="852"/>
      <c r="BY15" s="852"/>
      <c r="BZ15" s="852"/>
      <c r="CA15" s="852"/>
      <c r="CB15" s="852"/>
      <c r="CC15" s="852"/>
      <c r="CD15" s="852"/>
      <c r="CE15" s="852"/>
      <c r="CF15" s="852"/>
    </row>
    <row r="16" spans="1:84">
      <c r="A16" s="852"/>
      <c r="B16" s="1738"/>
      <c r="C16" s="1738"/>
      <c r="D16" s="1738"/>
      <c r="E16" s="1738"/>
      <c r="F16" s="1738"/>
      <c r="G16" s="1738"/>
      <c r="H16" s="1738"/>
      <c r="I16" s="1738"/>
      <c r="J16" s="1738"/>
      <c r="K16" s="852"/>
      <c r="L16" s="852"/>
      <c r="M16" s="852"/>
      <c r="N16" s="852"/>
      <c r="O16" s="852"/>
      <c r="P16" s="852"/>
      <c r="Q16" s="852"/>
      <c r="R16" s="852"/>
      <c r="S16" s="852"/>
      <c r="T16" s="852"/>
      <c r="U16" s="852"/>
      <c r="V16" s="852"/>
      <c r="W16" s="852"/>
      <c r="X16" s="852"/>
      <c r="Y16" s="852"/>
      <c r="Z16" s="852"/>
      <c r="AA16" s="852"/>
      <c r="AB16" s="852"/>
      <c r="AC16" s="852"/>
      <c r="AD16" s="852"/>
      <c r="AE16" s="852"/>
      <c r="AF16" s="852"/>
      <c r="AG16" s="852"/>
      <c r="AH16" s="852"/>
      <c r="AI16" s="852"/>
      <c r="AJ16" s="852"/>
      <c r="AK16" s="852"/>
      <c r="AL16" s="852"/>
      <c r="AM16" s="852"/>
      <c r="AN16" s="852"/>
      <c r="AO16" s="852"/>
      <c r="AP16" s="852"/>
      <c r="AQ16" s="852"/>
      <c r="AR16" s="852"/>
      <c r="AS16" s="852"/>
      <c r="AT16" s="852"/>
      <c r="AU16" s="852"/>
      <c r="AV16" s="852"/>
      <c r="AW16" s="852"/>
      <c r="AX16" s="852"/>
      <c r="AY16" s="852"/>
      <c r="AZ16" s="852"/>
      <c r="BA16" s="852"/>
      <c r="BB16" s="852"/>
      <c r="BC16" s="852"/>
      <c r="BD16" s="852"/>
      <c r="BE16" s="852"/>
      <c r="BF16" s="852"/>
      <c r="BG16" s="852"/>
      <c r="BH16" s="852"/>
      <c r="BI16" s="852"/>
      <c r="BJ16" s="852"/>
      <c r="BK16" s="852"/>
      <c r="BL16" s="852"/>
      <c r="BM16" s="852"/>
      <c r="BN16" s="852"/>
      <c r="BO16" s="852"/>
      <c r="BP16" s="852"/>
      <c r="BQ16" s="852"/>
      <c r="BR16" s="852"/>
      <c r="BS16" s="852"/>
      <c r="BT16" s="852"/>
      <c r="BU16" s="852"/>
      <c r="BV16" s="852"/>
      <c r="BW16" s="852"/>
      <c r="BX16" s="852"/>
      <c r="BY16" s="852"/>
      <c r="BZ16" s="852"/>
      <c r="CA16" s="852"/>
      <c r="CB16" s="852"/>
      <c r="CC16" s="852"/>
      <c r="CD16" s="852"/>
      <c r="CE16" s="852"/>
      <c r="CF16" s="852"/>
    </row>
    <row r="17" spans="1:84">
      <c r="A17" s="852"/>
      <c r="B17" s="1738"/>
      <c r="C17" s="1738"/>
      <c r="D17" s="1738"/>
      <c r="E17" s="1738"/>
      <c r="F17" s="1738"/>
      <c r="G17" s="1738"/>
      <c r="H17" s="1738"/>
      <c r="I17" s="1738"/>
      <c r="J17" s="1738"/>
      <c r="K17" s="852"/>
      <c r="L17" s="852"/>
      <c r="M17" s="852"/>
      <c r="N17" s="852"/>
      <c r="O17" s="852"/>
      <c r="P17" s="852"/>
      <c r="Q17" s="852"/>
      <c r="R17" s="852"/>
      <c r="S17" s="852"/>
      <c r="T17" s="852"/>
      <c r="U17" s="852"/>
      <c r="V17" s="852"/>
      <c r="W17" s="852"/>
      <c r="X17" s="852"/>
      <c r="Y17" s="852"/>
      <c r="Z17" s="852"/>
      <c r="AA17" s="852"/>
      <c r="AB17" s="852"/>
      <c r="AC17" s="852"/>
      <c r="AD17" s="852"/>
      <c r="AE17" s="852"/>
      <c r="AF17" s="852"/>
      <c r="AG17" s="852"/>
      <c r="AH17" s="852"/>
      <c r="AI17" s="852"/>
      <c r="AJ17" s="852"/>
      <c r="AK17" s="852"/>
      <c r="AL17" s="852"/>
      <c r="AM17" s="852"/>
      <c r="AN17" s="852"/>
      <c r="AO17" s="852"/>
      <c r="AP17" s="852"/>
      <c r="AQ17" s="852"/>
      <c r="AR17" s="852"/>
      <c r="AS17" s="852"/>
      <c r="AT17" s="852"/>
      <c r="AU17" s="852"/>
      <c r="AV17" s="852"/>
      <c r="AW17" s="852"/>
      <c r="AX17" s="852"/>
      <c r="AY17" s="852"/>
      <c r="AZ17" s="852"/>
      <c r="BA17" s="852"/>
      <c r="BB17" s="852"/>
      <c r="BC17" s="852"/>
      <c r="BD17" s="852"/>
      <c r="BE17" s="852"/>
      <c r="BF17" s="852"/>
      <c r="BG17" s="852"/>
      <c r="BH17" s="852"/>
      <c r="BI17" s="852"/>
      <c r="BJ17" s="852"/>
      <c r="BK17" s="852"/>
      <c r="BL17" s="852"/>
      <c r="BM17" s="852"/>
      <c r="BN17" s="852"/>
      <c r="BO17" s="852"/>
      <c r="BP17" s="852"/>
      <c r="BQ17" s="852"/>
      <c r="BR17" s="852"/>
      <c r="BS17" s="852"/>
      <c r="BT17" s="852"/>
      <c r="BU17" s="852"/>
      <c r="BV17" s="852"/>
      <c r="BW17" s="852"/>
      <c r="BX17" s="852"/>
      <c r="BY17" s="852"/>
      <c r="BZ17" s="852"/>
      <c r="CA17" s="852"/>
      <c r="CB17" s="852"/>
      <c r="CC17" s="852"/>
      <c r="CD17" s="852"/>
      <c r="CE17" s="852"/>
      <c r="CF17" s="852"/>
    </row>
    <row r="18" spans="1:84">
      <c r="A18" s="852"/>
      <c r="B18" s="1738"/>
      <c r="C18" s="1738"/>
      <c r="D18" s="1738"/>
      <c r="E18" s="1738"/>
      <c r="F18" s="1738"/>
      <c r="G18" s="1738"/>
      <c r="H18" s="1738"/>
      <c r="I18" s="1738"/>
      <c r="J18" s="1738"/>
      <c r="K18" s="852"/>
      <c r="L18" s="852"/>
      <c r="M18" s="852"/>
      <c r="N18" s="852"/>
      <c r="O18" s="852"/>
      <c r="P18" s="852"/>
      <c r="Q18" s="852"/>
      <c r="R18" s="852"/>
      <c r="S18" s="852"/>
      <c r="T18" s="852"/>
      <c r="U18" s="852"/>
      <c r="V18" s="852"/>
      <c r="W18" s="852"/>
      <c r="X18" s="852"/>
      <c r="Y18" s="852"/>
      <c r="Z18" s="852"/>
      <c r="AA18" s="852"/>
      <c r="AB18" s="852"/>
      <c r="AC18" s="852"/>
      <c r="AD18" s="852"/>
      <c r="AE18" s="852"/>
      <c r="AF18" s="852"/>
      <c r="AG18" s="852"/>
      <c r="AH18" s="852"/>
      <c r="AI18" s="852"/>
      <c r="AJ18" s="852"/>
      <c r="AK18" s="852"/>
      <c r="AL18" s="852"/>
      <c r="AM18" s="852"/>
      <c r="AN18" s="852"/>
      <c r="AO18" s="852"/>
      <c r="AP18" s="852"/>
      <c r="AQ18" s="852"/>
      <c r="AR18" s="852"/>
      <c r="AS18" s="852"/>
      <c r="AT18" s="852"/>
      <c r="AU18" s="852"/>
      <c r="AV18" s="852"/>
      <c r="AW18" s="852"/>
      <c r="AX18" s="852"/>
      <c r="AY18" s="852"/>
      <c r="AZ18" s="852"/>
      <c r="BA18" s="852"/>
      <c r="BB18" s="852"/>
      <c r="BC18" s="852"/>
      <c r="BD18" s="852"/>
      <c r="BE18" s="852"/>
      <c r="BF18" s="852"/>
      <c r="BG18" s="852"/>
      <c r="BH18" s="852"/>
      <c r="BI18" s="852"/>
      <c r="BJ18" s="852"/>
      <c r="BK18" s="852"/>
      <c r="BL18" s="852"/>
      <c r="BM18" s="852"/>
      <c r="BN18" s="852"/>
      <c r="BO18" s="852"/>
      <c r="BP18" s="852"/>
      <c r="BQ18" s="852"/>
      <c r="BR18" s="852"/>
      <c r="BS18" s="852"/>
      <c r="BT18" s="852"/>
      <c r="BU18" s="852"/>
      <c r="BV18" s="852"/>
      <c r="BW18" s="852"/>
      <c r="BX18" s="852"/>
      <c r="BY18" s="852"/>
      <c r="BZ18" s="852"/>
      <c r="CA18" s="852"/>
      <c r="CB18" s="852"/>
      <c r="CC18" s="852"/>
      <c r="CD18" s="852"/>
      <c r="CE18" s="852"/>
      <c r="CF18" s="852"/>
    </row>
    <row r="19" spans="1:84" ht="13.8" thickBot="1">
      <c r="A19" s="852"/>
      <c r="B19" s="853" t="s">
        <v>738</v>
      </c>
      <c r="C19" s="852"/>
      <c r="D19" s="852"/>
      <c r="E19" s="852"/>
      <c r="F19" s="852"/>
      <c r="G19" s="852"/>
      <c r="H19" s="852"/>
      <c r="I19" s="854">
        <v>2015</v>
      </c>
      <c r="J19" s="855" t="s">
        <v>739</v>
      </c>
      <c r="K19" s="852"/>
      <c r="L19" s="852"/>
      <c r="M19" s="852"/>
      <c r="N19" s="852"/>
      <c r="O19" s="852"/>
      <c r="P19" s="852"/>
      <c r="Q19" s="852"/>
      <c r="R19" s="852"/>
      <c r="S19" s="852"/>
      <c r="T19" s="852"/>
      <c r="U19" s="852"/>
      <c r="V19" s="852"/>
      <c r="W19" s="852"/>
      <c r="X19" s="852"/>
      <c r="Y19" s="852"/>
      <c r="Z19" s="852"/>
      <c r="AA19" s="852"/>
      <c r="AB19" s="852"/>
      <c r="AC19" s="852"/>
      <c r="AD19" s="852"/>
      <c r="AE19" s="852"/>
      <c r="AF19" s="852"/>
      <c r="AG19" s="852"/>
      <c r="AH19" s="852"/>
      <c r="AI19" s="852"/>
      <c r="AJ19" s="852"/>
      <c r="AK19" s="852"/>
      <c r="AL19" s="852"/>
      <c r="AM19" s="852"/>
      <c r="AN19" s="852"/>
      <c r="AO19" s="852"/>
      <c r="AP19" s="852"/>
      <c r="AQ19" s="852"/>
      <c r="AR19" s="852"/>
      <c r="AS19" s="852"/>
      <c r="AT19" s="852"/>
      <c r="AU19" s="852"/>
      <c r="AV19" s="852"/>
      <c r="AW19" s="852"/>
      <c r="AX19" s="852"/>
      <c r="AY19" s="852"/>
      <c r="AZ19" s="852"/>
      <c r="BA19" s="852"/>
      <c r="BB19" s="852"/>
      <c r="BC19" s="852"/>
      <c r="BD19" s="852"/>
      <c r="BE19" s="852"/>
      <c r="BF19" s="852"/>
      <c r="BG19" s="852"/>
      <c r="BH19" s="852"/>
      <c r="BI19" s="852"/>
      <c r="BJ19" s="852"/>
      <c r="BK19" s="852"/>
      <c r="BL19" s="852"/>
      <c r="BM19" s="852"/>
      <c r="BN19" s="852"/>
      <c r="BO19" s="852"/>
      <c r="BP19" s="852"/>
      <c r="BQ19" s="852"/>
      <c r="BR19" s="852"/>
      <c r="BS19" s="852"/>
      <c r="BT19" s="852"/>
      <c r="BU19" s="852"/>
      <c r="BV19" s="852"/>
      <c r="BW19" s="852"/>
      <c r="BX19" s="852"/>
      <c r="BY19" s="852"/>
      <c r="BZ19" s="852"/>
      <c r="CA19" s="852"/>
      <c r="CB19" s="852"/>
      <c r="CC19" s="852"/>
      <c r="CD19" s="852"/>
      <c r="CE19" s="852"/>
      <c r="CF19" s="852"/>
    </row>
    <row r="20" spans="1:84">
      <c r="A20" s="852"/>
      <c r="B20" s="856" t="s">
        <v>740</v>
      </c>
      <c r="C20" s="857"/>
      <c r="D20" s="858">
        <v>2010</v>
      </c>
      <c r="E20" s="858">
        <v>2011</v>
      </c>
      <c r="F20" s="858">
        <v>2012</v>
      </c>
      <c r="G20" s="858">
        <v>2013</v>
      </c>
      <c r="H20" s="858">
        <v>2014</v>
      </c>
      <c r="I20" s="858">
        <v>2015</v>
      </c>
      <c r="J20" s="858">
        <v>2016</v>
      </c>
      <c r="K20" s="858">
        <v>2017</v>
      </c>
      <c r="L20" s="858">
        <v>2018</v>
      </c>
      <c r="M20" s="858">
        <v>2019</v>
      </c>
      <c r="N20" s="858">
        <v>2020</v>
      </c>
      <c r="O20" s="858">
        <v>2021</v>
      </c>
      <c r="P20" s="858">
        <v>2022</v>
      </c>
      <c r="Q20" s="858">
        <v>2023</v>
      </c>
      <c r="R20" s="858">
        <v>2024</v>
      </c>
      <c r="S20" s="858">
        <v>2025</v>
      </c>
      <c r="T20" s="858">
        <v>2026</v>
      </c>
      <c r="U20" s="858">
        <v>2027</v>
      </c>
      <c r="V20" s="858">
        <v>2028</v>
      </c>
      <c r="W20" s="858">
        <v>2029</v>
      </c>
      <c r="X20" s="858">
        <v>2030</v>
      </c>
      <c r="Y20" s="858">
        <v>2031</v>
      </c>
      <c r="Z20" s="858">
        <v>2032</v>
      </c>
      <c r="AA20" s="858">
        <v>2033</v>
      </c>
      <c r="AB20" s="858">
        <v>2034</v>
      </c>
      <c r="AC20" s="858">
        <v>2035</v>
      </c>
      <c r="AD20" s="858">
        <v>2036</v>
      </c>
      <c r="AE20" s="858">
        <v>2037</v>
      </c>
      <c r="AF20" s="858">
        <v>2038</v>
      </c>
      <c r="AG20" s="858">
        <v>2039</v>
      </c>
      <c r="AH20" s="858">
        <v>2040</v>
      </c>
      <c r="AI20" s="858">
        <v>2041</v>
      </c>
      <c r="AJ20" s="858">
        <v>2042</v>
      </c>
      <c r="AK20" s="858">
        <v>2043</v>
      </c>
      <c r="AL20" s="858">
        <v>2044</v>
      </c>
      <c r="AM20" s="858">
        <v>2045</v>
      </c>
      <c r="AN20" s="858">
        <v>2046</v>
      </c>
      <c r="AO20" s="858">
        <v>2047</v>
      </c>
      <c r="AP20" s="858">
        <v>2048</v>
      </c>
      <c r="AQ20" s="858">
        <v>2049</v>
      </c>
      <c r="AR20" s="858">
        <v>2050</v>
      </c>
      <c r="AS20" s="858">
        <v>2051</v>
      </c>
      <c r="AT20" s="858">
        <v>2052</v>
      </c>
      <c r="AU20" s="858">
        <v>2053</v>
      </c>
      <c r="AV20" s="858">
        <v>2054</v>
      </c>
      <c r="AW20" s="858">
        <v>2055</v>
      </c>
      <c r="AX20" s="858">
        <v>2056</v>
      </c>
      <c r="AY20" s="858">
        <v>2057</v>
      </c>
      <c r="AZ20" s="858">
        <v>2058</v>
      </c>
      <c r="BA20" s="858">
        <v>2059</v>
      </c>
      <c r="BB20" s="858">
        <v>2060</v>
      </c>
      <c r="BC20" s="858">
        <v>2061</v>
      </c>
      <c r="BD20" s="858">
        <v>2062</v>
      </c>
      <c r="BE20" s="858">
        <v>2063</v>
      </c>
      <c r="BF20" s="858">
        <v>2064</v>
      </c>
      <c r="BG20" s="858">
        <v>2065</v>
      </c>
      <c r="BH20" s="858">
        <v>2066</v>
      </c>
      <c r="BI20" s="858">
        <v>2067</v>
      </c>
      <c r="BJ20" s="858">
        <v>2068</v>
      </c>
      <c r="BK20" s="858">
        <v>2069</v>
      </c>
      <c r="BL20" s="858">
        <v>2070</v>
      </c>
      <c r="BM20" s="858">
        <v>2071</v>
      </c>
      <c r="BN20" s="858">
        <v>2072</v>
      </c>
      <c r="BO20" s="858">
        <v>2073</v>
      </c>
      <c r="BP20" s="858">
        <v>2074</v>
      </c>
      <c r="BQ20" s="858">
        <v>2075</v>
      </c>
      <c r="BR20" s="858">
        <v>2076</v>
      </c>
      <c r="BS20" s="858">
        <v>2077</v>
      </c>
      <c r="BT20" s="858">
        <v>2078</v>
      </c>
      <c r="BU20" s="858">
        <v>2079</v>
      </c>
      <c r="BV20" s="858">
        <v>2080</v>
      </c>
      <c r="BW20" s="858">
        <v>2081</v>
      </c>
      <c r="BX20" s="858">
        <v>2082</v>
      </c>
      <c r="BY20" s="858">
        <v>2083</v>
      </c>
      <c r="BZ20" s="858">
        <v>2084</v>
      </c>
      <c r="CA20" s="858">
        <v>2085</v>
      </c>
      <c r="CB20" s="858">
        <v>2086</v>
      </c>
      <c r="CC20" s="858">
        <v>2087</v>
      </c>
      <c r="CD20" s="858">
        <v>2088</v>
      </c>
      <c r="CE20" s="858">
        <v>2089</v>
      </c>
      <c r="CF20" s="859">
        <v>2090</v>
      </c>
    </row>
    <row r="21" spans="1:84">
      <c r="A21" s="852"/>
      <c r="B21" s="860" t="str">
        <f>CONCATENATE("Drivmiddel (", $D$122,"-priser)")</f>
        <v>Drivmiddel (-priser)</v>
      </c>
      <c r="C21" s="861" t="s">
        <v>741</v>
      </c>
      <c r="D21" s="862" t="e">
        <f t="shared" ref="D21" si="0">D3/#REF!*#REF!</f>
        <v>#REF!</v>
      </c>
      <c r="E21" s="862" t="e">
        <f t="shared" ref="E21" si="1">E3/#REF!*#REF!</f>
        <v>#REF!</v>
      </c>
      <c r="F21" s="862" t="e">
        <f t="shared" ref="F21" si="2">F3/#REF!*#REF!</f>
        <v>#REF!</v>
      </c>
      <c r="G21" s="862" t="e">
        <f t="shared" ref="G21" si="3">G3/#REF!*#REF!</f>
        <v>#REF!</v>
      </c>
      <c r="H21" s="862" t="e">
        <f t="shared" ref="H21" si="4">H3/#REF!*#REF!</f>
        <v>#REF!</v>
      </c>
      <c r="I21" s="862" t="e">
        <f t="shared" ref="I21" si="5">I3/#REF!*#REF!</f>
        <v>#REF!</v>
      </c>
      <c r="J21" s="862" t="e">
        <f t="shared" ref="J21" si="6">J3/#REF!*#REF!</f>
        <v>#REF!</v>
      </c>
      <c r="K21" s="862" t="e">
        <f t="shared" ref="K21" si="7">K3/#REF!*#REF!</f>
        <v>#REF!</v>
      </c>
      <c r="L21" s="862" t="e">
        <f t="shared" ref="L21" si="8">L3/#REF!*#REF!</f>
        <v>#REF!</v>
      </c>
      <c r="M21" s="862" t="e">
        <f t="shared" ref="M21" si="9">M3/#REF!*#REF!</f>
        <v>#REF!</v>
      </c>
      <c r="N21" s="862" t="e">
        <f t="shared" ref="N21" si="10">N3/#REF!*#REF!</f>
        <v>#REF!</v>
      </c>
      <c r="O21" s="862" t="e">
        <f t="shared" ref="O21" si="11">O3/#REF!*#REF!</f>
        <v>#REF!</v>
      </c>
      <c r="P21" s="862" t="e">
        <f t="shared" ref="P21" si="12">P3/#REF!*#REF!</f>
        <v>#REF!</v>
      </c>
      <c r="Q21" s="862" t="e">
        <f t="shared" ref="Q21" si="13">Q3/#REF!*#REF!</f>
        <v>#REF!</v>
      </c>
      <c r="R21" s="862" t="e">
        <f t="shared" ref="R21" si="14">R3/#REF!*#REF!</f>
        <v>#REF!</v>
      </c>
      <c r="S21" s="862" t="e">
        <f t="shared" ref="S21" si="15">S3/#REF!*#REF!</f>
        <v>#REF!</v>
      </c>
      <c r="T21" s="862" t="e">
        <f t="shared" ref="T21" si="16">T3/#REF!*#REF!</f>
        <v>#REF!</v>
      </c>
      <c r="U21" s="862" t="e">
        <f t="shared" ref="U21" si="17">U3/#REF!*#REF!</f>
        <v>#REF!</v>
      </c>
      <c r="V21" s="862" t="e">
        <f t="shared" ref="V21" si="18">V3/#REF!*#REF!</f>
        <v>#REF!</v>
      </c>
      <c r="W21" s="862" t="e">
        <f t="shared" ref="W21" si="19">W3/#REF!*#REF!</f>
        <v>#REF!</v>
      </c>
      <c r="X21" s="862" t="e">
        <f t="shared" ref="X21" si="20">X3/#REF!*#REF!</f>
        <v>#REF!</v>
      </c>
      <c r="Y21" s="862" t="e">
        <f t="shared" ref="Y21" si="21">Y3/#REF!*#REF!</f>
        <v>#REF!</v>
      </c>
      <c r="Z21" s="862" t="e">
        <f t="shared" ref="Z21" si="22">Z3/#REF!*#REF!</f>
        <v>#REF!</v>
      </c>
      <c r="AA21" s="862" t="e">
        <f t="shared" ref="AA21" si="23">AA3/#REF!*#REF!</f>
        <v>#REF!</v>
      </c>
      <c r="AB21" s="862" t="e">
        <f t="shared" ref="AB21" si="24">AB3/#REF!*#REF!</f>
        <v>#REF!</v>
      </c>
      <c r="AC21" s="862" t="e">
        <f t="shared" ref="AC21" si="25">AC3/#REF!*#REF!</f>
        <v>#REF!</v>
      </c>
      <c r="AD21" s="862" t="e">
        <f t="shared" ref="AD21" si="26">AD3/#REF!*#REF!</f>
        <v>#REF!</v>
      </c>
      <c r="AE21" s="862" t="e">
        <f t="shared" ref="AE21" si="27">AE3/#REF!*#REF!</f>
        <v>#REF!</v>
      </c>
      <c r="AF21" s="862" t="e">
        <f t="shared" ref="AF21" si="28">AF3/#REF!*#REF!</f>
        <v>#REF!</v>
      </c>
      <c r="AG21" s="862" t="e">
        <f t="shared" ref="AG21" si="29">AG3/#REF!*#REF!</f>
        <v>#REF!</v>
      </c>
      <c r="AH21" s="862" t="e">
        <f t="shared" ref="AH21" si="30">AH3/#REF!*#REF!</f>
        <v>#REF!</v>
      </c>
      <c r="AI21" s="862" t="e">
        <f t="shared" ref="AI21" si="31">AI3/#REF!*#REF!</f>
        <v>#REF!</v>
      </c>
      <c r="AJ21" s="862" t="e">
        <f t="shared" ref="AJ21" si="32">AJ3/#REF!*#REF!</f>
        <v>#REF!</v>
      </c>
      <c r="AK21" s="862" t="e">
        <f t="shared" ref="AK21" si="33">AK3/#REF!*#REF!</f>
        <v>#REF!</v>
      </c>
      <c r="AL21" s="862" t="e">
        <f t="shared" ref="AL21" si="34">AL3/#REF!*#REF!</f>
        <v>#REF!</v>
      </c>
      <c r="AM21" s="862" t="e">
        <f t="shared" ref="AM21" si="35">AM3/#REF!*#REF!</f>
        <v>#REF!</v>
      </c>
      <c r="AN21" s="862" t="e">
        <f t="shared" ref="AN21" si="36">AN3/#REF!*#REF!</f>
        <v>#REF!</v>
      </c>
      <c r="AO21" s="862" t="e">
        <f t="shared" ref="AO21" si="37">AO3/#REF!*#REF!</f>
        <v>#REF!</v>
      </c>
      <c r="AP21" s="862" t="e">
        <f t="shared" ref="AP21" si="38">AP3/#REF!*#REF!</f>
        <v>#REF!</v>
      </c>
      <c r="AQ21" s="862" t="e">
        <f t="shared" ref="AQ21" si="39">AQ3/#REF!*#REF!</f>
        <v>#REF!</v>
      </c>
      <c r="AR21" s="862" t="e">
        <f t="shared" ref="AR21" si="40">AR3/#REF!*#REF!</f>
        <v>#REF!</v>
      </c>
      <c r="AS21" s="862" t="e">
        <f t="shared" ref="AS21" si="41">AS3/#REF!*#REF!</f>
        <v>#REF!</v>
      </c>
      <c r="AT21" s="862" t="e">
        <f t="shared" ref="AT21" si="42">AT3/#REF!*#REF!</f>
        <v>#REF!</v>
      </c>
      <c r="AU21" s="862" t="e">
        <f t="shared" ref="AU21" si="43">AU3/#REF!*#REF!</f>
        <v>#REF!</v>
      </c>
      <c r="AV21" s="862" t="e">
        <f t="shared" ref="AV21" si="44">AV3/#REF!*#REF!</f>
        <v>#REF!</v>
      </c>
      <c r="AW21" s="862" t="e">
        <f t="shared" ref="AW21" si="45">AW3/#REF!*#REF!</f>
        <v>#REF!</v>
      </c>
      <c r="AX21" s="862" t="e">
        <f t="shared" ref="AX21" si="46">AX3/#REF!*#REF!</f>
        <v>#REF!</v>
      </c>
      <c r="AY21" s="862" t="e">
        <f t="shared" ref="AY21" si="47">AY3/#REF!*#REF!</f>
        <v>#REF!</v>
      </c>
      <c r="AZ21" s="862" t="e">
        <f t="shared" ref="AZ21" si="48">AZ3/#REF!*#REF!</f>
        <v>#REF!</v>
      </c>
      <c r="BA21" s="862" t="e">
        <f t="shared" ref="BA21" si="49">BA3/#REF!*#REF!</f>
        <v>#REF!</v>
      </c>
      <c r="BB21" s="862" t="e">
        <f t="shared" ref="BB21" si="50">BB3/#REF!*#REF!</f>
        <v>#REF!</v>
      </c>
      <c r="BC21" s="862" t="e">
        <f t="shared" ref="BC21" si="51">BC3/#REF!*#REF!</f>
        <v>#REF!</v>
      </c>
      <c r="BD21" s="862" t="e">
        <f t="shared" ref="BD21" si="52">BD3/#REF!*#REF!</f>
        <v>#REF!</v>
      </c>
      <c r="BE21" s="862" t="e">
        <f t="shared" ref="BE21" si="53">BE3/#REF!*#REF!</f>
        <v>#REF!</v>
      </c>
      <c r="BF21" s="862" t="e">
        <f t="shared" ref="BF21" si="54">BF3/#REF!*#REF!</f>
        <v>#REF!</v>
      </c>
      <c r="BG21" s="862" t="e">
        <f t="shared" ref="BG21" si="55">BG3/#REF!*#REF!</f>
        <v>#REF!</v>
      </c>
      <c r="BH21" s="862" t="e">
        <f t="shared" ref="BH21" si="56">BH3/#REF!*#REF!</f>
        <v>#REF!</v>
      </c>
      <c r="BI21" s="862" t="e">
        <f t="shared" ref="BI21" si="57">BI3/#REF!*#REF!</f>
        <v>#REF!</v>
      </c>
      <c r="BJ21" s="862" t="e">
        <f t="shared" ref="BJ21" si="58">BJ3/#REF!*#REF!</f>
        <v>#REF!</v>
      </c>
      <c r="BK21" s="862" t="e">
        <f t="shared" ref="BK21" si="59">BK3/#REF!*#REF!</f>
        <v>#REF!</v>
      </c>
      <c r="BL21" s="862" t="e">
        <f t="shared" ref="BL21" si="60">BL3/#REF!*#REF!</f>
        <v>#REF!</v>
      </c>
      <c r="BM21" s="862" t="e">
        <f t="shared" ref="BM21" si="61">BM3/#REF!*#REF!</f>
        <v>#REF!</v>
      </c>
      <c r="BN21" s="862" t="e">
        <f t="shared" ref="BN21" si="62">BN3/#REF!*#REF!</f>
        <v>#REF!</v>
      </c>
      <c r="BO21" s="862" t="e">
        <f t="shared" ref="BO21" si="63">BO3/#REF!*#REF!</f>
        <v>#REF!</v>
      </c>
      <c r="BP21" s="862" t="e">
        <f t="shared" ref="BP21" si="64">BP3/#REF!*#REF!</f>
        <v>#REF!</v>
      </c>
      <c r="BQ21" s="862" t="e">
        <f t="shared" ref="BQ21" si="65">BQ3/#REF!*#REF!</f>
        <v>#REF!</v>
      </c>
      <c r="BR21" s="862" t="e">
        <f t="shared" ref="BR21" si="66">BR3/#REF!*#REF!</f>
        <v>#REF!</v>
      </c>
      <c r="BS21" s="862" t="e">
        <f t="shared" ref="BS21" si="67">BS3/#REF!*#REF!</f>
        <v>#REF!</v>
      </c>
      <c r="BT21" s="862" t="e">
        <f t="shared" ref="BT21" si="68">BT3/#REF!*#REF!</f>
        <v>#REF!</v>
      </c>
      <c r="BU21" s="862" t="e">
        <f t="shared" ref="BU21" si="69">BU3/#REF!*#REF!</f>
        <v>#REF!</v>
      </c>
      <c r="BV21" s="862" t="e">
        <f t="shared" ref="BV21" si="70">BV3/#REF!*#REF!</f>
        <v>#REF!</v>
      </c>
      <c r="BW21" s="862" t="e">
        <f t="shared" ref="BW21" si="71">BW3/#REF!*#REF!</f>
        <v>#REF!</v>
      </c>
      <c r="BX21" s="862" t="e">
        <f t="shared" ref="BX21" si="72">BX3/#REF!*#REF!</f>
        <v>#REF!</v>
      </c>
      <c r="BY21" s="862" t="e">
        <f t="shared" ref="BY21" si="73">BY3/#REF!*#REF!</f>
        <v>#REF!</v>
      </c>
      <c r="BZ21" s="862" t="e">
        <f t="shared" ref="BZ21" si="74">BZ3/#REF!*#REF!</f>
        <v>#REF!</v>
      </c>
      <c r="CA21" s="862" t="e">
        <f t="shared" ref="CA21" si="75">CA3/#REF!*#REF!</f>
        <v>#REF!</v>
      </c>
      <c r="CB21" s="862" t="e">
        <f t="shared" ref="CB21" si="76">CB3/#REF!*#REF!</f>
        <v>#REF!</v>
      </c>
      <c r="CC21" s="862" t="e">
        <f t="shared" ref="CC21" si="77">CC3/#REF!*#REF!</f>
        <v>#REF!</v>
      </c>
      <c r="CD21" s="862" t="e">
        <f t="shared" ref="CD21" si="78">CD3/#REF!*#REF!</f>
        <v>#REF!</v>
      </c>
      <c r="CE21" s="862" t="e">
        <f t="shared" ref="CE21" si="79">CE3/#REF!*#REF!</f>
        <v>#REF!</v>
      </c>
      <c r="CF21" s="863" t="e">
        <f t="shared" ref="CF21" si="80">CF3/#REF!*#REF!</f>
        <v>#REF!</v>
      </c>
    </row>
    <row r="22" spans="1:84">
      <c r="A22" s="852"/>
      <c r="B22" s="860" t="s">
        <v>742</v>
      </c>
      <c r="C22" s="861" t="s">
        <v>741</v>
      </c>
      <c r="D22" s="864">
        <v>6.6368984891397836E-2</v>
      </c>
      <c r="E22" s="864">
        <v>6.6368984891397836E-2</v>
      </c>
      <c r="F22" s="864">
        <v>6.6368984891397836E-2</v>
      </c>
      <c r="G22" s="864">
        <v>6.6368984891397836E-2</v>
      </c>
      <c r="H22" s="864">
        <v>6.6368984891397836E-2</v>
      </c>
      <c r="I22" s="864">
        <v>6.6368984891397836E-2</v>
      </c>
      <c r="J22" s="864">
        <v>6.6368984891397836E-2</v>
      </c>
      <c r="K22" s="864">
        <v>6.6368984891397836E-2</v>
      </c>
      <c r="L22" s="864">
        <v>6.6368984891397836E-2</v>
      </c>
      <c r="M22" s="864">
        <v>6.6368984891397836E-2</v>
      </c>
      <c r="N22" s="864">
        <v>6.6368984891397836E-2</v>
      </c>
      <c r="O22" s="864">
        <v>6.6368984891397836E-2</v>
      </c>
      <c r="P22" s="864">
        <v>6.6368984891397836E-2</v>
      </c>
      <c r="Q22" s="864">
        <v>6.6368984891397836E-2</v>
      </c>
      <c r="R22" s="864">
        <v>6.6368984891397836E-2</v>
      </c>
      <c r="S22" s="864">
        <v>6.6368984891397836E-2</v>
      </c>
      <c r="T22" s="864">
        <v>6.6368984891397836E-2</v>
      </c>
      <c r="U22" s="864">
        <v>6.6368984891397836E-2</v>
      </c>
      <c r="V22" s="864">
        <v>6.6368984891397836E-2</v>
      </c>
      <c r="W22" s="864">
        <v>6.6368984891397836E-2</v>
      </c>
      <c r="X22" s="864">
        <v>6.6368984891397836E-2</v>
      </c>
      <c r="Y22" s="864">
        <v>6.6368984891397836E-2</v>
      </c>
      <c r="Z22" s="864">
        <v>6.6368984891397836E-2</v>
      </c>
      <c r="AA22" s="864">
        <v>6.6368984891397836E-2</v>
      </c>
      <c r="AB22" s="864">
        <v>6.6368984891397836E-2</v>
      </c>
      <c r="AC22" s="864">
        <v>6.6368984891397836E-2</v>
      </c>
      <c r="AD22" s="864">
        <v>6.6368984891397836E-2</v>
      </c>
      <c r="AE22" s="864">
        <v>6.6368984891397836E-2</v>
      </c>
      <c r="AF22" s="864">
        <v>6.6368984891397836E-2</v>
      </c>
      <c r="AG22" s="864">
        <v>6.6368984891397836E-2</v>
      </c>
      <c r="AH22" s="864">
        <v>6.6368984891397836E-2</v>
      </c>
      <c r="AI22" s="864">
        <v>6.6368984891397836E-2</v>
      </c>
      <c r="AJ22" s="864">
        <v>6.6368984891397836E-2</v>
      </c>
      <c r="AK22" s="864">
        <v>6.6368984891397836E-2</v>
      </c>
      <c r="AL22" s="864">
        <v>6.6368984891397836E-2</v>
      </c>
      <c r="AM22" s="864">
        <v>6.6368984891397836E-2</v>
      </c>
      <c r="AN22" s="864">
        <v>6.6368984891397836E-2</v>
      </c>
      <c r="AO22" s="864">
        <v>6.6368984891397836E-2</v>
      </c>
      <c r="AP22" s="864">
        <v>6.6368984891397836E-2</v>
      </c>
      <c r="AQ22" s="864">
        <v>6.6368984891397836E-2</v>
      </c>
      <c r="AR22" s="864">
        <v>6.6368984891397836E-2</v>
      </c>
      <c r="AS22" s="864">
        <v>6.6368984891397836E-2</v>
      </c>
      <c r="AT22" s="864">
        <v>6.6368984891397836E-2</v>
      </c>
      <c r="AU22" s="864">
        <v>6.6368984891397836E-2</v>
      </c>
      <c r="AV22" s="864">
        <v>6.6368984891397836E-2</v>
      </c>
      <c r="AW22" s="864">
        <v>6.6368984891397836E-2</v>
      </c>
      <c r="AX22" s="864">
        <v>6.6368984891397836E-2</v>
      </c>
      <c r="AY22" s="864">
        <v>6.6368984891397836E-2</v>
      </c>
      <c r="AZ22" s="864">
        <v>6.6368984891397836E-2</v>
      </c>
      <c r="BA22" s="864">
        <v>6.6368984891397836E-2</v>
      </c>
      <c r="BB22" s="864">
        <v>6.6368984891397836E-2</v>
      </c>
      <c r="BC22" s="864">
        <v>6.6368984891397836E-2</v>
      </c>
      <c r="BD22" s="864">
        <v>6.6368984891397836E-2</v>
      </c>
      <c r="BE22" s="864">
        <v>6.6368984891397836E-2</v>
      </c>
      <c r="BF22" s="864">
        <v>6.6368984891397836E-2</v>
      </c>
      <c r="BG22" s="864">
        <v>6.6368984891397836E-2</v>
      </c>
      <c r="BH22" s="864">
        <v>6.6368984891397836E-2</v>
      </c>
      <c r="BI22" s="864">
        <v>6.6368984891397836E-2</v>
      </c>
      <c r="BJ22" s="864">
        <v>6.6368984891397836E-2</v>
      </c>
      <c r="BK22" s="864">
        <v>6.6368984891397836E-2</v>
      </c>
      <c r="BL22" s="864">
        <v>6.6368984891397836E-2</v>
      </c>
      <c r="BM22" s="864">
        <v>6.6368984891397836E-2</v>
      </c>
      <c r="BN22" s="864">
        <v>6.6368984891397836E-2</v>
      </c>
      <c r="BO22" s="864">
        <v>6.6368984891397836E-2</v>
      </c>
      <c r="BP22" s="864">
        <v>6.6368984891397836E-2</v>
      </c>
      <c r="BQ22" s="864">
        <v>6.6368984891397836E-2</v>
      </c>
      <c r="BR22" s="864">
        <v>6.6368984891397836E-2</v>
      </c>
      <c r="BS22" s="864">
        <v>6.6368984891397836E-2</v>
      </c>
      <c r="BT22" s="864">
        <v>6.6368984891397836E-2</v>
      </c>
      <c r="BU22" s="864">
        <v>6.6368984891397836E-2</v>
      </c>
      <c r="BV22" s="864">
        <v>6.6368984891397836E-2</v>
      </c>
      <c r="BW22" s="864">
        <v>6.6368984891397836E-2</v>
      </c>
      <c r="BX22" s="864">
        <v>6.6368984891397836E-2</v>
      </c>
      <c r="BY22" s="864">
        <v>6.6368984891397836E-2</v>
      </c>
      <c r="BZ22" s="864">
        <v>6.6368984891397836E-2</v>
      </c>
      <c r="CA22" s="864">
        <v>6.6368984891397836E-2</v>
      </c>
      <c r="CB22" s="864">
        <v>6.6368984891397836E-2</v>
      </c>
      <c r="CC22" s="864">
        <v>6.6368984891397836E-2</v>
      </c>
      <c r="CD22" s="864">
        <v>6.6368984891397836E-2</v>
      </c>
      <c r="CE22" s="864">
        <v>6.6368984891397836E-2</v>
      </c>
      <c r="CF22" s="865">
        <v>6.6368984891397836E-2</v>
      </c>
    </row>
    <row r="23" spans="1:84">
      <c r="A23" s="852"/>
      <c r="B23" s="860" t="s">
        <v>743</v>
      </c>
      <c r="C23" s="861" t="s">
        <v>741</v>
      </c>
      <c r="D23" s="864">
        <v>0.6887150017233501</v>
      </c>
      <c r="E23" s="864">
        <v>0.6887150017233501</v>
      </c>
      <c r="F23" s="864">
        <v>0.6887150017233501</v>
      </c>
      <c r="G23" s="864">
        <v>0.6887150017233501</v>
      </c>
      <c r="H23" s="864">
        <v>0.6887150017233501</v>
      </c>
      <c r="I23" s="864">
        <v>0.6887150017233501</v>
      </c>
      <c r="J23" s="864">
        <v>0.6887150017233501</v>
      </c>
      <c r="K23" s="864">
        <v>0.6887150017233501</v>
      </c>
      <c r="L23" s="864">
        <v>0.6887150017233501</v>
      </c>
      <c r="M23" s="864">
        <v>0.6887150017233501</v>
      </c>
      <c r="N23" s="864">
        <v>0.6887150017233501</v>
      </c>
      <c r="O23" s="864">
        <v>0.6887150017233501</v>
      </c>
      <c r="P23" s="864">
        <v>0.6887150017233501</v>
      </c>
      <c r="Q23" s="864">
        <v>0.6887150017233501</v>
      </c>
      <c r="R23" s="864">
        <v>0.6887150017233501</v>
      </c>
      <c r="S23" s="864">
        <v>0.6887150017233501</v>
      </c>
      <c r="T23" s="864">
        <v>0.6887150017233501</v>
      </c>
      <c r="U23" s="864">
        <v>0.6887150017233501</v>
      </c>
      <c r="V23" s="864">
        <v>0.6887150017233501</v>
      </c>
      <c r="W23" s="864">
        <v>0.6887150017233501</v>
      </c>
      <c r="X23" s="864">
        <v>0.6887150017233501</v>
      </c>
      <c r="Y23" s="864">
        <v>0.6887150017233501</v>
      </c>
      <c r="Z23" s="864">
        <v>0.6887150017233501</v>
      </c>
      <c r="AA23" s="864">
        <v>0.6887150017233501</v>
      </c>
      <c r="AB23" s="864">
        <v>0.6887150017233501</v>
      </c>
      <c r="AC23" s="864">
        <v>0.6887150017233501</v>
      </c>
      <c r="AD23" s="864">
        <v>0.6887150017233501</v>
      </c>
      <c r="AE23" s="864">
        <v>0.6887150017233501</v>
      </c>
      <c r="AF23" s="864">
        <v>0.6887150017233501</v>
      </c>
      <c r="AG23" s="864">
        <v>0.6887150017233501</v>
      </c>
      <c r="AH23" s="864">
        <v>0.6887150017233501</v>
      </c>
      <c r="AI23" s="864">
        <v>0.6887150017233501</v>
      </c>
      <c r="AJ23" s="864">
        <v>0.6887150017233501</v>
      </c>
      <c r="AK23" s="864">
        <v>0.6887150017233501</v>
      </c>
      <c r="AL23" s="864">
        <v>0.6887150017233501</v>
      </c>
      <c r="AM23" s="864">
        <v>0.6887150017233501</v>
      </c>
      <c r="AN23" s="864">
        <v>0.6887150017233501</v>
      </c>
      <c r="AO23" s="864">
        <v>0.6887150017233501</v>
      </c>
      <c r="AP23" s="864">
        <v>0.6887150017233501</v>
      </c>
      <c r="AQ23" s="864">
        <v>0.6887150017233501</v>
      </c>
      <c r="AR23" s="864">
        <v>0.6887150017233501</v>
      </c>
      <c r="AS23" s="864">
        <v>0.6887150017233501</v>
      </c>
      <c r="AT23" s="864">
        <v>0.6887150017233501</v>
      </c>
      <c r="AU23" s="864">
        <v>0.6887150017233501</v>
      </c>
      <c r="AV23" s="864">
        <v>0.6887150017233501</v>
      </c>
      <c r="AW23" s="864">
        <v>0.6887150017233501</v>
      </c>
      <c r="AX23" s="864">
        <v>0.6887150017233501</v>
      </c>
      <c r="AY23" s="864">
        <v>0.6887150017233501</v>
      </c>
      <c r="AZ23" s="864">
        <v>0.6887150017233501</v>
      </c>
      <c r="BA23" s="864">
        <v>0.6887150017233501</v>
      </c>
      <c r="BB23" s="864">
        <v>0.6887150017233501</v>
      </c>
      <c r="BC23" s="864">
        <v>0.6887150017233501</v>
      </c>
      <c r="BD23" s="864">
        <v>0.6887150017233501</v>
      </c>
      <c r="BE23" s="864">
        <v>0.6887150017233501</v>
      </c>
      <c r="BF23" s="864">
        <v>0.6887150017233501</v>
      </c>
      <c r="BG23" s="864">
        <v>0.6887150017233501</v>
      </c>
      <c r="BH23" s="864">
        <v>0.6887150017233501</v>
      </c>
      <c r="BI23" s="864">
        <v>0.6887150017233501</v>
      </c>
      <c r="BJ23" s="864">
        <v>0.6887150017233501</v>
      </c>
      <c r="BK23" s="864">
        <v>0.6887150017233501</v>
      </c>
      <c r="BL23" s="864">
        <v>0.6887150017233501</v>
      </c>
      <c r="BM23" s="864">
        <v>0.6887150017233501</v>
      </c>
      <c r="BN23" s="864">
        <v>0.6887150017233501</v>
      </c>
      <c r="BO23" s="864">
        <v>0.6887150017233501</v>
      </c>
      <c r="BP23" s="864">
        <v>0.6887150017233501</v>
      </c>
      <c r="BQ23" s="864">
        <v>0.6887150017233501</v>
      </c>
      <c r="BR23" s="864">
        <v>0.6887150017233501</v>
      </c>
      <c r="BS23" s="864">
        <v>0.6887150017233501</v>
      </c>
      <c r="BT23" s="864">
        <v>0.6887150017233501</v>
      </c>
      <c r="BU23" s="864">
        <v>0.6887150017233501</v>
      </c>
      <c r="BV23" s="864">
        <v>0.6887150017233501</v>
      </c>
      <c r="BW23" s="864">
        <v>0.6887150017233501</v>
      </c>
      <c r="BX23" s="864">
        <v>0.6887150017233501</v>
      </c>
      <c r="BY23" s="864">
        <v>0.6887150017233501</v>
      </c>
      <c r="BZ23" s="864">
        <v>0.6887150017233501</v>
      </c>
      <c r="CA23" s="864">
        <v>0.6887150017233501</v>
      </c>
      <c r="CB23" s="864">
        <v>0.6887150017233501</v>
      </c>
      <c r="CC23" s="864">
        <v>0.6887150017233501</v>
      </c>
      <c r="CD23" s="864">
        <v>0.6887150017233501</v>
      </c>
      <c r="CE23" s="864">
        <v>0.6887150017233501</v>
      </c>
      <c r="CF23" s="865">
        <v>0.6887150017233501</v>
      </c>
    </row>
    <row r="24" spans="1:84">
      <c r="A24" s="852"/>
      <c r="B24" s="866" t="s">
        <v>744</v>
      </c>
      <c r="C24" s="867" t="s">
        <v>741</v>
      </c>
      <c r="D24" s="868">
        <v>0.34914692121942353</v>
      </c>
      <c r="E24" s="869">
        <v>0.34914692121942353</v>
      </c>
      <c r="F24" s="869">
        <v>0.34914692121942353</v>
      </c>
      <c r="G24" s="869">
        <v>0.34914692121942353</v>
      </c>
      <c r="H24" s="869">
        <v>0.34914692121942353</v>
      </c>
      <c r="I24" s="869">
        <v>0.34914692121942353</v>
      </c>
      <c r="J24" s="869">
        <v>0.34914692121942353</v>
      </c>
      <c r="K24" s="869">
        <v>0.34914692121942353</v>
      </c>
      <c r="L24" s="869">
        <v>0.34914692121942353</v>
      </c>
      <c r="M24" s="869">
        <v>0.34914692121942353</v>
      </c>
      <c r="N24" s="869">
        <v>0.34914692121942353</v>
      </c>
      <c r="O24" s="869">
        <v>0.34914692121942353</v>
      </c>
      <c r="P24" s="869">
        <v>0.34914692121942353</v>
      </c>
      <c r="Q24" s="869">
        <v>0.34914692121942353</v>
      </c>
      <c r="R24" s="869">
        <v>0.34914692121942353</v>
      </c>
      <c r="S24" s="869">
        <v>0.34914692121942353</v>
      </c>
      <c r="T24" s="869">
        <v>0.34914692121942353</v>
      </c>
      <c r="U24" s="869">
        <v>0.34914692121942353</v>
      </c>
      <c r="V24" s="869">
        <v>0.34914692121942353</v>
      </c>
      <c r="W24" s="869">
        <v>0.34914692121942353</v>
      </c>
      <c r="X24" s="869">
        <v>0.34914692121942353</v>
      </c>
      <c r="Y24" s="869">
        <v>0.34914692121942353</v>
      </c>
      <c r="Z24" s="869">
        <v>0.34914692121942353</v>
      </c>
      <c r="AA24" s="869">
        <v>0.34914692121942353</v>
      </c>
      <c r="AB24" s="869">
        <v>0.34914692121942353</v>
      </c>
      <c r="AC24" s="869">
        <v>0.34914692121942353</v>
      </c>
      <c r="AD24" s="869">
        <v>0.34914692121942353</v>
      </c>
      <c r="AE24" s="869">
        <v>0.34914692121942353</v>
      </c>
      <c r="AF24" s="869">
        <v>0.34914692121942353</v>
      </c>
      <c r="AG24" s="869">
        <v>0.34914692121942353</v>
      </c>
      <c r="AH24" s="869">
        <v>0.34914692121942353</v>
      </c>
      <c r="AI24" s="869">
        <v>0.34914692121942353</v>
      </c>
      <c r="AJ24" s="869">
        <v>0.34914692121942353</v>
      </c>
      <c r="AK24" s="869">
        <v>0.34914692121942353</v>
      </c>
      <c r="AL24" s="869">
        <v>0.34914692121942353</v>
      </c>
      <c r="AM24" s="869">
        <v>0.34914692121942353</v>
      </c>
      <c r="AN24" s="869">
        <v>0.34914692121942353</v>
      </c>
      <c r="AO24" s="869">
        <v>0.34914692121942353</v>
      </c>
      <c r="AP24" s="869">
        <v>0.34914692121942353</v>
      </c>
      <c r="AQ24" s="869">
        <v>0.34914692121942353</v>
      </c>
      <c r="AR24" s="869">
        <v>0.34914692121942353</v>
      </c>
      <c r="AS24" s="869">
        <v>0.34914692121942353</v>
      </c>
      <c r="AT24" s="869">
        <v>0.34914692121942353</v>
      </c>
      <c r="AU24" s="869">
        <v>0.34914692121942353</v>
      </c>
      <c r="AV24" s="869">
        <v>0.34914692121942353</v>
      </c>
      <c r="AW24" s="869">
        <v>0.34914692121942353</v>
      </c>
      <c r="AX24" s="869">
        <v>0.34914692121942353</v>
      </c>
      <c r="AY24" s="869">
        <v>0.34914692121942353</v>
      </c>
      <c r="AZ24" s="869">
        <v>0.34914692121942353</v>
      </c>
      <c r="BA24" s="869">
        <v>0.34914692121942353</v>
      </c>
      <c r="BB24" s="869">
        <v>0.34914692121942353</v>
      </c>
      <c r="BC24" s="869">
        <v>0.34914692121942353</v>
      </c>
      <c r="BD24" s="869">
        <v>0.34914692121942353</v>
      </c>
      <c r="BE24" s="869">
        <v>0.34914692121942353</v>
      </c>
      <c r="BF24" s="869">
        <v>0.34914692121942353</v>
      </c>
      <c r="BG24" s="869">
        <v>0.34914692121942353</v>
      </c>
      <c r="BH24" s="869">
        <v>0.34914692121942353</v>
      </c>
      <c r="BI24" s="869">
        <v>0.34914692121942353</v>
      </c>
      <c r="BJ24" s="869">
        <v>0.34914692121942353</v>
      </c>
      <c r="BK24" s="869">
        <v>0.34914692121942353</v>
      </c>
      <c r="BL24" s="869">
        <v>0.34914692121942353</v>
      </c>
      <c r="BM24" s="869">
        <v>0.34914692121942353</v>
      </c>
      <c r="BN24" s="869">
        <v>0.34914692121942353</v>
      </c>
      <c r="BO24" s="869">
        <v>0.34914692121942353</v>
      </c>
      <c r="BP24" s="869">
        <v>0.34914692121942353</v>
      </c>
      <c r="BQ24" s="869">
        <v>0.34914692121942353</v>
      </c>
      <c r="BR24" s="869">
        <v>0.34914692121942353</v>
      </c>
      <c r="BS24" s="869">
        <v>0.34914692121942353</v>
      </c>
      <c r="BT24" s="869">
        <v>0.34914692121942353</v>
      </c>
      <c r="BU24" s="869">
        <v>0.34914692121942353</v>
      </c>
      <c r="BV24" s="869">
        <v>0.34914692121942353</v>
      </c>
      <c r="BW24" s="869">
        <v>0.34914692121942353</v>
      </c>
      <c r="BX24" s="869">
        <v>0.34914692121942353</v>
      </c>
      <c r="BY24" s="869">
        <v>0.34914692121942353</v>
      </c>
      <c r="BZ24" s="869">
        <v>0.34914692121942353</v>
      </c>
      <c r="CA24" s="869">
        <v>0.34914692121942353</v>
      </c>
      <c r="CB24" s="869">
        <v>0.34914692121942353</v>
      </c>
      <c r="CC24" s="869">
        <v>0.34914692121942353</v>
      </c>
      <c r="CD24" s="869">
        <v>0.34914692121942353</v>
      </c>
      <c r="CE24" s="869">
        <v>0.34914692121942353</v>
      </c>
      <c r="CF24" s="870">
        <v>0.34914692121942353</v>
      </c>
    </row>
    <row r="25" spans="1:84">
      <c r="A25" s="852"/>
      <c r="B25" s="860" t="str">
        <f>CONCATENATE("Drivmiddel (", $D$122,"-priser)")</f>
        <v>Drivmiddel (-priser)</v>
      </c>
      <c r="C25" s="861" t="s">
        <v>745</v>
      </c>
      <c r="D25" s="862" t="e">
        <f t="shared" ref="D25" si="81">D6/#REF!*#REF!</f>
        <v>#REF!</v>
      </c>
      <c r="E25" s="862" t="e">
        <f t="shared" ref="E25" si="82">E6/#REF!*#REF!</f>
        <v>#REF!</v>
      </c>
      <c r="F25" s="862" t="e">
        <f t="shared" ref="F25" si="83">F6/#REF!*#REF!</f>
        <v>#REF!</v>
      </c>
      <c r="G25" s="862" t="e">
        <f t="shared" ref="G25" si="84">G6/#REF!*#REF!</f>
        <v>#REF!</v>
      </c>
      <c r="H25" s="862" t="e">
        <f t="shared" ref="H25" si="85">H6/#REF!*#REF!</f>
        <v>#REF!</v>
      </c>
      <c r="I25" s="862" t="e">
        <f t="shared" ref="I25" si="86">I6/#REF!*#REF!</f>
        <v>#REF!</v>
      </c>
      <c r="J25" s="862" t="e">
        <f t="shared" ref="J25" si="87">J6/#REF!*#REF!</f>
        <v>#REF!</v>
      </c>
      <c r="K25" s="862" t="e">
        <f t="shared" ref="K25" si="88">K6/#REF!*#REF!</f>
        <v>#REF!</v>
      </c>
      <c r="L25" s="862" t="e">
        <f t="shared" ref="L25" si="89">L6/#REF!*#REF!</f>
        <v>#REF!</v>
      </c>
      <c r="M25" s="862" t="e">
        <f t="shared" ref="M25" si="90">M6/#REF!*#REF!</f>
        <v>#REF!</v>
      </c>
      <c r="N25" s="862" t="e">
        <f t="shared" ref="N25" si="91">N6/#REF!*#REF!</f>
        <v>#REF!</v>
      </c>
      <c r="O25" s="862" t="e">
        <f t="shared" ref="O25" si="92">O6/#REF!*#REF!</f>
        <v>#REF!</v>
      </c>
      <c r="P25" s="862" t="e">
        <f t="shared" ref="P25" si="93">P6/#REF!*#REF!</f>
        <v>#REF!</v>
      </c>
      <c r="Q25" s="862" t="e">
        <f t="shared" ref="Q25" si="94">Q6/#REF!*#REF!</f>
        <v>#REF!</v>
      </c>
      <c r="R25" s="862" t="e">
        <f t="shared" ref="R25" si="95">R6/#REF!*#REF!</f>
        <v>#REF!</v>
      </c>
      <c r="S25" s="862" t="e">
        <f t="shared" ref="S25" si="96">S6/#REF!*#REF!</f>
        <v>#REF!</v>
      </c>
      <c r="T25" s="862" t="e">
        <f t="shared" ref="T25" si="97">T6/#REF!*#REF!</f>
        <v>#REF!</v>
      </c>
      <c r="U25" s="862" t="e">
        <f t="shared" ref="U25" si="98">U6/#REF!*#REF!</f>
        <v>#REF!</v>
      </c>
      <c r="V25" s="862" t="e">
        <f t="shared" ref="V25" si="99">V6/#REF!*#REF!</f>
        <v>#REF!</v>
      </c>
      <c r="W25" s="862" t="e">
        <f t="shared" ref="W25" si="100">W6/#REF!*#REF!</f>
        <v>#REF!</v>
      </c>
      <c r="X25" s="862" t="e">
        <f t="shared" ref="X25" si="101">X6/#REF!*#REF!</f>
        <v>#REF!</v>
      </c>
      <c r="Y25" s="862" t="e">
        <f t="shared" ref="Y25" si="102">Y6/#REF!*#REF!</f>
        <v>#REF!</v>
      </c>
      <c r="Z25" s="862" t="e">
        <f t="shared" ref="Z25" si="103">Z6/#REF!*#REF!</f>
        <v>#REF!</v>
      </c>
      <c r="AA25" s="862" t="e">
        <f t="shared" ref="AA25" si="104">AA6/#REF!*#REF!</f>
        <v>#REF!</v>
      </c>
      <c r="AB25" s="862" t="e">
        <f t="shared" ref="AB25" si="105">AB6/#REF!*#REF!</f>
        <v>#REF!</v>
      </c>
      <c r="AC25" s="862" t="e">
        <f t="shared" ref="AC25" si="106">AC6/#REF!*#REF!</f>
        <v>#REF!</v>
      </c>
      <c r="AD25" s="862" t="e">
        <f t="shared" ref="AD25" si="107">AD6/#REF!*#REF!</f>
        <v>#REF!</v>
      </c>
      <c r="AE25" s="862" t="e">
        <f t="shared" ref="AE25" si="108">AE6/#REF!*#REF!</f>
        <v>#REF!</v>
      </c>
      <c r="AF25" s="862" t="e">
        <f t="shared" ref="AF25" si="109">AF6/#REF!*#REF!</f>
        <v>#REF!</v>
      </c>
      <c r="AG25" s="862" t="e">
        <f t="shared" ref="AG25" si="110">AG6/#REF!*#REF!</f>
        <v>#REF!</v>
      </c>
      <c r="AH25" s="862" t="e">
        <f t="shared" ref="AH25" si="111">AH6/#REF!*#REF!</f>
        <v>#REF!</v>
      </c>
      <c r="AI25" s="862" t="e">
        <f t="shared" ref="AI25" si="112">AI6/#REF!*#REF!</f>
        <v>#REF!</v>
      </c>
      <c r="AJ25" s="862" t="e">
        <f t="shared" ref="AJ25" si="113">AJ6/#REF!*#REF!</f>
        <v>#REF!</v>
      </c>
      <c r="AK25" s="862" t="e">
        <f t="shared" ref="AK25" si="114">AK6/#REF!*#REF!</f>
        <v>#REF!</v>
      </c>
      <c r="AL25" s="862" t="e">
        <f t="shared" ref="AL25" si="115">AL6/#REF!*#REF!</f>
        <v>#REF!</v>
      </c>
      <c r="AM25" s="862" t="e">
        <f t="shared" ref="AM25" si="116">AM6/#REF!*#REF!</f>
        <v>#REF!</v>
      </c>
      <c r="AN25" s="862" t="e">
        <f t="shared" ref="AN25" si="117">AN6/#REF!*#REF!</f>
        <v>#REF!</v>
      </c>
      <c r="AO25" s="862" t="e">
        <f t="shared" ref="AO25" si="118">AO6/#REF!*#REF!</f>
        <v>#REF!</v>
      </c>
      <c r="AP25" s="862" t="e">
        <f t="shared" ref="AP25" si="119">AP6/#REF!*#REF!</f>
        <v>#REF!</v>
      </c>
      <c r="AQ25" s="862" t="e">
        <f t="shared" ref="AQ25" si="120">AQ6/#REF!*#REF!</f>
        <v>#REF!</v>
      </c>
      <c r="AR25" s="862" t="e">
        <f t="shared" ref="AR25" si="121">AR6/#REF!*#REF!</f>
        <v>#REF!</v>
      </c>
      <c r="AS25" s="862" t="e">
        <f t="shared" ref="AS25" si="122">AS6/#REF!*#REF!</f>
        <v>#REF!</v>
      </c>
      <c r="AT25" s="862" t="e">
        <f t="shared" ref="AT25" si="123">AT6/#REF!*#REF!</f>
        <v>#REF!</v>
      </c>
      <c r="AU25" s="862" t="e">
        <f t="shared" ref="AU25" si="124">AU6/#REF!*#REF!</f>
        <v>#REF!</v>
      </c>
      <c r="AV25" s="862" t="e">
        <f t="shared" ref="AV25" si="125">AV6/#REF!*#REF!</f>
        <v>#REF!</v>
      </c>
      <c r="AW25" s="862" t="e">
        <f t="shared" ref="AW25" si="126">AW6/#REF!*#REF!</f>
        <v>#REF!</v>
      </c>
      <c r="AX25" s="862" t="e">
        <f t="shared" ref="AX25" si="127">AX6/#REF!*#REF!</f>
        <v>#REF!</v>
      </c>
      <c r="AY25" s="862" t="e">
        <f t="shared" ref="AY25" si="128">AY6/#REF!*#REF!</f>
        <v>#REF!</v>
      </c>
      <c r="AZ25" s="862" t="e">
        <f t="shared" ref="AZ25" si="129">AZ6/#REF!*#REF!</f>
        <v>#REF!</v>
      </c>
      <c r="BA25" s="862" t="e">
        <f t="shared" ref="BA25" si="130">BA6/#REF!*#REF!</f>
        <v>#REF!</v>
      </c>
      <c r="BB25" s="862" t="e">
        <f t="shared" ref="BB25" si="131">BB6/#REF!*#REF!</f>
        <v>#REF!</v>
      </c>
      <c r="BC25" s="862" t="e">
        <f t="shared" ref="BC25" si="132">BC6/#REF!*#REF!</f>
        <v>#REF!</v>
      </c>
      <c r="BD25" s="862" t="e">
        <f t="shared" ref="BD25" si="133">BD6/#REF!*#REF!</f>
        <v>#REF!</v>
      </c>
      <c r="BE25" s="862" t="e">
        <f t="shared" ref="BE25" si="134">BE6/#REF!*#REF!</f>
        <v>#REF!</v>
      </c>
      <c r="BF25" s="862" t="e">
        <f t="shared" ref="BF25" si="135">BF6/#REF!*#REF!</f>
        <v>#REF!</v>
      </c>
      <c r="BG25" s="862" t="e">
        <f t="shared" ref="BG25" si="136">BG6/#REF!*#REF!</f>
        <v>#REF!</v>
      </c>
      <c r="BH25" s="862" t="e">
        <f t="shared" ref="BH25" si="137">BH6/#REF!*#REF!</f>
        <v>#REF!</v>
      </c>
      <c r="BI25" s="862" t="e">
        <f t="shared" ref="BI25" si="138">BI6/#REF!*#REF!</f>
        <v>#REF!</v>
      </c>
      <c r="BJ25" s="862" t="e">
        <f t="shared" ref="BJ25" si="139">BJ6/#REF!*#REF!</f>
        <v>#REF!</v>
      </c>
      <c r="BK25" s="862" t="e">
        <f t="shared" ref="BK25" si="140">BK6/#REF!*#REF!</f>
        <v>#REF!</v>
      </c>
      <c r="BL25" s="862" t="e">
        <f t="shared" ref="BL25" si="141">BL6/#REF!*#REF!</f>
        <v>#REF!</v>
      </c>
      <c r="BM25" s="862" t="e">
        <f t="shared" ref="BM25" si="142">BM6/#REF!*#REF!</f>
        <v>#REF!</v>
      </c>
      <c r="BN25" s="862" t="e">
        <f t="shared" ref="BN25" si="143">BN6/#REF!*#REF!</f>
        <v>#REF!</v>
      </c>
      <c r="BO25" s="862" t="e">
        <f t="shared" ref="BO25" si="144">BO6/#REF!*#REF!</f>
        <v>#REF!</v>
      </c>
      <c r="BP25" s="862" t="e">
        <f t="shared" ref="BP25" si="145">BP6/#REF!*#REF!</f>
        <v>#REF!</v>
      </c>
      <c r="BQ25" s="862" t="e">
        <f t="shared" ref="BQ25" si="146">BQ6/#REF!*#REF!</f>
        <v>#REF!</v>
      </c>
      <c r="BR25" s="862" t="e">
        <f t="shared" ref="BR25" si="147">BR6/#REF!*#REF!</f>
        <v>#REF!</v>
      </c>
      <c r="BS25" s="862" t="e">
        <f t="shared" ref="BS25" si="148">BS6/#REF!*#REF!</f>
        <v>#REF!</v>
      </c>
      <c r="BT25" s="862" t="e">
        <f t="shared" ref="BT25" si="149">BT6/#REF!*#REF!</f>
        <v>#REF!</v>
      </c>
      <c r="BU25" s="862" t="e">
        <f t="shared" ref="BU25" si="150">BU6/#REF!*#REF!</f>
        <v>#REF!</v>
      </c>
      <c r="BV25" s="862" t="e">
        <f t="shared" ref="BV25" si="151">BV6/#REF!*#REF!</f>
        <v>#REF!</v>
      </c>
      <c r="BW25" s="862" t="e">
        <f t="shared" ref="BW25" si="152">BW6/#REF!*#REF!</f>
        <v>#REF!</v>
      </c>
      <c r="BX25" s="862" t="e">
        <f t="shared" ref="BX25" si="153">BX6/#REF!*#REF!</f>
        <v>#REF!</v>
      </c>
      <c r="BY25" s="862" t="e">
        <f t="shared" ref="BY25" si="154">BY6/#REF!*#REF!</f>
        <v>#REF!</v>
      </c>
      <c r="BZ25" s="862" t="e">
        <f t="shared" ref="BZ25" si="155">BZ6/#REF!*#REF!</f>
        <v>#REF!</v>
      </c>
      <c r="CA25" s="862" t="e">
        <f t="shared" ref="CA25" si="156">CA6/#REF!*#REF!</f>
        <v>#REF!</v>
      </c>
      <c r="CB25" s="862" t="e">
        <f t="shared" ref="CB25" si="157">CB6/#REF!*#REF!</f>
        <v>#REF!</v>
      </c>
      <c r="CC25" s="862" t="e">
        <f t="shared" ref="CC25" si="158">CC6/#REF!*#REF!</f>
        <v>#REF!</v>
      </c>
      <c r="CD25" s="862" t="e">
        <f t="shared" ref="CD25" si="159">CD6/#REF!*#REF!</f>
        <v>#REF!</v>
      </c>
      <c r="CE25" s="862" t="e">
        <f t="shared" ref="CE25" si="160">CE6/#REF!*#REF!</f>
        <v>#REF!</v>
      </c>
      <c r="CF25" s="863" t="e">
        <f t="shared" ref="CF25" si="161">CF6/#REF!*#REF!</f>
        <v>#REF!</v>
      </c>
    </row>
    <row r="26" spans="1:84">
      <c r="A26" s="852"/>
      <c r="B26" s="860" t="s">
        <v>742</v>
      </c>
      <c r="C26" s="861" t="s">
        <v>745</v>
      </c>
      <c r="D26" s="864">
        <v>8.2961231114247289E-2</v>
      </c>
      <c r="E26" s="864">
        <v>8.2961231114247289E-2</v>
      </c>
      <c r="F26" s="864">
        <v>8.2961231114247289E-2</v>
      </c>
      <c r="G26" s="864">
        <v>8.2961231114247289E-2</v>
      </c>
      <c r="H26" s="864">
        <v>8.2961231114247289E-2</v>
      </c>
      <c r="I26" s="864">
        <v>8.2961231114247289E-2</v>
      </c>
      <c r="J26" s="864">
        <v>8.2961231114247289E-2</v>
      </c>
      <c r="K26" s="864">
        <v>8.2961231114247289E-2</v>
      </c>
      <c r="L26" s="864">
        <v>8.2961231114247289E-2</v>
      </c>
      <c r="M26" s="864">
        <v>8.2961231114247289E-2</v>
      </c>
      <c r="N26" s="864">
        <v>8.2961231114247289E-2</v>
      </c>
      <c r="O26" s="864">
        <v>8.2961231114247289E-2</v>
      </c>
      <c r="P26" s="864">
        <v>8.2961231114247289E-2</v>
      </c>
      <c r="Q26" s="864">
        <v>8.2961231114247289E-2</v>
      </c>
      <c r="R26" s="864">
        <v>8.2961231114247289E-2</v>
      </c>
      <c r="S26" s="864">
        <v>8.2961231114247289E-2</v>
      </c>
      <c r="T26" s="864">
        <v>8.2961231114247289E-2</v>
      </c>
      <c r="U26" s="864">
        <v>8.2961231114247289E-2</v>
      </c>
      <c r="V26" s="864">
        <v>8.2961231114247289E-2</v>
      </c>
      <c r="W26" s="864">
        <v>8.2961231114247289E-2</v>
      </c>
      <c r="X26" s="864">
        <v>8.2961231114247289E-2</v>
      </c>
      <c r="Y26" s="864">
        <v>8.2961231114247289E-2</v>
      </c>
      <c r="Z26" s="864">
        <v>8.2961231114247289E-2</v>
      </c>
      <c r="AA26" s="864">
        <v>8.2961231114247289E-2</v>
      </c>
      <c r="AB26" s="864">
        <v>8.2961231114247289E-2</v>
      </c>
      <c r="AC26" s="864">
        <v>8.2961231114247289E-2</v>
      </c>
      <c r="AD26" s="864">
        <v>8.2961231114247289E-2</v>
      </c>
      <c r="AE26" s="864">
        <v>8.2961231114247289E-2</v>
      </c>
      <c r="AF26" s="864">
        <v>8.2961231114247289E-2</v>
      </c>
      <c r="AG26" s="864">
        <v>8.2961231114247289E-2</v>
      </c>
      <c r="AH26" s="864">
        <v>8.2961231114247289E-2</v>
      </c>
      <c r="AI26" s="864">
        <v>8.2961231114247289E-2</v>
      </c>
      <c r="AJ26" s="864">
        <v>8.2961231114247289E-2</v>
      </c>
      <c r="AK26" s="864">
        <v>8.2961231114247289E-2</v>
      </c>
      <c r="AL26" s="864">
        <v>8.2961231114247289E-2</v>
      </c>
      <c r="AM26" s="864">
        <v>8.2961231114247289E-2</v>
      </c>
      <c r="AN26" s="864">
        <v>8.2961231114247289E-2</v>
      </c>
      <c r="AO26" s="864">
        <v>8.2961231114247289E-2</v>
      </c>
      <c r="AP26" s="864">
        <v>8.2961231114247289E-2</v>
      </c>
      <c r="AQ26" s="864">
        <v>8.2961231114247289E-2</v>
      </c>
      <c r="AR26" s="864">
        <v>8.2961231114247289E-2</v>
      </c>
      <c r="AS26" s="864">
        <v>8.2961231114247289E-2</v>
      </c>
      <c r="AT26" s="864">
        <v>8.2961231114247289E-2</v>
      </c>
      <c r="AU26" s="864">
        <v>8.2961231114247289E-2</v>
      </c>
      <c r="AV26" s="864">
        <v>8.2961231114247289E-2</v>
      </c>
      <c r="AW26" s="864">
        <v>8.2961231114247289E-2</v>
      </c>
      <c r="AX26" s="864">
        <v>8.2961231114247289E-2</v>
      </c>
      <c r="AY26" s="864">
        <v>8.2961231114247289E-2</v>
      </c>
      <c r="AZ26" s="864">
        <v>8.2961231114247289E-2</v>
      </c>
      <c r="BA26" s="864">
        <v>8.2961231114247289E-2</v>
      </c>
      <c r="BB26" s="864">
        <v>8.2961231114247289E-2</v>
      </c>
      <c r="BC26" s="864">
        <v>8.2961231114247289E-2</v>
      </c>
      <c r="BD26" s="864">
        <v>8.2961231114247289E-2</v>
      </c>
      <c r="BE26" s="864">
        <v>8.2961231114247289E-2</v>
      </c>
      <c r="BF26" s="864">
        <v>8.2961231114247289E-2</v>
      </c>
      <c r="BG26" s="864">
        <v>8.2961231114247289E-2</v>
      </c>
      <c r="BH26" s="864">
        <v>8.2961231114247289E-2</v>
      </c>
      <c r="BI26" s="864">
        <v>8.2961231114247289E-2</v>
      </c>
      <c r="BJ26" s="864">
        <v>8.2961231114247289E-2</v>
      </c>
      <c r="BK26" s="864">
        <v>8.2961231114247289E-2</v>
      </c>
      <c r="BL26" s="864">
        <v>8.2961231114247289E-2</v>
      </c>
      <c r="BM26" s="864">
        <v>8.2961231114247289E-2</v>
      </c>
      <c r="BN26" s="864">
        <v>8.2961231114247289E-2</v>
      </c>
      <c r="BO26" s="864">
        <v>8.2961231114247289E-2</v>
      </c>
      <c r="BP26" s="864">
        <v>8.2961231114247289E-2</v>
      </c>
      <c r="BQ26" s="864">
        <v>8.2961231114247289E-2</v>
      </c>
      <c r="BR26" s="864">
        <v>8.2961231114247289E-2</v>
      </c>
      <c r="BS26" s="864">
        <v>8.2961231114247289E-2</v>
      </c>
      <c r="BT26" s="864">
        <v>8.2961231114247289E-2</v>
      </c>
      <c r="BU26" s="864">
        <v>8.2961231114247289E-2</v>
      </c>
      <c r="BV26" s="864">
        <v>8.2961231114247289E-2</v>
      </c>
      <c r="BW26" s="864">
        <v>8.2961231114247289E-2</v>
      </c>
      <c r="BX26" s="864">
        <v>8.2961231114247289E-2</v>
      </c>
      <c r="BY26" s="864">
        <v>8.2961231114247289E-2</v>
      </c>
      <c r="BZ26" s="864">
        <v>8.2961231114247289E-2</v>
      </c>
      <c r="CA26" s="864">
        <v>8.2961231114247289E-2</v>
      </c>
      <c r="CB26" s="864">
        <v>8.2961231114247289E-2</v>
      </c>
      <c r="CC26" s="864">
        <v>8.2961231114247289E-2</v>
      </c>
      <c r="CD26" s="864">
        <v>8.2961231114247289E-2</v>
      </c>
      <c r="CE26" s="864">
        <v>8.2961231114247289E-2</v>
      </c>
      <c r="CF26" s="865">
        <v>8.2961231114247289E-2</v>
      </c>
    </row>
    <row r="27" spans="1:84">
      <c r="A27" s="878"/>
      <c r="B27" s="860" t="s">
        <v>743</v>
      </c>
      <c r="C27" s="861" t="s">
        <v>745</v>
      </c>
      <c r="D27" s="864">
        <v>0.88672056471881344</v>
      </c>
      <c r="E27" s="864">
        <v>0.88672056471881344</v>
      </c>
      <c r="F27" s="864">
        <v>0.88672056471881344</v>
      </c>
      <c r="G27" s="864">
        <v>0.88672056471881344</v>
      </c>
      <c r="H27" s="864">
        <v>0.88672056471881344</v>
      </c>
      <c r="I27" s="864">
        <v>0.88672056471881344</v>
      </c>
      <c r="J27" s="864">
        <v>0.88672056471881344</v>
      </c>
      <c r="K27" s="864">
        <v>0.88672056471881344</v>
      </c>
      <c r="L27" s="864">
        <v>0.88672056471881344</v>
      </c>
      <c r="M27" s="864">
        <v>0.88672056471881344</v>
      </c>
      <c r="N27" s="864">
        <v>0.88672056471881344</v>
      </c>
      <c r="O27" s="864">
        <v>0.88672056471881344</v>
      </c>
      <c r="P27" s="864">
        <v>0.88672056471881344</v>
      </c>
      <c r="Q27" s="864">
        <v>0.88672056471881344</v>
      </c>
      <c r="R27" s="864">
        <v>0.88672056471881344</v>
      </c>
      <c r="S27" s="864">
        <v>0.88672056471881344</v>
      </c>
      <c r="T27" s="864">
        <v>0.88672056471881344</v>
      </c>
      <c r="U27" s="864">
        <v>0.88672056471881344</v>
      </c>
      <c r="V27" s="864">
        <v>0.88672056471881344</v>
      </c>
      <c r="W27" s="864">
        <v>0.88672056471881344</v>
      </c>
      <c r="X27" s="864">
        <v>0.88672056471881344</v>
      </c>
      <c r="Y27" s="864">
        <v>0.88672056471881344</v>
      </c>
      <c r="Z27" s="864">
        <v>0.88672056471881344</v>
      </c>
      <c r="AA27" s="864">
        <v>0.88672056471881344</v>
      </c>
      <c r="AB27" s="864">
        <v>0.88672056471881344</v>
      </c>
      <c r="AC27" s="864">
        <v>0.88672056471881344</v>
      </c>
      <c r="AD27" s="864">
        <v>0.88672056471881344</v>
      </c>
      <c r="AE27" s="864">
        <v>0.88672056471881344</v>
      </c>
      <c r="AF27" s="864">
        <v>0.88672056471881344</v>
      </c>
      <c r="AG27" s="864">
        <v>0.88672056471881344</v>
      </c>
      <c r="AH27" s="864">
        <v>0.88672056471881344</v>
      </c>
      <c r="AI27" s="864">
        <v>0.88672056471881344</v>
      </c>
      <c r="AJ27" s="864">
        <v>0.88672056471881344</v>
      </c>
      <c r="AK27" s="864">
        <v>0.88672056471881344</v>
      </c>
      <c r="AL27" s="864">
        <v>0.88672056471881344</v>
      </c>
      <c r="AM27" s="864">
        <v>0.88672056471881344</v>
      </c>
      <c r="AN27" s="864">
        <v>0.88672056471881344</v>
      </c>
      <c r="AO27" s="864">
        <v>0.88672056471881344</v>
      </c>
      <c r="AP27" s="864">
        <v>0.88672056471881344</v>
      </c>
      <c r="AQ27" s="864">
        <v>0.88672056471881344</v>
      </c>
      <c r="AR27" s="864">
        <v>0.88672056471881344</v>
      </c>
      <c r="AS27" s="864">
        <v>0.88672056471881344</v>
      </c>
      <c r="AT27" s="864">
        <v>0.88672056471881344</v>
      </c>
      <c r="AU27" s="864">
        <v>0.88672056471881344</v>
      </c>
      <c r="AV27" s="864">
        <v>0.88672056471881344</v>
      </c>
      <c r="AW27" s="864">
        <v>0.88672056471881344</v>
      </c>
      <c r="AX27" s="864">
        <v>0.88672056471881344</v>
      </c>
      <c r="AY27" s="864">
        <v>0.88672056471881344</v>
      </c>
      <c r="AZ27" s="864">
        <v>0.88672056471881344</v>
      </c>
      <c r="BA27" s="864">
        <v>0.88672056471881344</v>
      </c>
      <c r="BB27" s="864">
        <v>0.88672056471881344</v>
      </c>
      <c r="BC27" s="864">
        <v>0.88672056471881344</v>
      </c>
      <c r="BD27" s="864">
        <v>0.88672056471881344</v>
      </c>
      <c r="BE27" s="864">
        <v>0.88672056471881344</v>
      </c>
      <c r="BF27" s="864">
        <v>0.88672056471881344</v>
      </c>
      <c r="BG27" s="864">
        <v>0.88672056471881344</v>
      </c>
      <c r="BH27" s="864">
        <v>0.88672056471881344</v>
      </c>
      <c r="BI27" s="864">
        <v>0.88672056471881344</v>
      </c>
      <c r="BJ27" s="864">
        <v>0.88672056471881344</v>
      </c>
      <c r="BK27" s="864">
        <v>0.88672056471881344</v>
      </c>
      <c r="BL27" s="864">
        <v>0.88672056471881344</v>
      </c>
      <c r="BM27" s="864">
        <v>0.88672056471881344</v>
      </c>
      <c r="BN27" s="864">
        <v>0.88672056471881344</v>
      </c>
      <c r="BO27" s="864">
        <v>0.88672056471881344</v>
      </c>
      <c r="BP27" s="864">
        <v>0.88672056471881344</v>
      </c>
      <c r="BQ27" s="864">
        <v>0.88672056471881344</v>
      </c>
      <c r="BR27" s="864">
        <v>0.88672056471881344</v>
      </c>
      <c r="BS27" s="864">
        <v>0.88672056471881344</v>
      </c>
      <c r="BT27" s="864">
        <v>0.88672056471881344</v>
      </c>
      <c r="BU27" s="864">
        <v>0.88672056471881344</v>
      </c>
      <c r="BV27" s="864">
        <v>0.88672056471881344</v>
      </c>
      <c r="BW27" s="864">
        <v>0.88672056471881344</v>
      </c>
      <c r="BX27" s="864">
        <v>0.88672056471881344</v>
      </c>
      <c r="BY27" s="864">
        <v>0.88672056471881344</v>
      </c>
      <c r="BZ27" s="864">
        <v>0.88672056471881344</v>
      </c>
      <c r="CA27" s="864">
        <v>0.88672056471881344</v>
      </c>
      <c r="CB27" s="864">
        <v>0.88672056471881344</v>
      </c>
      <c r="CC27" s="864">
        <v>0.88672056471881344</v>
      </c>
      <c r="CD27" s="864">
        <v>0.88672056471881344</v>
      </c>
      <c r="CE27" s="864">
        <v>0.88672056471881344</v>
      </c>
      <c r="CF27" s="865">
        <v>0.88672056471881344</v>
      </c>
    </row>
    <row r="28" spans="1:84">
      <c r="A28" s="852"/>
      <c r="B28" s="860" t="s">
        <v>746</v>
      </c>
      <c r="C28" s="861"/>
      <c r="D28" s="864">
        <v>0.20269818641457316</v>
      </c>
      <c r="E28" s="864">
        <v>0.20269818641457316</v>
      </c>
      <c r="F28" s="864">
        <v>0.20269818641457316</v>
      </c>
      <c r="G28" s="864">
        <v>0.20269818641457316</v>
      </c>
      <c r="H28" s="864">
        <v>0.20269818641457316</v>
      </c>
      <c r="I28" s="864">
        <v>0.20269818641457316</v>
      </c>
      <c r="J28" s="864">
        <v>0.20269818641457316</v>
      </c>
      <c r="K28" s="864">
        <v>0.20269818641457316</v>
      </c>
      <c r="L28" s="864">
        <v>0.20269818641457316</v>
      </c>
      <c r="M28" s="864">
        <v>0.20269818641457316</v>
      </c>
      <c r="N28" s="864">
        <v>0.20269818641457316</v>
      </c>
      <c r="O28" s="864">
        <v>0.20269818641457316</v>
      </c>
      <c r="P28" s="864">
        <v>0.20269818641457316</v>
      </c>
      <c r="Q28" s="864">
        <v>0.20269818641457316</v>
      </c>
      <c r="R28" s="864">
        <v>0.20269818641457316</v>
      </c>
      <c r="S28" s="864">
        <v>0.20269818641457316</v>
      </c>
      <c r="T28" s="864">
        <v>0.20269818641457316</v>
      </c>
      <c r="U28" s="864">
        <v>0.20269818641457316</v>
      </c>
      <c r="V28" s="864">
        <v>0.20269818641457316</v>
      </c>
      <c r="W28" s="864">
        <v>0.20269818641457316</v>
      </c>
      <c r="X28" s="864">
        <v>0.20269818641457316</v>
      </c>
      <c r="Y28" s="864">
        <v>0.20269818641457316</v>
      </c>
      <c r="Z28" s="864">
        <v>0.20269818641457316</v>
      </c>
      <c r="AA28" s="864">
        <v>0.20269818641457316</v>
      </c>
      <c r="AB28" s="864">
        <v>0.20269818641457316</v>
      </c>
      <c r="AC28" s="864">
        <v>0.20269818641457316</v>
      </c>
      <c r="AD28" s="864">
        <v>0.20269818641457316</v>
      </c>
      <c r="AE28" s="864">
        <v>0.20269818641457316</v>
      </c>
      <c r="AF28" s="864">
        <v>0.20269818641457316</v>
      </c>
      <c r="AG28" s="864">
        <v>0.20269818641457316</v>
      </c>
      <c r="AH28" s="864">
        <v>0.20269818641457316</v>
      </c>
      <c r="AI28" s="864">
        <v>0.20269818641457316</v>
      </c>
      <c r="AJ28" s="864">
        <v>0.20269818641457316</v>
      </c>
      <c r="AK28" s="864">
        <v>0.20269818641457316</v>
      </c>
      <c r="AL28" s="864">
        <v>0.20269818641457316</v>
      </c>
      <c r="AM28" s="864">
        <v>0.20269818641457316</v>
      </c>
      <c r="AN28" s="864">
        <v>0.20269818641457316</v>
      </c>
      <c r="AO28" s="864">
        <v>0.20269818641457316</v>
      </c>
      <c r="AP28" s="864">
        <v>0.20269818641457316</v>
      </c>
      <c r="AQ28" s="864">
        <v>0.20269818641457316</v>
      </c>
      <c r="AR28" s="864">
        <v>0.20269818641457316</v>
      </c>
      <c r="AS28" s="864">
        <v>0.20269818641457316</v>
      </c>
      <c r="AT28" s="864">
        <v>0.20269818641457316</v>
      </c>
      <c r="AU28" s="864">
        <v>0.20269818641457316</v>
      </c>
      <c r="AV28" s="864">
        <v>0.20269818641457316</v>
      </c>
      <c r="AW28" s="864">
        <v>0.20269818641457316</v>
      </c>
      <c r="AX28" s="864">
        <v>0.20269818641457316</v>
      </c>
      <c r="AY28" s="864">
        <v>0.20269818641457316</v>
      </c>
      <c r="AZ28" s="864">
        <v>0.20269818641457316</v>
      </c>
      <c r="BA28" s="864">
        <v>0.20269818641457316</v>
      </c>
      <c r="BB28" s="864">
        <v>0.20269818641457316</v>
      </c>
      <c r="BC28" s="864">
        <v>0.20269818641457316</v>
      </c>
      <c r="BD28" s="864">
        <v>0.20269818641457316</v>
      </c>
      <c r="BE28" s="864">
        <v>0.20269818641457316</v>
      </c>
      <c r="BF28" s="864">
        <v>0.20269818641457316</v>
      </c>
      <c r="BG28" s="864">
        <v>0.20269818641457316</v>
      </c>
      <c r="BH28" s="864">
        <v>0.20269818641457316</v>
      </c>
      <c r="BI28" s="864">
        <v>0.20269818641457316</v>
      </c>
      <c r="BJ28" s="864">
        <v>0.20269818641457316</v>
      </c>
      <c r="BK28" s="864">
        <v>0.20269818641457316</v>
      </c>
      <c r="BL28" s="864">
        <v>0.20269818641457316</v>
      </c>
      <c r="BM28" s="864">
        <v>0.20269818641457316</v>
      </c>
      <c r="BN28" s="864">
        <v>0.20269818641457316</v>
      </c>
      <c r="BO28" s="864">
        <v>0.20269818641457316</v>
      </c>
      <c r="BP28" s="864">
        <v>0.20269818641457316</v>
      </c>
      <c r="BQ28" s="864">
        <v>0.20269818641457316</v>
      </c>
      <c r="BR28" s="864">
        <v>0.20269818641457316</v>
      </c>
      <c r="BS28" s="864">
        <v>0.20269818641457316</v>
      </c>
      <c r="BT28" s="864">
        <v>0.20269818641457316</v>
      </c>
      <c r="BU28" s="864">
        <v>0.20269818641457316</v>
      </c>
      <c r="BV28" s="864">
        <v>0.20269818641457316</v>
      </c>
      <c r="BW28" s="864">
        <v>0.20269818641457316</v>
      </c>
      <c r="BX28" s="864">
        <v>0.20269818641457316</v>
      </c>
      <c r="BY28" s="864">
        <v>0.20269818641457316</v>
      </c>
      <c r="BZ28" s="864">
        <v>0.20269818641457316</v>
      </c>
      <c r="CA28" s="864">
        <v>0.20269818641457316</v>
      </c>
      <c r="CB28" s="864">
        <v>0.20269818641457316</v>
      </c>
      <c r="CC28" s="864">
        <v>0.20269818641457316</v>
      </c>
      <c r="CD28" s="864">
        <v>0.20269818641457316</v>
      </c>
      <c r="CE28" s="864">
        <v>0.20269818641457316</v>
      </c>
      <c r="CF28" s="865">
        <v>0.20269818641457316</v>
      </c>
    </row>
    <row r="29" spans="1:84" ht="13.8" thickBot="1">
      <c r="A29" s="852"/>
      <c r="B29" s="871" t="s">
        <v>744</v>
      </c>
      <c r="C29" s="872" t="s">
        <v>745</v>
      </c>
      <c r="D29" s="873">
        <v>0.8472634258961157</v>
      </c>
      <c r="E29" s="874">
        <v>0.8472634258961157</v>
      </c>
      <c r="F29" s="874">
        <v>0.8472634258961157</v>
      </c>
      <c r="G29" s="874">
        <v>0.8472634258961157</v>
      </c>
      <c r="H29" s="874">
        <v>0.8472634258961157</v>
      </c>
      <c r="I29" s="874">
        <v>0.8472634258961157</v>
      </c>
      <c r="J29" s="874">
        <v>0.8472634258961157</v>
      </c>
      <c r="K29" s="874">
        <v>0.8472634258961157</v>
      </c>
      <c r="L29" s="874">
        <v>0.8472634258961157</v>
      </c>
      <c r="M29" s="874">
        <v>0.8472634258961157</v>
      </c>
      <c r="N29" s="874">
        <v>0.8472634258961157</v>
      </c>
      <c r="O29" s="874">
        <v>0.8472634258961157</v>
      </c>
      <c r="P29" s="874">
        <v>0.8472634258961157</v>
      </c>
      <c r="Q29" s="874">
        <v>0.8472634258961157</v>
      </c>
      <c r="R29" s="874">
        <v>0.8472634258961157</v>
      </c>
      <c r="S29" s="874">
        <v>0.8472634258961157</v>
      </c>
      <c r="T29" s="874">
        <v>0.8472634258961157</v>
      </c>
      <c r="U29" s="874">
        <v>0.8472634258961157</v>
      </c>
      <c r="V29" s="874">
        <v>0.8472634258961157</v>
      </c>
      <c r="W29" s="874">
        <v>0.8472634258961157</v>
      </c>
      <c r="X29" s="874">
        <v>0.8472634258961157</v>
      </c>
      <c r="Y29" s="874">
        <v>0.8472634258961157</v>
      </c>
      <c r="Z29" s="874">
        <v>0.8472634258961157</v>
      </c>
      <c r="AA29" s="874">
        <v>0.8472634258961157</v>
      </c>
      <c r="AB29" s="874">
        <v>0.8472634258961157</v>
      </c>
      <c r="AC29" s="874">
        <v>0.8472634258961157</v>
      </c>
      <c r="AD29" s="874">
        <v>0.8472634258961157</v>
      </c>
      <c r="AE29" s="874">
        <v>0.8472634258961157</v>
      </c>
      <c r="AF29" s="874">
        <v>0.8472634258961157</v>
      </c>
      <c r="AG29" s="874">
        <v>0.8472634258961157</v>
      </c>
      <c r="AH29" s="874">
        <v>0.8472634258961157</v>
      </c>
      <c r="AI29" s="874">
        <v>0.8472634258961157</v>
      </c>
      <c r="AJ29" s="874">
        <v>0.8472634258961157</v>
      </c>
      <c r="AK29" s="874">
        <v>0.8472634258961157</v>
      </c>
      <c r="AL29" s="874">
        <v>0.8472634258961157</v>
      </c>
      <c r="AM29" s="874">
        <v>0.8472634258961157</v>
      </c>
      <c r="AN29" s="874">
        <v>0.8472634258961157</v>
      </c>
      <c r="AO29" s="874">
        <v>0.8472634258961157</v>
      </c>
      <c r="AP29" s="874">
        <v>0.8472634258961157</v>
      </c>
      <c r="AQ29" s="874">
        <v>0.8472634258961157</v>
      </c>
      <c r="AR29" s="874">
        <v>0.8472634258961157</v>
      </c>
      <c r="AS29" s="874">
        <v>0.8472634258961157</v>
      </c>
      <c r="AT29" s="874">
        <v>0.8472634258961157</v>
      </c>
      <c r="AU29" s="874">
        <v>0.8472634258961157</v>
      </c>
      <c r="AV29" s="874">
        <v>0.8472634258961157</v>
      </c>
      <c r="AW29" s="874">
        <v>0.8472634258961157</v>
      </c>
      <c r="AX29" s="874">
        <v>0.8472634258961157</v>
      </c>
      <c r="AY29" s="874">
        <v>0.8472634258961157</v>
      </c>
      <c r="AZ29" s="874">
        <v>0.8472634258961157</v>
      </c>
      <c r="BA29" s="874">
        <v>0.8472634258961157</v>
      </c>
      <c r="BB29" s="874">
        <v>0.8472634258961157</v>
      </c>
      <c r="BC29" s="874">
        <v>0.8472634258961157</v>
      </c>
      <c r="BD29" s="874">
        <v>0.8472634258961157</v>
      </c>
      <c r="BE29" s="874">
        <v>0.8472634258961157</v>
      </c>
      <c r="BF29" s="874">
        <v>0.8472634258961157</v>
      </c>
      <c r="BG29" s="874">
        <v>0.8472634258961157</v>
      </c>
      <c r="BH29" s="874">
        <v>0.8472634258961157</v>
      </c>
      <c r="BI29" s="874">
        <v>0.8472634258961157</v>
      </c>
      <c r="BJ29" s="874">
        <v>0.8472634258961157</v>
      </c>
      <c r="BK29" s="874">
        <v>0.8472634258961157</v>
      </c>
      <c r="BL29" s="874">
        <v>0.8472634258961157</v>
      </c>
      <c r="BM29" s="874">
        <v>0.8472634258961157</v>
      </c>
      <c r="BN29" s="874">
        <v>0.8472634258961157</v>
      </c>
      <c r="BO29" s="874">
        <v>0.8472634258961157</v>
      </c>
      <c r="BP29" s="874">
        <v>0.8472634258961157</v>
      </c>
      <c r="BQ29" s="874">
        <v>0.8472634258961157</v>
      </c>
      <c r="BR29" s="874">
        <v>0.8472634258961157</v>
      </c>
      <c r="BS29" s="874">
        <v>0.8472634258961157</v>
      </c>
      <c r="BT29" s="874">
        <v>0.8472634258961157</v>
      </c>
      <c r="BU29" s="874">
        <v>0.8472634258961157</v>
      </c>
      <c r="BV29" s="874">
        <v>0.8472634258961157</v>
      </c>
      <c r="BW29" s="874">
        <v>0.8472634258961157</v>
      </c>
      <c r="BX29" s="874">
        <v>0.8472634258961157</v>
      </c>
      <c r="BY29" s="874">
        <v>0.8472634258961157</v>
      </c>
      <c r="BZ29" s="874">
        <v>0.8472634258961157</v>
      </c>
      <c r="CA29" s="874">
        <v>0.8472634258961157</v>
      </c>
      <c r="CB29" s="874">
        <v>0.8472634258961157</v>
      </c>
      <c r="CC29" s="874">
        <v>0.8472634258961157</v>
      </c>
      <c r="CD29" s="874">
        <v>0.8472634258961157</v>
      </c>
      <c r="CE29" s="874">
        <v>0.8472634258961157</v>
      </c>
      <c r="CF29" s="875">
        <v>0.8472634258961157</v>
      </c>
    </row>
    <row r="30" spans="1:84">
      <c r="A30" s="852"/>
      <c r="B30" s="876"/>
      <c r="C30" s="877"/>
      <c r="D30" s="878"/>
      <c r="E30" s="878"/>
      <c r="F30" s="879"/>
      <c r="G30" s="879"/>
      <c r="H30" s="879"/>
      <c r="I30" s="879"/>
      <c r="J30" s="879"/>
      <c r="K30" s="879"/>
      <c r="L30" s="878"/>
      <c r="M30" s="878"/>
      <c r="N30" s="878"/>
      <c r="O30" s="852"/>
      <c r="P30" s="880"/>
      <c r="Q30" s="881"/>
      <c r="R30" s="882"/>
      <c r="S30" s="881"/>
      <c r="T30" s="852"/>
      <c r="U30" s="852"/>
      <c r="V30" s="852"/>
      <c r="W30" s="852"/>
      <c r="X30" s="852"/>
      <c r="Y30" s="852"/>
      <c r="Z30" s="852"/>
      <c r="AA30" s="852"/>
      <c r="AB30" s="852"/>
      <c r="AC30" s="852"/>
      <c r="AD30" s="852"/>
      <c r="AE30" s="852"/>
      <c r="AF30" s="852"/>
      <c r="AG30" s="852"/>
      <c r="AH30" s="852"/>
      <c r="AI30" s="852"/>
      <c r="AJ30" s="852"/>
      <c r="AK30" s="852"/>
      <c r="AL30" s="852"/>
      <c r="AM30" s="852"/>
      <c r="AN30" s="852"/>
      <c r="AO30" s="852"/>
      <c r="AP30" s="852"/>
      <c r="AQ30" s="852"/>
      <c r="AR30" s="852"/>
      <c r="AS30" s="852"/>
      <c r="AT30" s="852"/>
      <c r="AU30" s="852"/>
      <c r="AV30" s="852"/>
      <c r="AW30" s="852"/>
      <c r="AX30" s="852"/>
      <c r="AY30" s="852"/>
      <c r="AZ30" s="852"/>
      <c r="BA30" s="852"/>
      <c r="BB30" s="852"/>
      <c r="BC30" s="852"/>
      <c r="BD30" s="852"/>
      <c r="BE30" s="852"/>
      <c r="BF30" s="852"/>
      <c r="BG30" s="852"/>
      <c r="BH30" s="852"/>
      <c r="BI30" s="852"/>
      <c r="BJ30" s="852"/>
      <c r="BK30" s="852"/>
      <c r="BL30" s="852"/>
      <c r="BM30" s="852"/>
      <c r="BN30" s="852"/>
      <c r="BO30" s="852"/>
      <c r="BP30" s="852"/>
      <c r="BQ30" s="852"/>
      <c r="BR30" s="852"/>
      <c r="BS30" s="852"/>
      <c r="BT30" s="852"/>
      <c r="BU30" s="852"/>
      <c r="BV30" s="852"/>
      <c r="BW30" s="852"/>
      <c r="BX30" s="852"/>
      <c r="BY30" s="852"/>
      <c r="BZ30" s="852"/>
      <c r="CA30" s="852"/>
      <c r="CB30" s="852"/>
      <c r="CC30" s="852"/>
      <c r="CD30" s="852"/>
      <c r="CE30" s="852"/>
      <c r="CF30" s="852"/>
    </row>
    <row r="31" spans="1:84" ht="13.8" thickBot="1">
      <c r="A31" s="852"/>
      <c r="B31" s="853" t="s">
        <v>747</v>
      </c>
      <c r="C31" s="852"/>
      <c r="D31" s="852"/>
      <c r="E31" s="852"/>
      <c r="F31" s="852"/>
      <c r="G31" s="852"/>
      <c r="H31" s="852"/>
      <c r="I31" s="883">
        <f>I19</f>
        <v>2015</v>
      </c>
      <c r="J31" s="852" t="s">
        <v>739</v>
      </c>
      <c r="K31" s="852"/>
      <c r="L31" s="852"/>
      <c r="M31" s="852"/>
      <c r="N31" s="852"/>
      <c r="O31" s="852"/>
      <c r="P31" s="852"/>
      <c r="Q31" s="852"/>
      <c r="R31" s="852"/>
      <c r="S31" s="852"/>
      <c r="T31" s="852"/>
      <c r="U31" s="852"/>
      <c r="V31" s="852"/>
      <c r="W31" s="852"/>
      <c r="X31" s="852"/>
      <c r="Y31" s="852"/>
      <c r="Z31" s="852"/>
      <c r="AA31" s="852"/>
      <c r="AB31" s="852"/>
      <c r="AC31" s="852"/>
      <c r="AD31" s="852"/>
      <c r="AE31" s="852"/>
      <c r="AF31" s="852"/>
      <c r="AG31" s="852"/>
      <c r="AH31" s="852"/>
      <c r="AI31" s="852"/>
      <c r="AJ31" s="852"/>
      <c r="AK31" s="852"/>
      <c r="AL31" s="852"/>
      <c r="AM31" s="852"/>
      <c r="AN31" s="852"/>
      <c r="AO31" s="852"/>
      <c r="AP31" s="852"/>
      <c r="AQ31" s="852"/>
      <c r="AR31" s="852"/>
      <c r="AS31" s="852"/>
      <c r="AT31" s="852"/>
      <c r="AU31" s="852"/>
      <c r="AV31" s="852"/>
      <c r="AW31" s="852"/>
      <c r="AX31" s="852"/>
      <c r="AY31" s="852"/>
      <c r="AZ31" s="852"/>
      <c r="BA31" s="852"/>
      <c r="BB31" s="852"/>
      <c r="BC31" s="852"/>
      <c r="BD31" s="852"/>
      <c r="BE31" s="852"/>
      <c r="BF31" s="852"/>
      <c r="BG31" s="852"/>
      <c r="BH31" s="852"/>
      <c r="BI31" s="852"/>
      <c r="BJ31" s="852"/>
      <c r="BK31" s="852"/>
      <c r="BL31" s="852"/>
      <c r="BM31" s="852"/>
      <c r="BN31" s="852"/>
      <c r="BO31" s="852"/>
      <c r="BP31" s="852"/>
      <c r="BQ31" s="852"/>
      <c r="BR31" s="852"/>
      <c r="BS31" s="852"/>
      <c r="BT31" s="852"/>
      <c r="BU31" s="852"/>
      <c r="BV31" s="852"/>
      <c r="BW31" s="852"/>
      <c r="BX31" s="852"/>
      <c r="BY31" s="852"/>
      <c r="BZ31" s="852"/>
      <c r="CA31" s="852"/>
      <c r="CB31" s="852"/>
      <c r="CC31" s="852"/>
      <c r="CD31" s="852"/>
      <c r="CE31" s="852"/>
      <c r="CF31" s="852"/>
    </row>
    <row r="32" spans="1:84">
      <c r="A32" s="852"/>
      <c r="B32" s="856" t="s">
        <v>740</v>
      </c>
      <c r="C32" s="857"/>
      <c r="D32" s="858">
        <v>2010</v>
      </c>
      <c r="E32" s="858">
        <v>2011</v>
      </c>
      <c r="F32" s="858">
        <v>2012</v>
      </c>
      <c r="G32" s="858">
        <v>2013</v>
      </c>
      <c r="H32" s="858">
        <v>2014</v>
      </c>
      <c r="I32" s="858">
        <v>2015</v>
      </c>
      <c r="J32" s="858">
        <v>2016</v>
      </c>
      <c r="K32" s="858">
        <v>2017</v>
      </c>
      <c r="L32" s="858">
        <v>2018</v>
      </c>
      <c r="M32" s="858">
        <v>2019</v>
      </c>
      <c r="N32" s="858">
        <v>2020</v>
      </c>
      <c r="O32" s="858">
        <v>2021</v>
      </c>
      <c r="P32" s="858">
        <v>2022</v>
      </c>
      <c r="Q32" s="858">
        <v>2023</v>
      </c>
      <c r="R32" s="858">
        <v>2024</v>
      </c>
      <c r="S32" s="858">
        <v>2025</v>
      </c>
      <c r="T32" s="858">
        <v>2026</v>
      </c>
      <c r="U32" s="858">
        <v>2027</v>
      </c>
      <c r="V32" s="858">
        <v>2028</v>
      </c>
      <c r="W32" s="858">
        <v>2029</v>
      </c>
      <c r="X32" s="858">
        <v>2030</v>
      </c>
      <c r="Y32" s="858">
        <v>2031</v>
      </c>
      <c r="Z32" s="858">
        <v>2032</v>
      </c>
      <c r="AA32" s="858">
        <v>2033</v>
      </c>
      <c r="AB32" s="858">
        <v>2034</v>
      </c>
      <c r="AC32" s="858">
        <v>2035</v>
      </c>
      <c r="AD32" s="858">
        <v>2036</v>
      </c>
      <c r="AE32" s="858">
        <v>2037</v>
      </c>
      <c r="AF32" s="858">
        <v>2038</v>
      </c>
      <c r="AG32" s="858">
        <v>2039</v>
      </c>
      <c r="AH32" s="858">
        <v>2040</v>
      </c>
      <c r="AI32" s="858">
        <v>2041</v>
      </c>
      <c r="AJ32" s="858">
        <v>2042</v>
      </c>
      <c r="AK32" s="858">
        <v>2043</v>
      </c>
      <c r="AL32" s="858">
        <v>2044</v>
      </c>
      <c r="AM32" s="858">
        <v>2045</v>
      </c>
      <c r="AN32" s="858">
        <v>2046</v>
      </c>
      <c r="AO32" s="858">
        <v>2047</v>
      </c>
      <c r="AP32" s="858">
        <v>2048</v>
      </c>
      <c r="AQ32" s="858">
        <v>2049</v>
      </c>
      <c r="AR32" s="858">
        <v>2050</v>
      </c>
      <c r="AS32" s="858">
        <v>2051</v>
      </c>
      <c r="AT32" s="858">
        <v>2052</v>
      </c>
      <c r="AU32" s="858">
        <v>2053</v>
      </c>
      <c r="AV32" s="858">
        <v>2054</v>
      </c>
      <c r="AW32" s="858">
        <v>2055</v>
      </c>
      <c r="AX32" s="858">
        <v>2056</v>
      </c>
      <c r="AY32" s="858">
        <v>2057</v>
      </c>
      <c r="AZ32" s="858">
        <v>2058</v>
      </c>
      <c r="BA32" s="858">
        <v>2059</v>
      </c>
      <c r="BB32" s="858">
        <v>2060</v>
      </c>
      <c r="BC32" s="858">
        <v>2061</v>
      </c>
      <c r="BD32" s="858">
        <v>2062</v>
      </c>
      <c r="BE32" s="858">
        <v>2063</v>
      </c>
      <c r="BF32" s="858">
        <v>2064</v>
      </c>
      <c r="BG32" s="858">
        <v>2065</v>
      </c>
      <c r="BH32" s="858">
        <v>2066</v>
      </c>
      <c r="BI32" s="858">
        <v>2067</v>
      </c>
      <c r="BJ32" s="858">
        <v>2068</v>
      </c>
      <c r="BK32" s="858">
        <v>2069</v>
      </c>
      <c r="BL32" s="858">
        <v>2070</v>
      </c>
      <c r="BM32" s="858">
        <v>2071</v>
      </c>
      <c r="BN32" s="858">
        <v>2072</v>
      </c>
      <c r="BO32" s="858">
        <v>2073</v>
      </c>
      <c r="BP32" s="858">
        <v>2074</v>
      </c>
      <c r="BQ32" s="858">
        <v>2075</v>
      </c>
      <c r="BR32" s="858">
        <v>2076</v>
      </c>
      <c r="BS32" s="858">
        <v>2077</v>
      </c>
      <c r="BT32" s="858">
        <v>2078</v>
      </c>
      <c r="BU32" s="858">
        <v>2079</v>
      </c>
      <c r="BV32" s="858">
        <v>2080</v>
      </c>
      <c r="BW32" s="858">
        <v>2081</v>
      </c>
      <c r="BX32" s="858">
        <v>2082</v>
      </c>
      <c r="BY32" s="858">
        <v>2083</v>
      </c>
      <c r="BZ32" s="858">
        <v>2084</v>
      </c>
      <c r="CA32" s="858">
        <v>2085</v>
      </c>
      <c r="CB32" s="858">
        <v>2086</v>
      </c>
      <c r="CC32" s="858">
        <v>2087</v>
      </c>
      <c r="CD32" s="858">
        <v>2088</v>
      </c>
      <c r="CE32" s="858">
        <v>2089</v>
      </c>
      <c r="CF32" s="859">
        <v>2090</v>
      </c>
    </row>
    <row r="33" spans="1:84">
      <c r="A33" s="852"/>
      <c r="B33" s="860" t="str">
        <f>CONCATENATE("Drivmiddel (", $D$122,"-priser)")</f>
        <v>Drivmiddel (-priser)</v>
      </c>
      <c r="C33" s="861" t="s">
        <v>741</v>
      </c>
      <c r="D33" s="862" t="e">
        <f t="shared" ref="D33" si="162">D3/#REF!*#REF!</f>
        <v>#REF!</v>
      </c>
      <c r="E33" s="862" t="e">
        <f t="shared" ref="E33" si="163">E3/#REF!*#REF!</f>
        <v>#REF!</v>
      </c>
      <c r="F33" s="862" t="e">
        <f t="shared" ref="F33" si="164">F3/#REF!*#REF!</f>
        <v>#REF!</v>
      </c>
      <c r="G33" s="862" t="e">
        <f t="shared" ref="G33" si="165">G3/#REF!*#REF!</f>
        <v>#REF!</v>
      </c>
      <c r="H33" s="862" t="e">
        <f t="shared" ref="H33" si="166">H3/#REF!*#REF!</f>
        <v>#REF!</v>
      </c>
      <c r="I33" s="862" t="e">
        <f t="shared" ref="I33" si="167">I3/#REF!*#REF!</f>
        <v>#REF!</v>
      </c>
      <c r="J33" s="862" t="e">
        <f t="shared" ref="J33" si="168">J3/#REF!*#REF!</f>
        <v>#REF!</v>
      </c>
      <c r="K33" s="862" t="e">
        <f t="shared" ref="K33" si="169">K3/#REF!*#REF!</f>
        <v>#REF!</v>
      </c>
      <c r="L33" s="862" t="e">
        <f t="shared" ref="L33" si="170">L3/#REF!*#REF!</f>
        <v>#REF!</v>
      </c>
      <c r="M33" s="862" t="e">
        <f t="shared" ref="M33" si="171">M3/#REF!*#REF!</f>
        <v>#REF!</v>
      </c>
      <c r="N33" s="862" t="e">
        <f t="shared" ref="N33" si="172">N3/#REF!*#REF!</f>
        <v>#REF!</v>
      </c>
      <c r="O33" s="862" t="e">
        <f t="shared" ref="O33" si="173">O3/#REF!*#REF!</f>
        <v>#REF!</v>
      </c>
      <c r="P33" s="862" t="e">
        <f t="shared" ref="P33" si="174">P3/#REF!*#REF!</f>
        <v>#REF!</v>
      </c>
      <c r="Q33" s="862" t="e">
        <f t="shared" ref="Q33" si="175">Q3/#REF!*#REF!</f>
        <v>#REF!</v>
      </c>
      <c r="R33" s="862" t="e">
        <f t="shared" ref="R33" si="176">R3/#REF!*#REF!</f>
        <v>#REF!</v>
      </c>
      <c r="S33" s="862" t="e">
        <f t="shared" ref="S33" si="177">S3/#REF!*#REF!</f>
        <v>#REF!</v>
      </c>
      <c r="T33" s="862" t="e">
        <f t="shared" ref="T33" si="178">T3/#REF!*#REF!</f>
        <v>#REF!</v>
      </c>
      <c r="U33" s="862" t="e">
        <f t="shared" ref="U33" si="179">U3/#REF!*#REF!</f>
        <v>#REF!</v>
      </c>
      <c r="V33" s="862" t="e">
        <f t="shared" ref="V33" si="180">V3/#REF!*#REF!</f>
        <v>#REF!</v>
      </c>
      <c r="W33" s="862" t="e">
        <f t="shared" ref="W33" si="181">W3/#REF!*#REF!</f>
        <v>#REF!</v>
      </c>
      <c r="X33" s="862" t="e">
        <f t="shared" ref="X33" si="182">X3/#REF!*#REF!</f>
        <v>#REF!</v>
      </c>
      <c r="Y33" s="862" t="e">
        <f t="shared" ref="Y33" si="183">Y3/#REF!*#REF!</f>
        <v>#REF!</v>
      </c>
      <c r="Z33" s="862" t="e">
        <f t="shared" ref="Z33" si="184">Z3/#REF!*#REF!</f>
        <v>#REF!</v>
      </c>
      <c r="AA33" s="862" t="e">
        <f t="shared" ref="AA33" si="185">AA3/#REF!*#REF!</f>
        <v>#REF!</v>
      </c>
      <c r="AB33" s="862" t="e">
        <f t="shared" ref="AB33" si="186">AB3/#REF!*#REF!</f>
        <v>#REF!</v>
      </c>
      <c r="AC33" s="862" t="e">
        <f t="shared" ref="AC33" si="187">AC3/#REF!*#REF!</f>
        <v>#REF!</v>
      </c>
      <c r="AD33" s="862" t="e">
        <f t="shared" ref="AD33" si="188">AD3/#REF!*#REF!</f>
        <v>#REF!</v>
      </c>
      <c r="AE33" s="862" t="e">
        <f t="shared" ref="AE33" si="189">AE3/#REF!*#REF!</f>
        <v>#REF!</v>
      </c>
      <c r="AF33" s="862" t="e">
        <f t="shared" ref="AF33" si="190">AF3/#REF!*#REF!</f>
        <v>#REF!</v>
      </c>
      <c r="AG33" s="862" t="e">
        <f t="shared" ref="AG33" si="191">AG3/#REF!*#REF!</f>
        <v>#REF!</v>
      </c>
      <c r="AH33" s="862" t="e">
        <f t="shared" ref="AH33" si="192">AH3/#REF!*#REF!</f>
        <v>#REF!</v>
      </c>
      <c r="AI33" s="862" t="e">
        <f t="shared" ref="AI33" si="193">AI3/#REF!*#REF!</f>
        <v>#REF!</v>
      </c>
      <c r="AJ33" s="862" t="e">
        <f t="shared" ref="AJ33" si="194">AJ3/#REF!*#REF!</f>
        <v>#REF!</v>
      </c>
      <c r="AK33" s="862" t="e">
        <f t="shared" ref="AK33" si="195">AK3/#REF!*#REF!</f>
        <v>#REF!</v>
      </c>
      <c r="AL33" s="862" t="e">
        <f t="shared" ref="AL33" si="196">AL3/#REF!*#REF!</f>
        <v>#REF!</v>
      </c>
      <c r="AM33" s="862" t="e">
        <f t="shared" ref="AM33" si="197">AM3/#REF!*#REF!</f>
        <v>#REF!</v>
      </c>
      <c r="AN33" s="862" t="e">
        <f t="shared" ref="AN33" si="198">AN3/#REF!*#REF!</f>
        <v>#REF!</v>
      </c>
      <c r="AO33" s="862" t="e">
        <f t="shared" ref="AO33" si="199">AO3/#REF!*#REF!</f>
        <v>#REF!</v>
      </c>
      <c r="AP33" s="862" t="e">
        <f t="shared" ref="AP33" si="200">AP3/#REF!*#REF!</f>
        <v>#REF!</v>
      </c>
      <c r="AQ33" s="862" t="e">
        <f t="shared" ref="AQ33" si="201">AQ3/#REF!*#REF!</f>
        <v>#REF!</v>
      </c>
      <c r="AR33" s="862" t="e">
        <f t="shared" ref="AR33" si="202">AR3/#REF!*#REF!</f>
        <v>#REF!</v>
      </c>
      <c r="AS33" s="862" t="e">
        <f t="shared" ref="AS33" si="203">AS3/#REF!*#REF!</f>
        <v>#REF!</v>
      </c>
      <c r="AT33" s="862" t="e">
        <f t="shared" ref="AT33" si="204">AT3/#REF!*#REF!</f>
        <v>#REF!</v>
      </c>
      <c r="AU33" s="862" t="e">
        <f t="shared" ref="AU33" si="205">AU3/#REF!*#REF!</f>
        <v>#REF!</v>
      </c>
      <c r="AV33" s="862" t="e">
        <f t="shared" ref="AV33" si="206">AV3/#REF!*#REF!</f>
        <v>#REF!</v>
      </c>
      <c r="AW33" s="862" t="e">
        <f t="shared" ref="AW33" si="207">AW3/#REF!*#REF!</f>
        <v>#REF!</v>
      </c>
      <c r="AX33" s="862" t="e">
        <f t="shared" ref="AX33" si="208">AX3/#REF!*#REF!</f>
        <v>#REF!</v>
      </c>
      <c r="AY33" s="862" t="e">
        <f t="shared" ref="AY33" si="209">AY3/#REF!*#REF!</f>
        <v>#REF!</v>
      </c>
      <c r="AZ33" s="862" t="e">
        <f t="shared" ref="AZ33" si="210">AZ3/#REF!*#REF!</f>
        <v>#REF!</v>
      </c>
      <c r="BA33" s="862" t="e">
        <f t="shared" ref="BA33" si="211">BA3/#REF!*#REF!</f>
        <v>#REF!</v>
      </c>
      <c r="BB33" s="862" t="e">
        <f t="shared" ref="BB33" si="212">BB3/#REF!*#REF!</f>
        <v>#REF!</v>
      </c>
      <c r="BC33" s="862" t="e">
        <f t="shared" ref="BC33" si="213">BC3/#REF!*#REF!</f>
        <v>#REF!</v>
      </c>
      <c r="BD33" s="862" t="e">
        <f t="shared" ref="BD33" si="214">BD3/#REF!*#REF!</f>
        <v>#REF!</v>
      </c>
      <c r="BE33" s="862" t="e">
        <f t="shared" ref="BE33" si="215">BE3/#REF!*#REF!</f>
        <v>#REF!</v>
      </c>
      <c r="BF33" s="862" t="e">
        <f t="shared" ref="BF33" si="216">BF3/#REF!*#REF!</f>
        <v>#REF!</v>
      </c>
      <c r="BG33" s="862" t="e">
        <f t="shared" ref="BG33" si="217">BG3/#REF!*#REF!</f>
        <v>#REF!</v>
      </c>
      <c r="BH33" s="862" t="e">
        <f t="shared" ref="BH33" si="218">BH3/#REF!*#REF!</f>
        <v>#REF!</v>
      </c>
      <c r="BI33" s="862" t="e">
        <f t="shared" ref="BI33" si="219">BI3/#REF!*#REF!</f>
        <v>#REF!</v>
      </c>
      <c r="BJ33" s="862" t="e">
        <f t="shared" ref="BJ33" si="220">BJ3/#REF!*#REF!</f>
        <v>#REF!</v>
      </c>
      <c r="BK33" s="862" t="e">
        <f t="shared" ref="BK33" si="221">BK3/#REF!*#REF!</f>
        <v>#REF!</v>
      </c>
      <c r="BL33" s="862" t="e">
        <f t="shared" ref="BL33" si="222">BL3/#REF!*#REF!</f>
        <v>#REF!</v>
      </c>
      <c r="BM33" s="862" t="e">
        <f t="shared" ref="BM33" si="223">BM3/#REF!*#REF!</f>
        <v>#REF!</v>
      </c>
      <c r="BN33" s="862" t="e">
        <f t="shared" ref="BN33" si="224">BN3/#REF!*#REF!</f>
        <v>#REF!</v>
      </c>
      <c r="BO33" s="862" t="e">
        <f t="shared" ref="BO33" si="225">BO3/#REF!*#REF!</f>
        <v>#REF!</v>
      </c>
      <c r="BP33" s="862" t="e">
        <f t="shared" ref="BP33" si="226">BP3/#REF!*#REF!</f>
        <v>#REF!</v>
      </c>
      <c r="BQ33" s="862" t="e">
        <f t="shared" ref="BQ33" si="227">BQ3/#REF!*#REF!</f>
        <v>#REF!</v>
      </c>
      <c r="BR33" s="862" t="e">
        <f t="shared" ref="BR33" si="228">BR3/#REF!*#REF!</f>
        <v>#REF!</v>
      </c>
      <c r="BS33" s="862" t="e">
        <f t="shared" ref="BS33" si="229">BS3/#REF!*#REF!</f>
        <v>#REF!</v>
      </c>
      <c r="BT33" s="862" t="e">
        <f t="shared" ref="BT33" si="230">BT3/#REF!*#REF!</f>
        <v>#REF!</v>
      </c>
      <c r="BU33" s="862" t="e">
        <f t="shared" ref="BU33" si="231">BU3/#REF!*#REF!</f>
        <v>#REF!</v>
      </c>
      <c r="BV33" s="862" t="e">
        <f t="shared" ref="BV33" si="232">BV3/#REF!*#REF!</f>
        <v>#REF!</v>
      </c>
      <c r="BW33" s="862" t="e">
        <f t="shared" ref="BW33" si="233">BW3/#REF!*#REF!</f>
        <v>#REF!</v>
      </c>
      <c r="BX33" s="862" t="e">
        <f t="shared" ref="BX33" si="234">BX3/#REF!*#REF!</f>
        <v>#REF!</v>
      </c>
      <c r="BY33" s="862" t="e">
        <f t="shared" ref="BY33" si="235">BY3/#REF!*#REF!</f>
        <v>#REF!</v>
      </c>
      <c r="BZ33" s="862" t="e">
        <f t="shared" ref="BZ33" si="236">BZ3/#REF!*#REF!</f>
        <v>#REF!</v>
      </c>
      <c r="CA33" s="862" t="e">
        <f t="shared" ref="CA33" si="237">CA3/#REF!*#REF!</f>
        <v>#REF!</v>
      </c>
      <c r="CB33" s="862" t="e">
        <f t="shared" ref="CB33" si="238">CB3/#REF!*#REF!</f>
        <v>#REF!</v>
      </c>
      <c r="CC33" s="862" t="e">
        <f t="shared" ref="CC33" si="239">CC3/#REF!*#REF!</f>
        <v>#REF!</v>
      </c>
      <c r="CD33" s="862" t="e">
        <f t="shared" ref="CD33" si="240">CD3/#REF!*#REF!</f>
        <v>#REF!</v>
      </c>
      <c r="CE33" s="862" t="e">
        <f t="shared" ref="CE33" si="241">CE3/#REF!*#REF!</f>
        <v>#REF!</v>
      </c>
      <c r="CF33" s="863" t="e">
        <f t="shared" ref="CF33" si="242">CF3/#REF!*#REF!</f>
        <v>#REF!</v>
      </c>
    </row>
    <row r="34" spans="1:84">
      <c r="A34" s="852"/>
      <c r="B34" s="860" t="s">
        <v>742</v>
      </c>
      <c r="C34" s="861" t="s">
        <v>741</v>
      </c>
      <c r="D34" s="864">
        <v>6.6368984891397836E-2</v>
      </c>
      <c r="E34" s="864">
        <v>6.6368984891397836E-2</v>
      </c>
      <c r="F34" s="864">
        <v>6.6368984891397836E-2</v>
      </c>
      <c r="G34" s="864">
        <v>6.6368984891397836E-2</v>
      </c>
      <c r="H34" s="864">
        <v>6.6368984891397836E-2</v>
      </c>
      <c r="I34" s="864">
        <v>6.6368984891397836E-2</v>
      </c>
      <c r="J34" s="864">
        <v>6.6368984891397836E-2</v>
      </c>
      <c r="K34" s="864">
        <v>6.6368984891397836E-2</v>
      </c>
      <c r="L34" s="864">
        <v>6.6368984891397836E-2</v>
      </c>
      <c r="M34" s="864">
        <v>6.6368984891397836E-2</v>
      </c>
      <c r="N34" s="864">
        <v>6.6368984891397836E-2</v>
      </c>
      <c r="O34" s="864">
        <v>6.6368984891397836E-2</v>
      </c>
      <c r="P34" s="864">
        <v>6.6368984891397836E-2</v>
      </c>
      <c r="Q34" s="864">
        <v>6.6368984891397836E-2</v>
      </c>
      <c r="R34" s="864">
        <v>6.6368984891397836E-2</v>
      </c>
      <c r="S34" s="864">
        <v>6.6368984891397836E-2</v>
      </c>
      <c r="T34" s="864">
        <v>6.6368984891397836E-2</v>
      </c>
      <c r="U34" s="864">
        <v>6.6368984891397836E-2</v>
      </c>
      <c r="V34" s="864">
        <v>6.6368984891397836E-2</v>
      </c>
      <c r="W34" s="864">
        <v>6.6368984891397836E-2</v>
      </c>
      <c r="X34" s="864">
        <v>6.6368984891397836E-2</v>
      </c>
      <c r="Y34" s="864">
        <v>6.6368984891397836E-2</v>
      </c>
      <c r="Z34" s="864">
        <v>6.6368984891397836E-2</v>
      </c>
      <c r="AA34" s="864">
        <v>6.6368984891397836E-2</v>
      </c>
      <c r="AB34" s="864">
        <v>6.6368984891397836E-2</v>
      </c>
      <c r="AC34" s="864">
        <v>6.6368984891397836E-2</v>
      </c>
      <c r="AD34" s="864">
        <v>6.6368984891397836E-2</v>
      </c>
      <c r="AE34" s="864">
        <v>6.6368984891397836E-2</v>
      </c>
      <c r="AF34" s="864">
        <v>6.6368984891397836E-2</v>
      </c>
      <c r="AG34" s="864">
        <v>6.6368984891397836E-2</v>
      </c>
      <c r="AH34" s="864">
        <v>6.6368984891397836E-2</v>
      </c>
      <c r="AI34" s="864">
        <v>6.6368984891397836E-2</v>
      </c>
      <c r="AJ34" s="864">
        <v>6.6368984891397836E-2</v>
      </c>
      <c r="AK34" s="864">
        <v>6.6368984891397836E-2</v>
      </c>
      <c r="AL34" s="864">
        <v>6.6368984891397836E-2</v>
      </c>
      <c r="AM34" s="864">
        <v>6.6368984891397836E-2</v>
      </c>
      <c r="AN34" s="864">
        <v>6.6368984891397836E-2</v>
      </c>
      <c r="AO34" s="864">
        <v>6.6368984891397836E-2</v>
      </c>
      <c r="AP34" s="864">
        <v>6.6368984891397836E-2</v>
      </c>
      <c r="AQ34" s="864">
        <v>6.6368984891397836E-2</v>
      </c>
      <c r="AR34" s="864">
        <v>6.6368984891397836E-2</v>
      </c>
      <c r="AS34" s="864">
        <v>6.6368984891397836E-2</v>
      </c>
      <c r="AT34" s="864">
        <v>6.6368984891397836E-2</v>
      </c>
      <c r="AU34" s="864">
        <v>6.6368984891397836E-2</v>
      </c>
      <c r="AV34" s="864">
        <v>6.6368984891397836E-2</v>
      </c>
      <c r="AW34" s="864">
        <v>6.6368984891397836E-2</v>
      </c>
      <c r="AX34" s="864">
        <v>6.6368984891397836E-2</v>
      </c>
      <c r="AY34" s="864">
        <v>6.6368984891397836E-2</v>
      </c>
      <c r="AZ34" s="864">
        <v>6.6368984891397836E-2</v>
      </c>
      <c r="BA34" s="864">
        <v>6.6368984891397836E-2</v>
      </c>
      <c r="BB34" s="864">
        <v>6.6368984891397836E-2</v>
      </c>
      <c r="BC34" s="864">
        <v>6.6368984891397836E-2</v>
      </c>
      <c r="BD34" s="864">
        <v>6.6368984891397836E-2</v>
      </c>
      <c r="BE34" s="864">
        <v>6.6368984891397836E-2</v>
      </c>
      <c r="BF34" s="864">
        <v>6.6368984891397836E-2</v>
      </c>
      <c r="BG34" s="864">
        <v>6.6368984891397836E-2</v>
      </c>
      <c r="BH34" s="864">
        <v>6.6368984891397836E-2</v>
      </c>
      <c r="BI34" s="864">
        <v>6.6368984891397836E-2</v>
      </c>
      <c r="BJ34" s="864">
        <v>6.6368984891397836E-2</v>
      </c>
      <c r="BK34" s="864">
        <v>6.6368984891397836E-2</v>
      </c>
      <c r="BL34" s="864">
        <v>6.6368984891397836E-2</v>
      </c>
      <c r="BM34" s="864">
        <v>6.6368984891397836E-2</v>
      </c>
      <c r="BN34" s="864">
        <v>6.6368984891397836E-2</v>
      </c>
      <c r="BO34" s="864">
        <v>6.6368984891397836E-2</v>
      </c>
      <c r="BP34" s="864">
        <v>6.6368984891397836E-2</v>
      </c>
      <c r="BQ34" s="864">
        <v>6.6368984891397836E-2</v>
      </c>
      <c r="BR34" s="864">
        <v>6.6368984891397836E-2</v>
      </c>
      <c r="BS34" s="864">
        <v>6.6368984891397836E-2</v>
      </c>
      <c r="BT34" s="864">
        <v>6.6368984891397836E-2</v>
      </c>
      <c r="BU34" s="864">
        <v>6.6368984891397836E-2</v>
      </c>
      <c r="BV34" s="864">
        <v>6.6368984891397836E-2</v>
      </c>
      <c r="BW34" s="864">
        <v>6.6368984891397836E-2</v>
      </c>
      <c r="BX34" s="864">
        <v>6.6368984891397836E-2</v>
      </c>
      <c r="BY34" s="864">
        <v>6.6368984891397836E-2</v>
      </c>
      <c r="BZ34" s="864">
        <v>6.6368984891397836E-2</v>
      </c>
      <c r="CA34" s="864">
        <v>6.6368984891397836E-2</v>
      </c>
      <c r="CB34" s="864">
        <v>6.6368984891397836E-2</v>
      </c>
      <c r="CC34" s="864">
        <v>6.6368984891397836E-2</v>
      </c>
      <c r="CD34" s="864">
        <v>6.6368984891397836E-2</v>
      </c>
      <c r="CE34" s="864">
        <v>6.6368984891397836E-2</v>
      </c>
      <c r="CF34" s="865">
        <v>6.6368984891397836E-2</v>
      </c>
    </row>
    <row r="35" spans="1:84">
      <c r="A35" s="852"/>
      <c r="B35" s="860" t="s">
        <v>743</v>
      </c>
      <c r="C35" s="861" t="s">
        <v>741</v>
      </c>
      <c r="D35" s="864">
        <v>0.17565965101840542</v>
      </c>
      <c r="E35" s="864">
        <v>0.17565965101840542</v>
      </c>
      <c r="F35" s="864">
        <v>0.17565965101840542</v>
      </c>
      <c r="G35" s="864">
        <v>0.17565965101840542</v>
      </c>
      <c r="H35" s="864">
        <v>0.17565965101840542</v>
      </c>
      <c r="I35" s="864">
        <v>0.17565965101840542</v>
      </c>
      <c r="J35" s="864">
        <v>0.17565965101840542</v>
      </c>
      <c r="K35" s="864">
        <v>0.17565965101840542</v>
      </c>
      <c r="L35" s="864">
        <v>0.17565965101840542</v>
      </c>
      <c r="M35" s="864">
        <v>0.17565965101840542</v>
      </c>
      <c r="N35" s="864">
        <v>0.17565965101840542</v>
      </c>
      <c r="O35" s="864">
        <v>0.17565965101840542</v>
      </c>
      <c r="P35" s="864">
        <v>0.17565965101840542</v>
      </c>
      <c r="Q35" s="864">
        <v>0.17565965101840542</v>
      </c>
      <c r="R35" s="864">
        <v>0.17565965101840542</v>
      </c>
      <c r="S35" s="864">
        <v>0.17565965101840542</v>
      </c>
      <c r="T35" s="864">
        <v>0.17565965101840542</v>
      </c>
      <c r="U35" s="864">
        <v>0.17565965101840542</v>
      </c>
      <c r="V35" s="864">
        <v>0.17565965101840542</v>
      </c>
      <c r="W35" s="864">
        <v>0.17565965101840542</v>
      </c>
      <c r="X35" s="864">
        <v>0.17565965101840542</v>
      </c>
      <c r="Y35" s="864">
        <v>0.17565965101840542</v>
      </c>
      <c r="Z35" s="864">
        <v>0.17565965101840542</v>
      </c>
      <c r="AA35" s="864">
        <v>0.17565965101840542</v>
      </c>
      <c r="AB35" s="864">
        <v>0.17565965101840542</v>
      </c>
      <c r="AC35" s="864">
        <v>0.17565965101840542</v>
      </c>
      <c r="AD35" s="864">
        <v>0.17565965101840542</v>
      </c>
      <c r="AE35" s="864">
        <v>0.17565965101840542</v>
      </c>
      <c r="AF35" s="864">
        <v>0.17565965101840542</v>
      </c>
      <c r="AG35" s="864">
        <v>0.17565965101840542</v>
      </c>
      <c r="AH35" s="864">
        <v>0.17565965101840542</v>
      </c>
      <c r="AI35" s="864">
        <v>0.17565965101840542</v>
      </c>
      <c r="AJ35" s="864">
        <v>0.17565965101840542</v>
      </c>
      <c r="AK35" s="864">
        <v>0.17565965101840542</v>
      </c>
      <c r="AL35" s="864">
        <v>0.17565965101840542</v>
      </c>
      <c r="AM35" s="864">
        <v>0.17565965101840542</v>
      </c>
      <c r="AN35" s="864">
        <v>0.17565965101840542</v>
      </c>
      <c r="AO35" s="864">
        <v>0.17565965101840542</v>
      </c>
      <c r="AP35" s="864">
        <v>0.17565965101840542</v>
      </c>
      <c r="AQ35" s="864">
        <v>0.17565965101840542</v>
      </c>
      <c r="AR35" s="864">
        <v>0.17565965101840542</v>
      </c>
      <c r="AS35" s="864">
        <v>0.17565965101840542</v>
      </c>
      <c r="AT35" s="864">
        <v>0.17565965101840542</v>
      </c>
      <c r="AU35" s="864">
        <v>0.17565965101840542</v>
      </c>
      <c r="AV35" s="864">
        <v>0.17565965101840542</v>
      </c>
      <c r="AW35" s="864">
        <v>0.17565965101840542</v>
      </c>
      <c r="AX35" s="864">
        <v>0.17565965101840542</v>
      </c>
      <c r="AY35" s="864">
        <v>0.17565965101840542</v>
      </c>
      <c r="AZ35" s="864">
        <v>0.17565965101840542</v>
      </c>
      <c r="BA35" s="864">
        <v>0.17565965101840542</v>
      </c>
      <c r="BB35" s="864">
        <v>0.17565965101840542</v>
      </c>
      <c r="BC35" s="864">
        <v>0.17565965101840542</v>
      </c>
      <c r="BD35" s="864">
        <v>0.17565965101840542</v>
      </c>
      <c r="BE35" s="864">
        <v>0.17565965101840542</v>
      </c>
      <c r="BF35" s="864">
        <v>0.17565965101840542</v>
      </c>
      <c r="BG35" s="864">
        <v>0.17565965101840542</v>
      </c>
      <c r="BH35" s="864">
        <v>0.17565965101840542</v>
      </c>
      <c r="BI35" s="864">
        <v>0.17565965101840542</v>
      </c>
      <c r="BJ35" s="864">
        <v>0.17565965101840542</v>
      </c>
      <c r="BK35" s="864">
        <v>0.17565965101840542</v>
      </c>
      <c r="BL35" s="864">
        <v>0.17565965101840542</v>
      </c>
      <c r="BM35" s="864">
        <v>0.17565965101840542</v>
      </c>
      <c r="BN35" s="864">
        <v>0.17565965101840542</v>
      </c>
      <c r="BO35" s="864">
        <v>0.17565965101840542</v>
      </c>
      <c r="BP35" s="864">
        <v>0.17565965101840542</v>
      </c>
      <c r="BQ35" s="864">
        <v>0.17565965101840542</v>
      </c>
      <c r="BR35" s="864">
        <v>0.17565965101840542</v>
      </c>
      <c r="BS35" s="864">
        <v>0.17565965101840542</v>
      </c>
      <c r="BT35" s="864">
        <v>0.17565965101840542</v>
      </c>
      <c r="BU35" s="864">
        <v>0.17565965101840542</v>
      </c>
      <c r="BV35" s="864">
        <v>0.17565965101840542</v>
      </c>
      <c r="BW35" s="864">
        <v>0.17565965101840542</v>
      </c>
      <c r="BX35" s="864">
        <v>0.17565965101840542</v>
      </c>
      <c r="BY35" s="864">
        <v>0.17565965101840542</v>
      </c>
      <c r="BZ35" s="864">
        <v>0.17565965101840542</v>
      </c>
      <c r="CA35" s="864">
        <v>0.17565965101840542</v>
      </c>
      <c r="CB35" s="864">
        <v>0.17565965101840542</v>
      </c>
      <c r="CC35" s="864">
        <v>0.17565965101840542</v>
      </c>
      <c r="CD35" s="864">
        <v>0.17565965101840542</v>
      </c>
      <c r="CE35" s="864">
        <v>0.17565965101840542</v>
      </c>
      <c r="CF35" s="865">
        <v>0.17565965101840542</v>
      </c>
    </row>
    <row r="36" spans="1:84">
      <c r="A36" s="852"/>
      <c r="B36" s="866" t="s">
        <v>744</v>
      </c>
      <c r="C36" s="867" t="s">
        <v>741</v>
      </c>
      <c r="D36" s="868">
        <v>5.6348825030477501E-2</v>
      </c>
      <c r="E36" s="869">
        <v>5.6348825030477501E-2</v>
      </c>
      <c r="F36" s="869">
        <v>5.6348825030477501E-2</v>
      </c>
      <c r="G36" s="869">
        <v>5.6348825030477501E-2</v>
      </c>
      <c r="H36" s="869">
        <v>5.6348825030477501E-2</v>
      </c>
      <c r="I36" s="869">
        <v>5.6348825030477501E-2</v>
      </c>
      <c r="J36" s="869">
        <v>5.6348825030477501E-2</v>
      </c>
      <c r="K36" s="869">
        <v>5.6348825030477501E-2</v>
      </c>
      <c r="L36" s="869">
        <v>5.6348825030477501E-2</v>
      </c>
      <c r="M36" s="869">
        <v>5.6348825030477501E-2</v>
      </c>
      <c r="N36" s="869">
        <v>5.6348825030477501E-2</v>
      </c>
      <c r="O36" s="869">
        <v>5.6348825030477501E-2</v>
      </c>
      <c r="P36" s="869">
        <v>5.6348825030477501E-2</v>
      </c>
      <c r="Q36" s="869">
        <v>5.6348825030477501E-2</v>
      </c>
      <c r="R36" s="869">
        <v>5.6348825030477501E-2</v>
      </c>
      <c r="S36" s="869">
        <v>5.6348825030477501E-2</v>
      </c>
      <c r="T36" s="869">
        <v>5.6348825030477501E-2</v>
      </c>
      <c r="U36" s="869">
        <v>5.6348825030477501E-2</v>
      </c>
      <c r="V36" s="869">
        <v>5.6348825030477501E-2</v>
      </c>
      <c r="W36" s="869">
        <v>5.6348825030477501E-2</v>
      </c>
      <c r="X36" s="869">
        <v>5.6348825030477501E-2</v>
      </c>
      <c r="Y36" s="869">
        <v>5.6348825030477501E-2</v>
      </c>
      <c r="Z36" s="869">
        <v>5.6348825030477501E-2</v>
      </c>
      <c r="AA36" s="869">
        <v>5.6348825030477501E-2</v>
      </c>
      <c r="AB36" s="869">
        <v>5.6348825030477501E-2</v>
      </c>
      <c r="AC36" s="869">
        <v>5.6348825030477501E-2</v>
      </c>
      <c r="AD36" s="869">
        <v>5.6348825030477501E-2</v>
      </c>
      <c r="AE36" s="869">
        <v>5.6348825030477501E-2</v>
      </c>
      <c r="AF36" s="869">
        <v>5.6348825030477501E-2</v>
      </c>
      <c r="AG36" s="869">
        <v>5.6348825030477501E-2</v>
      </c>
      <c r="AH36" s="869">
        <v>5.6348825030477501E-2</v>
      </c>
      <c r="AI36" s="869">
        <v>5.6348825030477501E-2</v>
      </c>
      <c r="AJ36" s="869">
        <v>5.6348825030477501E-2</v>
      </c>
      <c r="AK36" s="869">
        <v>5.6348825030477501E-2</v>
      </c>
      <c r="AL36" s="869">
        <v>5.6348825030477501E-2</v>
      </c>
      <c r="AM36" s="869">
        <v>5.6348825030477501E-2</v>
      </c>
      <c r="AN36" s="869">
        <v>5.6348825030477501E-2</v>
      </c>
      <c r="AO36" s="869">
        <v>5.6348825030477501E-2</v>
      </c>
      <c r="AP36" s="869">
        <v>5.6348825030477501E-2</v>
      </c>
      <c r="AQ36" s="869">
        <v>5.6348825030477501E-2</v>
      </c>
      <c r="AR36" s="869">
        <v>5.6348825030477501E-2</v>
      </c>
      <c r="AS36" s="869">
        <v>5.6348825030477501E-2</v>
      </c>
      <c r="AT36" s="869">
        <v>5.6348825030477501E-2</v>
      </c>
      <c r="AU36" s="869">
        <v>5.6348825030477501E-2</v>
      </c>
      <c r="AV36" s="869">
        <v>5.6348825030477501E-2</v>
      </c>
      <c r="AW36" s="869">
        <v>5.6348825030477501E-2</v>
      </c>
      <c r="AX36" s="869">
        <v>5.6348825030477501E-2</v>
      </c>
      <c r="AY36" s="869">
        <v>5.6348825030477501E-2</v>
      </c>
      <c r="AZ36" s="869">
        <v>5.6348825030477501E-2</v>
      </c>
      <c r="BA36" s="869">
        <v>5.6348825030477501E-2</v>
      </c>
      <c r="BB36" s="869">
        <v>5.6348825030477501E-2</v>
      </c>
      <c r="BC36" s="869">
        <v>5.6348825030477501E-2</v>
      </c>
      <c r="BD36" s="869">
        <v>5.6348825030477501E-2</v>
      </c>
      <c r="BE36" s="869">
        <v>5.6348825030477501E-2</v>
      </c>
      <c r="BF36" s="869">
        <v>5.6348825030477501E-2</v>
      </c>
      <c r="BG36" s="869">
        <v>5.6348825030477501E-2</v>
      </c>
      <c r="BH36" s="869">
        <v>5.6348825030477501E-2</v>
      </c>
      <c r="BI36" s="869">
        <v>5.6348825030477501E-2</v>
      </c>
      <c r="BJ36" s="869">
        <v>5.6348825030477501E-2</v>
      </c>
      <c r="BK36" s="869">
        <v>5.6348825030477501E-2</v>
      </c>
      <c r="BL36" s="869">
        <v>5.6348825030477501E-2</v>
      </c>
      <c r="BM36" s="869">
        <v>5.6348825030477501E-2</v>
      </c>
      <c r="BN36" s="869">
        <v>5.6348825030477501E-2</v>
      </c>
      <c r="BO36" s="869">
        <v>5.6348825030477501E-2</v>
      </c>
      <c r="BP36" s="869">
        <v>5.6348825030477501E-2</v>
      </c>
      <c r="BQ36" s="869">
        <v>5.6348825030477501E-2</v>
      </c>
      <c r="BR36" s="869">
        <v>5.6348825030477501E-2</v>
      </c>
      <c r="BS36" s="869">
        <v>5.6348825030477501E-2</v>
      </c>
      <c r="BT36" s="869">
        <v>5.6348825030477501E-2</v>
      </c>
      <c r="BU36" s="869">
        <v>5.6348825030477501E-2</v>
      </c>
      <c r="BV36" s="869">
        <v>5.6348825030477501E-2</v>
      </c>
      <c r="BW36" s="869">
        <v>5.6348825030477501E-2</v>
      </c>
      <c r="BX36" s="869">
        <v>5.6348825030477501E-2</v>
      </c>
      <c r="BY36" s="869">
        <v>5.6348825030477501E-2</v>
      </c>
      <c r="BZ36" s="869">
        <v>5.6348825030477501E-2</v>
      </c>
      <c r="CA36" s="869">
        <v>5.6348825030477501E-2</v>
      </c>
      <c r="CB36" s="869">
        <v>5.6348825030477501E-2</v>
      </c>
      <c r="CC36" s="869">
        <v>5.6348825030477501E-2</v>
      </c>
      <c r="CD36" s="869">
        <v>5.6348825030477501E-2</v>
      </c>
      <c r="CE36" s="869">
        <v>5.6348825030477501E-2</v>
      </c>
      <c r="CF36" s="870">
        <v>5.6348825030477501E-2</v>
      </c>
    </row>
    <row r="37" spans="1:84">
      <c r="A37" s="852"/>
      <c r="B37" s="860" t="str">
        <f>CONCATENATE("Drivmiddel (", $D$122,"-priser)")</f>
        <v>Drivmiddel (-priser)</v>
      </c>
      <c r="C37" s="861" t="s">
        <v>745</v>
      </c>
      <c r="D37" s="862" t="e">
        <f t="shared" ref="D37" si="243">D6/#REF!*#REF!</f>
        <v>#REF!</v>
      </c>
      <c r="E37" s="862" t="e">
        <f t="shared" ref="E37" si="244">E6/#REF!*#REF!</f>
        <v>#REF!</v>
      </c>
      <c r="F37" s="862" t="e">
        <f t="shared" ref="F37" si="245">F6/#REF!*#REF!</f>
        <v>#REF!</v>
      </c>
      <c r="G37" s="862" t="e">
        <f t="shared" ref="G37" si="246">G6/#REF!*#REF!</f>
        <v>#REF!</v>
      </c>
      <c r="H37" s="862" t="e">
        <f t="shared" ref="H37" si="247">H6/#REF!*#REF!</f>
        <v>#REF!</v>
      </c>
      <c r="I37" s="862" t="e">
        <f t="shared" ref="I37" si="248">I6/#REF!*#REF!</f>
        <v>#REF!</v>
      </c>
      <c r="J37" s="862" t="e">
        <f t="shared" ref="J37" si="249">J6/#REF!*#REF!</f>
        <v>#REF!</v>
      </c>
      <c r="K37" s="862" t="e">
        <f t="shared" ref="K37" si="250">K6/#REF!*#REF!</f>
        <v>#REF!</v>
      </c>
      <c r="L37" s="862" t="e">
        <f t="shared" ref="L37" si="251">L6/#REF!*#REF!</f>
        <v>#REF!</v>
      </c>
      <c r="M37" s="862" t="e">
        <f t="shared" ref="M37" si="252">M6/#REF!*#REF!</f>
        <v>#REF!</v>
      </c>
      <c r="N37" s="862" t="e">
        <f t="shared" ref="N37" si="253">N6/#REF!*#REF!</f>
        <v>#REF!</v>
      </c>
      <c r="O37" s="862" t="e">
        <f t="shared" ref="O37" si="254">O6/#REF!*#REF!</f>
        <v>#REF!</v>
      </c>
      <c r="P37" s="862" t="e">
        <f t="shared" ref="P37" si="255">P6/#REF!*#REF!</f>
        <v>#REF!</v>
      </c>
      <c r="Q37" s="862" t="e">
        <f t="shared" ref="Q37" si="256">Q6/#REF!*#REF!</f>
        <v>#REF!</v>
      </c>
      <c r="R37" s="862" t="e">
        <f t="shared" ref="R37" si="257">R6/#REF!*#REF!</f>
        <v>#REF!</v>
      </c>
      <c r="S37" s="862" t="e">
        <f t="shared" ref="S37" si="258">S6/#REF!*#REF!</f>
        <v>#REF!</v>
      </c>
      <c r="T37" s="862" t="e">
        <f t="shared" ref="T37" si="259">T6/#REF!*#REF!</f>
        <v>#REF!</v>
      </c>
      <c r="U37" s="862" t="e">
        <f t="shared" ref="U37" si="260">U6/#REF!*#REF!</f>
        <v>#REF!</v>
      </c>
      <c r="V37" s="862" t="e">
        <f t="shared" ref="V37" si="261">V6/#REF!*#REF!</f>
        <v>#REF!</v>
      </c>
      <c r="W37" s="862" t="e">
        <f t="shared" ref="W37" si="262">W6/#REF!*#REF!</f>
        <v>#REF!</v>
      </c>
      <c r="X37" s="862" t="e">
        <f t="shared" ref="X37" si="263">X6/#REF!*#REF!</f>
        <v>#REF!</v>
      </c>
      <c r="Y37" s="862" t="e">
        <f t="shared" ref="Y37" si="264">Y6/#REF!*#REF!</f>
        <v>#REF!</v>
      </c>
      <c r="Z37" s="862" t="e">
        <f t="shared" ref="Z37" si="265">Z6/#REF!*#REF!</f>
        <v>#REF!</v>
      </c>
      <c r="AA37" s="862" t="e">
        <f t="shared" ref="AA37" si="266">AA6/#REF!*#REF!</f>
        <v>#REF!</v>
      </c>
      <c r="AB37" s="862" t="e">
        <f t="shared" ref="AB37" si="267">AB6/#REF!*#REF!</f>
        <v>#REF!</v>
      </c>
      <c r="AC37" s="862" t="e">
        <f t="shared" ref="AC37" si="268">AC6/#REF!*#REF!</f>
        <v>#REF!</v>
      </c>
      <c r="AD37" s="862" t="e">
        <f t="shared" ref="AD37" si="269">AD6/#REF!*#REF!</f>
        <v>#REF!</v>
      </c>
      <c r="AE37" s="862" t="e">
        <f t="shared" ref="AE37" si="270">AE6/#REF!*#REF!</f>
        <v>#REF!</v>
      </c>
      <c r="AF37" s="862" t="e">
        <f t="shared" ref="AF37" si="271">AF6/#REF!*#REF!</f>
        <v>#REF!</v>
      </c>
      <c r="AG37" s="862" t="e">
        <f t="shared" ref="AG37" si="272">AG6/#REF!*#REF!</f>
        <v>#REF!</v>
      </c>
      <c r="AH37" s="862" t="e">
        <f t="shared" ref="AH37" si="273">AH6/#REF!*#REF!</f>
        <v>#REF!</v>
      </c>
      <c r="AI37" s="862" t="e">
        <f t="shared" ref="AI37" si="274">AI6/#REF!*#REF!</f>
        <v>#REF!</v>
      </c>
      <c r="AJ37" s="862" t="e">
        <f t="shared" ref="AJ37" si="275">AJ6/#REF!*#REF!</f>
        <v>#REF!</v>
      </c>
      <c r="AK37" s="862" t="e">
        <f t="shared" ref="AK37" si="276">AK6/#REF!*#REF!</f>
        <v>#REF!</v>
      </c>
      <c r="AL37" s="862" t="e">
        <f t="shared" ref="AL37" si="277">AL6/#REF!*#REF!</f>
        <v>#REF!</v>
      </c>
      <c r="AM37" s="862" t="e">
        <f t="shared" ref="AM37" si="278">AM6/#REF!*#REF!</f>
        <v>#REF!</v>
      </c>
      <c r="AN37" s="862" t="e">
        <f t="shared" ref="AN37" si="279">AN6/#REF!*#REF!</f>
        <v>#REF!</v>
      </c>
      <c r="AO37" s="862" t="e">
        <f t="shared" ref="AO37" si="280">AO6/#REF!*#REF!</f>
        <v>#REF!</v>
      </c>
      <c r="AP37" s="862" t="e">
        <f t="shared" ref="AP37" si="281">AP6/#REF!*#REF!</f>
        <v>#REF!</v>
      </c>
      <c r="AQ37" s="862" t="e">
        <f t="shared" ref="AQ37" si="282">AQ6/#REF!*#REF!</f>
        <v>#REF!</v>
      </c>
      <c r="AR37" s="862" t="e">
        <f t="shared" ref="AR37" si="283">AR6/#REF!*#REF!</f>
        <v>#REF!</v>
      </c>
      <c r="AS37" s="862" t="e">
        <f t="shared" ref="AS37" si="284">AS6/#REF!*#REF!</f>
        <v>#REF!</v>
      </c>
      <c r="AT37" s="862" t="e">
        <f t="shared" ref="AT37" si="285">AT6/#REF!*#REF!</f>
        <v>#REF!</v>
      </c>
      <c r="AU37" s="862" t="e">
        <f t="shared" ref="AU37" si="286">AU6/#REF!*#REF!</f>
        <v>#REF!</v>
      </c>
      <c r="AV37" s="862" t="e">
        <f t="shared" ref="AV37" si="287">AV6/#REF!*#REF!</f>
        <v>#REF!</v>
      </c>
      <c r="AW37" s="862" t="e">
        <f t="shared" ref="AW37" si="288">AW6/#REF!*#REF!</f>
        <v>#REF!</v>
      </c>
      <c r="AX37" s="862" t="e">
        <f t="shared" ref="AX37" si="289">AX6/#REF!*#REF!</f>
        <v>#REF!</v>
      </c>
      <c r="AY37" s="862" t="e">
        <f t="shared" ref="AY37" si="290">AY6/#REF!*#REF!</f>
        <v>#REF!</v>
      </c>
      <c r="AZ37" s="862" t="e">
        <f t="shared" ref="AZ37" si="291">AZ6/#REF!*#REF!</f>
        <v>#REF!</v>
      </c>
      <c r="BA37" s="862" t="e">
        <f t="shared" ref="BA37" si="292">BA6/#REF!*#REF!</f>
        <v>#REF!</v>
      </c>
      <c r="BB37" s="862" t="e">
        <f t="shared" ref="BB37" si="293">BB6/#REF!*#REF!</f>
        <v>#REF!</v>
      </c>
      <c r="BC37" s="862" t="e">
        <f t="shared" ref="BC37" si="294">BC6/#REF!*#REF!</f>
        <v>#REF!</v>
      </c>
      <c r="BD37" s="862" t="e">
        <f t="shared" ref="BD37" si="295">BD6/#REF!*#REF!</f>
        <v>#REF!</v>
      </c>
      <c r="BE37" s="862" t="e">
        <f t="shared" ref="BE37" si="296">BE6/#REF!*#REF!</f>
        <v>#REF!</v>
      </c>
      <c r="BF37" s="862" t="e">
        <f t="shared" ref="BF37" si="297">BF6/#REF!*#REF!</f>
        <v>#REF!</v>
      </c>
      <c r="BG37" s="862" t="e">
        <f t="shared" ref="BG37" si="298">BG6/#REF!*#REF!</f>
        <v>#REF!</v>
      </c>
      <c r="BH37" s="862" t="e">
        <f t="shared" ref="BH37" si="299">BH6/#REF!*#REF!</f>
        <v>#REF!</v>
      </c>
      <c r="BI37" s="862" t="e">
        <f t="shared" ref="BI37" si="300">BI6/#REF!*#REF!</f>
        <v>#REF!</v>
      </c>
      <c r="BJ37" s="862" t="e">
        <f t="shared" ref="BJ37" si="301">BJ6/#REF!*#REF!</f>
        <v>#REF!</v>
      </c>
      <c r="BK37" s="862" t="e">
        <f t="shared" ref="BK37" si="302">BK6/#REF!*#REF!</f>
        <v>#REF!</v>
      </c>
      <c r="BL37" s="862" t="e">
        <f t="shared" ref="BL37" si="303">BL6/#REF!*#REF!</f>
        <v>#REF!</v>
      </c>
      <c r="BM37" s="862" t="e">
        <f t="shared" ref="BM37" si="304">BM6/#REF!*#REF!</f>
        <v>#REF!</v>
      </c>
      <c r="BN37" s="862" t="e">
        <f t="shared" ref="BN37" si="305">BN6/#REF!*#REF!</f>
        <v>#REF!</v>
      </c>
      <c r="BO37" s="862" t="e">
        <f t="shared" ref="BO37" si="306">BO6/#REF!*#REF!</f>
        <v>#REF!</v>
      </c>
      <c r="BP37" s="862" t="e">
        <f t="shared" ref="BP37" si="307">BP6/#REF!*#REF!</f>
        <v>#REF!</v>
      </c>
      <c r="BQ37" s="862" t="e">
        <f t="shared" ref="BQ37" si="308">BQ6/#REF!*#REF!</f>
        <v>#REF!</v>
      </c>
      <c r="BR37" s="862" t="e">
        <f t="shared" ref="BR37" si="309">BR6/#REF!*#REF!</f>
        <v>#REF!</v>
      </c>
      <c r="BS37" s="862" t="e">
        <f t="shared" ref="BS37" si="310">BS6/#REF!*#REF!</f>
        <v>#REF!</v>
      </c>
      <c r="BT37" s="862" t="e">
        <f t="shared" ref="BT37" si="311">BT6/#REF!*#REF!</f>
        <v>#REF!</v>
      </c>
      <c r="BU37" s="862" t="e">
        <f t="shared" ref="BU37" si="312">BU6/#REF!*#REF!</f>
        <v>#REF!</v>
      </c>
      <c r="BV37" s="862" t="e">
        <f t="shared" ref="BV37" si="313">BV6/#REF!*#REF!</f>
        <v>#REF!</v>
      </c>
      <c r="BW37" s="862" t="e">
        <f t="shared" ref="BW37" si="314">BW6/#REF!*#REF!</f>
        <v>#REF!</v>
      </c>
      <c r="BX37" s="862" t="e">
        <f t="shared" ref="BX37" si="315">BX6/#REF!*#REF!</f>
        <v>#REF!</v>
      </c>
      <c r="BY37" s="862" t="e">
        <f t="shared" ref="BY37" si="316">BY6/#REF!*#REF!</f>
        <v>#REF!</v>
      </c>
      <c r="BZ37" s="862" t="e">
        <f t="shared" ref="BZ37" si="317">BZ6/#REF!*#REF!</f>
        <v>#REF!</v>
      </c>
      <c r="CA37" s="862" t="e">
        <f t="shared" ref="CA37" si="318">CA6/#REF!*#REF!</f>
        <v>#REF!</v>
      </c>
      <c r="CB37" s="862" t="e">
        <f t="shared" ref="CB37" si="319">CB6/#REF!*#REF!</f>
        <v>#REF!</v>
      </c>
      <c r="CC37" s="862" t="e">
        <f t="shared" ref="CC37" si="320">CC6/#REF!*#REF!</f>
        <v>#REF!</v>
      </c>
      <c r="CD37" s="862" t="e">
        <f t="shared" ref="CD37" si="321">CD6/#REF!*#REF!</f>
        <v>#REF!</v>
      </c>
      <c r="CE37" s="862" t="e">
        <f t="shared" ref="CE37" si="322">CE6/#REF!*#REF!</f>
        <v>#REF!</v>
      </c>
      <c r="CF37" s="863" t="e">
        <f t="shared" ref="CF37" si="323">CF6/#REF!*#REF!</f>
        <v>#REF!</v>
      </c>
    </row>
    <row r="38" spans="1:84">
      <c r="A38" s="852"/>
      <c r="B38" s="884" t="s">
        <v>742</v>
      </c>
      <c r="C38" s="885" t="s">
        <v>745</v>
      </c>
      <c r="D38" s="886">
        <v>8.2961231114247289E-2</v>
      </c>
      <c r="E38" s="886">
        <v>8.2961231114247289E-2</v>
      </c>
      <c r="F38" s="886">
        <v>8.2961231114247289E-2</v>
      </c>
      <c r="G38" s="886">
        <v>8.2961231114247289E-2</v>
      </c>
      <c r="H38" s="886">
        <v>8.2961231114247289E-2</v>
      </c>
      <c r="I38" s="886">
        <v>8.2961231114247289E-2</v>
      </c>
      <c r="J38" s="886">
        <v>8.2961231114247289E-2</v>
      </c>
      <c r="K38" s="886">
        <v>8.2961231114247289E-2</v>
      </c>
      <c r="L38" s="886">
        <v>8.2961231114247289E-2</v>
      </c>
      <c r="M38" s="886">
        <v>8.2961231114247289E-2</v>
      </c>
      <c r="N38" s="886">
        <v>8.2961231114247289E-2</v>
      </c>
      <c r="O38" s="886">
        <v>8.2961231114247289E-2</v>
      </c>
      <c r="P38" s="886">
        <v>8.2961231114247289E-2</v>
      </c>
      <c r="Q38" s="886">
        <v>8.2961231114247289E-2</v>
      </c>
      <c r="R38" s="886">
        <v>8.2961231114247289E-2</v>
      </c>
      <c r="S38" s="886">
        <v>8.2961231114247289E-2</v>
      </c>
      <c r="T38" s="886">
        <v>8.2961231114247289E-2</v>
      </c>
      <c r="U38" s="886">
        <v>8.2961231114247289E-2</v>
      </c>
      <c r="V38" s="886">
        <v>8.2961231114247289E-2</v>
      </c>
      <c r="W38" s="886">
        <v>8.2961231114247289E-2</v>
      </c>
      <c r="X38" s="886">
        <v>8.2961231114247289E-2</v>
      </c>
      <c r="Y38" s="886">
        <v>8.2961231114247289E-2</v>
      </c>
      <c r="Z38" s="886">
        <v>8.2961231114247289E-2</v>
      </c>
      <c r="AA38" s="886">
        <v>8.2961231114247289E-2</v>
      </c>
      <c r="AB38" s="886">
        <v>8.2961231114247289E-2</v>
      </c>
      <c r="AC38" s="886">
        <v>8.2961231114247289E-2</v>
      </c>
      <c r="AD38" s="886">
        <v>8.2961231114247289E-2</v>
      </c>
      <c r="AE38" s="886">
        <v>8.2961231114247289E-2</v>
      </c>
      <c r="AF38" s="886">
        <v>8.2961231114247289E-2</v>
      </c>
      <c r="AG38" s="886">
        <v>8.2961231114247289E-2</v>
      </c>
      <c r="AH38" s="886">
        <v>8.2961231114247289E-2</v>
      </c>
      <c r="AI38" s="886">
        <v>8.2961231114247289E-2</v>
      </c>
      <c r="AJ38" s="886">
        <v>8.2961231114247289E-2</v>
      </c>
      <c r="AK38" s="886">
        <v>8.2961231114247289E-2</v>
      </c>
      <c r="AL38" s="886">
        <v>8.2961231114247289E-2</v>
      </c>
      <c r="AM38" s="886">
        <v>8.2961231114247289E-2</v>
      </c>
      <c r="AN38" s="886">
        <v>8.2961231114247289E-2</v>
      </c>
      <c r="AO38" s="886">
        <v>8.2961231114247289E-2</v>
      </c>
      <c r="AP38" s="886">
        <v>8.2961231114247289E-2</v>
      </c>
      <c r="AQ38" s="886">
        <v>8.2961231114247289E-2</v>
      </c>
      <c r="AR38" s="886">
        <v>8.2961231114247289E-2</v>
      </c>
      <c r="AS38" s="886">
        <v>8.2961231114247289E-2</v>
      </c>
      <c r="AT38" s="886">
        <v>8.2961231114247289E-2</v>
      </c>
      <c r="AU38" s="886">
        <v>8.2961231114247289E-2</v>
      </c>
      <c r="AV38" s="886">
        <v>8.2961231114247289E-2</v>
      </c>
      <c r="AW38" s="886">
        <v>8.2961231114247289E-2</v>
      </c>
      <c r="AX38" s="886">
        <v>8.2961231114247289E-2</v>
      </c>
      <c r="AY38" s="886">
        <v>8.2961231114247289E-2</v>
      </c>
      <c r="AZ38" s="886">
        <v>8.2961231114247289E-2</v>
      </c>
      <c r="BA38" s="886">
        <v>8.2961231114247289E-2</v>
      </c>
      <c r="BB38" s="886">
        <v>8.2961231114247289E-2</v>
      </c>
      <c r="BC38" s="886">
        <v>8.2961231114247289E-2</v>
      </c>
      <c r="BD38" s="886">
        <v>8.2961231114247289E-2</v>
      </c>
      <c r="BE38" s="886">
        <v>8.2961231114247289E-2</v>
      </c>
      <c r="BF38" s="886">
        <v>8.2961231114247289E-2</v>
      </c>
      <c r="BG38" s="886">
        <v>8.2961231114247289E-2</v>
      </c>
      <c r="BH38" s="886">
        <v>8.2961231114247289E-2</v>
      </c>
      <c r="BI38" s="886">
        <v>8.2961231114247289E-2</v>
      </c>
      <c r="BJ38" s="886">
        <v>8.2961231114247289E-2</v>
      </c>
      <c r="BK38" s="886">
        <v>8.2961231114247289E-2</v>
      </c>
      <c r="BL38" s="886">
        <v>8.2961231114247289E-2</v>
      </c>
      <c r="BM38" s="886">
        <v>8.2961231114247289E-2</v>
      </c>
      <c r="BN38" s="886">
        <v>8.2961231114247289E-2</v>
      </c>
      <c r="BO38" s="886">
        <v>8.2961231114247289E-2</v>
      </c>
      <c r="BP38" s="886">
        <v>8.2961231114247289E-2</v>
      </c>
      <c r="BQ38" s="886">
        <v>8.2961231114247289E-2</v>
      </c>
      <c r="BR38" s="886">
        <v>8.2961231114247289E-2</v>
      </c>
      <c r="BS38" s="886">
        <v>8.2961231114247289E-2</v>
      </c>
      <c r="BT38" s="886">
        <v>8.2961231114247289E-2</v>
      </c>
      <c r="BU38" s="886">
        <v>8.2961231114247289E-2</v>
      </c>
      <c r="BV38" s="886">
        <v>8.2961231114247289E-2</v>
      </c>
      <c r="BW38" s="886">
        <v>8.2961231114247289E-2</v>
      </c>
      <c r="BX38" s="886">
        <v>8.2961231114247289E-2</v>
      </c>
      <c r="BY38" s="886">
        <v>8.2961231114247289E-2</v>
      </c>
      <c r="BZ38" s="886">
        <v>8.2961231114247289E-2</v>
      </c>
      <c r="CA38" s="886">
        <v>8.2961231114247289E-2</v>
      </c>
      <c r="CB38" s="886">
        <v>8.2961231114247289E-2</v>
      </c>
      <c r="CC38" s="886">
        <v>8.2961231114247289E-2</v>
      </c>
      <c r="CD38" s="886">
        <v>8.2961231114247289E-2</v>
      </c>
      <c r="CE38" s="886">
        <v>8.2961231114247289E-2</v>
      </c>
      <c r="CF38" s="887">
        <v>8.2961231114247289E-2</v>
      </c>
    </row>
    <row r="39" spans="1:84">
      <c r="A39" s="852"/>
      <c r="B39" s="884" t="s">
        <v>743</v>
      </c>
      <c r="C39" s="885" t="s">
        <v>745</v>
      </c>
      <c r="D39" s="886">
        <v>0.27066146024179261</v>
      </c>
      <c r="E39" s="886">
        <v>0.27066146024179261</v>
      </c>
      <c r="F39" s="886">
        <v>0.27066146024179261</v>
      </c>
      <c r="G39" s="886">
        <v>0.27066146024179261</v>
      </c>
      <c r="H39" s="886">
        <v>0.27066146024179261</v>
      </c>
      <c r="I39" s="886">
        <v>0.27066146024179261</v>
      </c>
      <c r="J39" s="886">
        <v>0.27066146024179261</v>
      </c>
      <c r="K39" s="886">
        <v>0.27066146024179261</v>
      </c>
      <c r="L39" s="886">
        <v>0.27066146024179261</v>
      </c>
      <c r="M39" s="886">
        <v>0.27066146024179261</v>
      </c>
      <c r="N39" s="886">
        <v>0.27066146024179261</v>
      </c>
      <c r="O39" s="886">
        <v>0.27066146024179261</v>
      </c>
      <c r="P39" s="886">
        <v>0.27066146024179261</v>
      </c>
      <c r="Q39" s="886">
        <v>0.27066146024179261</v>
      </c>
      <c r="R39" s="886">
        <v>0.27066146024179261</v>
      </c>
      <c r="S39" s="886">
        <v>0.27066146024179261</v>
      </c>
      <c r="T39" s="886">
        <v>0.27066146024179261</v>
      </c>
      <c r="U39" s="886">
        <v>0.27066146024179261</v>
      </c>
      <c r="V39" s="886">
        <v>0.27066146024179261</v>
      </c>
      <c r="W39" s="886">
        <v>0.27066146024179261</v>
      </c>
      <c r="X39" s="886">
        <v>0.27066146024179261</v>
      </c>
      <c r="Y39" s="886">
        <v>0.27066146024179261</v>
      </c>
      <c r="Z39" s="886">
        <v>0.27066146024179261</v>
      </c>
      <c r="AA39" s="886">
        <v>0.27066146024179261</v>
      </c>
      <c r="AB39" s="886">
        <v>0.27066146024179261</v>
      </c>
      <c r="AC39" s="886">
        <v>0.27066146024179261</v>
      </c>
      <c r="AD39" s="886">
        <v>0.27066146024179261</v>
      </c>
      <c r="AE39" s="886">
        <v>0.27066146024179261</v>
      </c>
      <c r="AF39" s="886">
        <v>0.27066146024179261</v>
      </c>
      <c r="AG39" s="886">
        <v>0.27066146024179261</v>
      </c>
      <c r="AH39" s="886">
        <v>0.27066146024179261</v>
      </c>
      <c r="AI39" s="886">
        <v>0.27066146024179261</v>
      </c>
      <c r="AJ39" s="886">
        <v>0.27066146024179261</v>
      </c>
      <c r="AK39" s="886">
        <v>0.27066146024179261</v>
      </c>
      <c r="AL39" s="886">
        <v>0.27066146024179261</v>
      </c>
      <c r="AM39" s="886">
        <v>0.27066146024179261</v>
      </c>
      <c r="AN39" s="886">
        <v>0.27066146024179261</v>
      </c>
      <c r="AO39" s="886">
        <v>0.27066146024179261</v>
      </c>
      <c r="AP39" s="886">
        <v>0.27066146024179261</v>
      </c>
      <c r="AQ39" s="886">
        <v>0.27066146024179261</v>
      </c>
      <c r="AR39" s="886">
        <v>0.27066146024179261</v>
      </c>
      <c r="AS39" s="886">
        <v>0.27066146024179261</v>
      </c>
      <c r="AT39" s="886">
        <v>0.27066146024179261</v>
      </c>
      <c r="AU39" s="886">
        <v>0.27066146024179261</v>
      </c>
      <c r="AV39" s="886">
        <v>0.27066146024179261</v>
      </c>
      <c r="AW39" s="886">
        <v>0.27066146024179261</v>
      </c>
      <c r="AX39" s="886">
        <v>0.27066146024179261</v>
      </c>
      <c r="AY39" s="886">
        <v>0.27066146024179261</v>
      </c>
      <c r="AZ39" s="886">
        <v>0.27066146024179261</v>
      </c>
      <c r="BA39" s="886">
        <v>0.27066146024179261</v>
      </c>
      <c r="BB39" s="886">
        <v>0.27066146024179261</v>
      </c>
      <c r="BC39" s="886">
        <v>0.27066146024179261</v>
      </c>
      <c r="BD39" s="886">
        <v>0.27066146024179261</v>
      </c>
      <c r="BE39" s="886">
        <v>0.27066146024179261</v>
      </c>
      <c r="BF39" s="886">
        <v>0.27066146024179261</v>
      </c>
      <c r="BG39" s="886">
        <v>0.27066146024179261</v>
      </c>
      <c r="BH39" s="886">
        <v>0.27066146024179261</v>
      </c>
      <c r="BI39" s="886">
        <v>0.27066146024179261</v>
      </c>
      <c r="BJ39" s="886">
        <v>0.27066146024179261</v>
      </c>
      <c r="BK39" s="886">
        <v>0.27066146024179261</v>
      </c>
      <c r="BL39" s="886">
        <v>0.27066146024179261</v>
      </c>
      <c r="BM39" s="886">
        <v>0.27066146024179261</v>
      </c>
      <c r="BN39" s="886">
        <v>0.27066146024179261</v>
      </c>
      <c r="BO39" s="886">
        <v>0.27066146024179261</v>
      </c>
      <c r="BP39" s="886">
        <v>0.27066146024179261</v>
      </c>
      <c r="BQ39" s="886">
        <v>0.27066146024179261</v>
      </c>
      <c r="BR39" s="886">
        <v>0.27066146024179261</v>
      </c>
      <c r="BS39" s="886">
        <v>0.27066146024179261</v>
      </c>
      <c r="BT39" s="886">
        <v>0.27066146024179261</v>
      </c>
      <c r="BU39" s="886">
        <v>0.27066146024179261</v>
      </c>
      <c r="BV39" s="886">
        <v>0.27066146024179261</v>
      </c>
      <c r="BW39" s="886">
        <v>0.27066146024179261</v>
      </c>
      <c r="BX39" s="886">
        <v>0.27066146024179261</v>
      </c>
      <c r="BY39" s="886">
        <v>0.27066146024179261</v>
      </c>
      <c r="BZ39" s="886">
        <v>0.27066146024179261</v>
      </c>
      <c r="CA39" s="886">
        <v>0.27066146024179261</v>
      </c>
      <c r="CB39" s="886">
        <v>0.27066146024179261</v>
      </c>
      <c r="CC39" s="886">
        <v>0.27066146024179261</v>
      </c>
      <c r="CD39" s="886">
        <v>0.27066146024179261</v>
      </c>
      <c r="CE39" s="886">
        <v>0.27066146024179261</v>
      </c>
      <c r="CF39" s="887">
        <v>0.27066146024179261</v>
      </c>
    </row>
    <row r="40" spans="1:84" ht="13.8" thickBot="1">
      <c r="A40" s="852"/>
      <c r="B40" s="888" t="s">
        <v>744</v>
      </c>
      <c r="C40" s="889" t="s">
        <v>745</v>
      </c>
      <c r="D40" s="890">
        <v>0.12676968828854276</v>
      </c>
      <c r="E40" s="891">
        <v>0.12676968828854276</v>
      </c>
      <c r="F40" s="891">
        <v>0.12676968828854276</v>
      </c>
      <c r="G40" s="891">
        <v>0.12676968828854276</v>
      </c>
      <c r="H40" s="891">
        <v>0.12676968828854276</v>
      </c>
      <c r="I40" s="891">
        <v>0.12676968828854276</v>
      </c>
      <c r="J40" s="891">
        <v>0.12676968828854276</v>
      </c>
      <c r="K40" s="891">
        <v>0.12676968828854276</v>
      </c>
      <c r="L40" s="891">
        <v>0.12676968828854276</v>
      </c>
      <c r="M40" s="891">
        <v>0.12676968828854276</v>
      </c>
      <c r="N40" s="891">
        <v>0.12676968828854276</v>
      </c>
      <c r="O40" s="891">
        <v>0.12676968828854276</v>
      </c>
      <c r="P40" s="891">
        <v>0.12676968828854276</v>
      </c>
      <c r="Q40" s="891">
        <v>0.12676968828854276</v>
      </c>
      <c r="R40" s="891">
        <v>0.12676968828854276</v>
      </c>
      <c r="S40" s="891">
        <v>0.12676968828854276</v>
      </c>
      <c r="T40" s="891">
        <v>0.12676968828854276</v>
      </c>
      <c r="U40" s="891">
        <v>0.12676968828854276</v>
      </c>
      <c r="V40" s="891">
        <v>0.12676968828854276</v>
      </c>
      <c r="W40" s="891">
        <v>0.12676968828854276</v>
      </c>
      <c r="X40" s="891">
        <v>0.12676968828854276</v>
      </c>
      <c r="Y40" s="891">
        <v>0.12676968828854276</v>
      </c>
      <c r="Z40" s="891">
        <v>0.12676968828854276</v>
      </c>
      <c r="AA40" s="891">
        <v>0.12676968828854276</v>
      </c>
      <c r="AB40" s="891">
        <v>0.12676968828854276</v>
      </c>
      <c r="AC40" s="891">
        <v>0.12676968828854276</v>
      </c>
      <c r="AD40" s="891">
        <v>0.12676968828854276</v>
      </c>
      <c r="AE40" s="891">
        <v>0.12676968828854276</v>
      </c>
      <c r="AF40" s="891">
        <v>0.12676968828854276</v>
      </c>
      <c r="AG40" s="891">
        <v>0.12676968828854276</v>
      </c>
      <c r="AH40" s="891">
        <v>0.12676968828854276</v>
      </c>
      <c r="AI40" s="891">
        <v>0.12676968828854276</v>
      </c>
      <c r="AJ40" s="891">
        <v>0.12676968828854276</v>
      </c>
      <c r="AK40" s="891">
        <v>0.12676968828854276</v>
      </c>
      <c r="AL40" s="891">
        <v>0.12676968828854276</v>
      </c>
      <c r="AM40" s="891">
        <v>0.12676968828854276</v>
      </c>
      <c r="AN40" s="891">
        <v>0.12676968828854276</v>
      </c>
      <c r="AO40" s="891">
        <v>0.12676968828854276</v>
      </c>
      <c r="AP40" s="891">
        <v>0.12676968828854276</v>
      </c>
      <c r="AQ40" s="891">
        <v>0.12676968828854276</v>
      </c>
      <c r="AR40" s="891">
        <v>0.12676968828854276</v>
      </c>
      <c r="AS40" s="891">
        <v>0.12676968828854276</v>
      </c>
      <c r="AT40" s="891">
        <v>0.12676968828854276</v>
      </c>
      <c r="AU40" s="891">
        <v>0.12676968828854276</v>
      </c>
      <c r="AV40" s="891">
        <v>0.12676968828854276</v>
      </c>
      <c r="AW40" s="891">
        <v>0.12676968828854276</v>
      </c>
      <c r="AX40" s="891">
        <v>0.12676968828854276</v>
      </c>
      <c r="AY40" s="891">
        <v>0.12676968828854276</v>
      </c>
      <c r="AZ40" s="891">
        <v>0.12676968828854276</v>
      </c>
      <c r="BA40" s="891">
        <v>0.12676968828854276</v>
      </c>
      <c r="BB40" s="891">
        <v>0.12676968828854276</v>
      </c>
      <c r="BC40" s="891">
        <v>0.12676968828854276</v>
      </c>
      <c r="BD40" s="891">
        <v>0.12676968828854276</v>
      </c>
      <c r="BE40" s="891">
        <v>0.12676968828854276</v>
      </c>
      <c r="BF40" s="891">
        <v>0.12676968828854276</v>
      </c>
      <c r="BG40" s="891">
        <v>0.12676968828854276</v>
      </c>
      <c r="BH40" s="891">
        <v>0.12676968828854276</v>
      </c>
      <c r="BI40" s="891">
        <v>0.12676968828854276</v>
      </c>
      <c r="BJ40" s="891">
        <v>0.12676968828854276</v>
      </c>
      <c r="BK40" s="891">
        <v>0.12676968828854276</v>
      </c>
      <c r="BL40" s="891">
        <v>0.12676968828854276</v>
      </c>
      <c r="BM40" s="891">
        <v>0.12676968828854276</v>
      </c>
      <c r="BN40" s="891">
        <v>0.12676968828854276</v>
      </c>
      <c r="BO40" s="891">
        <v>0.12676968828854276</v>
      </c>
      <c r="BP40" s="891">
        <v>0.12676968828854276</v>
      </c>
      <c r="BQ40" s="891">
        <v>0.12676968828854276</v>
      </c>
      <c r="BR40" s="891">
        <v>0.12676968828854276</v>
      </c>
      <c r="BS40" s="891">
        <v>0.12676968828854276</v>
      </c>
      <c r="BT40" s="891">
        <v>0.12676968828854276</v>
      </c>
      <c r="BU40" s="891">
        <v>0.12676968828854276</v>
      </c>
      <c r="BV40" s="891">
        <v>0.12676968828854276</v>
      </c>
      <c r="BW40" s="891">
        <v>0.12676968828854276</v>
      </c>
      <c r="BX40" s="891">
        <v>0.12676968828854276</v>
      </c>
      <c r="BY40" s="891">
        <v>0.12676968828854276</v>
      </c>
      <c r="BZ40" s="891">
        <v>0.12676968828854276</v>
      </c>
      <c r="CA40" s="891">
        <v>0.12676968828854276</v>
      </c>
      <c r="CB40" s="891">
        <v>0.12676968828854276</v>
      </c>
      <c r="CC40" s="891">
        <v>0.12676968828854276</v>
      </c>
      <c r="CD40" s="891">
        <v>0.12676968828854276</v>
      </c>
      <c r="CE40" s="891">
        <v>0.12676968828854276</v>
      </c>
      <c r="CF40" s="892">
        <v>0.12676968828854276</v>
      </c>
    </row>
    <row r="41" spans="1:84">
      <c r="A41" s="852"/>
      <c r="B41" s="852"/>
      <c r="C41" s="852"/>
      <c r="D41" s="852"/>
      <c r="E41" s="852"/>
      <c r="F41" s="852"/>
      <c r="G41" s="852"/>
      <c r="H41" s="852"/>
      <c r="I41" s="852"/>
      <c r="J41" s="852"/>
      <c r="K41" s="852"/>
      <c r="L41" s="852"/>
      <c r="M41" s="852"/>
      <c r="N41" s="852"/>
      <c r="O41" s="852"/>
      <c r="P41" s="852"/>
      <c r="Q41" s="852"/>
      <c r="R41" s="852"/>
      <c r="S41" s="852"/>
      <c r="T41" s="852"/>
      <c r="U41" s="852"/>
      <c r="V41" s="852"/>
      <c r="W41" s="852"/>
      <c r="X41" s="852"/>
      <c r="Y41" s="852"/>
      <c r="Z41" s="852"/>
      <c r="AA41" s="852"/>
      <c r="AB41" s="852"/>
      <c r="AC41" s="852"/>
      <c r="AD41" s="852"/>
      <c r="AE41" s="852"/>
      <c r="AF41" s="852"/>
      <c r="AG41" s="852"/>
      <c r="AH41" s="852"/>
      <c r="AI41" s="852"/>
      <c r="AJ41" s="852"/>
      <c r="AK41" s="852"/>
      <c r="AL41" s="852"/>
      <c r="AM41" s="852"/>
      <c r="AN41" s="852"/>
      <c r="AO41" s="852"/>
      <c r="AP41" s="852"/>
      <c r="AQ41" s="852"/>
      <c r="AR41" s="852"/>
      <c r="AS41" s="852"/>
      <c r="AT41" s="852"/>
      <c r="AU41" s="852"/>
      <c r="AV41" s="852"/>
      <c r="AW41" s="852"/>
      <c r="AX41" s="852"/>
      <c r="AY41" s="852"/>
      <c r="AZ41" s="852"/>
      <c r="BA41" s="852"/>
      <c r="BB41" s="852"/>
      <c r="BC41" s="852"/>
      <c r="BD41" s="852"/>
      <c r="BE41" s="852"/>
      <c r="BF41" s="852"/>
      <c r="BG41" s="852"/>
      <c r="BH41" s="852"/>
      <c r="BI41" s="852"/>
      <c r="BJ41" s="852"/>
      <c r="BK41" s="852"/>
      <c r="BL41" s="852"/>
      <c r="BM41" s="852"/>
      <c r="BN41" s="852"/>
      <c r="BO41" s="852"/>
      <c r="BP41" s="852"/>
      <c r="BQ41" s="852"/>
      <c r="BR41" s="852"/>
      <c r="BS41" s="852"/>
      <c r="BT41" s="852"/>
      <c r="BU41" s="852"/>
      <c r="BV41" s="852"/>
      <c r="BW41" s="852"/>
      <c r="BX41" s="852"/>
      <c r="BY41" s="852"/>
      <c r="BZ41" s="852"/>
      <c r="CA41" s="852"/>
      <c r="CB41" s="852"/>
      <c r="CC41" s="852"/>
      <c r="CD41" s="852"/>
      <c r="CE41" s="852"/>
      <c r="CF41" s="852"/>
    </row>
    <row r="42" spans="1:84" ht="13.8" thickBot="1">
      <c r="A42" s="852"/>
      <c r="B42" s="853" t="s">
        <v>748</v>
      </c>
      <c r="C42" s="852"/>
      <c r="D42" s="852"/>
      <c r="E42" s="852"/>
      <c r="F42" s="852"/>
      <c r="G42" s="852"/>
      <c r="H42" s="852"/>
      <c r="I42" s="883">
        <f>$I$140</f>
        <v>0</v>
      </c>
      <c r="J42" s="852" t="s">
        <v>739</v>
      </c>
      <c r="K42" s="852"/>
      <c r="L42" s="852"/>
      <c r="M42" s="852"/>
      <c r="N42" s="852"/>
      <c r="O42" s="852"/>
      <c r="P42" s="852"/>
      <c r="Q42" s="852"/>
      <c r="R42" s="852"/>
      <c r="S42" s="852"/>
      <c r="T42" s="852"/>
      <c r="U42" s="852"/>
      <c r="V42" s="852"/>
      <c r="W42" s="852"/>
      <c r="X42" s="852"/>
      <c r="Y42" s="852"/>
      <c r="Z42" s="852"/>
      <c r="AA42" s="852"/>
      <c r="AB42" s="852"/>
      <c r="AC42" s="852"/>
      <c r="AD42" s="852"/>
      <c r="AE42" s="852"/>
      <c r="AF42" s="852"/>
      <c r="AG42" s="852"/>
      <c r="AH42" s="852"/>
      <c r="AI42" s="852"/>
      <c r="AJ42" s="852"/>
      <c r="AK42" s="852"/>
      <c r="AL42" s="852"/>
      <c r="AM42" s="852"/>
      <c r="AN42" s="852"/>
      <c r="AO42" s="852"/>
      <c r="AP42" s="852"/>
      <c r="AQ42" s="852"/>
      <c r="AR42" s="852"/>
      <c r="AS42" s="852"/>
      <c r="AT42" s="852"/>
      <c r="AU42" s="852"/>
      <c r="AV42" s="852"/>
      <c r="AW42" s="852"/>
      <c r="AX42" s="852"/>
      <c r="AY42" s="852"/>
      <c r="AZ42" s="852"/>
      <c r="BA42" s="852"/>
      <c r="BB42" s="852"/>
      <c r="BC42" s="852"/>
      <c r="BD42" s="852"/>
      <c r="BE42" s="852"/>
      <c r="BF42" s="852"/>
      <c r="BG42" s="852"/>
      <c r="BH42" s="852"/>
      <c r="BI42" s="852"/>
      <c r="BJ42" s="852"/>
      <c r="BK42" s="852"/>
      <c r="BL42" s="852"/>
      <c r="BM42" s="852"/>
      <c r="BN42" s="852"/>
      <c r="BO42" s="852"/>
      <c r="BP42" s="852"/>
      <c r="BQ42" s="852"/>
      <c r="BR42" s="852"/>
      <c r="BS42" s="852"/>
      <c r="BT42" s="852"/>
      <c r="BU42" s="852"/>
      <c r="BV42" s="852"/>
      <c r="BW42" s="852"/>
      <c r="BX42" s="852"/>
      <c r="BY42" s="852"/>
      <c r="BZ42" s="852"/>
      <c r="CA42" s="852"/>
      <c r="CB42" s="852"/>
      <c r="CC42" s="852"/>
      <c r="CD42" s="852"/>
      <c r="CE42" s="852"/>
      <c r="CF42" s="852"/>
    </row>
    <row r="43" spans="1:84">
      <c r="A43" s="852"/>
      <c r="B43" s="856" t="s">
        <v>740</v>
      </c>
      <c r="C43" s="857"/>
      <c r="D43" s="858">
        <v>2010</v>
      </c>
      <c r="E43" s="858">
        <v>2011</v>
      </c>
      <c r="F43" s="858">
        <v>2012</v>
      </c>
      <c r="G43" s="858">
        <v>2013</v>
      </c>
      <c r="H43" s="858">
        <v>2014</v>
      </c>
      <c r="I43" s="858">
        <v>2015</v>
      </c>
      <c r="J43" s="858">
        <v>2016</v>
      </c>
      <c r="K43" s="858">
        <v>2017</v>
      </c>
      <c r="L43" s="858">
        <v>2018</v>
      </c>
      <c r="M43" s="858">
        <v>2019</v>
      </c>
      <c r="N43" s="858">
        <v>2020</v>
      </c>
      <c r="O43" s="858">
        <v>2021</v>
      </c>
      <c r="P43" s="858">
        <v>2022</v>
      </c>
      <c r="Q43" s="858">
        <v>2023</v>
      </c>
      <c r="R43" s="858">
        <v>2024</v>
      </c>
      <c r="S43" s="858">
        <v>2025</v>
      </c>
      <c r="T43" s="858">
        <v>2026</v>
      </c>
      <c r="U43" s="858">
        <v>2027</v>
      </c>
      <c r="V43" s="858">
        <v>2028</v>
      </c>
      <c r="W43" s="858">
        <v>2029</v>
      </c>
      <c r="X43" s="858">
        <v>2030</v>
      </c>
      <c r="Y43" s="858">
        <v>2031</v>
      </c>
      <c r="Z43" s="858">
        <v>2032</v>
      </c>
      <c r="AA43" s="858">
        <v>2033</v>
      </c>
      <c r="AB43" s="858">
        <v>2034</v>
      </c>
      <c r="AC43" s="858">
        <v>2035</v>
      </c>
      <c r="AD43" s="858">
        <v>2036</v>
      </c>
      <c r="AE43" s="858">
        <v>2037</v>
      </c>
      <c r="AF43" s="858">
        <v>2038</v>
      </c>
      <c r="AG43" s="858">
        <v>2039</v>
      </c>
      <c r="AH43" s="858">
        <v>2040</v>
      </c>
      <c r="AI43" s="858">
        <v>2041</v>
      </c>
      <c r="AJ43" s="858">
        <v>2042</v>
      </c>
      <c r="AK43" s="858">
        <v>2043</v>
      </c>
      <c r="AL43" s="858">
        <v>2044</v>
      </c>
      <c r="AM43" s="858">
        <v>2045</v>
      </c>
      <c r="AN43" s="858">
        <v>2046</v>
      </c>
      <c r="AO43" s="858">
        <v>2047</v>
      </c>
      <c r="AP43" s="858">
        <v>2048</v>
      </c>
      <c r="AQ43" s="858">
        <v>2049</v>
      </c>
      <c r="AR43" s="858">
        <v>2050</v>
      </c>
      <c r="AS43" s="858">
        <v>2051</v>
      </c>
      <c r="AT43" s="858">
        <v>2052</v>
      </c>
      <c r="AU43" s="858">
        <v>2053</v>
      </c>
      <c r="AV43" s="858">
        <v>2054</v>
      </c>
      <c r="AW43" s="858">
        <v>2055</v>
      </c>
      <c r="AX43" s="858">
        <v>2056</v>
      </c>
      <c r="AY43" s="858">
        <v>2057</v>
      </c>
      <c r="AZ43" s="858">
        <v>2058</v>
      </c>
      <c r="BA43" s="858">
        <v>2059</v>
      </c>
      <c r="BB43" s="858">
        <v>2060</v>
      </c>
      <c r="BC43" s="858">
        <v>2061</v>
      </c>
      <c r="BD43" s="858">
        <v>2062</v>
      </c>
      <c r="BE43" s="858">
        <v>2063</v>
      </c>
      <c r="BF43" s="858">
        <v>2064</v>
      </c>
      <c r="BG43" s="858">
        <v>2065</v>
      </c>
      <c r="BH43" s="858">
        <v>2066</v>
      </c>
      <c r="BI43" s="858">
        <v>2067</v>
      </c>
      <c r="BJ43" s="858">
        <v>2068</v>
      </c>
      <c r="BK43" s="858">
        <v>2069</v>
      </c>
      <c r="BL43" s="858">
        <v>2070</v>
      </c>
      <c r="BM43" s="858">
        <v>2071</v>
      </c>
      <c r="BN43" s="858">
        <v>2072</v>
      </c>
      <c r="BO43" s="858">
        <v>2073</v>
      </c>
      <c r="BP43" s="858">
        <v>2074</v>
      </c>
      <c r="BQ43" s="858">
        <v>2075</v>
      </c>
      <c r="BR43" s="858">
        <v>2076</v>
      </c>
      <c r="BS43" s="858">
        <v>2077</v>
      </c>
      <c r="BT43" s="858">
        <v>2078</v>
      </c>
      <c r="BU43" s="858">
        <v>2079</v>
      </c>
      <c r="BV43" s="858">
        <v>2080</v>
      </c>
      <c r="BW43" s="858">
        <v>2081</v>
      </c>
      <c r="BX43" s="858">
        <v>2082</v>
      </c>
      <c r="BY43" s="858">
        <v>2083</v>
      </c>
      <c r="BZ43" s="858">
        <v>2084</v>
      </c>
      <c r="CA43" s="858">
        <v>2085</v>
      </c>
      <c r="CB43" s="858">
        <v>2086</v>
      </c>
      <c r="CC43" s="858">
        <v>2087</v>
      </c>
      <c r="CD43" s="858">
        <v>2088</v>
      </c>
      <c r="CE43" s="858">
        <v>2089</v>
      </c>
      <c r="CF43" s="859">
        <v>2090</v>
      </c>
    </row>
    <row r="44" spans="1:84">
      <c r="A44" s="852"/>
      <c r="B44" s="860" t="str">
        <f>CONCATENATE("Drivmiddel (", $D$122,"-priser)")</f>
        <v>Drivmiddel (-priser)</v>
      </c>
      <c r="C44" s="861" t="s">
        <v>741</v>
      </c>
      <c r="D44" s="862" t="e">
        <f t="shared" ref="D44" si="324">D4/#REF!*#REF!</f>
        <v>#REF!</v>
      </c>
      <c r="E44" s="862" t="e">
        <f t="shared" ref="E44" si="325">E4/#REF!*#REF!</f>
        <v>#REF!</v>
      </c>
      <c r="F44" s="862" t="e">
        <f t="shared" ref="F44" si="326">F4/#REF!*#REF!</f>
        <v>#REF!</v>
      </c>
      <c r="G44" s="862" t="e">
        <f t="shared" ref="G44" si="327">G4/#REF!*#REF!</f>
        <v>#REF!</v>
      </c>
      <c r="H44" s="862" t="e">
        <f t="shared" ref="H44" si="328">H4/#REF!*#REF!</f>
        <v>#REF!</v>
      </c>
      <c r="I44" s="862" t="e">
        <f t="shared" ref="I44" si="329">I4/#REF!*#REF!</f>
        <v>#REF!</v>
      </c>
      <c r="J44" s="862" t="e">
        <f t="shared" ref="J44" si="330">J4/#REF!*#REF!</f>
        <v>#REF!</v>
      </c>
      <c r="K44" s="862" t="e">
        <f t="shared" ref="K44" si="331">K4/#REF!*#REF!</f>
        <v>#REF!</v>
      </c>
      <c r="L44" s="862" t="e">
        <f t="shared" ref="L44" si="332">L4/#REF!*#REF!</f>
        <v>#REF!</v>
      </c>
      <c r="M44" s="862" t="e">
        <f t="shared" ref="M44" si="333">M4/#REF!*#REF!</f>
        <v>#REF!</v>
      </c>
      <c r="N44" s="862" t="e">
        <f t="shared" ref="N44" si="334">N4/#REF!*#REF!</f>
        <v>#REF!</v>
      </c>
      <c r="O44" s="862" t="e">
        <f t="shared" ref="O44" si="335">O4/#REF!*#REF!</f>
        <v>#REF!</v>
      </c>
      <c r="P44" s="862" t="e">
        <f t="shared" ref="P44" si="336">P4/#REF!*#REF!</f>
        <v>#REF!</v>
      </c>
      <c r="Q44" s="862" t="e">
        <f t="shared" ref="Q44" si="337">Q4/#REF!*#REF!</f>
        <v>#REF!</v>
      </c>
      <c r="R44" s="862" t="e">
        <f t="shared" ref="R44" si="338">R4/#REF!*#REF!</f>
        <v>#REF!</v>
      </c>
      <c r="S44" s="862" t="e">
        <f t="shared" ref="S44" si="339">S4/#REF!*#REF!</f>
        <v>#REF!</v>
      </c>
      <c r="T44" s="862" t="e">
        <f t="shared" ref="T44" si="340">T4/#REF!*#REF!</f>
        <v>#REF!</v>
      </c>
      <c r="U44" s="862" t="e">
        <f t="shared" ref="U44" si="341">U4/#REF!*#REF!</f>
        <v>#REF!</v>
      </c>
      <c r="V44" s="862" t="e">
        <f t="shared" ref="V44" si="342">V4/#REF!*#REF!</f>
        <v>#REF!</v>
      </c>
      <c r="W44" s="862" t="e">
        <f t="shared" ref="W44" si="343">W4/#REF!*#REF!</f>
        <v>#REF!</v>
      </c>
      <c r="X44" s="862" t="e">
        <f t="shared" ref="X44" si="344">X4/#REF!*#REF!</f>
        <v>#REF!</v>
      </c>
      <c r="Y44" s="862" t="e">
        <f t="shared" ref="Y44" si="345">Y4/#REF!*#REF!</f>
        <v>#REF!</v>
      </c>
      <c r="Z44" s="862" t="e">
        <f t="shared" ref="Z44" si="346">Z4/#REF!*#REF!</f>
        <v>#REF!</v>
      </c>
      <c r="AA44" s="862" t="e">
        <f t="shared" ref="AA44" si="347">AA4/#REF!*#REF!</f>
        <v>#REF!</v>
      </c>
      <c r="AB44" s="862" t="e">
        <f t="shared" ref="AB44" si="348">AB4/#REF!*#REF!</f>
        <v>#REF!</v>
      </c>
      <c r="AC44" s="862" t="e">
        <f t="shared" ref="AC44" si="349">AC4/#REF!*#REF!</f>
        <v>#REF!</v>
      </c>
      <c r="AD44" s="862" t="e">
        <f t="shared" ref="AD44" si="350">AD4/#REF!*#REF!</f>
        <v>#REF!</v>
      </c>
      <c r="AE44" s="862" t="e">
        <f t="shared" ref="AE44" si="351">AE4/#REF!*#REF!</f>
        <v>#REF!</v>
      </c>
      <c r="AF44" s="862" t="e">
        <f t="shared" ref="AF44" si="352">AF4/#REF!*#REF!</f>
        <v>#REF!</v>
      </c>
      <c r="AG44" s="862" t="e">
        <f t="shared" ref="AG44" si="353">AG4/#REF!*#REF!</f>
        <v>#REF!</v>
      </c>
      <c r="AH44" s="862" t="e">
        <f t="shared" ref="AH44" si="354">AH4/#REF!*#REF!</f>
        <v>#REF!</v>
      </c>
      <c r="AI44" s="862" t="e">
        <f t="shared" ref="AI44" si="355">AI4/#REF!*#REF!</f>
        <v>#REF!</v>
      </c>
      <c r="AJ44" s="862" t="e">
        <f t="shared" ref="AJ44" si="356">AJ4/#REF!*#REF!</f>
        <v>#REF!</v>
      </c>
      <c r="AK44" s="862" t="e">
        <f t="shared" ref="AK44" si="357">AK4/#REF!*#REF!</f>
        <v>#REF!</v>
      </c>
      <c r="AL44" s="862" t="e">
        <f t="shared" ref="AL44" si="358">AL4/#REF!*#REF!</f>
        <v>#REF!</v>
      </c>
      <c r="AM44" s="862" t="e">
        <f t="shared" ref="AM44" si="359">AM4/#REF!*#REF!</f>
        <v>#REF!</v>
      </c>
      <c r="AN44" s="862" t="e">
        <f t="shared" ref="AN44" si="360">AN4/#REF!*#REF!</f>
        <v>#REF!</v>
      </c>
      <c r="AO44" s="862" t="e">
        <f t="shared" ref="AO44" si="361">AO4/#REF!*#REF!</f>
        <v>#REF!</v>
      </c>
      <c r="AP44" s="862" t="e">
        <f t="shared" ref="AP44" si="362">AP4/#REF!*#REF!</f>
        <v>#REF!</v>
      </c>
      <c r="AQ44" s="862" t="e">
        <f t="shared" ref="AQ44" si="363">AQ4/#REF!*#REF!</f>
        <v>#REF!</v>
      </c>
      <c r="AR44" s="862" t="e">
        <f t="shared" ref="AR44" si="364">AR4/#REF!*#REF!</f>
        <v>#REF!</v>
      </c>
      <c r="AS44" s="862" t="e">
        <f t="shared" ref="AS44" si="365">AS4/#REF!*#REF!</f>
        <v>#REF!</v>
      </c>
      <c r="AT44" s="862" t="e">
        <f t="shared" ref="AT44" si="366">AT4/#REF!*#REF!</f>
        <v>#REF!</v>
      </c>
      <c r="AU44" s="862" t="e">
        <f t="shared" ref="AU44" si="367">AU4/#REF!*#REF!</f>
        <v>#REF!</v>
      </c>
      <c r="AV44" s="862" t="e">
        <f t="shared" ref="AV44" si="368">AV4/#REF!*#REF!</f>
        <v>#REF!</v>
      </c>
      <c r="AW44" s="862" t="e">
        <f t="shared" ref="AW44" si="369">AW4/#REF!*#REF!</f>
        <v>#REF!</v>
      </c>
      <c r="AX44" s="862" t="e">
        <f t="shared" ref="AX44" si="370">AX4/#REF!*#REF!</f>
        <v>#REF!</v>
      </c>
      <c r="AY44" s="862" t="e">
        <f t="shared" ref="AY44" si="371">AY4/#REF!*#REF!</f>
        <v>#REF!</v>
      </c>
      <c r="AZ44" s="862" t="e">
        <f t="shared" ref="AZ44" si="372">AZ4/#REF!*#REF!</f>
        <v>#REF!</v>
      </c>
      <c r="BA44" s="862" t="e">
        <f t="shared" ref="BA44" si="373">BA4/#REF!*#REF!</f>
        <v>#REF!</v>
      </c>
      <c r="BB44" s="862" t="e">
        <f t="shared" ref="BB44" si="374">BB4/#REF!*#REF!</f>
        <v>#REF!</v>
      </c>
      <c r="BC44" s="862" t="e">
        <f t="shared" ref="BC44" si="375">BC4/#REF!*#REF!</f>
        <v>#REF!</v>
      </c>
      <c r="BD44" s="862" t="e">
        <f t="shared" ref="BD44" si="376">BD4/#REF!*#REF!</f>
        <v>#REF!</v>
      </c>
      <c r="BE44" s="862" t="e">
        <f t="shared" ref="BE44" si="377">BE4/#REF!*#REF!</f>
        <v>#REF!</v>
      </c>
      <c r="BF44" s="862" t="e">
        <f t="shared" ref="BF44" si="378">BF4/#REF!*#REF!</f>
        <v>#REF!</v>
      </c>
      <c r="BG44" s="862" t="e">
        <f t="shared" ref="BG44" si="379">BG4/#REF!*#REF!</f>
        <v>#REF!</v>
      </c>
      <c r="BH44" s="862" t="e">
        <f t="shared" ref="BH44" si="380">BH4/#REF!*#REF!</f>
        <v>#REF!</v>
      </c>
      <c r="BI44" s="862" t="e">
        <f t="shared" ref="BI44" si="381">BI4/#REF!*#REF!</f>
        <v>#REF!</v>
      </c>
      <c r="BJ44" s="862" t="e">
        <f t="shared" ref="BJ44" si="382">BJ4/#REF!*#REF!</f>
        <v>#REF!</v>
      </c>
      <c r="BK44" s="862" t="e">
        <f t="shared" ref="BK44" si="383">BK4/#REF!*#REF!</f>
        <v>#REF!</v>
      </c>
      <c r="BL44" s="862" t="e">
        <f t="shared" ref="BL44" si="384">BL4/#REF!*#REF!</f>
        <v>#REF!</v>
      </c>
      <c r="BM44" s="862" t="e">
        <f t="shared" ref="BM44" si="385">BM4/#REF!*#REF!</f>
        <v>#REF!</v>
      </c>
      <c r="BN44" s="862" t="e">
        <f t="shared" ref="BN44" si="386">BN4/#REF!*#REF!</f>
        <v>#REF!</v>
      </c>
      <c r="BO44" s="862" t="e">
        <f t="shared" ref="BO44" si="387">BO4/#REF!*#REF!</f>
        <v>#REF!</v>
      </c>
      <c r="BP44" s="862" t="e">
        <f t="shared" ref="BP44" si="388">BP4/#REF!*#REF!</f>
        <v>#REF!</v>
      </c>
      <c r="BQ44" s="862" t="e">
        <f t="shared" ref="BQ44" si="389">BQ4/#REF!*#REF!</f>
        <v>#REF!</v>
      </c>
      <c r="BR44" s="862" t="e">
        <f t="shared" ref="BR44" si="390">BR4/#REF!*#REF!</f>
        <v>#REF!</v>
      </c>
      <c r="BS44" s="862" t="e">
        <f t="shared" ref="BS44" si="391">BS4/#REF!*#REF!</f>
        <v>#REF!</v>
      </c>
      <c r="BT44" s="862" t="e">
        <f t="shared" ref="BT44" si="392">BT4/#REF!*#REF!</f>
        <v>#REF!</v>
      </c>
      <c r="BU44" s="862" t="e">
        <f t="shared" ref="BU44" si="393">BU4/#REF!*#REF!</f>
        <v>#REF!</v>
      </c>
      <c r="BV44" s="862" t="e">
        <f t="shared" ref="BV44" si="394">BV4/#REF!*#REF!</f>
        <v>#REF!</v>
      </c>
      <c r="BW44" s="862" t="e">
        <f t="shared" ref="BW44" si="395">BW4/#REF!*#REF!</f>
        <v>#REF!</v>
      </c>
      <c r="BX44" s="862" t="e">
        <f t="shared" ref="BX44" si="396">BX4/#REF!*#REF!</f>
        <v>#REF!</v>
      </c>
      <c r="BY44" s="862" t="e">
        <f t="shared" ref="BY44" si="397">BY4/#REF!*#REF!</f>
        <v>#REF!</v>
      </c>
      <c r="BZ44" s="862" t="e">
        <f t="shared" ref="BZ44" si="398">BZ4/#REF!*#REF!</f>
        <v>#REF!</v>
      </c>
      <c r="CA44" s="862" t="e">
        <f t="shared" ref="CA44" si="399">CA4/#REF!*#REF!</f>
        <v>#REF!</v>
      </c>
      <c r="CB44" s="862" t="e">
        <f t="shared" ref="CB44" si="400">CB4/#REF!*#REF!</f>
        <v>#REF!</v>
      </c>
      <c r="CC44" s="862" t="e">
        <f t="shared" ref="CC44" si="401">CC4/#REF!*#REF!</f>
        <v>#REF!</v>
      </c>
      <c r="CD44" s="862" t="e">
        <f t="shared" ref="CD44" si="402">CD4/#REF!*#REF!</f>
        <v>#REF!</v>
      </c>
      <c r="CE44" s="862" t="e">
        <f t="shared" ref="CE44" si="403">CE4/#REF!*#REF!</f>
        <v>#REF!</v>
      </c>
      <c r="CF44" s="863" t="e">
        <f t="shared" ref="CF44" si="404">CF4/#REF!*#REF!</f>
        <v>#REF!</v>
      </c>
    </row>
    <row r="45" spans="1:84">
      <c r="A45" s="852"/>
      <c r="B45" s="860" t="s">
        <v>742</v>
      </c>
      <c r="C45" s="861" t="s">
        <v>741</v>
      </c>
      <c r="D45" s="864">
        <v>7.7763871721240496E-2</v>
      </c>
      <c r="E45" s="864">
        <v>7.7763871721240496E-2</v>
      </c>
      <c r="F45" s="864">
        <v>7.7763871721240496E-2</v>
      </c>
      <c r="G45" s="864">
        <v>7.7763871721240496E-2</v>
      </c>
      <c r="H45" s="864">
        <v>7.7763871721240496E-2</v>
      </c>
      <c r="I45" s="864">
        <v>7.7763871721240496E-2</v>
      </c>
      <c r="J45" s="864">
        <v>7.7763871721240496E-2</v>
      </c>
      <c r="K45" s="864">
        <v>7.7763871721240496E-2</v>
      </c>
      <c r="L45" s="864">
        <v>7.7763871721240496E-2</v>
      </c>
      <c r="M45" s="864">
        <v>7.7763871721240496E-2</v>
      </c>
      <c r="N45" s="864">
        <v>7.7763871721240496E-2</v>
      </c>
      <c r="O45" s="864">
        <v>7.7763871721240496E-2</v>
      </c>
      <c r="P45" s="864">
        <v>7.7763871721240496E-2</v>
      </c>
      <c r="Q45" s="864">
        <v>7.7763871721240496E-2</v>
      </c>
      <c r="R45" s="864">
        <v>7.7763871721240496E-2</v>
      </c>
      <c r="S45" s="864">
        <v>7.7763871721240496E-2</v>
      </c>
      <c r="T45" s="864">
        <v>7.7763871721240496E-2</v>
      </c>
      <c r="U45" s="864">
        <v>7.7763871721240496E-2</v>
      </c>
      <c r="V45" s="864">
        <v>7.7763871721240496E-2</v>
      </c>
      <c r="W45" s="864">
        <v>7.7763871721240496E-2</v>
      </c>
      <c r="X45" s="864">
        <v>7.7763871721240496E-2</v>
      </c>
      <c r="Y45" s="864">
        <v>7.7763871721240496E-2</v>
      </c>
      <c r="Z45" s="864">
        <v>7.7763871721240496E-2</v>
      </c>
      <c r="AA45" s="864">
        <v>7.7763871721240496E-2</v>
      </c>
      <c r="AB45" s="864">
        <v>7.7763871721240496E-2</v>
      </c>
      <c r="AC45" s="864">
        <v>7.7763871721240496E-2</v>
      </c>
      <c r="AD45" s="864">
        <v>7.7763871721240496E-2</v>
      </c>
      <c r="AE45" s="864">
        <v>7.7763871721240496E-2</v>
      </c>
      <c r="AF45" s="864">
        <v>7.7763871721240496E-2</v>
      </c>
      <c r="AG45" s="864">
        <v>7.7763871721240496E-2</v>
      </c>
      <c r="AH45" s="864">
        <v>7.7763871721240496E-2</v>
      </c>
      <c r="AI45" s="864">
        <v>7.7763871721240496E-2</v>
      </c>
      <c r="AJ45" s="864">
        <v>7.7763871721240496E-2</v>
      </c>
      <c r="AK45" s="864">
        <v>7.7763871721240496E-2</v>
      </c>
      <c r="AL45" s="864">
        <v>7.7763871721240496E-2</v>
      </c>
      <c r="AM45" s="864">
        <v>7.7763871721240496E-2</v>
      </c>
      <c r="AN45" s="864">
        <v>7.7763871721240496E-2</v>
      </c>
      <c r="AO45" s="864">
        <v>7.7763871721240496E-2</v>
      </c>
      <c r="AP45" s="864">
        <v>7.7763871721240496E-2</v>
      </c>
      <c r="AQ45" s="864">
        <v>7.7763871721240496E-2</v>
      </c>
      <c r="AR45" s="864">
        <v>7.7763871721240496E-2</v>
      </c>
      <c r="AS45" s="864">
        <v>7.7763871721240496E-2</v>
      </c>
      <c r="AT45" s="864">
        <v>7.7763871721240496E-2</v>
      </c>
      <c r="AU45" s="864">
        <v>7.7763871721240496E-2</v>
      </c>
      <c r="AV45" s="864">
        <v>7.7763871721240496E-2</v>
      </c>
      <c r="AW45" s="864">
        <v>7.7763871721240496E-2</v>
      </c>
      <c r="AX45" s="864">
        <v>7.7763871721240496E-2</v>
      </c>
      <c r="AY45" s="864">
        <v>7.7763871721240496E-2</v>
      </c>
      <c r="AZ45" s="864">
        <v>7.7763871721240496E-2</v>
      </c>
      <c r="BA45" s="864">
        <v>7.7763871721240496E-2</v>
      </c>
      <c r="BB45" s="864">
        <v>7.7763871721240496E-2</v>
      </c>
      <c r="BC45" s="864">
        <v>7.7763871721240496E-2</v>
      </c>
      <c r="BD45" s="864">
        <v>7.7763871721240496E-2</v>
      </c>
      <c r="BE45" s="864">
        <v>7.7763871721240496E-2</v>
      </c>
      <c r="BF45" s="864">
        <v>7.7763871721240496E-2</v>
      </c>
      <c r="BG45" s="864">
        <v>7.7763871721240496E-2</v>
      </c>
      <c r="BH45" s="864">
        <v>7.7763871721240496E-2</v>
      </c>
      <c r="BI45" s="864">
        <v>7.7763871721240496E-2</v>
      </c>
      <c r="BJ45" s="864">
        <v>7.7763871721240496E-2</v>
      </c>
      <c r="BK45" s="864">
        <v>7.7763871721240496E-2</v>
      </c>
      <c r="BL45" s="864">
        <v>7.7763871721240496E-2</v>
      </c>
      <c r="BM45" s="864">
        <v>7.7763871721240496E-2</v>
      </c>
      <c r="BN45" s="864">
        <v>7.7763871721240496E-2</v>
      </c>
      <c r="BO45" s="864">
        <v>7.7763871721240496E-2</v>
      </c>
      <c r="BP45" s="864">
        <v>7.7763871721240496E-2</v>
      </c>
      <c r="BQ45" s="864">
        <v>7.7763871721240496E-2</v>
      </c>
      <c r="BR45" s="864">
        <v>7.7763871721240496E-2</v>
      </c>
      <c r="BS45" s="864">
        <v>7.7763871721240496E-2</v>
      </c>
      <c r="BT45" s="864">
        <v>7.7763871721240496E-2</v>
      </c>
      <c r="BU45" s="864">
        <v>7.7763871721240496E-2</v>
      </c>
      <c r="BV45" s="864">
        <v>7.7763871721240496E-2</v>
      </c>
      <c r="BW45" s="864">
        <v>7.7763871721240496E-2</v>
      </c>
      <c r="BX45" s="864">
        <v>7.7763871721240496E-2</v>
      </c>
      <c r="BY45" s="864">
        <v>7.7763871721240496E-2</v>
      </c>
      <c r="BZ45" s="864">
        <v>7.7763871721240496E-2</v>
      </c>
      <c r="CA45" s="864">
        <v>7.7763871721240496E-2</v>
      </c>
      <c r="CB45" s="864">
        <v>7.7763871721240496E-2</v>
      </c>
      <c r="CC45" s="864">
        <v>7.7763871721240496E-2</v>
      </c>
      <c r="CD45" s="864">
        <v>7.7763871721240496E-2</v>
      </c>
      <c r="CE45" s="864">
        <v>7.7763871721240496E-2</v>
      </c>
      <c r="CF45" s="865">
        <v>7.7763871721240496E-2</v>
      </c>
    </row>
    <row r="46" spans="1:84">
      <c r="A46" s="852"/>
      <c r="B46" s="860" t="s">
        <v>743</v>
      </c>
      <c r="C46" s="861" t="s">
        <v>741</v>
      </c>
      <c r="D46" s="864">
        <v>1.0538307363788479</v>
      </c>
      <c r="E46" s="864">
        <v>1.0538307363788479</v>
      </c>
      <c r="F46" s="864">
        <v>1.0538307363788479</v>
      </c>
      <c r="G46" s="864">
        <v>1.0538307363788479</v>
      </c>
      <c r="H46" s="864">
        <v>1.0538307363788479</v>
      </c>
      <c r="I46" s="864">
        <v>1.0538307363788479</v>
      </c>
      <c r="J46" s="864">
        <v>1.0538307363788479</v>
      </c>
      <c r="K46" s="864">
        <v>1.0538307363788479</v>
      </c>
      <c r="L46" s="864">
        <v>1.0538307363788479</v>
      </c>
      <c r="M46" s="864">
        <v>1.0538307363788479</v>
      </c>
      <c r="N46" s="864">
        <v>1.0538307363788479</v>
      </c>
      <c r="O46" s="864">
        <v>1.0538307363788479</v>
      </c>
      <c r="P46" s="864">
        <v>1.0538307363788479</v>
      </c>
      <c r="Q46" s="864">
        <v>1.0538307363788479</v>
      </c>
      <c r="R46" s="864">
        <v>1.0538307363788479</v>
      </c>
      <c r="S46" s="864">
        <v>1.0538307363788479</v>
      </c>
      <c r="T46" s="864">
        <v>1.0538307363788479</v>
      </c>
      <c r="U46" s="864">
        <v>1.0538307363788479</v>
      </c>
      <c r="V46" s="864">
        <v>1.0538307363788479</v>
      </c>
      <c r="W46" s="864">
        <v>1.0538307363788479</v>
      </c>
      <c r="X46" s="864">
        <v>1.0538307363788479</v>
      </c>
      <c r="Y46" s="864">
        <v>1.0538307363788479</v>
      </c>
      <c r="Z46" s="864">
        <v>1.0538307363788479</v>
      </c>
      <c r="AA46" s="864">
        <v>1.0538307363788479</v>
      </c>
      <c r="AB46" s="864">
        <v>1.0538307363788479</v>
      </c>
      <c r="AC46" s="864">
        <v>1.0538307363788479</v>
      </c>
      <c r="AD46" s="864">
        <v>1.0538307363788479</v>
      </c>
      <c r="AE46" s="864">
        <v>1.0538307363788479</v>
      </c>
      <c r="AF46" s="864">
        <v>1.0538307363788479</v>
      </c>
      <c r="AG46" s="864">
        <v>1.0538307363788479</v>
      </c>
      <c r="AH46" s="864">
        <v>1.0538307363788479</v>
      </c>
      <c r="AI46" s="864">
        <v>1.0538307363788479</v>
      </c>
      <c r="AJ46" s="864">
        <v>1.0538307363788479</v>
      </c>
      <c r="AK46" s="864">
        <v>1.0538307363788479</v>
      </c>
      <c r="AL46" s="864">
        <v>1.0538307363788479</v>
      </c>
      <c r="AM46" s="864">
        <v>1.0538307363788479</v>
      </c>
      <c r="AN46" s="864">
        <v>1.0538307363788479</v>
      </c>
      <c r="AO46" s="864">
        <v>1.0538307363788479</v>
      </c>
      <c r="AP46" s="864">
        <v>1.0538307363788479</v>
      </c>
      <c r="AQ46" s="864">
        <v>1.0538307363788479</v>
      </c>
      <c r="AR46" s="864">
        <v>1.0538307363788479</v>
      </c>
      <c r="AS46" s="864">
        <v>1.0538307363788479</v>
      </c>
      <c r="AT46" s="864">
        <v>1.0538307363788479</v>
      </c>
      <c r="AU46" s="864">
        <v>1.0538307363788479</v>
      </c>
      <c r="AV46" s="864">
        <v>1.0538307363788479</v>
      </c>
      <c r="AW46" s="864">
        <v>1.0538307363788479</v>
      </c>
      <c r="AX46" s="864">
        <v>1.0538307363788479</v>
      </c>
      <c r="AY46" s="864">
        <v>1.0538307363788479</v>
      </c>
      <c r="AZ46" s="864">
        <v>1.0538307363788479</v>
      </c>
      <c r="BA46" s="864">
        <v>1.0538307363788479</v>
      </c>
      <c r="BB46" s="864">
        <v>1.0538307363788479</v>
      </c>
      <c r="BC46" s="864">
        <v>1.0538307363788479</v>
      </c>
      <c r="BD46" s="864">
        <v>1.0538307363788479</v>
      </c>
      <c r="BE46" s="864">
        <v>1.0538307363788479</v>
      </c>
      <c r="BF46" s="864">
        <v>1.0538307363788479</v>
      </c>
      <c r="BG46" s="864">
        <v>1.0538307363788479</v>
      </c>
      <c r="BH46" s="864">
        <v>1.0538307363788479</v>
      </c>
      <c r="BI46" s="864">
        <v>1.0538307363788479</v>
      </c>
      <c r="BJ46" s="864">
        <v>1.0538307363788479</v>
      </c>
      <c r="BK46" s="864">
        <v>1.0538307363788479</v>
      </c>
      <c r="BL46" s="864">
        <v>1.0538307363788479</v>
      </c>
      <c r="BM46" s="864">
        <v>1.0538307363788479</v>
      </c>
      <c r="BN46" s="864">
        <v>1.0538307363788479</v>
      </c>
      <c r="BO46" s="864">
        <v>1.0538307363788479</v>
      </c>
      <c r="BP46" s="864">
        <v>1.0538307363788479</v>
      </c>
      <c r="BQ46" s="864">
        <v>1.0538307363788479</v>
      </c>
      <c r="BR46" s="864">
        <v>1.0538307363788479</v>
      </c>
      <c r="BS46" s="864">
        <v>1.0538307363788479</v>
      </c>
      <c r="BT46" s="864">
        <v>1.0538307363788479</v>
      </c>
      <c r="BU46" s="864">
        <v>1.0538307363788479</v>
      </c>
      <c r="BV46" s="864">
        <v>1.0538307363788479</v>
      </c>
      <c r="BW46" s="864">
        <v>1.0538307363788479</v>
      </c>
      <c r="BX46" s="864">
        <v>1.0538307363788479</v>
      </c>
      <c r="BY46" s="864">
        <v>1.0538307363788479</v>
      </c>
      <c r="BZ46" s="864">
        <v>1.0538307363788479</v>
      </c>
      <c r="CA46" s="864">
        <v>1.0538307363788479</v>
      </c>
      <c r="CB46" s="864">
        <v>1.0538307363788479</v>
      </c>
      <c r="CC46" s="864">
        <v>1.0538307363788479</v>
      </c>
      <c r="CD46" s="864">
        <v>1.0538307363788479</v>
      </c>
      <c r="CE46" s="864">
        <v>1.0538307363788479</v>
      </c>
      <c r="CF46" s="865">
        <v>1.0538307363788479</v>
      </c>
    </row>
    <row r="47" spans="1:84">
      <c r="A47" s="852"/>
      <c r="B47" s="866" t="s">
        <v>744</v>
      </c>
      <c r="C47" s="867" t="s">
        <v>741</v>
      </c>
      <c r="D47" s="868">
        <v>0.31729159478660818</v>
      </c>
      <c r="E47" s="869">
        <v>0.31729159478660818</v>
      </c>
      <c r="F47" s="869">
        <v>0.31729159478660818</v>
      </c>
      <c r="G47" s="869">
        <v>0.31729159478660818</v>
      </c>
      <c r="H47" s="869">
        <v>0.31729159478660818</v>
      </c>
      <c r="I47" s="869">
        <v>0.31729159478660818</v>
      </c>
      <c r="J47" s="869">
        <v>0.31729159478660818</v>
      </c>
      <c r="K47" s="869">
        <v>0.31729159478660818</v>
      </c>
      <c r="L47" s="869">
        <v>0.31729159478660818</v>
      </c>
      <c r="M47" s="869">
        <v>0.31729159478660818</v>
      </c>
      <c r="N47" s="869">
        <v>0.31729159478660818</v>
      </c>
      <c r="O47" s="869">
        <v>0.31729159478660818</v>
      </c>
      <c r="P47" s="869">
        <v>0.31729159478660818</v>
      </c>
      <c r="Q47" s="869">
        <v>0.31729159478660818</v>
      </c>
      <c r="R47" s="869">
        <v>0.31729159478660818</v>
      </c>
      <c r="S47" s="869">
        <v>0.31729159478660818</v>
      </c>
      <c r="T47" s="869">
        <v>0.31729159478660818</v>
      </c>
      <c r="U47" s="869">
        <v>0.31729159478660818</v>
      </c>
      <c r="V47" s="869">
        <v>0.31729159478660818</v>
      </c>
      <c r="W47" s="869">
        <v>0.31729159478660818</v>
      </c>
      <c r="X47" s="869">
        <v>0.31729159478660818</v>
      </c>
      <c r="Y47" s="869">
        <v>0.31729159478660818</v>
      </c>
      <c r="Z47" s="869">
        <v>0.31729159478660818</v>
      </c>
      <c r="AA47" s="869">
        <v>0.31729159478660818</v>
      </c>
      <c r="AB47" s="869">
        <v>0.31729159478660818</v>
      </c>
      <c r="AC47" s="869">
        <v>0.31729159478660818</v>
      </c>
      <c r="AD47" s="869">
        <v>0.31729159478660818</v>
      </c>
      <c r="AE47" s="869">
        <v>0.31729159478660818</v>
      </c>
      <c r="AF47" s="869">
        <v>0.31729159478660818</v>
      </c>
      <c r="AG47" s="869">
        <v>0.31729159478660818</v>
      </c>
      <c r="AH47" s="869">
        <v>0.31729159478660818</v>
      </c>
      <c r="AI47" s="869">
        <v>0.31729159478660818</v>
      </c>
      <c r="AJ47" s="869">
        <v>0.31729159478660818</v>
      </c>
      <c r="AK47" s="869">
        <v>0.31729159478660818</v>
      </c>
      <c r="AL47" s="869">
        <v>0.31729159478660818</v>
      </c>
      <c r="AM47" s="869">
        <v>0.31729159478660818</v>
      </c>
      <c r="AN47" s="869">
        <v>0.31729159478660818</v>
      </c>
      <c r="AO47" s="869">
        <v>0.31729159478660818</v>
      </c>
      <c r="AP47" s="869">
        <v>0.31729159478660818</v>
      </c>
      <c r="AQ47" s="869">
        <v>0.31729159478660818</v>
      </c>
      <c r="AR47" s="869">
        <v>0.31729159478660818</v>
      </c>
      <c r="AS47" s="869">
        <v>0.31729159478660818</v>
      </c>
      <c r="AT47" s="869">
        <v>0.31729159478660818</v>
      </c>
      <c r="AU47" s="869">
        <v>0.31729159478660818</v>
      </c>
      <c r="AV47" s="869">
        <v>0.31729159478660818</v>
      </c>
      <c r="AW47" s="869">
        <v>0.31729159478660818</v>
      </c>
      <c r="AX47" s="869">
        <v>0.31729159478660818</v>
      </c>
      <c r="AY47" s="869">
        <v>0.31729159478660818</v>
      </c>
      <c r="AZ47" s="869">
        <v>0.31729159478660818</v>
      </c>
      <c r="BA47" s="869">
        <v>0.31729159478660818</v>
      </c>
      <c r="BB47" s="869">
        <v>0.31729159478660818</v>
      </c>
      <c r="BC47" s="869">
        <v>0.31729159478660818</v>
      </c>
      <c r="BD47" s="869">
        <v>0.31729159478660818</v>
      </c>
      <c r="BE47" s="869">
        <v>0.31729159478660818</v>
      </c>
      <c r="BF47" s="869">
        <v>0.31729159478660818</v>
      </c>
      <c r="BG47" s="869">
        <v>0.31729159478660818</v>
      </c>
      <c r="BH47" s="869">
        <v>0.31729159478660818</v>
      </c>
      <c r="BI47" s="869">
        <v>0.31729159478660818</v>
      </c>
      <c r="BJ47" s="869">
        <v>0.31729159478660818</v>
      </c>
      <c r="BK47" s="869">
        <v>0.31729159478660818</v>
      </c>
      <c r="BL47" s="869">
        <v>0.31729159478660818</v>
      </c>
      <c r="BM47" s="869">
        <v>0.31729159478660818</v>
      </c>
      <c r="BN47" s="869">
        <v>0.31729159478660818</v>
      </c>
      <c r="BO47" s="869">
        <v>0.31729159478660818</v>
      </c>
      <c r="BP47" s="869">
        <v>0.31729159478660818</v>
      </c>
      <c r="BQ47" s="869">
        <v>0.31729159478660818</v>
      </c>
      <c r="BR47" s="869">
        <v>0.31729159478660818</v>
      </c>
      <c r="BS47" s="869">
        <v>0.31729159478660818</v>
      </c>
      <c r="BT47" s="869">
        <v>0.31729159478660818</v>
      </c>
      <c r="BU47" s="869">
        <v>0.31729159478660818</v>
      </c>
      <c r="BV47" s="869">
        <v>0.31729159478660818</v>
      </c>
      <c r="BW47" s="869">
        <v>0.31729159478660818</v>
      </c>
      <c r="BX47" s="869">
        <v>0.31729159478660818</v>
      </c>
      <c r="BY47" s="869">
        <v>0.31729159478660818</v>
      </c>
      <c r="BZ47" s="869">
        <v>0.31729159478660818</v>
      </c>
      <c r="CA47" s="869">
        <v>0.31729159478660818</v>
      </c>
      <c r="CB47" s="869">
        <v>0.31729159478660818</v>
      </c>
      <c r="CC47" s="869">
        <v>0.31729159478660818</v>
      </c>
      <c r="CD47" s="869">
        <v>0.31729159478660818</v>
      </c>
      <c r="CE47" s="869">
        <v>0.31729159478660818</v>
      </c>
      <c r="CF47" s="870">
        <v>0.31729159478660818</v>
      </c>
    </row>
    <row r="48" spans="1:84">
      <c r="A48" s="852"/>
      <c r="B48" s="860" t="str">
        <f>CONCATENATE("Drivmiddel (", $D$122,"-priser)")</f>
        <v>Drivmiddel (-priser)</v>
      </c>
      <c r="C48" s="861" t="s">
        <v>745</v>
      </c>
      <c r="D48" s="862" t="e">
        <f t="shared" ref="D48" si="405">D7/#REF!*#REF!</f>
        <v>#REF!</v>
      </c>
      <c r="E48" s="862" t="e">
        <f t="shared" ref="E48" si="406">E7/#REF!*#REF!</f>
        <v>#REF!</v>
      </c>
      <c r="F48" s="862" t="e">
        <f t="shared" ref="F48" si="407">F7/#REF!*#REF!</f>
        <v>#REF!</v>
      </c>
      <c r="G48" s="862" t="e">
        <f t="shared" ref="G48" si="408">G7/#REF!*#REF!</f>
        <v>#REF!</v>
      </c>
      <c r="H48" s="862" t="e">
        <f t="shared" ref="H48" si="409">H7/#REF!*#REF!</f>
        <v>#REF!</v>
      </c>
      <c r="I48" s="862" t="e">
        <f t="shared" ref="I48" si="410">I7/#REF!*#REF!</f>
        <v>#REF!</v>
      </c>
      <c r="J48" s="862" t="e">
        <f t="shared" ref="J48" si="411">J7/#REF!*#REF!</f>
        <v>#REF!</v>
      </c>
      <c r="K48" s="862" t="e">
        <f t="shared" ref="K48" si="412">K7/#REF!*#REF!</f>
        <v>#REF!</v>
      </c>
      <c r="L48" s="862" t="e">
        <f t="shared" ref="L48" si="413">L7/#REF!*#REF!</f>
        <v>#REF!</v>
      </c>
      <c r="M48" s="862" t="e">
        <f t="shared" ref="M48" si="414">M7/#REF!*#REF!</f>
        <v>#REF!</v>
      </c>
      <c r="N48" s="862" t="e">
        <f t="shared" ref="N48" si="415">N7/#REF!*#REF!</f>
        <v>#REF!</v>
      </c>
      <c r="O48" s="862" t="e">
        <f t="shared" ref="O48" si="416">O7/#REF!*#REF!</f>
        <v>#REF!</v>
      </c>
      <c r="P48" s="862" t="e">
        <f t="shared" ref="P48" si="417">P7/#REF!*#REF!</f>
        <v>#REF!</v>
      </c>
      <c r="Q48" s="862" t="e">
        <f t="shared" ref="Q48" si="418">Q7/#REF!*#REF!</f>
        <v>#REF!</v>
      </c>
      <c r="R48" s="862" t="e">
        <f t="shared" ref="R48" si="419">R7/#REF!*#REF!</f>
        <v>#REF!</v>
      </c>
      <c r="S48" s="862" t="e">
        <f t="shared" ref="S48" si="420">S7/#REF!*#REF!</f>
        <v>#REF!</v>
      </c>
      <c r="T48" s="862" t="e">
        <f t="shared" ref="T48" si="421">T7/#REF!*#REF!</f>
        <v>#REF!</v>
      </c>
      <c r="U48" s="862" t="e">
        <f t="shared" ref="U48" si="422">U7/#REF!*#REF!</f>
        <v>#REF!</v>
      </c>
      <c r="V48" s="862" t="e">
        <f t="shared" ref="V48" si="423">V7/#REF!*#REF!</f>
        <v>#REF!</v>
      </c>
      <c r="W48" s="862" t="e">
        <f t="shared" ref="W48" si="424">W7/#REF!*#REF!</f>
        <v>#REF!</v>
      </c>
      <c r="X48" s="862" t="e">
        <f t="shared" ref="X48" si="425">X7/#REF!*#REF!</f>
        <v>#REF!</v>
      </c>
      <c r="Y48" s="862" t="e">
        <f t="shared" ref="Y48" si="426">Y7/#REF!*#REF!</f>
        <v>#REF!</v>
      </c>
      <c r="Z48" s="862" t="e">
        <f t="shared" ref="Z48" si="427">Z7/#REF!*#REF!</f>
        <v>#REF!</v>
      </c>
      <c r="AA48" s="862" t="e">
        <f t="shared" ref="AA48" si="428">AA7/#REF!*#REF!</f>
        <v>#REF!</v>
      </c>
      <c r="AB48" s="862" t="e">
        <f t="shared" ref="AB48" si="429">AB7/#REF!*#REF!</f>
        <v>#REF!</v>
      </c>
      <c r="AC48" s="862" t="e">
        <f t="shared" ref="AC48" si="430">AC7/#REF!*#REF!</f>
        <v>#REF!</v>
      </c>
      <c r="AD48" s="862" t="e">
        <f t="shared" ref="AD48" si="431">AD7/#REF!*#REF!</f>
        <v>#REF!</v>
      </c>
      <c r="AE48" s="862" t="e">
        <f t="shared" ref="AE48" si="432">AE7/#REF!*#REF!</f>
        <v>#REF!</v>
      </c>
      <c r="AF48" s="862" t="e">
        <f t="shared" ref="AF48" si="433">AF7/#REF!*#REF!</f>
        <v>#REF!</v>
      </c>
      <c r="AG48" s="862" t="e">
        <f t="shared" ref="AG48" si="434">AG7/#REF!*#REF!</f>
        <v>#REF!</v>
      </c>
      <c r="AH48" s="862" t="e">
        <f t="shared" ref="AH48" si="435">AH7/#REF!*#REF!</f>
        <v>#REF!</v>
      </c>
      <c r="AI48" s="862" t="e">
        <f t="shared" ref="AI48" si="436">AI7/#REF!*#REF!</f>
        <v>#REF!</v>
      </c>
      <c r="AJ48" s="862" t="e">
        <f t="shared" ref="AJ48" si="437">AJ7/#REF!*#REF!</f>
        <v>#REF!</v>
      </c>
      <c r="AK48" s="862" t="e">
        <f t="shared" ref="AK48" si="438">AK7/#REF!*#REF!</f>
        <v>#REF!</v>
      </c>
      <c r="AL48" s="862" t="e">
        <f t="shared" ref="AL48" si="439">AL7/#REF!*#REF!</f>
        <v>#REF!</v>
      </c>
      <c r="AM48" s="862" t="e">
        <f t="shared" ref="AM48" si="440">AM7/#REF!*#REF!</f>
        <v>#REF!</v>
      </c>
      <c r="AN48" s="862" t="e">
        <f t="shared" ref="AN48" si="441">AN7/#REF!*#REF!</f>
        <v>#REF!</v>
      </c>
      <c r="AO48" s="862" t="e">
        <f t="shared" ref="AO48" si="442">AO7/#REF!*#REF!</f>
        <v>#REF!</v>
      </c>
      <c r="AP48" s="862" t="e">
        <f t="shared" ref="AP48" si="443">AP7/#REF!*#REF!</f>
        <v>#REF!</v>
      </c>
      <c r="AQ48" s="862" t="e">
        <f t="shared" ref="AQ48" si="444">AQ7/#REF!*#REF!</f>
        <v>#REF!</v>
      </c>
      <c r="AR48" s="862" t="e">
        <f t="shared" ref="AR48" si="445">AR7/#REF!*#REF!</f>
        <v>#REF!</v>
      </c>
      <c r="AS48" s="862" t="e">
        <f t="shared" ref="AS48" si="446">AS7/#REF!*#REF!</f>
        <v>#REF!</v>
      </c>
      <c r="AT48" s="862" t="e">
        <f t="shared" ref="AT48" si="447">AT7/#REF!*#REF!</f>
        <v>#REF!</v>
      </c>
      <c r="AU48" s="862" t="e">
        <f t="shared" ref="AU48" si="448">AU7/#REF!*#REF!</f>
        <v>#REF!</v>
      </c>
      <c r="AV48" s="862" t="e">
        <f t="shared" ref="AV48" si="449">AV7/#REF!*#REF!</f>
        <v>#REF!</v>
      </c>
      <c r="AW48" s="862" t="e">
        <f t="shared" ref="AW48" si="450">AW7/#REF!*#REF!</f>
        <v>#REF!</v>
      </c>
      <c r="AX48" s="862" t="e">
        <f t="shared" ref="AX48" si="451">AX7/#REF!*#REF!</f>
        <v>#REF!</v>
      </c>
      <c r="AY48" s="862" t="e">
        <f t="shared" ref="AY48" si="452">AY7/#REF!*#REF!</f>
        <v>#REF!</v>
      </c>
      <c r="AZ48" s="862" t="e">
        <f t="shared" ref="AZ48" si="453">AZ7/#REF!*#REF!</f>
        <v>#REF!</v>
      </c>
      <c r="BA48" s="862" t="e">
        <f t="shared" ref="BA48" si="454">BA7/#REF!*#REF!</f>
        <v>#REF!</v>
      </c>
      <c r="BB48" s="862" t="e">
        <f t="shared" ref="BB48" si="455">BB7/#REF!*#REF!</f>
        <v>#REF!</v>
      </c>
      <c r="BC48" s="862" t="e">
        <f t="shared" ref="BC48" si="456">BC7/#REF!*#REF!</f>
        <v>#REF!</v>
      </c>
      <c r="BD48" s="862" t="e">
        <f t="shared" ref="BD48" si="457">BD7/#REF!*#REF!</f>
        <v>#REF!</v>
      </c>
      <c r="BE48" s="862" t="e">
        <f t="shared" ref="BE48" si="458">BE7/#REF!*#REF!</f>
        <v>#REF!</v>
      </c>
      <c r="BF48" s="862" t="e">
        <f t="shared" ref="BF48" si="459">BF7/#REF!*#REF!</f>
        <v>#REF!</v>
      </c>
      <c r="BG48" s="862" t="e">
        <f t="shared" ref="BG48" si="460">BG7/#REF!*#REF!</f>
        <v>#REF!</v>
      </c>
      <c r="BH48" s="862" t="e">
        <f t="shared" ref="BH48" si="461">BH7/#REF!*#REF!</f>
        <v>#REF!</v>
      </c>
      <c r="BI48" s="862" t="e">
        <f t="shared" ref="BI48" si="462">BI7/#REF!*#REF!</f>
        <v>#REF!</v>
      </c>
      <c r="BJ48" s="862" t="e">
        <f t="shared" ref="BJ48" si="463">BJ7/#REF!*#REF!</f>
        <v>#REF!</v>
      </c>
      <c r="BK48" s="862" t="e">
        <f t="shared" ref="BK48" si="464">BK7/#REF!*#REF!</f>
        <v>#REF!</v>
      </c>
      <c r="BL48" s="862" t="e">
        <f t="shared" ref="BL48" si="465">BL7/#REF!*#REF!</f>
        <v>#REF!</v>
      </c>
      <c r="BM48" s="862" t="e">
        <f t="shared" ref="BM48" si="466">BM7/#REF!*#REF!</f>
        <v>#REF!</v>
      </c>
      <c r="BN48" s="862" t="e">
        <f t="shared" ref="BN48" si="467">BN7/#REF!*#REF!</f>
        <v>#REF!</v>
      </c>
      <c r="BO48" s="862" t="e">
        <f t="shared" ref="BO48" si="468">BO7/#REF!*#REF!</f>
        <v>#REF!</v>
      </c>
      <c r="BP48" s="862" t="e">
        <f t="shared" ref="BP48" si="469">BP7/#REF!*#REF!</f>
        <v>#REF!</v>
      </c>
      <c r="BQ48" s="862" t="e">
        <f t="shared" ref="BQ48" si="470">BQ7/#REF!*#REF!</f>
        <v>#REF!</v>
      </c>
      <c r="BR48" s="862" t="e">
        <f t="shared" ref="BR48" si="471">BR7/#REF!*#REF!</f>
        <v>#REF!</v>
      </c>
      <c r="BS48" s="862" t="e">
        <f t="shared" ref="BS48" si="472">BS7/#REF!*#REF!</f>
        <v>#REF!</v>
      </c>
      <c r="BT48" s="862" t="e">
        <f t="shared" ref="BT48" si="473">BT7/#REF!*#REF!</f>
        <v>#REF!</v>
      </c>
      <c r="BU48" s="862" t="e">
        <f t="shared" ref="BU48" si="474">BU7/#REF!*#REF!</f>
        <v>#REF!</v>
      </c>
      <c r="BV48" s="862" t="e">
        <f t="shared" ref="BV48" si="475">BV7/#REF!*#REF!</f>
        <v>#REF!</v>
      </c>
      <c r="BW48" s="862" t="e">
        <f t="shared" ref="BW48" si="476">BW7/#REF!*#REF!</f>
        <v>#REF!</v>
      </c>
      <c r="BX48" s="862" t="e">
        <f t="shared" ref="BX48" si="477">BX7/#REF!*#REF!</f>
        <v>#REF!</v>
      </c>
      <c r="BY48" s="862" t="e">
        <f t="shared" ref="BY48" si="478">BY7/#REF!*#REF!</f>
        <v>#REF!</v>
      </c>
      <c r="BZ48" s="862" t="e">
        <f t="shared" ref="BZ48" si="479">BZ7/#REF!*#REF!</f>
        <v>#REF!</v>
      </c>
      <c r="CA48" s="862" t="e">
        <f t="shared" ref="CA48" si="480">CA7/#REF!*#REF!</f>
        <v>#REF!</v>
      </c>
      <c r="CB48" s="862" t="e">
        <f t="shared" ref="CB48" si="481">CB7/#REF!*#REF!</f>
        <v>#REF!</v>
      </c>
      <c r="CC48" s="862" t="e">
        <f t="shared" ref="CC48" si="482">CC7/#REF!*#REF!</f>
        <v>#REF!</v>
      </c>
      <c r="CD48" s="862" t="e">
        <f t="shared" ref="CD48" si="483">CD7/#REF!*#REF!</f>
        <v>#REF!</v>
      </c>
      <c r="CE48" s="862" t="e">
        <f t="shared" ref="CE48" si="484">CE7/#REF!*#REF!</f>
        <v>#REF!</v>
      </c>
      <c r="CF48" s="863" t="e">
        <f t="shared" ref="CF48" si="485">CF7/#REF!*#REF!</f>
        <v>#REF!</v>
      </c>
    </row>
    <row r="49" spans="1:84">
      <c r="A49" s="852"/>
      <c r="B49" s="860" t="s">
        <v>742</v>
      </c>
      <c r="C49" s="861" t="s">
        <v>745</v>
      </c>
      <c r="D49" s="864">
        <v>9.7204839651550606E-2</v>
      </c>
      <c r="E49" s="864">
        <v>9.7204839651550606E-2</v>
      </c>
      <c r="F49" s="864">
        <v>9.7204839651550606E-2</v>
      </c>
      <c r="G49" s="864">
        <v>9.7204839651550606E-2</v>
      </c>
      <c r="H49" s="864">
        <v>9.7204839651550606E-2</v>
      </c>
      <c r="I49" s="864">
        <v>9.7204839651550606E-2</v>
      </c>
      <c r="J49" s="864">
        <v>9.7204839651550606E-2</v>
      </c>
      <c r="K49" s="864">
        <v>9.7204839651550606E-2</v>
      </c>
      <c r="L49" s="864">
        <v>9.7204839651550606E-2</v>
      </c>
      <c r="M49" s="864">
        <v>9.7204839651550606E-2</v>
      </c>
      <c r="N49" s="864">
        <v>9.7204839651550606E-2</v>
      </c>
      <c r="O49" s="864">
        <v>9.7204839651550606E-2</v>
      </c>
      <c r="P49" s="864">
        <v>9.7204839651550606E-2</v>
      </c>
      <c r="Q49" s="864">
        <v>9.7204839651550606E-2</v>
      </c>
      <c r="R49" s="864">
        <v>9.7204839651550606E-2</v>
      </c>
      <c r="S49" s="864">
        <v>9.7204839651550606E-2</v>
      </c>
      <c r="T49" s="864">
        <v>9.7204839651550606E-2</v>
      </c>
      <c r="U49" s="864">
        <v>9.7204839651550606E-2</v>
      </c>
      <c r="V49" s="864">
        <v>9.7204839651550606E-2</v>
      </c>
      <c r="W49" s="864">
        <v>9.7204839651550606E-2</v>
      </c>
      <c r="X49" s="864">
        <v>9.7204839651550606E-2</v>
      </c>
      <c r="Y49" s="864">
        <v>9.7204839651550606E-2</v>
      </c>
      <c r="Z49" s="864">
        <v>9.7204839651550606E-2</v>
      </c>
      <c r="AA49" s="864">
        <v>9.7204839651550606E-2</v>
      </c>
      <c r="AB49" s="864">
        <v>9.7204839651550606E-2</v>
      </c>
      <c r="AC49" s="864">
        <v>9.7204839651550606E-2</v>
      </c>
      <c r="AD49" s="864">
        <v>9.7204839651550606E-2</v>
      </c>
      <c r="AE49" s="864">
        <v>9.7204839651550606E-2</v>
      </c>
      <c r="AF49" s="864">
        <v>9.7204839651550606E-2</v>
      </c>
      <c r="AG49" s="864">
        <v>9.7204839651550606E-2</v>
      </c>
      <c r="AH49" s="864">
        <v>9.7204839651550606E-2</v>
      </c>
      <c r="AI49" s="864">
        <v>9.7204839651550606E-2</v>
      </c>
      <c r="AJ49" s="864">
        <v>9.7204839651550606E-2</v>
      </c>
      <c r="AK49" s="864">
        <v>9.7204839651550606E-2</v>
      </c>
      <c r="AL49" s="864">
        <v>9.7204839651550606E-2</v>
      </c>
      <c r="AM49" s="864">
        <v>9.7204839651550606E-2</v>
      </c>
      <c r="AN49" s="864">
        <v>9.7204839651550606E-2</v>
      </c>
      <c r="AO49" s="864">
        <v>9.7204839651550606E-2</v>
      </c>
      <c r="AP49" s="864">
        <v>9.7204839651550606E-2</v>
      </c>
      <c r="AQ49" s="864">
        <v>9.7204839651550606E-2</v>
      </c>
      <c r="AR49" s="864">
        <v>9.7204839651550606E-2</v>
      </c>
      <c r="AS49" s="864">
        <v>9.7204839651550606E-2</v>
      </c>
      <c r="AT49" s="864">
        <v>9.7204839651550606E-2</v>
      </c>
      <c r="AU49" s="864">
        <v>9.7204839651550606E-2</v>
      </c>
      <c r="AV49" s="864">
        <v>9.7204839651550606E-2</v>
      </c>
      <c r="AW49" s="864">
        <v>9.7204839651550606E-2</v>
      </c>
      <c r="AX49" s="864">
        <v>9.7204839651550606E-2</v>
      </c>
      <c r="AY49" s="864">
        <v>9.7204839651550606E-2</v>
      </c>
      <c r="AZ49" s="864">
        <v>9.7204839651550606E-2</v>
      </c>
      <c r="BA49" s="864">
        <v>9.7204839651550606E-2</v>
      </c>
      <c r="BB49" s="864">
        <v>9.7204839651550606E-2</v>
      </c>
      <c r="BC49" s="864">
        <v>9.7204839651550606E-2</v>
      </c>
      <c r="BD49" s="864">
        <v>9.7204839651550606E-2</v>
      </c>
      <c r="BE49" s="864">
        <v>9.7204839651550606E-2</v>
      </c>
      <c r="BF49" s="864">
        <v>9.7204839651550606E-2</v>
      </c>
      <c r="BG49" s="864">
        <v>9.7204839651550606E-2</v>
      </c>
      <c r="BH49" s="864">
        <v>9.7204839651550606E-2</v>
      </c>
      <c r="BI49" s="864">
        <v>9.7204839651550606E-2</v>
      </c>
      <c r="BJ49" s="864">
        <v>9.7204839651550606E-2</v>
      </c>
      <c r="BK49" s="864">
        <v>9.7204839651550606E-2</v>
      </c>
      <c r="BL49" s="864">
        <v>9.7204839651550606E-2</v>
      </c>
      <c r="BM49" s="864">
        <v>9.7204839651550606E-2</v>
      </c>
      <c r="BN49" s="864">
        <v>9.7204839651550606E-2</v>
      </c>
      <c r="BO49" s="864">
        <v>9.7204839651550606E-2</v>
      </c>
      <c r="BP49" s="864">
        <v>9.7204839651550606E-2</v>
      </c>
      <c r="BQ49" s="864">
        <v>9.7204839651550606E-2</v>
      </c>
      <c r="BR49" s="864">
        <v>9.7204839651550606E-2</v>
      </c>
      <c r="BS49" s="864">
        <v>9.7204839651550606E-2</v>
      </c>
      <c r="BT49" s="864">
        <v>9.7204839651550606E-2</v>
      </c>
      <c r="BU49" s="864">
        <v>9.7204839651550606E-2</v>
      </c>
      <c r="BV49" s="864">
        <v>9.7204839651550606E-2</v>
      </c>
      <c r="BW49" s="864">
        <v>9.7204839651550606E-2</v>
      </c>
      <c r="BX49" s="864">
        <v>9.7204839651550606E-2</v>
      </c>
      <c r="BY49" s="864">
        <v>9.7204839651550606E-2</v>
      </c>
      <c r="BZ49" s="864">
        <v>9.7204839651550606E-2</v>
      </c>
      <c r="CA49" s="864">
        <v>9.7204839651550606E-2</v>
      </c>
      <c r="CB49" s="864">
        <v>9.7204839651550606E-2</v>
      </c>
      <c r="CC49" s="864">
        <v>9.7204839651550606E-2</v>
      </c>
      <c r="CD49" s="864">
        <v>9.7204839651550606E-2</v>
      </c>
      <c r="CE49" s="864">
        <v>9.7204839651550606E-2</v>
      </c>
      <c r="CF49" s="865">
        <v>9.7204839651550606E-2</v>
      </c>
    </row>
    <row r="50" spans="1:84">
      <c r="A50" s="852"/>
      <c r="B50" s="860" t="s">
        <v>743</v>
      </c>
      <c r="C50" s="885" t="s">
        <v>745</v>
      </c>
      <c r="D50" s="886">
        <v>1.3568070730877666</v>
      </c>
      <c r="E50" s="886">
        <v>1.3568070730877666</v>
      </c>
      <c r="F50" s="886">
        <v>1.3568070730877666</v>
      </c>
      <c r="G50" s="886">
        <v>1.3568070730877666</v>
      </c>
      <c r="H50" s="886">
        <v>1.3568070730877666</v>
      </c>
      <c r="I50" s="886">
        <v>1.3568070730877666</v>
      </c>
      <c r="J50" s="886">
        <v>1.3568070730877666</v>
      </c>
      <c r="K50" s="886">
        <v>1.3568070730877666</v>
      </c>
      <c r="L50" s="886">
        <v>1.3568070730877666</v>
      </c>
      <c r="M50" s="886">
        <v>1.3568070730877666</v>
      </c>
      <c r="N50" s="886">
        <v>1.3568070730877666</v>
      </c>
      <c r="O50" s="886">
        <v>1.3568070730877666</v>
      </c>
      <c r="P50" s="886">
        <v>1.3568070730877666</v>
      </c>
      <c r="Q50" s="886">
        <v>1.3568070730877666</v>
      </c>
      <c r="R50" s="886">
        <v>1.3568070730877666</v>
      </c>
      <c r="S50" s="886">
        <v>1.3568070730877666</v>
      </c>
      <c r="T50" s="886">
        <v>1.3568070730877666</v>
      </c>
      <c r="U50" s="886">
        <v>1.3568070730877666</v>
      </c>
      <c r="V50" s="886">
        <v>1.3568070730877666</v>
      </c>
      <c r="W50" s="886">
        <v>1.3568070730877666</v>
      </c>
      <c r="X50" s="886">
        <v>1.3568070730877666</v>
      </c>
      <c r="Y50" s="886">
        <v>1.3568070730877666</v>
      </c>
      <c r="Z50" s="886">
        <v>1.3568070730877666</v>
      </c>
      <c r="AA50" s="886">
        <v>1.3568070730877666</v>
      </c>
      <c r="AB50" s="886">
        <v>1.3568070730877666</v>
      </c>
      <c r="AC50" s="886">
        <v>1.3568070730877666</v>
      </c>
      <c r="AD50" s="886">
        <v>1.3568070730877666</v>
      </c>
      <c r="AE50" s="886">
        <v>1.3568070730877666</v>
      </c>
      <c r="AF50" s="886">
        <v>1.3568070730877666</v>
      </c>
      <c r="AG50" s="886">
        <v>1.3568070730877666</v>
      </c>
      <c r="AH50" s="886">
        <v>1.3568070730877666</v>
      </c>
      <c r="AI50" s="886">
        <v>1.3568070730877666</v>
      </c>
      <c r="AJ50" s="886">
        <v>1.3568070730877666</v>
      </c>
      <c r="AK50" s="886">
        <v>1.3568070730877666</v>
      </c>
      <c r="AL50" s="886">
        <v>1.3568070730877666</v>
      </c>
      <c r="AM50" s="886">
        <v>1.3568070730877666</v>
      </c>
      <c r="AN50" s="886">
        <v>1.3568070730877666</v>
      </c>
      <c r="AO50" s="886">
        <v>1.3568070730877666</v>
      </c>
      <c r="AP50" s="886">
        <v>1.3568070730877666</v>
      </c>
      <c r="AQ50" s="886">
        <v>1.3568070730877666</v>
      </c>
      <c r="AR50" s="886">
        <v>1.3568070730877666</v>
      </c>
      <c r="AS50" s="886">
        <v>1.3568070730877666</v>
      </c>
      <c r="AT50" s="886">
        <v>1.3568070730877666</v>
      </c>
      <c r="AU50" s="886">
        <v>1.3568070730877666</v>
      </c>
      <c r="AV50" s="886">
        <v>1.3568070730877666</v>
      </c>
      <c r="AW50" s="886">
        <v>1.3568070730877666</v>
      </c>
      <c r="AX50" s="886">
        <v>1.3568070730877666</v>
      </c>
      <c r="AY50" s="886">
        <v>1.3568070730877666</v>
      </c>
      <c r="AZ50" s="886">
        <v>1.3568070730877666</v>
      </c>
      <c r="BA50" s="886">
        <v>1.3568070730877666</v>
      </c>
      <c r="BB50" s="886">
        <v>1.3568070730877666</v>
      </c>
      <c r="BC50" s="886">
        <v>1.3568070730877666</v>
      </c>
      <c r="BD50" s="886">
        <v>1.3568070730877666</v>
      </c>
      <c r="BE50" s="886">
        <v>1.3568070730877666</v>
      </c>
      <c r="BF50" s="886">
        <v>1.3568070730877666</v>
      </c>
      <c r="BG50" s="886">
        <v>1.3568070730877666</v>
      </c>
      <c r="BH50" s="886">
        <v>1.3568070730877666</v>
      </c>
      <c r="BI50" s="886">
        <v>1.3568070730877666</v>
      </c>
      <c r="BJ50" s="886">
        <v>1.3568070730877666</v>
      </c>
      <c r="BK50" s="886">
        <v>1.3568070730877666</v>
      </c>
      <c r="BL50" s="886">
        <v>1.3568070730877666</v>
      </c>
      <c r="BM50" s="886">
        <v>1.3568070730877666</v>
      </c>
      <c r="BN50" s="886">
        <v>1.3568070730877666</v>
      </c>
      <c r="BO50" s="886">
        <v>1.3568070730877666</v>
      </c>
      <c r="BP50" s="886">
        <v>1.3568070730877666</v>
      </c>
      <c r="BQ50" s="886">
        <v>1.3568070730877666</v>
      </c>
      <c r="BR50" s="886">
        <v>1.3568070730877666</v>
      </c>
      <c r="BS50" s="886">
        <v>1.3568070730877666</v>
      </c>
      <c r="BT50" s="886">
        <v>1.3568070730877666</v>
      </c>
      <c r="BU50" s="886">
        <v>1.3568070730877666</v>
      </c>
      <c r="BV50" s="886">
        <v>1.3568070730877666</v>
      </c>
      <c r="BW50" s="886">
        <v>1.3568070730877666</v>
      </c>
      <c r="BX50" s="886">
        <v>1.3568070730877666</v>
      </c>
      <c r="BY50" s="886">
        <v>1.3568070730877666</v>
      </c>
      <c r="BZ50" s="886">
        <v>1.3568070730877666</v>
      </c>
      <c r="CA50" s="886">
        <v>1.3568070730877666</v>
      </c>
      <c r="CB50" s="886">
        <v>1.3568070730877666</v>
      </c>
      <c r="CC50" s="886">
        <v>1.3568070730877666</v>
      </c>
      <c r="CD50" s="886">
        <v>1.3568070730877666</v>
      </c>
      <c r="CE50" s="886">
        <v>1.3568070730877666</v>
      </c>
      <c r="CF50" s="887">
        <v>1.3568070730877666</v>
      </c>
    </row>
    <row r="51" spans="1:84">
      <c r="A51" s="852"/>
      <c r="B51" s="860" t="s">
        <v>746</v>
      </c>
      <c r="C51" s="885"/>
      <c r="D51" s="886">
        <v>0.18945556168206976</v>
      </c>
      <c r="E51" s="886">
        <v>0.18945556168206976</v>
      </c>
      <c r="F51" s="886">
        <v>0.18945556168206976</v>
      </c>
      <c r="G51" s="886">
        <v>0.18945556168206976</v>
      </c>
      <c r="H51" s="886">
        <v>0.18945556168206976</v>
      </c>
      <c r="I51" s="886">
        <v>0.18945556168206976</v>
      </c>
      <c r="J51" s="886">
        <v>0.18945556168206976</v>
      </c>
      <c r="K51" s="886">
        <v>0.18945556168206976</v>
      </c>
      <c r="L51" s="886">
        <v>0.18945556168206976</v>
      </c>
      <c r="M51" s="886">
        <v>0.18945556168206976</v>
      </c>
      <c r="N51" s="886">
        <v>0.18945556168206976</v>
      </c>
      <c r="O51" s="886">
        <v>0.18945556168206976</v>
      </c>
      <c r="P51" s="886">
        <v>0.18945556168206976</v>
      </c>
      <c r="Q51" s="886">
        <v>0.18945556168206976</v>
      </c>
      <c r="R51" s="886">
        <v>0.18945556168206976</v>
      </c>
      <c r="S51" s="886">
        <v>0.18945556168206976</v>
      </c>
      <c r="T51" s="886">
        <v>0.18945556168206976</v>
      </c>
      <c r="U51" s="886">
        <v>0.18945556168206976</v>
      </c>
      <c r="V51" s="886">
        <v>0.18945556168206976</v>
      </c>
      <c r="W51" s="886">
        <v>0.18945556168206976</v>
      </c>
      <c r="X51" s="886">
        <v>0.18945556168206976</v>
      </c>
      <c r="Y51" s="886">
        <v>0.18945556168206976</v>
      </c>
      <c r="Z51" s="886">
        <v>0.18945556168206976</v>
      </c>
      <c r="AA51" s="886">
        <v>0.18945556168206976</v>
      </c>
      <c r="AB51" s="886">
        <v>0.18945556168206976</v>
      </c>
      <c r="AC51" s="886">
        <v>0.18945556168206976</v>
      </c>
      <c r="AD51" s="886">
        <v>0.18945556168206976</v>
      </c>
      <c r="AE51" s="886">
        <v>0.18945556168206976</v>
      </c>
      <c r="AF51" s="886">
        <v>0.18945556168206976</v>
      </c>
      <c r="AG51" s="886">
        <v>0.18945556168206976</v>
      </c>
      <c r="AH51" s="886">
        <v>0.18945556168206976</v>
      </c>
      <c r="AI51" s="886">
        <v>0.18945556168206976</v>
      </c>
      <c r="AJ51" s="886">
        <v>0.18945556168206976</v>
      </c>
      <c r="AK51" s="886">
        <v>0.18945556168206976</v>
      </c>
      <c r="AL51" s="886">
        <v>0.18945556168206976</v>
      </c>
      <c r="AM51" s="886">
        <v>0.18945556168206976</v>
      </c>
      <c r="AN51" s="886">
        <v>0.18945556168206976</v>
      </c>
      <c r="AO51" s="886">
        <v>0.18945556168206976</v>
      </c>
      <c r="AP51" s="886">
        <v>0.18945556168206976</v>
      </c>
      <c r="AQ51" s="886">
        <v>0.18945556168206976</v>
      </c>
      <c r="AR51" s="886">
        <v>0.18945556168206976</v>
      </c>
      <c r="AS51" s="886">
        <v>0.18945556168206976</v>
      </c>
      <c r="AT51" s="886">
        <v>0.18945556168206976</v>
      </c>
      <c r="AU51" s="886">
        <v>0.18945556168206976</v>
      </c>
      <c r="AV51" s="886">
        <v>0.18945556168206976</v>
      </c>
      <c r="AW51" s="886">
        <v>0.18945556168206976</v>
      </c>
      <c r="AX51" s="886">
        <v>0.18945556168206976</v>
      </c>
      <c r="AY51" s="886">
        <v>0.18945556168206976</v>
      </c>
      <c r="AZ51" s="886">
        <v>0.18945556168206976</v>
      </c>
      <c r="BA51" s="886">
        <v>0.18945556168206976</v>
      </c>
      <c r="BB51" s="886">
        <v>0.18945556168206976</v>
      </c>
      <c r="BC51" s="886">
        <v>0.18945556168206976</v>
      </c>
      <c r="BD51" s="886">
        <v>0.18945556168206976</v>
      </c>
      <c r="BE51" s="886">
        <v>0.18945556168206976</v>
      </c>
      <c r="BF51" s="886">
        <v>0.18945556168206976</v>
      </c>
      <c r="BG51" s="886">
        <v>0.18945556168206976</v>
      </c>
      <c r="BH51" s="886">
        <v>0.18945556168206976</v>
      </c>
      <c r="BI51" s="886">
        <v>0.18945556168206976</v>
      </c>
      <c r="BJ51" s="886">
        <v>0.18945556168206976</v>
      </c>
      <c r="BK51" s="886">
        <v>0.18945556168206976</v>
      </c>
      <c r="BL51" s="886">
        <v>0.18945556168206976</v>
      </c>
      <c r="BM51" s="886">
        <v>0.18945556168206976</v>
      </c>
      <c r="BN51" s="886">
        <v>0.18945556168206976</v>
      </c>
      <c r="BO51" s="886">
        <v>0.18945556168206976</v>
      </c>
      <c r="BP51" s="886">
        <v>0.18945556168206976</v>
      </c>
      <c r="BQ51" s="886">
        <v>0.18945556168206976</v>
      </c>
      <c r="BR51" s="886">
        <v>0.18945556168206976</v>
      </c>
      <c r="BS51" s="886">
        <v>0.18945556168206976</v>
      </c>
      <c r="BT51" s="886">
        <v>0.18945556168206976</v>
      </c>
      <c r="BU51" s="886">
        <v>0.18945556168206976</v>
      </c>
      <c r="BV51" s="886">
        <v>0.18945556168206976</v>
      </c>
      <c r="BW51" s="886">
        <v>0.18945556168206976</v>
      </c>
      <c r="BX51" s="886">
        <v>0.18945556168206976</v>
      </c>
      <c r="BY51" s="886">
        <v>0.18945556168206976</v>
      </c>
      <c r="BZ51" s="886">
        <v>0.18945556168206976</v>
      </c>
      <c r="CA51" s="886">
        <v>0.18945556168206976</v>
      </c>
      <c r="CB51" s="886">
        <v>0.18945556168206976</v>
      </c>
      <c r="CC51" s="886">
        <v>0.18945556168206976</v>
      </c>
      <c r="CD51" s="886">
        <v>0.18945556168206976</v>
      </c>
      <c r="CE51" s="886">
        <v>0.18945556168206976</v>
      </c>
      <c r="CF51" s="887">
        <v>0.18945556168206976</v>
      </c>
    </row>
    <row r="52" spans="1:84" ht="13.8" thickBot="1">
      <c r="A52" s="852"/>
      <c r="B52" s="888" t="s">
        <v>744</v>
      </c>
      <c r="C52" s="889" t="s">
        <v>745</v>
      </c>
      <c r="D52" s="890">
        <v>0.8378231615406817</v>
      </c>
      <c r="E52" s="891">
        <v>0.8378231615406817</v>
      </c>
      <c r="F52" s="891">
        <v>0.8378231615406817</v>
      </c>
      <c r="G52" s="891">
        <v>0.8378231615406817</v>
      </c>
      <c r="H52" s="891">
        <v>0.8378231615406817</v>
      </c>
      <c r="I52" s="891">
        <v>0.8378231615406817</v>
      </c>
      <c r="J52" s="891">
        <v>0.8378231615406817</v>
      </c>
      <c r="K52" s="891">
        <v>0.8378231615406817</v>
      </c>
      <c r="L52" s="891">
        <v>0.8378231615406817</v>
      </c>
      <c r="M52" s="891">
        <v>0.8378231615406817</v>
      </c>
      <c r="N52" s="891">
        <v>0.8378231615406817</v>
      </c>
      <c r="O52" s="891">
        <v>0.8378231615406817</v>
      </c>
      <c r="P52" s="891">
        <v>0.8378231615406817</v>
      </c>
      <c r="Q52" s="891">
        <v>0.8378231615406817</v>
      </c>
      <c r="R52" s="891">
        <v>0.8378231615406817</v>
      </c>
      <c r="S52" s="891">
        <v>0.8378231615406817</v>
      </c>
      <c r="T52" s="891">
        <v>0.8378231615406817</v>
      </c>
      <c r="U52" s="891">
        <v>0.8378231615406817</v>
      </c>
      <c r="V52" s="891">
        <v>0.8378231615406817</v>
      </c>
      <c r="W52" s="891">
        <v>0.8378231615406817</v>
      </c>
      <c r="X52" s="891">
        <v>0.8378231615406817</v>
      </c>
      <c r="Y52" s="891">
        <v>0.8378231615406817</v>
      </c>
      <c r="Z52" s="891">
        <v>0.8378231615406817</v>
      </c>
      <c r="AA52" s="891">
        <v>0.8378231615406817</v>
      </c>
      <c r="AB52" s="891">
        <v>0.8378231615406817</v>
      </c>
      <c r="AC52" s="891">
        <v>0.8378231615406817</v>
      </c>
      <c r="AD52" s="891">
        <v>0.8378231615406817</v>
      </c>
      <c r="AE52" s="891">
        <v>0.8378231615406817</v>
      </c>
      <c r="AF52" s="891">
        <v>0.8378231615406817</v>
      </c>
      <c r="AG52" s="891">
        <v>0.8378231615406817</v>
      </c>
      <c r="AH52" s="891">
        <v>0.8378231615406817</v>
      </c>
      <c r="AI52" s="891">
        <v>0.8378231615406817</v>
      </c>
      <c r="AJ52" s="891">
        <v>0.8378231615406817</v>
      </c>
      <c r="AK52" s="891">
        <v>0.8378231615406817</v>
      </c>
      <c r="AL52" s="891">
        <v>0.8378231615406817</v>
      </c>
      <c r="AM52" s="891">
        <v>0.8378231615406817</v>
      </c>
      <c r="AN52" s="891">
        <v>0.8378231615406817</v>
      </c>
      <c r="AO52" s="891">
        <v>0.8378231615406817</v>
      </c>
      <c r="AP52" s="891">
        <v>0.8378231615406817</v>
      </c>
      <c r="AQ52" s="891">
        <v>0.8378231615406817</v>
      </c>
      <c r="AR52" s="891">
        <v>0.8378231615406817</v>
      </c>
      <c r="AS52" s="891">
        <v>0.8378231615406817</v>
      </c>
      <c r="AT52" s="891">
        <v>0.8378231615406817</v>
      </c>
      <c r="AU52" s="891">
        <v>0.8378231615406817</v>
      </c>
      <c r="AV52" s="891">
        <v>0.8378231615406817</v>
      </c>
      <c r="AW52" s="891">
        <v>0.8378231615406817</v>
      </c>
      <c r="AX52" s="891">
        <v>0.8378231615406817</v>
      </c>
      <c r="AY52" s="891">
        <v>0.8378231615406817</v>
      </c>
      <c r="AZ52" s="891">
        <v>0.8378231615406817</v>
      </c>
      <c r="BA52" s="891">
        <v>0.8378231615406817</v>
      </c>
      <c r="BB52" s="891">
        <v>0.8378231615406817</v>
      </c>
      <c r="BC52" s="891">
        <v>0.8378231615406817</v>
      </c>
      <c r="BD52" s="891">
        <v>0.8378231615406817</v>
      </c>
      <c r="BE52" s="891">
        <v>0.8378231615406817</v>
      </c>
      <c r="BF52" s="891">
        <v>0.8378231615406817</v>
      </c>
      <c r="BG52" s="891">
        <v>0.8378231615406817</v>
      </c>
      <c r="BH52" s="891">
        <v>0.8378231615406817</v>
      </c>
      <c r="BI52" s="891">
        <v>0.8378231615406817</v>
      </c>
      <c r="BJ52" s="891">
        <v>0.8378231615406817</v>
      </c>
      <c r="BK52" s="891">
        <v>0.8378231615406817</v>
      </c>
      <c r="BL52" s="891">
        <v>0.8378231615406817</v>
      </c>
      <c r="BM52" s="891">
        <v>0.8378231615406817</v>
      </c>
      <c r="BN52" s="891">
        <v>0.8378231615406817</v>
      </c>
      <c r="BO52" s="891">
        <v>0.8378231615406817</v>
      </c>
      <c r="BP52" s="891">
        <v>0.8378231615406817</v>
      </c>
      <c r="BQ52" s="891">
        <v>0.8378231615406817</v>
      </c>
      <c r="BR52" s="891">
        <v>0.8378231615406817</v>
      </c>
      <c r="BS52" s="891">
        <v>0.8378231615406817</v>
      </c>
      <c r="BT52" s="891">
        <v>0.8378231615406817</v>
      </c>
      <c r="BU52" s="891">
        <v>0.8378231615406817</v>
      </c>
      <c r="BV52" s="891">
        <v>0.8378231615406817</v>
      </c>
      <c r="BW52" s="891">
        <v>0.8378231615406817</v>
      </c>
      <c r="BX52" s="891">
        <v>0.8378231615406817</v>
      </c>
      <c r="BY52" s="891">
        <v>0.8378231615406817</v>
      </c>
      <c r="BZ52" s="891">
        <v>0.8378231615406817</v>
      </c>
      <c r="CA52" s="891">
        <v>0.8378231615406817</v>
      </c>
      <c r="CB52" s="891">
        <v>0.8378231615406817</v>
      </c>
      <c r="CC52" s="891">
        <v>0.8378231615406817</v>
      </c>
      <c r="CD52" s="891">
        <v>0.8378231615406817</v>
      </c>
      <c r="CE52" s="891">
        <v>0.8378231615406817</v>
      </c>
      <c r="CF52" s="892">
        <v>0.8378231615406817</v>
      </c>
    </row>
    <row r="53" spans="1:84">
      <c r="A53" s="852"/>
      <c r="B53" s="852"/>
      <c r="C53" s="852"/>
      <c r="D53" s="852"/>
      <c r="E53" s="852"/>
      <c r="F53" s="852"/>
      <c r="G53" s="852"/>
      <c r="H53" s="852"/>
      <c r="I53" s="852"/>
      <c r="J53" s="852"/>
      <c r="K53" s="852"/>
      <c r="L53" s="852"/>
      <c r="M53" s="852"/>
      <c r="N53" s="852"/>
      <c r="O53" s="852"/>
      <c r="P53" s="852"/>
      <c r="Q53" s="852"/>
      <c r="R53" s="852"/>
      <c r="S53" s="852"/>
      <c r="T53" s="852"/>
      <c r="U53" s="852"/>
      <c r="V53" s="852"/>
      <c r="W53" s="852"/>
      <c r="X53" s="852"/>
      <c r="Y53" s="852"/>
      <c r="Z53" s="852"/>
      <c r="AA53" s="852"/>
      <c r="AB53" s="852"/>
      <c r="AC53" s="852"/>
      <c r="AD53" s="852"/>
      <c r="AE53" s="852"/>
      <c r="AF53" s="852"/>
      <c r="AG53" s="852"/>
      <c r="AH53" s="852"/>
      <c r="AI53" s="852"/>
      <c r="AJ53" s="852"/>
      <c r="AK53" s="852"/>
      <c r="AL53" s="852"/>
      <c r="AM53" s="852"/>
      <c r="AN53" s="852"/>
      <c r="AO53" s="852"/>
      <c r="AP53" s="852"/>
      <c r="AQ53" s="852"/>
      <c r="AR53" s="852"/>
      <c r="AS53" s="852"/>
      <c r="AT53" s="852"/>
      <c r="AU53" s="852"/>
      <c r="AV53" s="852"/>
      <c r="AW53" s="852"/>
      <c r="AX53" s="852"/>
      <c r="AY53" s="852"/>
      <c r="AZ53" s="852"/>
      <c r="BA53" s="852"/>
      <c r="BB53" s="852"/>
      <c r="BC53" s="852"/>
      <c r="BD53" s="852"/>
      <c r="BE53" s="852"/>
      <c r="BF53" s="852"/>
      <c r="BG53" s="852"/>
      <c r="BH53" s="852"/>
      <c r="BI53" s="852"/>
      <c r="BJ53" s="852"/>
      <c r="BK53" s="852"/>
      <c r="BL53" s="852"/>
      <c r="BM53" s="852"/>
      <c r="BN53" s="852"/>
      <c r="BO53" s="852"/>
      <c r="BP53" s="852"/>
      <c r="BQ53" s="852"/>
      <c r="BR53" s="852"/>
      <c r="BS53" s="852"/>
      <c r="BT53" s="852"/>
      <c r="BU53" s="852"/>
      <c r="BV53" s="852"/>
      <c r="BW53" s="852"/>
      <c r="BX53" s="852"/>
      <c r="BY53" s="852"/>
      <c r="BZ53" s="852"/>
      <c r="CA53" s="852"/>
      <c r="CB53" s="852"/>
      <c r="CC53" s="852"/>
      <c r="CD53" s="852"/>
      <c r="CE53" s="852"/>
      <c r="CF53" s="852"/>
    </row>
    <row r="54" spans="1:84" ht="13.8" thickBot="1">
      <c r="A54" s="852"/>
      <c r="B54" s="853" t="s">
        <v>749</v>
      </c>
      <c r="C54" s="852"/>
      <c r="D54" s="852"/>
      <c r="E54" s="852"/>
      <c r="F54" s="852"/>
      <c r="G54" s="852"/>
      <c r="H54" s="852"/>
      <c r="I54" s="883">
        <f>$I$140</f>
        <v>0</v>
      </c>
      <c r="J54" s="852" t="s">
        <v>739</v>
      </c>
      <c r="K54" s="852"/>
      <c r="L54" s="852"/>
      <c r="M54" s="852"/>
      <c r="N54" s="852"/>
      <c r="O54" s="852"/>
      <c r="P54" s="852"/>
      <c r="Q54" s="852"/>
      <c r="R54" s="852"/>
      <c r="S54" s="852"/>
      <c r="T54" s="852"/>
      <c r="U54" s="852"/>
      <c r="V54" s="852"/>
      <c r="W54" s="852"/>
      <c r="X54" s="852"/>
      <c r="Y54" s="852"/>
      <c r="Z54" s="852"/>
      <c r="AA54" s="852"/>
      <c r="AB54" s="852"/>
      <c r="AC54" s="852"/>
      <c r="AD54" s="852"/>
      <c r="AE54" s="852"/>
      <c r="AF54" s="852"/>
      <c r="AG54" s="852"/>
      <c r="AH54" s="852"/>
      <c r="AI54" s="852"/>
      <c r="AJ54" s="852"/>
      <c r="AK54" s="852"/>
      <c r="AL54" s="852"/>
      <c r="AM54" s="852"/>
      <c r="AN54" s="852"/>
      <c r="AO54" s="852"/>
      <c r="AP54" s="852"/>
      <c r="AQ54" s="852"/>
      <c r="AR54" s="852"/>
      <c r="AS54" s="852"/>
      <c r="AT54" s="852"/>
      <c r="AU54" s="852"/>
      <c r="AV54" s="852"/>
      <c r="AW54" s="852"/>
      <c r="AX54" s="852"/>
      <c r="AY54" s="852"/>
      <c r="AZ54" s="852"/>
      <c r="BA54" s="852"/>
      <c r="BB54" s="852"/>
      <c r="BC54" s="852"/>
      <c r="BD54" s="852"/>
      <c r="BE54" s="852"/>
      <c r="BF54" s="852"/>
      <c r="BG54" s="852"/>
      <c r="BH54" s="852"/>
      <c r="BI54" s="852"/>
      <c r="BJ54" s="852"/>
      <c r="BK54" s="852"/>
      <c r="BL54" s="852"/>
      <c r="BM54" s="852"/>
      <c r="BN54" s="852"/>
      <c r="BO54" s="852"/>
      <c r="BP54" s="852"/>
      <c r="BQ54" s="852"/>
      <c r="BR54" s="852"/>
      <c r="BS54" s="852"/>
      <c r="BT54" s="852"/>
      <c r="BU54" s="852"/>
      <c r="BV54" s="852"/>
      <c r="BW54" s="852"/>
      <c r="BX54" s="852"/>
      <c r="BY54" s="852"/>
      <c r="BZ54" s="852"/>
      <c r="CA54" s="852"/>
      <c r="CB54" s="852"/>
      <c r="CC54" s="852"/>
      <c r="CD54" s="852"/>
      <c r="CE54" s="852"/>
      <c r="CF54" s="852"/>
    </row>
    <row r="55" spans="1:84">
      <c r="A55" s="852"/>
      <c r="B55" s="856" t="s">
        <v>740</v>
      </c>
      <c r="C55" s="857"/>
      <c r="D55" s="858">
        <v>2010</v>
      </c>
      <c r="E55" s="858">
        <v>2011</v>
      </c>
      <c r="F55" s="858">
        <v>2012</v>
      </c>
      <c r="G55" s="858">
        <v>2013</v>
      </c>
      <c r="H55" s="858">
        <v>2014</v>
      </c>
      <c r="I55" s="858">
        <v>2015</v>
      </c>
      <c r="J55" s="858">
        <v>2016</v>
      </c>
      <c r="K55" s="858">
        <v>2017</v>
      </c>
      <c r="L55" s="858">
        <v>2018</v>
      </c>
      <c r="M55" s="858">
        <v>2019</v>
      </c>
      <c r="N55" s="858">
        <v>2020</v>
      </c>
      <c r="O55" s="858">
        <v>2021</v>
      </c>
      <c r="P55" s="858">
        <v>2022</v>
      </c>
      <c r="Q55" s="858">
        <v>2023</v>
      </c>
      <c r="R55" s="858">
        <v>2024</v>
      </c>
      <c r="S55" s="858">
        <v>2025</v>
      </c>
      <c r="T55" s="858">
        <v>2026</v>
      </c>
      <c r="U55" s="858">
        <v>2027</v>
      </c>
      <c r="V55" s="858">
        <v>2028</v>
      </c>
      <c r="W55" s="858">
        <v>2029</v>
      </c>
      <c r="X55" s="858">
        <v>2030</v>
      </c>
      <c r="Y55" s="858">
        <v>2031</v>
      </c>
      <c r="Z55" s="858">
        <v>2032</v>
      </c>
      <c r="AA55" s="858">
        <v>2033</v>
      </c>
      <c r="AB55" s="858">
        <v>2034</v>
      </c>
      <c r="AC55" s="858">
        <v>2035</v>
      </c>
      <c r="AD55" s="858">
        <v>2036</v>
      </c>
      <c r="AE55" s="858">
        <v>2037</v>
      </c>
      <c r="AF55" s="858">
        <v>2038</v>
      </c>
      <c r="AG55" s="858">
        <v>2039</v>
      </c>
      <c r="AH55" s="858">
        <v>2040</v>
      </c>
      <c r="AI55" s="858">
        <v>2041</v>
      </c>
      <c r="AJ55" s="858">
        <v>2042</v>
      </c>
      <c r="AK55" s="858">
        <v>2043</v>
      </c>
      <c r="AL55" s="858">
        <v>2044</v>
      </c>
      <c r="AM55" s="858">
        <v>2045</v>
      </c>
      <c r="AN55" s="858">
        <v>2046</v>
      </c>
      <c r="AO55" s="858">
        <v>2047</v>
      </c>
      <c r="AP55" s="858">
        <v>2048</v>
      </c>
      <c r="AQ55" s="858">
        <v>2049</v>
      </c>
      <c r="AR55" s="858">
        <v>2050</v>
      </c>
      <c r="AS55" s="858">
        <v>2051</v>
      </c>
      <c r="AT55" s="858">
        <v>2052</v>
      </c>
      <c r="AU55" s="858">
        <v>2053</v>
      </c>
      <c r="AV55" s="858">
        <v>2054</v>
      </c>
      <c r="AW55" s="858">
        <v>2055</v>
      </c>
      <c r="AX55" s="858">
        <v>2056</v>
      </c>
      <c r="AY55" s="858">
        <v>2057</v>
      </c>
      <c r="AZ55" s="858">
        <v>2058</v>
      </c>
      <c r="BA55" s="858">
        <v>2059</v>
      </c>
      <c r="BB55" s="858">
        <v>2060</v>
      </c>
      <c r="BC55" s="858">
        <v>2061</v>
      </c>
      <c r="BD55" s="858">
        <v>2062</v>
      </c>
      <c r="BE55" s="858">
        <v>2063</v>
      </c>
      <c r="BF55" s="858">
        <v>2064</v>
      </c>
      <c r="BG55" s="858">
        <v>2065</v>
      </c>
      <c r="BH55" s="858">
        <v>2066</v>
      </c>
      <c r="BI55" s="858">
        <v>2067</v>
      </c>
      <c r="BJ55" s="858">
        <v>2068</v>
      </c>
      <c r="BK55" s="858">
        <v>2069</v>
      </c>
      <c r="BL55" s="858">
        <v>2070</v>
      </c>
      <c r="BM55" s="858">
        <v>2071</v>
      </c>
      <c r="BN55" s="858">
        <v>2072</v>
      </c>
      <c r="BO55" s="858">
        <v>2073</v>
      </c>
      <c r="BP55" s="858">
        <v>2074</v>
      </c>
      <c r="BQ55" s="858">
        <v>2075</v>
      </c>
      <c r="BR55" s="858">
        <v>2076</v>
      </c>
      <c r="BS55" s="858">
        <v>2077</v>
      </c>
      <c r="BT55" s="858">
        <v>2078</v>
      </c>
      <c r="BU55" s="858">
        <v>2079</v>
      </c>
      <c r="BV55" s="858">
        <v>2080</v>
      </c>
      <c r="BW55" s="858">
        <v>2081</v>
      </c>
      <c r="BX55" s="858">
        <v>2082</v>
      </c>
      <c r="BY55" s="858">
        <v>2083</v>
      </c>
      <c r="BZ55" s="858">
        <v>2084</v>
      </c>
      <c r="CA55" s="858">
        <v>2085</v>
      </c>
      <c r="CB55" s="858">
        <v>2086</v>
      </c>
      <c r="CC55" s="858">
        <v>2087</v>
      </c>
      <c r="CD55" s="858">
        <v>2088</v>
      </c>
      <c r="CE55" s="858">
        <v>2089</v>
      </c>
      <c r="CF55" s="859">
        <v>2090</v>
      </c>
    </row>
    <row r="56" spans="1:84">
      <c r="A56" s="852"/>
      <c r="B56" s="860" t="str">
        <f>CONCATENATE("Drivmiddel (", $D$122,"-priser)")</f>
        <v>Drivmiddel (-priser)</v>
      </c>
      <c r="C56" s="861" t="s">
        <v>741</v>
      </c>
      <c r="D56" s="862" t="e">
        <f t="shared" ref="D56" si="486">D4/#REF!*#REF!</f>
        <v>#REF!</v>
      </c>
      <c r="E56" s="862" t="e">
        <f t="shared" ref="E56" si="487">E4/#REF!*#REF!</f>
        <v>#REF!</v>
      </c>
      <c r="F56" s="862" t="e">
        <f t="shared" ref="F56" si="488">F4/#REF!*#REF!</f>
        <v>#REF!</v>
      </c>
      <c r="G56" s="862" t="e">
        <f t="shared" ref="G56" si="489">G4/#REF!*#REF!</f>
        <v>#REF!</v>
      </c>
      <c r="H56" s="862" t="e">
        <f t="shared" ref="H56" si="490">H4/#REF!*#REF!</f>
        <v>#REF!</v>
      </c>
      <c r="I56" s="862" t="e">
        <f t="shared" ref="I56" si="491">I4/#REF!*#REF!</f>
        <v>#REF!</v>
      </c>
      <c r="J56" s="862" t="e">
        <f t="shared" ref="J56" si="492">J4/#REF!*#REF!</f>
        <v>#REF!</v>
      </c>
      <c r="K56" s="862" t="e">
        <f t="shared" ref="K56" si="493">K4/#REF!*#REF!</f>
        <v>#REF!</v>
      </c>
      <c r="L56" s="862" t="e">
        <f t="shared" ref="L56" si="494">L4/#REF!*#REF!</f>
        <v>#REF!</v>
      </c>
      <c r="M56" s="862" t="e">
        <f t="shared" ref="M56" si="495">M4/#REF!*#REF!</f>
        <v>#REF!</v>
      </c>
      <c r="N56" s="862" t="e">
        <f t="shared" ref="N56" si="496">N4/#REF!*#REF!</f>
        <v>#REF!</v>
      </c>
      <c r="O56" s="862" t="e">
        <f t="shared" ref="O56" si="497">O4/#REF!*#REF!</f>
        <v>#REF!</v>
      </c>
      <c r="P56" s="862" t="e">
        <f t="shared" ref="P56" si="498">P4/#REF!*#REF!</f>
        <v>#REF!</v>
      </c>
      <c r="Q56" s="862" t="e">
        <f t="shared" ref="Q56" si="499">Q4/#REF!*#REF!</f>
        <v>#REF!</v>
      </c>
      <c r="R56" s="862" t="e">
        <f t="shared" ref="R56" si="500">R4/#REF!*#REF!</f>
        <v>#REF!</v>
      </c>
      <c r="S56" s="862" t="e">
        <f t="shared" ref="S56" si="501">S4/#REF!*#REF!</f>
        <v>#REF!</v>
      </c>
      <c r="T56" s="862" t="e">
        <f t="shared" ref="T56" si="502">T4/#REF!*#REF!</f>
        <v>#REF!</v>
      </c>
      <c r="U56" s="862" t="e">
        <f t="shared" ref="U56" si="503">U4/#REF!*#REF!</f>
        <v>#REF!</v>
      </c>
      <c r="V56" s="862" t="e">
        <f t="shared" ref="V56" si="504">V4/#REF!*#REF!</f>
        <v>#REF!</v>
      </c>
      <c r="W56" s="862" t="e">
        <f t="shared" ref="W56" si="505">W4/#REF!*#REF!</f>
        <v>#REF!</v>
      </c>
      <c r="X56" s="862" t="e">
        <f t="shared" ref="X56" si="506">X4/#REF!*#REF!</f>
        <v>#REF!</v>
      </c>
      <c r="Y56" s="862" t="e">
        <f t="shared" ref="Y56" si="507">Y4/#REF!*#REF!</f>
        <v>#REF!</v>
      </c>
      <c r="Z56" s="862" t="e">
        <f t="shared" ref="Z56" si="508">Z4/#REF!*#REF!</f>
        <v>#REF!</v>
      </c>
      <c r="AA56" s="862" t="e">
        <f t="shared" ref="AA56" si="509">AA4/#REF!*#REF!</f>
        <v>#REF!</v>
      </c>
      <c r="AB56" s="862" t="e">
        <f t="shared" ref="AB56" si="510">AB4/#REF!*#REF!</f>
        <v>#REF!</v>
      </c>
      <c r="AC56" s="862" t="e">
        <f t="shared" ref="AC56" si="511">AC4/#REF!*#REF!</f>
        <v>#REF!</v>
      </c>
      <c r="AD56" s="862" t="e">
        <f t="shared" ref="AD56" si="512">AD4/#REF!*#REF!</f>
        <v>#REF!</v>
      </c>
      <c r="AE56" s="862" t="e">
        <f t="shared" ref="AE56" si="513">AE4/#REF!*#REF!</f>
        <v>#REF!</v>
      </c>
      <c r="AF56" s="862" t="e">
        <f t="shared" ref="AF56" si="514">AF4/#REF!*#REF!</f>
        <v>#REF!</v>
      </c>
      <c r="AG56" s="862" t="e">
        <f t="shared" ref="AG56" si="515">AG4/#REF!*#REF!</f>
        <v>#REF!</v>
      </c>
      <c r="AH56" s="862" t="e">
        <f t="shared" ref="AH56" si="516">AH4/#REF!*#REF!</f>
        <v>#REF!</v>
      </c>
      <c r="AI56" s="862" t="e">
        <f t="shared" ref="AI56" si="517">AI4/#REF!*#REF!</f>
        <v>#REF!</v>
      </c>
      <c r="AJ56" s="862" t="e">
        <f t="shared" ref="AJ56" si="518">AJ4/#REF!*#REF!</f>
        <v>#REF!</v>
      </c>
      <c r="AK56" s="862" t="e">
        <f t="shared" ref="AK56" si="519">AK4/#REF!*#REF!</f>
        <v>#REF!</v>
      </c>
      <c r="AL56" s="862" t="e">
        <f t="shared" ref="AL56" si="520">AL4/#REF!*#REF!</f>
        <v>#REF!</v>
      </c>
      <c r="AM56" s="862" t="e">
        <f t="shared" ref="AM56" si="521">AM4/#REF!*#REF!</f>
        <v>#REF!</v>
      </c>
      <c r="AN56" s="862" t="e">
        <f t="shared" ref="AN56" si="522">AN4/#REF!*#REF!</f>
        <v>#REF!</v>
      </c>
      <c r="AO56" s="862" t="e">
        <f t="shared" ref="AO56" si="523">AO4/#REF!*#REF!</f>
        <v>#REF!</v>
      </c>
      <c r="AP56" s="862" t="e">
        <f t="shared" ref="AP56" si="524">AP4/#REF!*#REF!</f>
        <v>#REF!</v>
      </c>
      <c r="AQ56" s="862" t="e">
        <f t="shared" ref="AQ56" si="525">AQ4/#REF!*#REF!</f>
        <v>#REF!</v>
      </c>
      <c r="AR56" s="862" t="e">
        <f t="shared" ref="AR56" si="526">AR4/#REF!*#REF!</f>
        <v>#REF!</v>
      </c>
      <c r="AS56" s="862" t="e">
        <f t="shared" ref="AS56" si="527">AS4/#REF!*#REF!</f>
        <v>#REF!</v>
      </c>
      <c r="AT56" s="862" t="e">
        <f t="shared" ref="AT56" si="528">AT4/#REF!*#REF!</f>
        <v>#REF!</v>
      </c>
      <c r="AU56" s="862" t="e">
        <f t="shared" ref="AU56" si="529">AU4/#REF!*#REF!</f>
        <v>#REF!</v>
      </c>
      <c r="AV56" s="862" t="e">
        <f t="shared" ref="AV56" si="530">AV4/#REF!*#REF!</f>
        <v>#REF!</v>
      </c>
      <c r="AW56" s="862" t="e">
        <f t="shared" ref="AW56" si="531">AW4/#REF!*#REF!</f>
        <v>#REF!</v>
      </c>
      <c r="AX56" s="862" t="e">
        <f t="shared" ref="AX56" si="532">AX4/#REF!*#REF!</f>
        <v>#REF!</v>
      </c>
      <c r="AY56" s="862" t="e">
        <f t="shared" ref="AY56" si="533">AY4/#REF!*#REF!</f>
        <v>#REF!</v>
      </c>
      <c r="AZ56" s="862" t="e">
        <f t="shared" ref="AZ56" si="534">AZ4/#REF!*#REF!</f>
        <v>#REF!</v>
      </c>
      <c r="BA56" s="862" t="e">
        <f t="shared" ref="BA56" si="535">BA4/#REF!*#REF!</f>
        <v>#REF!</v>
      </c>
      <c r="BB56" s="862" t="e">
        <f t="shared" ref="BB56" si="536">BB4/#REF!*#REF!</f>
        <v>#REF!</v>
      </c>
      <c r="BC56" s="862" t="e">
        <f t="shared" ref="BC56" si="537">BC4/#REF!*#REF!</f>
        <v>#REF!</v>
      </c>
      <c r="BD56" s="862" t="e">
        <f t="shared" ref="BD56" si="538">BD4/#REF!*#REF!</f>
        <v>#REF!</v>
      </c>
      <c r="BE56" s="862" t="e">
        <f t="shared" ref="BE56" si="539">BE4/#REF!*#REF!</f>
        <v>#REF!</v>
      </c>
      <c r="BF56" s="862" t="e">
        <f t="shared" ref="BF56" si="540">BF4/#REF!*#REF!</f>
        <v>#REF!</v>
      </c>
      <c r="BG56" s="862" t="e">
        <f t="shared" ref="BG56" si="541">BG4/#REF!*#REF!</f>
        <v>#REF!</v>
      </c>
      <c r="BH56" s="862" t="e">
        <f t="shared" ref="BH56" si="542">BH4/#REF!*#REF!</f>
        <v>#REF!</v>
      </c>
      <c r="BI56" s="862" t="e">
        <f t="shared" ref="BI56" si="543">BI4/#REF!*#REF!</f>
        <v>#REF!</v>
      </c>
      <c r="BJ56" s="862" t="e">
        <f t="shared" ref="BJ56" si="544">BJ4/#REF!*#REF!</f>
        <v>#REF!</v>
      </c>
      <c r="BK56" s="862" t="e">
        <f t="shared" ref="BK56" si="545">BK4/#REF!*#REF!</f>
        <v>#REF!</v>
      </c>
      <c r="BL56" s="862" t="e">
        <f t="shared" ref="BL56" si="546">BL4/#REF!*#REF!</f>
        <v>#REF!</v>
      </c>
      <c r="BM56" s="862" t="e">
        <f t="shared" ref="BM56" si="547">BM4/#REF!*#REF!</f>
        <v>#REF!</v>
      </c>
      <c r="BN56" s="862" t="e">
        <f t="shared" ref="BN56" si="548">BN4/#REF!*#REF!</f>
        <v>#REF!</v>
      </c>
      <c r="BO56" s="862" t="e">
        <f t="shared" ref="BO56" si="549">BO4/#REF!*#REF!</f>
        <v>#REF!</v>
      </c>
      <c r="BP56" s="862" t="e">
        <f t="shared" ref="BP56" si="550">BP4/#REF!*#REF!</f>
        <v>#REF!</v>
      </c>
      <c r="BQ56" s="862" t="e">
        <f t="shared" ref="BQ56" si="551">BQ4/#REF!*#REF!</f>
        <v>#REF!</v>
      </c>
      <c r="BR56" s="862" t="e">
        <f t="shared" ref="BR56" si="552">BR4/#REF!*#REF!</f>
        <v>#REF!</v>
      </c>
      <c r="BS56" s="862" t="e">
        <f t="shared" ref="BS56" si="553">BS4/#REF!*#REF!</f>
        <v>#REF!</v>
      </c>
      <c r="BT56" s="862" t="e">
        <f t="shared" ref="BT56" si="554">BT4/#REF!*#REF!</f>
        <v>#REF!</v>
      </c>
      <c r="BU56" s="862" t="e">
        <f t="shared" ref="BU56" si="555">BU4/#REF!*#REF!</f>
        <v>#REF!</v>
      </c>
      <c r="BV56" s="862" t="e">
        <f t="shared" ref="BV56" si="556">BV4/#REF!*#REF!</f>
        <v>#REF!</v>
      </c>
      <c r="BW56" s="862" t="e">
        <f t="shared" ref="BW56" si="557">BW4/#REF!*#REF!</f>
        <v>#REF!</v>
      </c>
      <c r="BX56" s="862" t="e">
        <f t="shared" ref="BX56" si="558">BX4/#REF!*#REF!</f>
        <v>#REF!</v>
      </c>
      <c r="BY56" s="862" t="e">
        <f t="shared" ref="BY56" si="559">BY4/#REF!*#REF!</f>
        <v>#REF!</v>
      </c>
      <c r="BZ56" s="862" t="e">
        <f t="shared" ref="BZ56" si="560">BZ4/#REF!*#REF!</f>
        <v>#REF!</v>
      </c>
      <c r="CA56" s="862" t="e">
        <f t="shared" ref="CA56" si="561">CA4/#REF!*#REF!</f>
        <v>#REF!</v>
      </c>
      <c r="CB56" s="862" t="e">
        <f t="shared" ref="CB56" si="562">CB4/#REF!*#REF!</f>
        <v>#REF!</v>
      </c>
      <c r="CC56" s="862" t="e">
        <f t="shared" ref="CC56" si="563">CC4/#REF!*#REF!</f>
        <v>#REF!</v>
      </c>
      <c r="CD56" s="862" t="e">
        <f t="shared" ref="CD56" si="564">CD4/#REF!*#REF!</f>
        <v>#REF!</v>
      </c>
      <c r="CE56" s="862" t="e">
        <f t="shared" ref="CE56" si="565">CE4/#REF!*#REF!</f>
        <v>#REF!</v>
      </c>
      <c r="CF56" s="863" t="e">
        <f t="shared" ref="CF56" si="566">CF4/#REF!*#REF!</f>
        <v>#REF!</v>
      </c>
    </row>
    <row r="57" spans="1:84">
      <c r="A57" s="852"/>
      <c r="B57" s="860" t="s">
        <v>742</v>
      </c>
      <c r="C57" s="861" t="s">
        <v>741</v>
      </c>
      <c r="D57" s="864">
        <v>7.7763871721240496E-2</v>
      </c>
      <c r="E57" s="864">
        <v>7.7763871721240496E-2</v>
      </c>
      <c r="F57" s="864">
        <v>7.7763871721240496E-2</v>
      </c>
      <c r="G57" s="864">
        <v>7.7763871721240496E-2</v>
      </c>
      <c r="H57" s="864">
        <v>7.7763871721240496E-2</v>
      </c>
      <c r="I57" s="864">
        <v>7.7763871721240496E-2</v>
      </c>
      <c r="J57" s="864">
        <v>7.7763871721240496E-2</v>
      </c>
      <c r="K57" s="864">
        <v>7.7763871721240496E-2</v>
      </c>
      <c r="L57" s="864">
        <v>7.7763871721240496E-2</v>
      </c>
      <c r="M57" s="864">
        <v>7.7763871721240496E-2</v>
      </c>
      <c r="N57" s="864">
        <v>7.7763871721240496E-2</v>
      </c>
      <c r="O57" s="864">
        <v>7.7763871721240496E-2</v>
      </c>
      <c r="P57" s="864">
        <v>7.7763871721240496E-2</v>
      </c>
      <c r="Q57" s="864">
        <v>7.7763871721240496E-2</v>
      </c>
      <c r="R57" s="864">
        <v>7.7763871721240496E-2</v>
      </c>
      <c r="S57" s="864">
        <v>7.7763871721240496E-2</v>
      </c>
      <c r="T57" s="864">
        <v>7.7763871721240496E-2</v>
      </c>
      <c r="U57" s="864">
        <v>7.7763871721240496E-2</v>
      </c>
      <c r="V57" s="864">
        <v>7.7763871721240496E-2</v>
      </c>
      <c r="W57" s="864">
        <v>7.7763871721240496E-2</v>
      </c>
      <c r="X57" s="864">
        <v>7.7763871721240496E-2</v>
      </c>
      <c r="Y57" s="864">
        <v>7.7763871721240496E-2</v>
      </c>
      <c r="Z57" s="864">
        <v>7.7763871721240496E-2</v>
      </c>
      <c r="AA57" s="864">
        <v>7.7763871721240496E-2</v>
      </c>
      <c r="AB57" s="864">
        <v>7.7763871721240496E-2</v>
      </c>
      <c r="AC57" s="864">
        <v>7.7763871721240496E-2</v>
      </c>
      <c r="AD57" s="864">
        <v>7.7763871721240496E-2</v>
      </c>
      <c r="AE57" s="864">
        <v>7.7763871721240496E-2</v>
      </c>
      <c r="AF57" s="864">
        <v>7.7763871721240496E-2</v>
      </c>
      <c r="AG57" s="864">
        <v>7.7763871721240496E-2</v>
      </c>
      <c r="AH57" s="864">
        <v>7.7763871721240496E-2</v>
      </c>
      <c r="AI57" s="864">
        <v>7.7763871721240496E-2</v>
      </c>
      <c r="AJ57" s="864">
        <v>7.7763871721240496E-2</v>
      </c>
      <c r="AK57" s="864">
        <v>7.7763871721240496E-2</v>
      </c>
      <c r="AL57" s="864">
        <v>7.7763871721240496E-2</v>
      </c>
      <c r="AM57" s="864">
        <v>7.7763871721240496E-2</v>
      </c>
      <c r="AN57" s="864">
        <v>7.7763871721240496E-2</v>
      </c>
      <c r="AO57" s="864">
        <v>7.7763871721240496E-2</v>
      </c>
      <c r="AP57" s="864">
        <v>7.7763871721240496E-2</v>
      </c>
      <c r="AQ57" s="864">
        <v>7.7763871721240496E-2</v>
      </c>
      <c r="AR57" s="864">
        <v>7.7763871721240496E-2</v>
      </c>
      <c r="AS57" s="864">
        <v>7.7763871721240496E-2</v>
      </c>
      <c r="AT57" s="864">
        <v>7.7763871721240496E-2</v>
      </c>
      <c r="AU57" s="864">
        <v>7.7763871721240496E-2</v>
      </c>
      <c r="AV57" s="864">
        <v>7.7763871721240496E-2</v>
      </c>
      <c r="AW57" s="864">
        <v>7.7763871721240496E-2</v>
      </c>
      <c r="AX57" s="864">
        <v>7.7763871721240496E-2</v>
      </c>
      <c r="AY57" s="864">
        <v>7.7763871721240496E-2</v>
      </c>
      <c r="AZ57" s="864">
        <v>7.7763871721240496E-2</v>
      </c>
      <c r="BA57" s="864">
        <v>7.7763871721240496E-2</v>
      </c>
      <c r="BB57" s="864">
        <v>7.7763871721240496E-2</v>
      </c>
      <c r="BC57" s="864">
        <v>7.7763871721240496E-2</v>
      </c>
      <c r="BD57" s="864">
        <v>7.7763871721240496E-2</v>
      </c>
      <c r="BE57" s="864">
        <v>7.7763871721240496E-2</v>
      </c>
      <c r="BF57" s="864">
        <v>7.7763871721240496E-2</v>
      </c>
      <c r="BG57" s="864">
        <v>7.7763871721240496E-2</v>
      </c>
      <c r="BH57" s="864">
        <v>7.7763871721240496E-2</v>
      </c>
      <c r="BI57" s="864">
        <v>7.7763871721240496E-2</v>
      </c>
      <c r="BJ57" s="864">
        <v>7.7763871721240496E-2</v>
      </c>
      <c r="BK57" s="864">
        <v>7.7763871721240496E-2</v>
      </c>
      <c r="BL57" s="864">
        <v>7.7763871721240496E-2</v>
      </c>
      <c r="BM57" s="864">
        <v>7.7763871721240496E-2</v>
      </c>
      <c r="BN57" s="864">
        <v>7.7763871721240496E-2</v>
      </c>
      <c r="BO57" s="864">
        <v>7.7763871721240496E-2</v>
      </c>
      <c r="BP57" s="864">
        <v>7.7763871721240496E-2</v>
      </c>
      <c r="BQ57" s="864">
        <v>7.7763871721240496E-2</v>
      </c>
      <c r="BR57" s="864">
        <v>7.7763871721240496E-2</v>
      </c>
      <c r="BS57" s="864">
        <v>7.7763871721240496E-2</v>
      </c>
      <c r="BT57" s="864">
        <v>7.7763871721240496E-2</v>
      </c>
      <c r="BU57" s="864">
        <v>7.7763871721240496E-2</v>
      </c>
      <c r="BV57" s="864">
        <v>7.7763871721240496E-2</v>
      </c>
      <c r="BW57" s="864">
        <v>7.7763871721240496E-2</v>
      </c>
      <c r="BX57" s="864">
        <v>7.7763871721240496E-2</v>
      </c>
      <c r="BY57" s="864">
        <v>7.7763871721240496E-2</v>
      </c>
      <c r="BZ57" s="864">
        <v>7.7763871721240496E-2</v>
      </c>
      <c r="CA57" s="864">
        <v>7.7763871721240496E-2</v>
      </c>
      <c r="CB57" s="864">
        <v>7.7763871721240496E-2</v>
      </c>
      <c r="CC57" s="864">
        <v>7.7763871721240496E-2</v>
      </c>
      <c r="CD57" s="864">
        <v>7.7763871721240496E-2</v>
      </c>
      <c r="CE57" s="864">
        <v>7.7763871721240496E-2</v>
      </c>
      <c r="CF57" s="865">
        <v>7.7763871721240496E-2</v>
      </c>
    </row>
    <row r="58" spans="1:84">
      <c r="A58" s="852"/>
      <c r="B58" s="860" t="s">
        <v>743</v>
      </c>
      <c r="C58" s="861" t="s">
        <v>741</v>
      </c>
      <c r="D58" s="864">
        <v>0.56395072750857322</v>
      </c>
      <c r="E58" s="864">
        <v>0.56395072750857322</v>
      </c>
      <c r="F58" s="864">
        <v>0.56395072750857322</v>
      </c>
      <c r="G58" s="864">
        <v>0.56395072750857322</v>
      </c>
      <c r="H58" s="864">
        <v>0.56395072750857322</v>
      </c>
      <c r="I58" s="864">
        <v>0.56395072750857322</v>
      </c>
      <c r="J58" s="864">
        <v>0.56395072750857322</v>
      </c>
      <c r="K58" s="864">
        <v>0.56395072750857322</v>
      </c>
      <c r="L58" s="864">
        <v>0.56395072750857322</v>
      </c>
      <c r="M58" s="864">
        <v>0.56395072750857322</v>
      </c>
      <c r="N58" s="864">
        <v>0.56395072750857322</v>
      </c>
      <c r="O58" s="864">
        <v>0.56395072750857322</v>
      </c>
      <c r="P58" s="864">
        <v>0.56395072750857322</v>
      </c>
      <c r="Q58" s="864">
        <v>0.56395072750857322</v>
      </c>
      <c r="R58" s="864">
        <v>0.56395072750857322</v>
      </c>
      <c r="S58" s="864">
        <v>0.56395072750857322</v>
      </c>
      <c r="T58" s="864">
        <v>0.56395072750857322</v>
      </c>
      <c r="U58" s="864">
        <v>0.56395072750857322</v>
      </c>
      <c r="V58" s="864">
        <v>0.56395072750857322</v>
      </c>
      <c r="W58" s="864">
        <v>0.56395072750857322</v>
      </c>
      <c r="X58" s="864">
        <v>0.56395072750857322</v>
      </c>
      <c r="Y58" s="864">
        <v>0.56395072750857322</v>
      </c>
      <c r="Z58" s="864">
        <v>0.56395072750857322</v>
      </c>
      <c r="AA58" s="864">
        <v>0.56395072750857322</v>
      </c>
      <c r="AB58" s="864">
        <v>0.56395072750857322</v>
      </c>
      <c r="AC58" s="864">
        <v>0.56395072750857322</v>
      </c>
      <c r="AD58" s="864">
        <v>0.56395072750857322</v>
      </c>
      <c r="AE58" s="864">
        <v>0.56395072750857322</v>
      </c>
      <c r="AF58" s="864">
        <v>0.56395072750857322</v>
      </c>
      <c r="AG58" s="864">
        <v>0.56395072750857322</v>
      </c>
      <c r="AH58" s="864">
        <v>0.56395072750857322</v>
      </c>
      <c r="AI58" s="864">
        <v>0.56395072750857322</v>
      </c>
      <c r="AJ58" s="864">
        <v>0.56395072750857322</v>
      </c>
      <c r="AK58" s="864">
        <v>0.56395072750857322</v>
      </c>
      <c r="AL58" s="864">
        <v>0.56395072750857322</v>
      </c>
      <c r="AM58" s="864">
        <v>0.56395072750857322</v>
      </c>
      <c r="AN58" s="864">
        <v>0.56395072750857322</v>
      </c>
      <c r="AO58" s="864">
        <v>0.56395072750857322</v>
      </c>
      <c r="AP58" s="864">
        <v>0.56395072750857322</v>
      </c>
      <c r="AQ58" s="864">
        <v>0.56395072750857322</v>
      </c>
      <c r="AR58" s="864">
        <v>0.56395072750857322</v>
      </c>
      <c r="AS58" s="864">
        <v>0.56395072750857322</v>
      </c>
      <c r="AT58" s="864">
        <v>0.56395072750857322</v>
      </c>
      <c r="AU58" s="864">
        <v>0.56395072750857322</v>
      </c>
      <c r="AV58" s="864">
        <v>0.56395072750857322</v>
      </c>
      <c r="AW58" s="864">
        <v>0.56395072750857322</v>
      </c>
      <c r="AX58" s="864">
        <v>0.56395072750857322</v>
      </c>
      <c r="AY58" s="864">
        <v>0.56395072750857322</v>
      </c>
      <c r="AZ58" s="864">
        <v>0.56395072750857322</v>
      </c>
      <c r="BA58" s="864">
        <v>0.56395072750857322</v>
      </c>
      <c r="BB58" s="864">
        <v>0.56395072750857322</v>
      </c>
      <c r="BC58" s="864">
        <v>0.56395072750857322</v>
      </c>
      <c r="BD58" s="864">
        <v>0.56395072750857322</v>
      </c>
      <c r="BE58" s="864">
        <v>0.56395072750857322</v>
      </c>
      <c r="BF58" s="864">
        <v>0.56395072750857322</v>
      </c>
      <c r="BG58" s="864">
        <v>0.56395072750857322</v>
      </c>
      <c r="BH58" s="864">
        <v>0.56395072750857322</v>
      </c>
      <c r="BI58" s="864">
        <v>0.56395072750857322</v>
      </c>
      <c r="BJ58" s="864">
        <v>0.56395072750857322</v>
      </c>
      <c r="BK58" s="864">
        <v>0.56395072750857322</v>
      </c>
      <c r="BL58" s="864">
        <v>0.56395072750857322</v>
      </c>
      <c r="BM58" s="864">
        <v>0.56395072750857322</v>
      </c>
      <c r="BN58" s="864">
        <v>0.56395072750857322</v>
      </c>
      <c r="BO58" s="864">
        <v>0.56395072750857322</v>
      </c>
      <c r="BP58" s="864">
        <v>0.56395072750857322</v>
      </c>
      <c r="BQ58" s="864">
        <v>0.56395072750857322</v>
      </c>
      <c r="BR58" s="864">
        <v>0.56395072750857322</v>
      </c>
      <c r="BS58" s="864">
        <v>0.56395072750857322</v>
      </c>
      <c r="BT58" s="864">
        <v>0.56395072750857322</v>
      </c>
      <c r="BU58" s="864">
        <v>0.56395072750857322</v>
      </c>
      <c r="BV58" s="864">
        <v>0.56395072750857322</v>
      </c>
      <c r="BW58" s="864">
        <v>0.56395072750857322</v>
      </c>
      <c r="BX58" s="864">
        <v>0.56395072750857322</v>
      </c>
      <c r="BY58" s="864">
        <v>0.56395072750857322</v>
      </c>
      <c r="BZ58" s="864">
        <v>0.56395072750857322</v>
      </c>
      <c r="CA58" s="864">
        <v>0.56395072750857322</v>
      </c>
      <c r="CB58" s="864">
        <v>0.56395072750857322</v>
      </c>
      <c r="CC58" s="864">
        <v>0.56395072750857322</v>
      </c>
      <c r="CD58" s="864">
        <v>0.56395072750857322</v>
      </c>
      <c r="CE58" s="864">
        <v>0.56395072750857322</v>
      </c>
      <c r="CF58" s="865">
        <v>0.56395072750857322</v>
      </c>
    </row>
    <row r="59" spans="1:84">
      <c r="A59" s="852"/>
      <c r="B59" s="866" t="s">
        <v>744</v>
      </c>
      <c r="C59" s="867" t="s">
        <v>741</v>
      </c>
      <c r="D59" s="868">
        <v>0.13323434228562153</v>
      </c>
      <c r="E59" s="869">
        <v>0.13323434228562153</v>
      </c>
      <c r="F59" s="869">
        <v>0.13323434228562153</v>
      </c>
      <c r="G59" s="869">
        <v>0.13323434228562153</v>
      </c>
      <c r="H59" s="869">
        <v>0.13323434228562153</v>
      </c>
      <c r="I59" s="869">
        <v>0.13323434228562153</v>
      </c>
      <c r="J59" s="869">
        <v>0.13323434228562153</v>
      </c>
      <c r="K59" s="869">
        <v>0.13323434228562153</v>
      </c>
      <c r="L59" s="869">
        <v>0.13323434228562153</v>
      </c>
      <c r="M59" s="869">
        <v>0.13323434228562153</v>
      </c>
      <c r="N59" s="869">
        <v>0.13323434228562153</v>
      </c>
      <c r="O59" s="869">
        <v>0.13323434228562153</v>
      </c>
      <c r="P59" s="869">
        <v>0.13323434228562153</v>
      </c>
      <c r="Q59" s="869">
        <v>0.13323434228562153</v>
      </c>
      <c r="R59" s="869">
        <v>0.13323434228562153</v>
      </c>
      <c r="S59" s="869">
        <v>0.13323434228562153</v>
      </c>
      <c r="T59" s="869">
        <v>0.13323434228562153</v>
      </c>
      <c r="U59" s="869">
        <v>0.13323434228562153</v>
      </c>
      <c r="V59" s="869">
        <v>0.13323434228562153</v>
      </c>
      <c r="W59" s="869">
        <v>0.13323434228562153</v>
      </c>
      <c r="X59" s="869">
        <v>0.13323434228562153</v>
      </c>
      <c r="Y59" s="869">
        <v>0.13323434228562153</v>
      </c>
      <c r="Z59" s="869">
        <v>0.13323434228562153</v>
      </c>
      <c r="AA59" s="869">
        <v>0.13323434228562153</v>
      </c>
      <c r="AB59" s="869">
        <v>0.13323434228562153</v>
      </c>
      <c r="AC59" s="869">
        <v>0.13323434228562153</v>
      </c>
      <c r="AD59" s="869">
        <v>0.13323434228562153</v>
      </c>
      <c r="AE59" s="869">
        <v>0.13323434228562153</v>
      </c>
      <c r="AF59" s="869">
        <v>0.13323434228562153</v>
      </c>
      <c r="AG59" s="869">
        <v>0.13323434228562153</v>
      </c>
      <c r="AH59" s="869">
        <v>0.13323434228562153</v>
      </c>
      <c r="AI59" s="869">
        <v>0.13323434228562153</v>
      </c>
      <c r="AJ59" s="869">
        <v>0.13323434228562153</v>
      </c>
      <c r="AK59" s="869">
        <v>0.13323434228562153</v>
      </c>
      <c r="AL59" s="869">
        <v>0.13323434228562153</v>
      </c>
      <c r="AM59" s="869">
        <v>0.13323434228562153</v>
      </c>
      <c r="AN59" s="869">
        <v>0.13323434228562153</v>
      </c>
      <c r="AO59" s="869">
        <v>0.13323434228562153</v>
      </c>
      <c r="AP59" s="869">
        <v>0.13323434228562153</v>
      </c>
      <c r="AQ59" s="869">
        <v>0.13323434228562153</v>
      </c>
      <c r="AR59" s="869">
        <v>0.13323434228562153</v>
      </c>
      <c r="AS59" s="869">
        <v>0.13323434228562153</v>
      </c>
      <c r="AT59" s="869">
        <v>0.13323434228562153</v>
      </c>
      <c r="AU59" s="869">
        <v>0.13323434228562153</v>
      </c>
      <c r="AV59" s="869">
        <v>0.13323434228562153</v>
      </c>
      <c r="AW59" s="869">
        <v>0.13323434228562153</v>
      </c>
      <c r="AX59" s="869">
        <v>0.13323434228562153</v>
      </c>
      <c r="AY59" s="869">
        <v>0.13323434228562153</v>
      </c>
      <c r="AZ59" s="869">
        <v>0.13323434228562153</v>
      </c>
      <c r="BA59" s="869">
        <v>0.13323434228562153</v>
      </c>
      <c r="BB59" s="869">
        <v>0.13323434228562153</v>
      </c>
      <c r="BC59" s="869">
        <v>0.13323434228562153</v>
      </c>
      <c r="BD59" s="869">
        <v>0.13323434228562153</v>
      </c>
      <c r="BE59" s="869">
        <v>0.13323434228562153</v>
      </c>
      <c r="BF59" s="869">
        <v>0.13323434228562153</v>
      </c>
      <c r="BG59" s="869">
        <v>0.13323434228562153</v>
      </c>
      <c r="BH59" s="869">
        <v>0.13323434228562153</v>
      </c>
      <c r="BI59" s="869">
        <v>0.13323434228562153</v>
      </c>
      <c r="BJ59" s="869">
        <v>0.13323434228562153</v>
      </c>
      <c r="BK59" s="869">
        <v>0.13323434228562153</v>
      </c>
      <c r="BL59" s="869">
        <v>0.13323434228562153</v>
      </c>
      <c r="BM59" s="869">
        <v>0.13323434228562153</v>
      </c>
      <c r="BN59" s="869">
        <v>0.13323434228562153</v>
      </c>
      <c r="BO59" s="869">
        <v>0.13323434228562153</v>
      </c>
      <c r="BP59" s="869">
        <v>0.13323434228562153</v>
      </c>
      <c r="BQ59" s="869">
        <v>0.13323434228562153</v>
      </c>
      <c r="BR59" s="869">
        <v>0.13323434228562153</v>
      </c>
      <c r="BS59" s="869">
        <v>0.13323434228562153</v>
      </c>
      <c r="BT59" s="869">
        <v>0.13323434228562153</v>
      </c>
      <c r="BU59" s="869">
        <v>0.13323434228562153</v>
      </c>
      <c r="BV59" s="869">
        <v>0.13323434228562153</v>
      </c>
      <c r="BW59" s="869">
        <v>0.13323434228562153</v>
      </c>
      <c r="BX59" s="869">
        <v>0.13323434228562153</v>
      </c>
      <c r="BY59" s="869">
        <v>0.13323434228562153</v>
      </c>
      <c r="BZ59" s="869">
        <v>0.13323434228562153</v>
      </c>
      <c r="CA59" s="869">
        <v>0.13323434228562153</v>
      </c>
      <c r="CB59" s="869">
        <v>0.13323434228562153</v>
      </c>
      <c r="CC59" s="869">
        <v>0.13323434228562153</v>
      </c>
      <c r="CD59" s="869">
        <v>0.13323434228562153</v>
      </c>
      <c r="CE59" s="869">
        <v>0.13323434228562153</v>
      </c>
      <c r="CF59" s="870">
        <v>0.13323434228562153</v>
      </c>
    </row>
    <row r="60" spans="1:84">
      <c r="A60" s="852"/>
      <c r="B60" s="860" t="str">
        <f>CONCATENATE("Drivmiddel (", $D$122,"-priser)")</f>
        <v>Drivmiddel (-priser)</v>
      </c>
      <c r="C60" s="861" t="s">
        <v>745</v>
      </c>
      <c r="D60" s="862" t="e">
        <f t="shared" ref="D60" si="567">D7/#REF!*#REF!</f>
        <v>#REF!</v>
      </c>
      <c r="E60" s="862" t="e">
        <f t="shared" ref="E60" si="568">E7/#REF!*#REF!</f>
        <v>#REF!</v>
      </c>
      <c r="F60" s="862" t="e">
        <f t="shared" ref="F60" si="569">F7/#REF!*#REF!</f>
        <v>#REF!</v>
      </c>
      <c r="G60" s="862" t="e">
        <f t="shared" ref="G60" si="570">G7/#REF!*#REF!</f>
        <v>#REF!</v>
      </c>
      <c r="H60" s="862" t="e">
        <f t="shared" ref="H60" si="571">H7/#REF!*#REF!</f>
        <v>#REF!</v>
      </c>
      <c r="I60" s="862" t="e">
        <f t="shared" ref="I60" si="572">I7/#REF!*#REF!</f>
        <v>#REF!</v>
      </c>
      <c r="J60" s="862" t="e">
        <f t="shared" ref="J60" si="573">J7/#REF!*#REF!</f>
        <v>#REF!</v>
      </c>
      <c r="K60" s="862" t="e">
        <f t="shared" ref="K60" si="574">K7/#REF!*#REF!</f>
        <v>#REF!</v>
      </c>
      <c r="L60" s="862" t="e">
        <f t="shared" ref="L60" si="575">L7/#REF!*#REF!</f>
        <v>#REF!</v>
      </c>
      <c r="M60" s="862" t="e">
        <f t="shared" ref="M60" si="576">M7/#REF!*#REF!</f>
        <v>#REF!</v>
      </c>
      <c r="N60" s="862" t="e">
        <f t="shared" ref="N60" si="577">N7/#REF!*#REF!</f>
        <v>#REF!</v>
      </c>
      <c r="O60" s="862" t="e">
        <f t="shared" ref="O60" si="578">O7/#REF!*#REF!</f>
        <v>#REF!</v>
      </c>
      <c r="P60" s="862" t="e">
        <f t="shared" ref="P60" si="579">P7/#REF!*#REF!</f>
        <v>#REF!</v>
      </c>
      <c r="Q60" s="862" t="e">
        <f t="shared" ref="Q60" si="580">Q7/#REF!*#REF!</f>
        <v>#REF!</v>
      </c>
      <c r="R60" s="862" t="e">
        <f t="shared" ref="R60" si="581">R7/#REF!*#REF!</f>
        <v>#REF!</v>
      </c>
      <c r="S60" s="862" t="e">
        <f t="shared" ref="S60" si="582">S7/#REF!*#REF!</f>
        <v>#REF!</v>
      </c>
      <c r="T60" s="862" t="e">
        <f t="shared" ref="T60" si="583">T7/#REF!*#REF!</f>
        <v>#REF!</v>
      </c>
      <c r="U60" s="862" t="e">
        <f t="shared" ref="U60" si="584">U7/#REF!*#REF!</f>
        <v>#REF!</v>
      </c>
      <c r="V60" s="862" t="e">
        <f t="shared" ref="V60" si="585">V7/#REF!*#REF!</f>
        <v>#REF!</v>
      </c>
      <c r="W60" s="862" t="e">
        <f t="shared" ref="W60" si="586">W7/#REF!*#REF!</f>
        <v>#REF!</v>
      </c>
      <c r="X60" s="862" t="e">
        <f t="shared" ref="X60" si="587">X7/#REF!*#REF!</f>
        <v>#REF!</v>
      </c>
      <c r="Y60" s="862" t="e">
        <f t="shared" ref="Y60" si="588">Y7/#REF!*#REF!</f>
        <v>#REF!</v>
      </c>
      <c r="Z60" s="862" t="e">
        <f t="shared" ref="Z60" si="589">Z7/#REF!*#REF!</f>
        <v>#REF!</v>
      </c>
      <c r="AA60" s="862" t="e">
        <f t="shared" ref="AA60" si="590">AA7/#REF!*#REF!</f>
        <v>#REF!</v>
      </c>
      <c r="AB60" s="862" t="e">
        <f t="shared" ref="AB60" si="591">AB7/#REF!*#REF!</f>
        <v>#REF!</v>
      </c>
      <c r="AC60" s="862" t="e">
        <f t="shared" ref="AC60" si="592">AC7/#REF!*#REF!</f>
        <v>#REF!</v>
      </c>
      <c r="AD60" s="862" t="e">
        <f t="shared" ref="AD60" si="593">AD7/#REF!*#REF!</f>
        <v>#REF!</v>
      </c>
      <c r="AE60" s="862" t="e">
        <f t="shared" ref="AE60" si="594">AE7/#REF!*#REF!</f>
        <v>#REF!</v>
      </c>
      <c r="AF60" s="862" t="e">
        <f t="shared" ref="AF60" si="595">AF7/#REF!*#REF!</f>
        <v>#REF!</v>
      </c>
      <c r="AG60" s="862" t="e">
        <f t="shared" ref="AG60" si="596">AG7/#REF!*#REF!</f>
        <v>#REF!</v>
      </c>
      <c r="AH60" s="862" t="e">
        <f t="shared" ref="AH60" si="597">AH7/#REF!*#REF!</f>
        <v>#REF!</v>
      </c>
      <c r="AI60" s="862" t="e">
        <f t="shared" ref="AI60" si="598">AI7/#REF!*#REF!</f>
        <v>#REF!</v>
      </c>
      <c r="AJ60" s="862" t="e">
        <f t="shared" ref="AJ60" si="599">AJ7/#REF!*#REF!</f>
        <v>#REF!</v>
      </c>
      <c r="AK60" s="862" t="e">
        <f t="shared" ref="AK60" si="600">AK7/#REF!*#REF!</f>
        <v>#REF!</v>
      </c>
      <c r="AL60" s="862" t="e">
        <f t="shared" ref="AL60" si="601">AL7/#REF!*#REF!</f>
        <v>#REF!</v>
      </c>
      <c r="AM60" s="862" t="e">
        <f t="shared" ref="AM60" si="602">AM7/#REF!*#REF!</f>
        <v>#REF!</v>
      </c>
      <c r="AN60" s="862" t="e">
        <f t="shared" ref="AN60" si="603">AN7/#REF!*#REF!</f>
        <v>#REF!</v>
      </c>
      <c r="AO60" s="862" t="e">
        <f t="shared" ref="AO60" si="604">AO7/#REF!*#REF!</f>
        <v>#REF!</v>
      </c>
      <c r="AP60" s="862" t="e">
        <f t="shared" ref="AP60" si="605">AP7/#REF!*#REF!</f>
        <v>#REF!</v>
      </c>
      <c r="AQ60" s="862" t="e">
        <f t="shared" ref="AQ60" si="606">AQ7/#REF!*#REF!</f>
        <v>#REF!</v>
      </c>
      <c r="AR60" s="862" t="e">
        <f t="shared" ref="AR60" si="607">AR7/#REF!*#REF!</f>
        <v>#REF!</v>
      </c>
      <c r="AS60" s="862" t="e">
        <f t="shared" ref="AS60" si="608">AS7/#REF!*#REF!</f>
        <v>#REF!</v>
      </c>
      <c r="AT60" s="862" t="e">
        <f t="shared" ref="AT60" si="609">AT7/#REF!*#REF!</f>
        <v>#REF!</v>
      </c>
      <c r="AU60" s="862" t="e">
        <f t="shared" ref="AU60" si="610">AU7/#REF!*#REF!</f>
        <v>#REF!</v>
      </c>
      <c r="AV60" s="862" t="e">
        <f t="shared" ref="AV60" si="611">AV7/#REF!*#REF!</f>
        <v>#REF!</v>
      </c>
      <c r="AW60" s="862" t="e">
        <f t="shared" ref="AW60" si="612">AW7/#REF!*#REF!</f>
        <v>#REF!</v>
      </c>
      <c r="AX60" s="862" t="e">
        <f t="shared" ref="AX60" si="613">AX7/#REF!*#REF!</f>
        <v>#REF!</v>
      </c>
      <c r="AY60" s="862" t="e">
        <f t="shared" ref="AY60" si="614">AY7/#REF!*#REF!</f>
        <v>#REF!</v>
      </c>
      <c r="AZ60" s="862" t="e">
        <f t="shared" ref="AZ60" si="615">AZ7/#REF!*#REF!</f>
        <v>#REF!</v>
      </c>
      <c r="BA60" s="862" t="e">
        <f t="shared" ref="BA60" si="616">BA7/#REF!*#REF!</f>
        <v>#REF!</v>
      </c>
      <c r="BB60" s="862" t="e">
        <f t="shared" ref="BB60" si="617">BB7/#REF!*#REF!</f>
        <v>#REF!</v>
      </c>
      <c r="BC60" s="862" t="e">
        <f t="shared" ref="BC60" si="618">BC7/#REF!*#REF!</f>
        <v>#REF!</v>
      </c>
      <c r="BD60" s="862" t="e">
        <f t="shared" ref="BD60" si="619">BD7/#REF!*#REF!</f>
        <v>#REF!</v>
      </c>
      <c r="BE60" s="862" t="e">
        <f t="shared" ref="BE60" si="620">BE7/#REF!*#REF!</f>
        <v>#REF!</v>
      </c>
      <c r="BF60" s="862" t="e">
        <f t="shared" ref="BF60" si="621">BF7/#REF!*#REF!</f>
        <v>#REF!</v>
      </c>
      <c r="BG60" s="862" t="e">
        <f t="shared" ref="BG60" si="622">BG7/#REF!*#REF!</f>
        <v>#REF!</v>
      </c>
      <c r="BH60" s="862" t="e">
        <f t="shared" ref="BH60" si="623">BH7/#REF!*#REF!</f>
        <v>#REF!</v>
      </c>
      <c r="BI60" s="862" t="e">
        <f t="shared" ref="BI60" si="624">BI7/#REF!*#REF!</f>
        <v>#REF!</v>
      </c>
      <c r="BJ60" s="862" t="e">
        <f t="shared" ref="BJ60" si="625">BJ7/#REF!*#REF!</f>
        <v>#REF!</v>
      </c>
      <c r="BK60" s="862" t="e">
        <f t="shared" ref="BK60" si="626">BK7/#REF!*#REF!</f>
        <v>#REF!</v>
      </c>
      <c r="BL60" s="862" t="e">
        <f t="shared" ref="BL60" si="627">BL7/#REF!*#REF!</f>
        <v>#REF!</v>
      </c>
      <c r="BM60" s="862" t="e">
        <f t="shared" ref="BM60" si="628">BM7/#REF!*#REF!</f>
        <v>#REF!</v>
      </c>
      <c r="BN60" s="862" t="e">
        <f t="shared" ref="BN60" si="629">BN7/#REF!*#REF!</f>
        <v>#REF!</v>
      </c>
      <c r="BO60" s="862" t="e">
        <f t="shared" ref="BO60" si="630">BO7/#REF!*#REF!</f>
        <v>#REF!</v>
      </c>
      <c r="BP60" s="862" t="e">
        <f t="shared" ref="BP60" si="631">BP7/#REF!*#REF!</f>
        <v>#REF!</v>
      </c>
      <c r="BQ60" s="862" t="e">
        <f t="shared" ref="BQ60" si="632">BQ7/#REF!*#REF!</f>
        <v>#REF!</v>
      </c>
      <c r="BR60" s="862" t="e">
        <f t="shared" ref="BR60" si="633">BR7/#REF!*#REF!</f>
        <v>#REF!</v>
      </c>
      <c r="BS60" s="862" t="e">
        <f t="shared" ref="BS60" si="634">BS7/#REF!*#REF!</f>
        <v>#REF!</v>
      </c>
      <c r="BT60" s="862" t="e">
        <f t="shared" ref="BT60" si="635">BT7/#REF!*#REF!</f>
        <v>#REF!</v>
      </c>
      <c r="BU60" s="862" t="e">
        <f t="shared" ref="BU60" si="636">BU7/#REF!*#REF!</f>
        <v>#REF!</v>
      </c>
      <c r="BV60" s="862" t="e">
        <f t="shared" ref="BV60" si="637">BV7/#REF!*#REF!</f>
        <v>#REF!</v>
      </c>
      <c r="BW60" s="862" t="e">
        <f t="shared" ref="BW60" si="638">BW7/#REF!*#REF!</f>
        <v>#REF!</v>
      </c>
      <c r="BX60" s="862" t="e">
        <f t="shared" ref="BX60" si="639">BX7/#REF!*#REF!</f>
        <v>#REF!</v>
      </c>
      <c r="BY60" s="862" t="e">
        <f t="shared" ref="BY60" si="640">BY7/#REF!*#REF!</f>
        <v>#REF!</v>
      </c>
      <c r="BZ60" s="862" t="e">
        <f t="shared" ref="BZ60" si="641">BZ7/#REF!*#REF!</f>
        <v>#REF!</v>
      </c>
      <c r="CA60" s="862" t="e">
        <f t="shared" ref="CA60" si="642">CA7/#REF!*#REF!</f>
        <v>#REF!</v>
      </c>
      <c r="CB60" s="862" t="e">
        <f t="shared" ref="CB60" si="643">CB7/#REF!*#REF!</f>
        <v>#REF!</v>
      </c>
      <c r="CC60" s="862" t="e">
        <f t="shared" ref="CC60" si="644">CC7/#REF!*#REF!</f>
        <v>#REF!</v>
      </c>
      <c r="CD60" s="862" t="e">
        <f t="shared" ref="CD60" si="645">CD7/#REF!*#REF!</f>
        <v>#REF!</v>
      </c>
      <c r="CE60" s="862" t="e">
        <f t="shared" ref="CE60" si="646">CE7/#REF!*#REF!</f>
        <v>#REF!</v>
      </c>
      <c r="CF60" s="863" t="e">
        <f t="shared" ref="CF60" si="647">CF7/#REF!*#REF!</f>
        <v>#REF!</v>
      </c>
    </row>
    <row r="61" spans="1:84">
      <c r="A61" s="852"/>
      <c r="B61" s="884" t="s">
        <v>742</v>
      </c>
      <c r="C61" s="885" t="s">
        <v>745</v>
      </c>
      <c r="D61" s="886">
        <v>9.7204839651550606E-2</v>
      </c>
      <c r="E61" s="886">
        <v>9.7204839651550606E-2</v>
      </c>
      <c r="F61" s="886">
        <v>9.7204839651550606E-2</v>
      </c>
      <c r="G61" s="886">
        <v>9.7204839651550606E-2</v>
      </c>
      <c r="H61" s="886">
        <v>9.7204839651550606E-2</v>
      </c>
      <c r="I61" s="886">
        <v>9.7204839651550606E-2</v>
      </c>
      <c r="J61" s="886">
        <v>9.7204839651550606E-2</v>
      </c>
      <c r="K61" s="886">
        <v>9.7204839651550606E-2</v>
      </c>
      <c r="L61" s="886">
        <v>9.7204839651550606E-2</v>
      </c>
      <c r="M61" s="886">
        <v>9.7204839651550606E-2</v>
      </c>
      <c r="N61" s="886">
        <v>9.7204839651550606E-2</v>
      </c>
      <c r="O61" s="886">
        <v>9.7204839651550606E-2</v>
      </c>
      <c r="P61" s="886">
        <v>9.7204839651550606E-2</v>
      </c>
      <c r="Q61" s="886">
        <v>9.7204839651550606E-2</v>
      </c>
      <c r="R61" s="886">
        <v>9.7204839651550606E-2</v>
      </c>
      <c r="S61" s="886">
        <v>9.7204839651550606E-2</v>
      </c>
      <c r="T61" s="886">
        <v>9.7204839651550606E-2</v>
      </c>
      <c r="U61" s="886">
        <v>9.7204839651550606E-2</v>
      </c>
      <c r="V61" s="886">
        <v>9.7204839651550606E-2</v>
      </c>
      <c r="W61" s="886">
        <v>9.7204839651550606E-2</v>
      </c>
      <c r="X61" s="886">
        <v>9.7204839651550606E-2</v>
      </c>
      <c r="Y61" s="886">
        <v>9.7204839651550606E-2</v>
      </c>
      <c r="Z61" s="886">
        <v>9.7204839651550606E-2</v>
      </c>
      <c r="AA61" s="886">
        <v>9.7204839651550606E-2</v>
      </c>
      <c r="AB61" s="886">
        <v>9.7204839651550606E-2</v>
      </c>
      <c r="AC61" s="886">
        <v>9.7204839651550606E-2</v>
      </c>
      <c r="AD61" s="886">
        <v>9.7204839651550606E-2</v>
      </c>
      <c r="AE61" s="886">
        <v>9.7204839651550606E-2</v>
      </c>
      <c r="AF61" s="886">
        <v>9.7204839651550606E-2</v>
      </c>
      <c r="AG61" s="886">
        <v>9.7204839651550606E-2</v>
      </c>
      <c r="AH61" s="886">
        <v>9.7204839651550606E-2</v>
      </c>
      <c r="AI61" s="886">
        <v>9.7204839651550606E-2</v>
      </c>
      <c r="AJ61" s="886">
        <v>9.7204839651550606E-2</v>
      </c>
      <c r="AK61" s="886">
        <v>9.7204839651550606E-2</v>
      </c>
      <c r="AL61" s="886">
        <v>9.7204839651550606E-2</v>
      </c>
      <c r="AM61" s="886">
        <v>9.7204839651550606E-2</v>
      </c>
      <c r="AN61" s="886">
        <v>9.7204839651550606E-2</v>
      </c>
      <c r="AO61" s="886">
        <v>9.7204839651550606E-2</v>
      </c>
      <c r="AP61" s="886">
        <v>9.7204839651550606E-2</v>
      </c>
      <c r="AQ61" s="886">
        <v>9.7204839651550606E-2</v>
      </c>
      <c r="AR61" s="886">
        <v>9.7204839651550606E-2</v>
      </c>
      <c r="AS61" s="886">
        <v>9.7204839651550606E-2</v>
      </c>
      <c r="AT61" s="886">
        <v>9.7204839651550606E-2</v>
      </c>
      <c r="AU61" s="886">
        <v>9.7204839651550606E-2</v>
      </c>
      <c r="AV61" s="886">
        <v>9.7204839651550606E-2</v>
      </c>
      <c r="AW61" s="886">
        <v>9.7204839651550606E-2</v>
      </c>
      <c r="AX61" s="886">
        <v>9.7204839651550606E-2</v>
      </c>
      <c r="AY61" s="886">
        <v>9.7204839651550606E-2</v>
      </c>
      <c r="AZ61" s="886">
        <v>9.7204839651550606E-2</v>
      </c>
      <c r="BA61" s="886">
        <v>9.7204839651550606E-2</v>
      </c>
      <c r="BB61" s="886">
        <v>9.7204839651550606E-2</v>
      </c>
      <c r="BC61" s="886">
        <v>9.7204839651550606E-2</v>
      </c>
      <c r="BD61" s="886">
        <v>9.7204839651550606E-2</v>
      </c>
      <c r="BE61" s="886">
        <v>9.7204839651550606E-2</v>
      </c>
      <c r="BF61" s="886">
        <v>9.7204839651550606E-2</v>
      </c>
      <c r="BG61" s="886">
        <v>9.7204839651550606E-2</v>
      </c>
      <c r="BH61" s="886">
        <v>9.7204839651550606E-2</v>
      </c>
      <c r="BI61" s="886">
        <v>9.7204839651550606E-2</v>
      </c>
      <c r="BJ61" s="886">
        <v>9.7204839651550606E-2</v>
      </c>
      <c r="BK61" s="886">
        <v>9.7204839651550606E-2</v>
      </c>
      <c r="BL61" s="886">
        <v>9.7204839651550606E-2</v>
      </c>
      <c r="BM61" s="886">
        <v>9.7204839651550606E-2</v>
      </c>
      <c r="BN61" s="886">
        <v>9.7204839651550606E-2</v>
      </c>
      <c r="BO61" s="886">
        <v>9.7204839651550606E-2</v>
      </c>
      <c r="BP61" s="886">
        <v>9.7204839651550606E-2</v>
      </c>
      <c r="BQ61" s="886">
        <v>9.7204839651550606E-2</v>
      </c>
      <c r="BR61" s="886">
        <v>9.7204839651550606E-2</v>
      </c>
      <c r="BS61" s="886">
        <v>9.7204839651550606E-2</v>
      </c>
      <c r="BT61" s="886">
        <v>9.7204839651550606E-2</v>
      </c>
      <c r="BU61" s="886">
        <v>9.7204839651550606E-2</v>
      </c>
      <c r="BV61" s="886">
        <v>9.7204839651550606E-2</v>
      </c>
      <c r="BW61" s="886">
        <v>9.7204839651550606E-2</v>
      </c>
      <c r="BX61" s="886">
        <v>9.7204839651550606E-2</v>
      </c>
      <c r="BY61" s="886">
        <v>9.7204839651550606E-2</v>
      </c>
      <c r="BZ61" s="886">
        <v>9.7204839651550606E-2</v>
      </c>
      <c r="CA61" s="886">
        <v>9.7204839651550606E-2</v>
      </c>
      <c r="CB61" s="886">
        <v>9.7204839651550606E-2</v>
      </c>
      <c r="CC61" s="886">
        <v>9.7204839651550606E-2</v>
      </c>
      <c r="CD61" s="886">
        <v>9.7204839651550606E-2</v>
      </c>
      <c r="CE61" s="886">
        <v>9.7204839651550606E-2</v>
      </c>
      <c r="CF61" s="887">
        <v>9.7204839651550606E-2</v>
      </c>
    </row>
    <row r="62" spans="1:84">
      <c r="A62" s="852"/>
      <c r="B62" s="884" t="s">
        <v>743</v>
      </c>
      <c r="C62" s="885" t="s">
        <v>745</v>
      </c>
      <c r="D62" s="886">
        <v>0.81527169723801551</v>
      </c>
      <c r="E62" s="886">
        <v>0.81527169723801551</v>
      </c>
      <c r="F62" s="886">
        <v>0.81527169723801551</v>
      </c>
      <c r="G62" s="886">
        <v>0.81527169723801551</v>
      </c>
      <c r="H62" s="886">
        <v>0.81527169723801551</v>
      </c>
      <c r="I62" s="886">
        <v>0.81527169723801551</v>
      </c>
      <c r="J62" s="886">
        <v>0.81527169723801551</v>
      </c>
      <c r="K62" s="886">
        <v>0.81527169723801551</v>
      </c>
      <c r="L62" s="886">
        <v>0.81527169723801551</v>
      </c>
      <c r="M62" s="886">
        <v>0.81527169723801551</v>
      </c>
      <c r="N62" s="886">
        <v>0.81527169723801551</v>
      </c>
      <c r="O62" s="886">
        <v>0.81527169723801551</v>
      </c>
      <c r="P62" s="886">
        <v>0.81527169723801551</v>
      </c>
      <c r="Q62" s="886">
        <v>0.81527169723801551</v>
      </c>
      <c r="R62" s="886">
        <v>0.81527169723801551</v>
      </c>
      <c r="S62" s="886">
        <v>0.81527169723801551</v>
      </c>
      <c r="T62" s="886">
        <v>0.81527169723801551</v>
      </c>
      <c r="U62" s="886">
        <v>0.81527169723801551</v>
      </c>
      <c r="V62" s="886">
        <v>0.81527169723801551</v>
      </c>
      <c r="W62" s="886">
        <v>0.81527169723801551</v>
      </c>
      <c r="X62" s="886">
        <v>0.81527169723801551</v>
      </c>
      <c r="Y62" s="886">
        <v>0.81527169723801551</v>
      </c>
      <c r="Z62" s="886">
        <v>0.81527169723801551</v>
      </c>
      <c r="AA62" s="886">
        <v>0.81527169723801551</v>
      </c>
      <c r="AB62" s="886">
        <v>0.81527169723801551</v>
      </c>
      <c r="AC62" s="886">
        <v>0.81527169723801551</v>
      </c>
      <c r="AD62" s="886">
        <v>0.81527169723801551</v>
      </c>
      <c r="AE62" s="886">
        <v>0.81527169723801551</v>
      </c>
      <c r="AF62" s="886">
        <v>0.81527169723801551</v>
      </c>
      <c r="AG62" s="886">
        <v>0.81527169723801551</v>
      </c>
      <c r="AH62" s="886">
        <v>0.81527169723801551</v>
      </c>
      <c r="AI62" s="886">
        <v>0.81527169723801551</v>
      </c>
      <c r="AJ62" s="886">
        <v>0.81527169723801551</v>
      </c>
      <c r="AK62" s="886">
        <v>0.81527169723801551</v>
      </c>
      <c r="AL62" s="886">
        <v>0.81527169723801551</v>
      </c>
      <c r="AM62" s="886">
        <v>0.81527169723801551</v>
      </c>
      <c r="AN62" s="886">
        <v>0.81527169723801551</v>
      </c>
      <c r="AO62" s="886">
        <v>0.81527169723801551</v>
      </c>
      <c r="AP62" s="886">
        <v>0.81527169723801551</v>
      </c>
      <c r="AQ62" s="886">
        <v>0.81527169723801551</v>
      </c>
      <c r="AR62" s="886">
        <v>0.81527169723801551</v>
      </c>
      <c r="AS62" s="886">
        <v>0.81527169723801551</v>
      </c>
      <c r="AT62" s="886">
        <v>0.81527169723801551</v>
      </c>
      <c r="AU62" s="886">
        <v>0.81527169723801551</v>
      </c>
      <c r="AV62" s="886">
        <v>0.81527169723801551</v>
      </c>
      <c r="AW62" s="886">
        <v>0.81527169723801551</v>
      </c>
      <c r="AX62" s="886">
        <v>0.81527169723801551</v>
      </c>
      <c r="AY62" s="886">
        <v>0.81527169723801551</v>
      </c>
      <c r="AZ62" s="886">
        <v>0.81527169723801551</v>
      </c>
      <c r="BA62" s="886">
        <v>0.81527169723801551</v>
      </c>
      <c r="BB62" s="886">
        <v>0.81527169723801551</v>
      </c>
      <c r="BC62" s="886">
        <v>0.81527169723801551</v>
      </c>
      <c r="BD62" s="886">
        <v>0.81527169723801551</v>
      </c>
      <c r="BE62" s="886">
        <v>0.81527169723801551</v>
      </c>
      <c r="BF62" s="886">
        <v>0.81527169723801551</v>
      </c>
      <c r="BG62" s="886">
        <v>0.81527169723801551</v>
      </c>
      <c r="BH62" s="886">
        <v>0.81527169723801551</v>
      </c>
      <c r="BI62" s="886">
        <v>0.81527169723801551</v>
      </c>
      <c r="BJ62" s="886">
        <v>0.81527169723801551</v>
      </c>
      <c r="BK62" s="886">
        <v>0.81527169723801551</v>
      </c>
      <c r="BL62" s="886">
        <v>0.81527169723801551</v>
      </c>
      <c r="BM62" s="886">
        <v>0.81527169723801551</v>
      </c>
      <c r="BN62" s="886">
        <v>0.81527169723801551</v>
      </c>
      <c r="BO62" s="886">
        <v>0.81527169723801551</v>
      </c>
      <c r="BP62" s="886">
        <v>0.81527169723801551</v>
      </c>
      <c r="BQ62" s="886">
        <v>0.81527169723801551</v>
      </c>
      <c r="BR62" s="886">
        <v>0.81527169723801551</v>
      </c>
      <c r="BS62" s="886">
        <v>0.81527169723801551</v>
      </c>
      <c r="BT62" s="886">
        <v>0.81527169723801551</v>
      </c>
      <c r="BU62" s="886">
        <v>0.81527169723801551</v>
      </c>
      <c r="BV62" s="886">
        <v>0.81527169723801551</v>
      </c>
      <c r="BW62" s="886">
        <v>0.81527169723801551</v>
      </c>
      <c r="BX62" s="886">
        <v>0.81527169723801551</v>
      </c>
      <c r="BY62" s="886">
        <v>0.81527169723801551</v>
      </c>
      <c r="BZ62" s="886">
        <v>0.81527169723801551</v>
      </c>
      <c r="CA62" s="886">
        <v>0.81527169723801551</v>
      </c>
      <c r="CB62" s="886">
        <v>0.81527169723801551</v>
      </c>
      <c r="CC62" s="886">
        <v>0.81527169723801551</v>
      </c>
      <c r="CD62" s="886">
        <v>0.81527169723801551</v>
      </c>
      <c r="CE62" s="886">
        <v>0.81527169723801551</v>
      </c>
      <c r="CF62" s="887">
        <v>0.81527169723801551</v>
      </c>
    </row>
    <row r="63" spans="1:84" ht="13.8" thickBot="1">
      <c r="A63" s="852"/>
      <c r="B63" s="888" t="s">
        <v>744</v>
      </c>
      <c r="C63" s="889" t="s">
        <v>745</v>
      </c>
      <c r="D63" s="890">
        <v>0.32820310289609034</v>
      </c>
      <c r="E63" s="891">
        <v>0.32820310289609034</v>
      </c>
      <c r="F63" s="891">
        <v>0.32820310289609034</v>
      </c>
      <c r="G63" s="891">
        <v>0.32820310289609034</v>
      </c>
      <c r="H63" s="891">
        <v>0.32820310289609034</v>
      </c>
      <c r="I63" s="891">
        <v>0.32820310289609034</v>
      </c>
      <c r="J63" s="891">
        <v>0.32820310289609034</v>
      </c>
      <c r="K63" s="891">
        <v>0.32820310289609034</v>
      </c>
      <c r="L63" s="891">
        <v>0.32820310289609034</v>
      </c>
      <c r="M63" s="891">
        <v>0.32820310289609034</v>
      </c>
      <c r="N63" s="891">
        <v>0.32820310289609034</v>
      </c>
      <c r="O63" s="891">
        <v>0.32820310289609034</v>
      </c>
      <c r="P63" s="891">
        <v>0.32820310289609034</v>
      </c>
      <c r="Q63" s="891">
        <v>0.32820310289609034</v>
      </c>
      <c r="R63" s="891">
        <v>0.32820310289609034</v>
      </c>
      <c r="S63" s="891">
        <v>0.32820310289609034</v>
      </c>
      <c r="T63" s="891">
        <v>0.32820310289609034</v>
      </c>
      <c r="U63" s="891">
        <v>0.32820310289609034</v>
      </c>
      <c r="V63" s="891">
        <v>0.32820310289609034</v>
      </c>
      <c r="W63" s="891">
        <v>0.32820310289609034</v>
      </c>
      <c r="X63" s="891">
        <v>0.32820310289609034</v>
      </c>
      <c r="Y63" s="891">
        <v>0.32820310289609034</v>
      </c>
      <c r="Z63" s="891">
        <v>0.32820310289609034</v>
      </c>
      <c r="AA63" s="891">
        <v>0.32820310289609034</v>
      </c>
      <c r="AB63" s="891">
        <v>0.32820310289609034</v>
      </c>
      <c r="AC63" s="891">
        <v>0.32820310289609034</v>
      </c>
      <c r="AD63" s="891">
        <v>0.32820310289609034</v>
      </c>
      <c r="AE63" s="891">
        <v>0.32820310289609034</v>
      </c>
      <c r="AF63" s="891">
        <v>0.32820310289609034</v>
      </c>
      <c r="AG63" s="891">
        <v>0.32820310289609034</v>
      </c>
      <c r="AH63" s="891">
        <v>0.32820310289609034</v>
      </c>
      <c r="AI63" s="891">
        <v>0.32820310289609034</v>
      </c>
      <c r="AJ63" s="891">
        <v>0.32820310289609034</v>
      </c>
      <c r="AK63" s="891">
        <v>0.32820310289609034</v>
      </c>
      <c r="AL63" s="891">
        <v>0.32820310289609034</v>
      </c>
      <c r="AM63" s="891">
        <v>0.32820310289609034</v>
      </c>
      <c r="AN63" s="891">
        <v>0.32820310289609034</v>
      </c>
      <c r="AO63" s="891">
        <v>0.32820310289609034</v>
      </c>
      <c r="AP63" s="891">
        <v>0.32820310289609034</v>
      </c>
      <c r="AQ63" s="891">
        <v>0.32820310289609034</v>
      </c>
      <c r="AR63" s="891">
        <v>0.32820310289609034</v>
      </c>
      <c r="AS63" s="891">
        <v>0.32820310289609034</v>
      </c>
      <c r="AT63" s="891">
        <v>0.32820310289609034</v>
      </c>
      <c r="AU63" s="891">
        <v>0.32820310289609034</v>
      </c>
      <c r="AV63" s="891">
        <v>0.32820310289609034</v>
      </c>
      <c r="AW63" s="891">
        <v>0.32820310289609034</v>
      </c>
      <c r="AX63" s="891">
        <v>0.32820310289609034</v>
      </c>
      <c r="AY63" s="891">
        <v>0.32820310289609034</v>
      </c>
      <c r="AZ63" s="891">
        <v>0.32820310289609034</v>
      </c>
      <c r="BA63" s="891">
        <v>0.32820310289609034</v>
      </c>
      <c r="BB63" s="891">
        <v>0.32820310289609034</v>
      </c>
      <c r="BC63" s="891">
        <v>0.32820310289609034</v>
      </c>
      <c r="BD63" s="891">
        <v>0.32820310289609034</v>
      </c>
      <c r="BE63" s="891">
        <v>0.32820310289609034</v>
      </c>
      <c r="BF63" s="891">
        <v>0.32820310289609034</v>
      </c>
      <c r="BG63" s="891">
        <v>0.32820310289609034</v>
      </c>
      <c r="BH63" s="891">
        <v>0.32820310289609034</v>
      </c>
      <c r="BI63" s="891">
        <v>0.32820310289609034</v>
      </c>
      <c r="BJ63" s="891">
        <v>0.32820310289609034</v>
      </c>
      <c r="BK63" s="891">
        <v>0.32820310289609034</v>
      </c>
      <c r="BL63" s="891">
        <v>0.32820310289609034</v>
      </c>
      <c r="BM63" s="891">
        <v>0.32820310289609034</v>
      </c>
      <c r="BN63" s="891">
        <v>0.32820310289609034</v>
      </c>
      <c r="BO63" s="891">
        <v>0.32820310289609034</v>
      </c>
      <c r="BP63" s="891">
        <v>0.32820310289609034</v>
      </c>
      <c r="BQ63" s="891">
        <v>0.32820310289609034</v>
      </c>
      <c r="BR63" s="891">
        <v>0.32820310289609034</v>
      </c>
      <c r="BS63" s="891">
        <v>0.32820310289609034</v>
      </c>
      <c r="BT63" s="891">
        <v>0.32820310289609034</v>
      </c>
      <c r="BU63" s="891">
        <v>0.32820310289609034</v>
      </c>
      <c r="BV63" s="891">
        <v>0.32820310289609034</v>
      </c>
      <c r="BW63" s="891">
        <v>0.32820310289609034</v>
      </c>
      <c r="BX63" s="891">
        <v>0.32820310289609034</v>
      </c>
      <c r="BY63" s="891">
        <v>0.32820310289609034</v>
      </c>
      <c r="BZ63" s="891">
        <v>0.32820310289609034</v>
      </c>
      <c r="CA63" s="891">
        <v>0.32820310289609034</v>
      </c>
      <c r="CB63" s="891">
        <v>0.32820310289609034</v>
      </c>
      <c r="CC63" s="891">
        <v>0.32820310289609034</v>
      </c>
      <c r="CD63" s="891">
        <v>0.32820310289609034</v>
      </c>
      <c r="CE63" s="891">
        <v>0.32820310289609034</v>
      </c>
      <c r="CF63" s="892">
        <v>0.32820310289609034</v>
      </c>
    </row>
    <row r="64" spans="1:84">
      <c r="A64" s="852"/>
      <c r="B64" s="876"/>
      <c r="C64" s="852"/>
      <c r="D64" s="852"/>
      <c r="E64" s="852"/>
      <c r="F64" s="852"/>
      <c r="G64" s="852"/>
      <c r="H64" s="852"/>
      <c r="I64" s="852"/>
      <c r="J64" s="852"/>
      <c r="K64" s="852"/>
      <c r="L64" s="852"/>
      <c r="M64" s="852"/>
      <c r="N64" s="852"/>
      <c r="O64" s="852"/>
      <c r="P64" s="852"/>
      <c r="Q64" s="852"/>
      <c r="R64" s="852"/>
      <c r="S64" s="852"/>
      <c r="T64" s="852"/>
      <c r="U64" s="852"/>
      <c r="V64" s="852"/>
      <c r="W64" s="852"/>
      <c r="X64" s="852"/>
      <c r="Y64" s="852"/>
      <c r="Z64" s="852"/>
      <c r="AA64" s="852"/>
      <c r="AB64" s="852"/>
      <c r="AC64" s="852"/>
      <c r="AD64" s="852"/>
      <c r="AE64" s="852"/>
      <c r="AF64" s="852"/>
      <c r="AG64" s="852"/>
      <c r="AH64" s="852"/>
      <c r="AI64" s="852"/>
      <c r="AJ64" s="852"/>
      <c r="AK64" s="852"/>
      <c r="AL64" s="852"/>
      <c r="AM64" s="852"/>
      <c r="AN64" s="852"/>
      <c r="AO64" s="852"/>
      <c r="AP64" s="852"/>
      <c r="AQ64" s="852"/>
      <c r="AR64" s="852"/>
      <c r="AS64" s="852"/>
      <c r="AT64" s="852"/>
      <c r="AU64" s="852"/>
      <c r="AV64" s="852"/>
      <c r="AW64" s="852"/>
      <c r="AX64" s="852"/>
      <c r="AY64" s="852"/>
      <c r="AZ64" s="852"/>
      <c r="BA64" s="852"/>
      <c r="BB64" s="852"/>
      <c r="BC64" s="852"/>
      <c r="BD64" s="852"/>
      <c r="BE64" s="852"/>
      <c r="BF64" s="852"/>
      <c r="BG64" s="852"/>
      <c r="BH64" s="852"/>
      <c r="BI64" s="852"/>
      <c r="BJ64" s="852"/>
      <c r="BK64" s="852"/>
      <c r="BL64" s="852"/>
      <c r="BM64" s="852"/>
      <c r="BN64" s="852"/>
      <c r="BO64" s="852"/>
      <c r="BP64" s="852"/>
      <c r="BQ64" s="852"/>
      <c r="BR64" s="852"/>
      <c r="BS64" s="852"/>
      <c r="BT64" s="852"/>
      <c r="BU64" s="852"/>
      <c r="BV64" s="852"/>
      <c r="BW64" s="852"/>
      <c r="BX64" s="852"/>
      <c r="BY64" s="852"/>
      <c r="BZ64" s="852"/>
      <c r="CA64" s="852"/>
      <c r="CB64" s="852"/>
      <c r="CC64" s="852"/>
      <c r="CD64" s="852"/>
      <c r="CE64" s="852"/>
      <c r="CF64" s="852"/>
    </row>
    <row r="65" spans="1:84" ht="13.8" thickBot="1">
      <c r="A65" s="852"/>
      <c r="B65" s="853" t="s">
        <v>750</v>
      </c>
      <c r="C65" s="852"/>
      <c r="D65" s="852"/>
      <c r="E65" s="852"/>
      <c r="F65" s="852"/>
      <c r="G65" s="852"/>
      <c r="H65" s="852"/>
      <c r="I65" s="883">
        <f>$I$140</f>
        <v>0</v>
      </c>
      <c r="J65" s="852" t="s">
        <v>739</v>
      </c>
      <c r="K65" s="852"/>
      <c r="L65" s="852"/>
      <c r="M65" s="852"/>
      <c r="N65" s="852"/>
      <c r="O65" s="852"/>
      <c r="P65" s="852"/>
      <c r="Q65" s="852"/>
      <c r="R65" s="852"/>
      <c r="S65" s="852"/>
      <c r="T65" s="852"/>
      <c r="U65" s="852"/>
      <c r="V65" s="852"/>
      <c r="W65" s="852"/>
      <c r="X65" s="852"/>
      <c r="Y65" s="852"/>
      <c r="Z65" s="852"/>
      <c r="AA65" s="852"/>
      <c r="AB65" s="852"/>
      <c r="AC65" s="852"/>
      <c r="AD65" s="852"/>
      <c r="AE65" s="852"/>
      <c r="AF65" s="852"/>
      <c r="AG65" s="852"/>
      <c r="AH65" s="852"/>
      <c r="AI65" s="852"/>
      <c r="AJ65" s="852"/>
      <c r="AK65" s="852"/>
      <c r="AL65" s="852"/>
      <c r="AM65" s="852"/>
      <c r="AN65" s="852"/>
      <c r="AO65" s="852"/>
      <c r="AP65" s="852"/>
      <c r="AQ65" s="852"/>
      <c r="AR65" s="852"/>
      <c r="AS65" s="852"/>
      <c r="AT65" s="852"/>
      <c r="AU65" s="852"/>
      <c r="AV65" s="852"/>
      <c r="AW65" s="852"/>
      <c r="AX65" s="852"/>
      <c r="AY65" s="852"/>
      <c r="AZ65" s="852"/>
      <c r="BA65" s="852"/>
      <c r="BB65" s="852"/>
      <c r="BC65" s="852"/>
      <c r="BD65" s="852"/>
      <c r="BE65" s="852"/>
      <c r="BF65" s="852"/>
      <c r="BG65" s="852"/>
      <c r="BH65" s="852"/>
      <c r="BI65" s="852"/>
      <c r="BJ65" s="852"/>
      <c r="BK65" s="852"/>
      <c r="BL65" s="852"/>
      <c r="BM65" s="852"/>
      <c r="BN65" s="852"/>
      <c r="BO65" s="852"/>
      <c r="BP65" s="852"/>
      <c r="BQ65" s="852"/>
      <c r="BR65" s="852"/>
      <c r="BS65" s="852"/>
      <c r="BT65" s="852"/>
      <c r="BU65" s="852"/>
      <c r="BV65" s="852"/>
      <c r="BW65" s="852"/>
      <c r="BX65" s="852"/>
      <c r="BY65" s="852"/>
      <c r="BZ65" s="852"/>
      <c r="CA65" s="852"/>
      <c r="CB65" s="852"/>
      <c r="CC65" s="852"/>
      <c r="CD65" s="852"/>
      <c r="CE65" s="852"/>
      <c r="CF65" s="852"/>
    </row>
    <row r="66" spans="1:84">
      <c r="A66" s="852"/>
      <c r="B66" s="856" t="s">
        <v>740</v>
      </c>
      <c r="C66" s="857"/>
      <c r="D66" s="858">
        <v>2010</v>
      </c>
      <c r="E66" s="858">
        <v>2011</v>
      </c>
      <c r="F66" s="858">
        <v>2012</v>
      </c>
      <c r="G66" s="858">
        <v>2013</v>
      </c>
      <c r="H66" s="858">
        <v>2014</v>
      </c>
      <c r="I66" s="858">
        <v>2015</v>
      </c>
      <c r="J66" s="858">
        <v>2016</v>
      </c>
      <c r="K66" s="858">
        <v>2017</v>
      </c>
      <c r="L66" s="858">
        <v>2018</v>
      </c>
      <c r="M66" s="858">
        <v>2019</v>
      </c>
      <c r="N66" s="858">
        <v>2020</v>
      </c>
      <c r="O66" s="858">
        <v>2021</v>
      </c>
      <c r="P66" s="858">
        <v>2022</v>
      </c>
      <c r="Q66" s="858">
        <v>2023</v>
      </c>
      <c r="R66" s="858">
        <v>2024</v>
      </c>
      <c r="S66" s="858">
        <v>2025</v>
      </c>
      <c r="T66" s="858">
        <v>2026</v>
      </c>
      <c r="U66" s="858">
        <v>2027</v>
      </c>
      <c r="V66" s="858">
        <v>2028</v>
      </c>
      <c r="W66" s="858">
        <v>2029</v>
      </c>
      <c r="X66" s="858">
        <v>2030</v>
      </c>
      <c r="Y66" s="858">
        <v>2031</v>
      </c>
      <c r="Z66" s="858">
        <v>2032</v>
      </c>
      <c r="AA66" s="858">
        <v>2033</v>
      </c>
      <c r="AB66" s="858">
        <v>2034</v>
      </c>
      <c r="AC66" s="858">
        <v>2035</v>
      </c>
      <c r="AD66" s="858">
        <v>2036</v>
      </c>
      <c r="AE66" s="858">
        <v>2037</v>
      </c>
      <c r="AF66" s="858">
        <v>2038</v>
      </c>
      <c r="AG66" s="858">
        <v>2039</v>
      </c>
      <c r="AH66" s="858">
        <v>2040</v>
      </c>
      <c r="AI66" s="858">
        <v>2041</v>
      </c>
      <c r="AJ66" s="858">
        <v>2042</v>
      </c>
      <c r="AK66" s="858">
        <v>2043</v>
      </c>
      <c r="AL66" s="858">
        <v>2044</v>
      </c>
      <c r="AM66" s="858">
        <v>2045</v>
      </c>
      <c r="AN66" s="858">
        <v>2046</v>
      </c>
      <c r="AO66" s="858">
        <v>2047</v>
      </c>
      <c r="AP66" s="858">
        <v>2048</v>
      </c>
      <c r="AQ66" s="858">
        <v>2049</v>
      </c>
      <c r="AR66" s="858">
        <v>2050</v>
      </c>
      <c r="AS66" s="858">
        <v>2051</v>
      </c>
      <c r="AT66" s="858">
        <v>2052</v>
      </c>
      <c r="AU66" s="858">
        <v>2053</v>
      </c>
      <c r="AV66" s="858">
        <v>2054</v>
      </c>
      <c r="AW66" s="858">
        <v>2055</v>
      </c>
      <c r="AX66" s="858">
        <v>2056</v>
      </c>
      <c r="AY66" s="858">
        <v>2057</v>
      </c>
      <c r="AZ66" s="858">
        <v>2058</v>
      </c>
      <c r="BA66" s="858">
        <v>2059</v>
      </c>
      <c r="BB66" s="858">
        <v>2060</v>
      </c>
      <c r="BC66" s="858">
        <v>2061</v>
      </c>
      <c r="BD66" s="858">
        <v>2062</v>
      </c>
      <c r="BE66" s="858">
        <v>2063</v>
      </c>
      <c r="BF66" s="858">
        <v>2064</v>
      </c>
      <c r="BG66" s="858">
        <v>2065</v>
      </c>
      <c r="BH66" s="858">
        <v>2066</v>
      </c>
      <c r="BI66" s="858">
        <v>2067</v>
      </c>
      <c r="BJ66" s="858">
        <v>2068</v>
      </c>
      <c r="BK66" s="858">
        <v>2069</v>
      </c>
      <c r="BL66" s="858">
        <v>2070</v>
      </c>
      <c r="BM66" s="858">
        <v>2071</v>
      </c>
      <c r="BN66" s="858">
        <v>2072</v>
      </c>
      <c r="BO66" s="858">
        <v>2073</v>
      </c>
      <c r="BP66" s="858">
        <v>2074</v>
      </c>
      <c r="BQ66" s="858">
        <v>2075</v>
      </c>
      <c r="BR66" s="858">
        <v>2076</v>
      </c>
      <c r="BS66" s="858">
        <v>2077</v>
      </c>
      <c r="BT66" s="858">
        <v>2078</v>
      </c>
      <c r="BU66" s="858">
        <v>2079</v>
      </c>
      <c r="BV66" s="858">
        <v>2080</v>
      </c>
      <c r="BW66" s="858">
        <v>2081</v>
      </c>
      <c r="BX66" s="858">
        <v>2082</v>
      </c>
      <c r="BY66" s="858">
        <v>2083</v>
      </c>
      <c r="BZ66" s="858">
        <v>2084</v>
      </c>
      <c r="CA66" s="858">
        <v>2085</v>
      </c>
      <c r="CB66" s="858">
        <v>2086</v>
      </c>
      <c r="CC66" s="858">
        <v>2087</v>
      </c>
      <c r="CD66" s="858">
        <v>2088</v>
      </c>
      <c r="CE66" s="858">
        <v>2089</v>
      </c>
      <c r="CF66" s="859">
        <v>2090</v>
      </c>
    </row>
    <row r="67" spans="1:84">
      <c r="A67" s="852"/>
      <c r="B67" s="860" t="str">
        <f>CONCATENATE("Drivmiddel (", $D$122,"-priser)")</f>
        <v>Drivmiddel (-priser)</v>
      </c>
      <c r="C67" s="885" t="s">
        <v>741</v>
      </c>
      <c r="D67" s="893" t="e">
        <f t="shared" ref="D67" si="648">D3/#REF!*#REF!</f>
        <v>#REF!</v>
      </c>
      <c r="E67" s="893" t="e">
        <f t="shared" ref="E67" si="649">E3/#REF!*#REF!</f>
        <v>#REF!</v>
      </c>
      <c r="F67" s="893" t="e">
        <f t="shared" ref="F67" si="650">F3/#REF!*#REF!</f>
        <v>#REF!</v>
      </c>
      <c r="G67" s="893" t="e">
        <f t="shared" ref="G67" si="651">G3/#REF!*#REF!</f>
        <v>#REF!</v>
      </c>
      <c r="H67" s="893" t="e">
        <f t="shared" ref="H67" si="652">H3/#REF!*#REF!</f>
        <v>#REF!</v>
      </c>
      <c r="I67" s="893" t="e">
        <f t="shared" ref="I67" si="653">I3/#REF!*#REF!</f>
        <v>#REF!</v>
      </c>
      <c r="J67" s="893" t="e">
        <f t="shared" ref="J67" si="654">J3/#REF!*#REF!</f>
        <v>#REF!</v>
      </c>
      <c r="K67" s="893" t="e">
        <f t="shared" ref="K67" si="655">K3/#REF!*#REF!</f>
        <v>#REF!</v>
      </c>
      <c r="L67" s="893" t="e">
        <f t="shared" ref="L67" si="656">L3/#REF!*#REF!</f>
        <v>#REF!</v>
      </c>
      <c r="M67" s="893" t="e">
        <f t="shared" ref="M67" si="657">M3/#REF!*#REF!</f>
        <v>#REF!</v>
      </c>
      <c r="N67" s="893" t="e">
        <f t="shared" ref="N67" si="658">N3/#REF!*#REF!</f>
        <v>#REF!</v>
      </c>
      <c r="O67" s="893" t="e">
        <f t="shared" ref="O67" si="659">O3/#REF!*#REF!</f>
        <v>#REF!</v>
      </c>
      <c r="P67" s="893" t="e">
        <f t="shared" ref="P67" si="660">P3/#REF!*#REF!</f>
        <v>#REF!</v>
      </c>
      <c r="Q67" s="893" t="e">
        <f t="shared" ref="Q67" si="661">Q3/#REF!*#REF!</f>
        <v>#REF!</v>
      </c>
      <c r="R67" s="893" t="e">
        <f t="shared" ref="R67" si="662">R3/#REF!*#REF!</f>
        <v>#REF!</v>
      </c>
      <c r="S67" s="893" t="e">
        <f t="shared" ref="S67" si="663">S3/#REF!*#REF!</f>
        <v>#REF!</v>
      </c>
      <c r="T67" s="893" t="e">
        <f t="shared" ref="T67" si="664">T3/#REF!*#REF!</f>
        <v>#REF!</v>
      </c>
      <c r="U67" s="893" t="e">
        <f t="shared" ref="U67" si="665">U3/#REF!*#REF!</f>
        <v>#REF!</v>
      </c>
      <c r="V67" s="893" t="e">
        <f t="shared" ref="V67" si="666">V3/#REF!*#REF!</f>
        <v>#REF!</v>
      </c>
      <c r="W67" s="893" t="e">
        <f t="shared" ref="W67" si="667">W3/#REF!*#REF!</f>
        <v>#REF!</v>
      </c>
      <c r="X67" s="893" t="e">
        <f t="shared" ref="X67" si="668">X3/#REF!*#REF!</f>
        <v>#REF!</v>
      </c>
      <c r="Y67" s="893" t="e">
        <f t="shared" ref="Y67" si="669">Y3/#REF!*#REF!</f>
        <v>#REF!</v>
      </c>
      <c r="Z67" s="893" t="e">
        <f t="shared" ref="Z67" si="670">Z3/#REF!*#REF!</f>
        <v>#REF!</v>
      </c>
      <c r="AA67" s="893" t="e">
        <f t="shared" ref="AA67" si="671">AA3/#REF!*#REF!</f>
        <v>#REF!</v>
      </c>
      <c r="AB67" s="893" t="e">
        <f t="shared" ref="AB67" si="672">AB3/#REF!*#REF!</f>
        <v>#REF!</v>
      </c>
      <c r="AC67" s="893" t="e">
        <f t="shared" ref="AC67" si="673">AC3/#REF!*#REF!</f>
        <v>#REF!</v>
      </c>
      <c r="AD67" s="893" t="e">
        <f t="shared" ref="AD67" si="674">AD3/#REF!*#REF!</f>
        <v>#REF!</v>
      </c>
      <c r="AE67" s="893" t="e">
        <f t="shared" ref="AE67" si="675">AE3/#REF!*#REF!</f>
        <v>#REF!</v>
      </c>
      <c r="AF67" s="893" t="e">
        <f t="shared" ref="AF67" si="676">AF3/#REF!*#REF!</f>
        <v>#REF!</v>
      </c>
      <c r="AG67" s="893" t="e">
        <f t="shared" ref="AG67" si="677">AG3/#REF!*#REF!</f>
        <v>#REF!</v>
      </c>
      <c r="AH67" s="893" t="e">
        <f t="shared" ref="AH67" si="678">AH3/#REF!*#REF!</f>
        <v>#REF!</v>
      </c>
      <c r="AI67" s="893" t="e">
        <f t="shared" ref="AI67" si="679">AI3/#REF!*#REF!</f>
        <v>#REF!</v>
      </c>
      <c r="AJ67" s="893" t="e">
        <f t="shared" ref="AJ67" si="680">AJ3/#REF!*#REF!</f>
        <v>#REF!</v>
      </c>
      <c r="AK67" s="893" t="e">
        <f t="shared" ref="AK67" si="681">AK3/#REF!*#REF!</f>
        <v>#REF!</v>
      </c>
      <c r="AL67" s="893" t="e">
        <f t="shared" ref="AL67" si="682">AL3/#REF!*#REF!</f>
        <v>#REF!</v>
      </c>
      <c r="AM67" s="893" t="e">
        <f t="shared" ref="AM67" si="683">AM3/#REF!*#REF!</f>
        <v>#REF!</v>
      </c>
      <c r="AN67" s="893" t="e">
        <f t="shared" ref="AN67" si="684">AN3/#REF!*#REF!</f>
        <v>#REF!</v>
      </c>
      <c r="AO67" s="893" t="e">
        <f t="shared" ref="AO67" si="685">AO3/#REF!*#REF!</f>
        <v>#REF!</v>
      </c>
      <c r="AP67" s="893" t="e">
        <f t="shared" ref="AP67" si="686">AP3/#REF!*#REF!</f>
        <v>#REF!</v>
      </c>
      <c r="AQ67" s="893" t="e">
        <f t="shared" ref="AQ67" si="687">AQ3/#REF!*#REF!</f>
        <v>#REF!</v>
      </c>
      <c r="AR67" s="893" t="e">
        <f t="shared" ref="AR67" si="688">AR3/#REF!*#REF!</f>
        <v>#REF!</v>
      </c>
      <c r="AS67" s="893" t="e">
        <f t="shared" ref="AS67" si="689">AS3/#REF!*#REF!</f>
        <v>#REF!</v>
      </c>
      <c r="AT67" s="893" t="e">
        <f t="shared" ref="AT67" si="690">AT3/#REF!*#REF!</f>
        <v>#REF!</v>
      </c>
      <c r="AU67" s="893" t="e">
        <f t="shared" ref="AU67" si="691">AU3/#REF!*#REF!</f>
        <v>#REF!</v>
      </c>
      <c r="AV67" s="893" t="e">
        <f t="shared" ref="AV67" si="692">AV3/#REF!*#REF!</f>
        <v>#REF!</v>
      </c>
      <c r="AW67" s="893" t="e">
        <f t="shared" ref="AW67" si="693">AW3/#REF!*#REF!</f>
        <v>#REF!</v>
      </c>
      <c r="AX67" s="893" t="e">
        <f t="shared" ref="AX67" si="694">AX3/#REF!*#REF!</f>
        <v>#REF!</v>
      </c>
      <c r="AY67" s="893" t="e">
        <f t="shared" ref="AY67" si="695">AY3/#REF!*#REF!</f>
        <v>#REF!</v>
      </c>
      <c r="AZ67" s="893" t="e">
        <f t="shared" ref="AZ67" si="696">AZ3/#REF!*#REF!</f>
        <v>#REF!</v>
      </c>
      <c r="BA67" s="893" t="e">
        <f t="shared" ref="BA67" si="697">BA3/#REF!*#REF!</f>
        <v>#REF!</v>
      </c>
      <c r="BB67" s="893" t="e">
        <f t="shared" ref="BB67" si="698">BB3/#REF!*#REF!</f>
        <v>#REF!</v>
      </c>
      <c r="BC67" s="893" t="e">
        <f t="shared" ref="BC67" si="699">BC3/#REF!*#REF!</f>
        <v>#REF!</v>
      </c>
      <c r="BD67" s="893" t="e">
        <f t="shared" ref="BD67" si="700">BD3/#REF!*#REF!</f>
        <v>#REF!</v>
      </c>
      <c r="BE67" s="893" t="e">
        <f t="shared" ref="BE67" si="701">BE3/#REF!*#REF!</f>
        <v>#REF!</v>
      </c>
      <c r="BF67" s="893" t="e">
        <f t="shared" ref="BF67" si="702">BF3/#REF!*#REF!</f>
        <v>#REF!</v>
      </c>
      <c r="BG67" s="893" t="e">
        <f t="shared" ref="BG67" si="703">BG3/#REF!*#REF!</f>
        <v>#REF!</v>
      </c>
      <c r="BH67" s="893" t="e">
        <f t="shared" ref="BH67" si="704">BH3/#REF!*#REF!</f>
        <v>#REF!</v>
      </c>
      <c r="BI67" s="893" t="e">
        <f t="shared" ref="BI67" si="705">BI3/#REF!*#REF!</f>
        <v>#REF!</v>
      </c>
      <c r="BJ67" s="893" t="e">
        <f t="shared" ref="BJ67" si="706">BJ3/#REF!*#REF!</f>
        <v>#REF!</v>
      </c>
      <c r="BK67" s="893" t="e">
        <f t="shared" ref="BK67" si="707">BK3/#REF!*#REF!</f>
        <v>#REF!</v>
      </c>
      <c r="BL67" s="893" t="e">
        <f t="shared" ref="BL67" si="708">BL3/#REF!*#REF!</f>
        <v>#REF!</v>
      </c>
      <c r="BM67" s="893" t="e">
        <f t="shared" ref="BM67" si="709">BM3/#REF!*#REF!</f>
        <v>#REF!</v>
      </c>
      <c r="BN67" s="893" t="e">
        <f t="shared" ref="BN67" si="710">BN3/#REF!*#REF!</f>
        <v>#REF!</v>
      </c>
      <c r="BO67" s="893" t="e">
        <f t="shared" ref="BO67" si="711">BO3/#REF!*#REF!</f>
        <v>#REF!</v>
      </c>
      <c r="BP67" s="893" t="e">
        <f t="shared" ref="BP67" si="712">BP3/#REF!*#REF!</f>
        <v>#REF!</v>
      </c>
      <c r="BQ67" s="893" t="e">
        <f t="shared" ref="BQ67" si="713">BQ3/#REF!*#REF!</f>
        <v>#REF!</v>
      </c>
      <c r="BR67" s="893" t="e">
        <f t="shared" ref="BR67" si="714">BR3/#REF!*#REF!</f>
        <v>#REF!</v>
      </c>
      <c r="BS67" s="893" t="e">
        <f t="shared" ref="BS67" si="715">BS3/#REF!*#REF!</f>
        <v>#REF!</v>
      </c>
      <c r="BT67" s="893" t="e">
        <f t="shared" ref="BT67" si="716">BT3/#REF!*#REF!</f>
        <v>#REF!</v>
      </c>
      <c r="BU67" s="893" t="e">
        <f t="shared" ref="BU67" si="717">BU3/#REF!*#REF!</f>
        <v>#REF!</v>
      </c>
      <c r="BV67" s="893" t="e">
        <f t="shared" ref="BV67" si="718">BV3/#REF!*#REF!</f>
        <v>#REF!</v>
      </c>
      <c r="BW67" s="893" t="e">
        <f t="shared" ref="BW67" si="719">BW3/#REF!*#REF!</f>
        <v>#REF!</v>
      </c>
      <c r="BX67" s="893" t="e">
        <f t="shared" ref="BX67" si="720">BX3/#REF!*#REF!</f>
        <v>#REF!</v>
      </c>
      <c r="BY67" s="893" t="e">
        <f t="shared" ref="BY67" si="721">BY3/#REF!*#REF!</f>
        <v>#REF!</v>
      </c>
      <c r="BZ67" s="893" t="e">
        <f t="shared" ref="BZ67" si="722">BZ3/#REF!*#REF!</f>
        <v>#REF!</v>
      </c>
      <c r="CA67" s="893" t="e">
        <f t="shared" ref="CA67" si="723">CA3/#REF!*#REF!</f>
        <v>#REF!</v>
      </c>
      <c r="CB67" s="893" t="e">
        <f t="shared" ref="CB67" si="724">CB3/#REF!*#REF!</f>
        <v>#REF!</v>
      </c>
      <c r="CC67" s="893" t="e">
        <f t="shared" ref="CC67" si="725">CC3/#REF!*#REF!</f>
        <v>#REF!</v>
      </c>
      <c r="CD67" s="893" t="e">
        <f t="shared" ref="CD67" si="726">CD3/#REF!*#REF!</f>
        <v>#REF!</v>
      </c>
      <c r="CE67" s="893" t="e">
        <f t="shared" ref="CE67" si="727">CE3/#REF!*#REF!</f>
        <v>#REF!</v>
      </c>
      <c r="CF67" s="894" t="e">
        <f t="shared" ref="CF67" si="728">CF3/#REF!*#REF!</f>
        <v>#REF!</v>
      </c>
    </row>
    <row r="68" spans="1:84">
      <c r="A68" s="852"/>
      <c r="B68" s="860" t="s">
        <v>151</v>
      </c>
      <c r="C68" s="885" t="s">
        <v>741</v>
      </c>
      <c r="D68" s="886">
        <v>7.1772051962965627E-2</v>
      </c>
      <c r="E68" s="886">
        <v>7.1772051962965627E-2</v>
      </c>
      <c r="F68" s="886">
        <v>7.1772051962965627E-2</v>
      </c>
      <c r="G68" s="886">
        <v>7.1772051962965627E-2</v>
      </c>
      <c r="H68" s="886">
        <v>7.1772051962965627E-2</v>
      </c>
      <c r="I68" s="886">
        <v>7.1772051962965627E-2</v>
      </c>
      <c r="J68" s="886">
        <v>7.1772051962965627E-2</v>
      </c>
      <c r="K68" s="886">
        <v>7.1772051962965627E-2</v>
      </c>
      <c r="L68" s="886">
        <v>7.1772051962965627E-2</v>
      </c>
      <c r="M68" s="886">
        <v>7.1772051962965627E-2</v>
      </c>
      <c r="N68" s="886">
        <v>7.1772051962965627E-2</v>
      </c>
      <c r="O68" s="886">
        <v>7.1772051962965627E-2</v>
      </c>
      <c r="P68" s="886">
        <v>7.1772051962965627E-2</v>
      </c>
      <c r="Q68" s="886">
        <v>7.1772051962965627E-2</v>
      </c>
      <c r="R68" s="886">
        <v>7.1772051962965627E-2</v>
      </c>
      <c r="S68" s="886">
        <v>7.1772051962965627E-2</v>
      </c>
      <c r="T68" s="886">
        <v>7.1772051962965627E-2</v>
      </c>
      <c r="U68" s="886">
        <v>7.1772051962965627E-2</v>
      </c>
      <c r="V68" s="886">
        <v>7.1772051962965627E-2</v>
      </c>
      <c r="W68" s="886">
        <v>7.1772051962965627E-2</v>
      </c>
      <c r="X68" s="886">
        <v>7.1772051962965627E-2</v>
      </c>
      <c r="Y68" s="886">
        <v>7.1772051962965627E-2</v>
      </c>
      <c r="Z68" s="886">
        <v>7.1772051962965627E-2</v>
      </c>
      <c r="AA68" s="886">
        <v>7.1772051962965627E-2</v>
      </c>
      <c r="AB68" s="886">
        <v>7.1772051962965627E-2</v>
      </c>
      <c r="AC68" s="886">
        <v>7.1772051962965627E-2</v>
      </c>
      <c r="AD68" s="886">
        <v>7.1772051962965627E-2</v>
      </c>
      <c r="AE68" s="886">
        <v>7.1772051962965627E-2</v>
      </c>
      <c r="AF68" s="886">
        <v>7.1772051962965627E-2</v>
      </c>
      <c r="AG68" s="886">
        <v>7.1772051962965627E-2</v>
      </c>
      <c r="AH68" s="886">
        <v>7.1772051962965627E-2</v>
      </c>
      <c r="AI68" s="886">
        <v>7.1772051962965627E-2</v>
      </c>
      <c r="AJ68" s="886">
        <v>7.1772051962965627E-2</v>
      </c>
      <c r="AK68" s="886">
        <v>7.1772051962965627E-2</v>
      </c>
      <c r="AL68" s="886">
        <v>7.1772051962965627E-2</v>
      </c>
      <c r="AM68" s="886">
        <v>7.1772051962965627E-2</v>
      </c>
      <c r="AN68" s="886">
        <v>7.1772051962965627E-2</v>
      </c>
      <c r="AO68" s="886">
        <v>7.1772051962965627E-2</v>
      </c>
      <c r="AP68" s="886">
        <v>7.1772051962965627E-2</v>
      </c>
      <c r="AQ68" s="886">
        <v>7.1772051962965627E-2</v>
      </c>
      <c r="AR68" s="886">
        <v>7.1772051962965627E-2</v>
      </c>
      <c r="AS68" s="886">
        <v>7.1772051962965627E-2</v>
      </c>
      <c r="AT68" s="886">
        <v>7.1772051962965627E-2</v>
      </c>
      <c r="AU68" s="886">
        <v>7.1772051962965627E-2</v>
      </c>
      <c r="AV68" s="886">
        <v>7.1772051962965627E-2</v>
      </c>
      <c r="AW68" s="886">
        <v>7.1772051962965627E-2</v>
      </c>
      <c r="AX68" s="886">
        <v>7.1772051962965627E-2</v>
      </c>
      <c r="AY68" s="886">
        <v>7.1772051962965627E-2</v>
      </c>
      <c r="AZ68" s="886">
        <v>7.1772051962965627E-2</v>
      </c>
      <c r="BA68" s="886">
        <v>7.1772051962965627E-2</v>
      </c>
      <c r="BB68" s="886">
        <v>7.1772051962965627E-2</v>
      </c>
      <c r="BC68" s="886">
        <v>7.1772051962965627E-2</v>
      </c>
      <c r="BD68" s="886">
        <v>7.1772051962965627E-2</v>
      </c>
      <c r="BE68" s="886">
        <v>7.1772051962965627E-2</v>
      </c>
      <c r="BF68" s="886">
        <v>7.1772051962965627E-2</v>
      </c>
      <c r="BG68" s="886">
        <v>7.1772051962965627E-2</v>
      </c>
      <c r="BH68" s="886">
        <v>7.1772051962965627E-2</v>
      </c>
      <c r="BI68" s="886">
        <v>7.1772051962965627E-2</v>
      </c>
      <c r="BJ68" s="886">
        <v>7.1772051962965627E-2</v>
      </c>
      <c r="BK68" s="886">
        <v>7.1772051962965627E-2</v>
      </c>
      <c r="BL68" s="886">
        <v>7.1772051962965627E-2</v>
      </c>
      <c r="BM68" s="886">
        <v>7.1772051962965627E-2</v>
      </c>
      <c r="BN68" s="886">
        <v>7.1772051962965627E-2</v>
      </c>
      <c r="BO68" s="886">
        <v>7.1772051962965627E-2</v>
      </c>
      <c r="BP68" s="886">
        <v>7.1772051962965627E-2</v>
      </c>
      <c r="BQ68" s="886">
        <v>7.1772051962965627E-2</v>
      </c>
      <c r="BR68" s="886">
        <v>7.1772051962965627E-2</v>
      </c>
      <c r="BS68" s="886">
        <v>7.1772051962965627E-2</v>
      </c>
      <c r="BT68" s="886">
        <v>7.1772051962965627E-2</v>
      </c>
      <c r="BU68" s="886">
        <v>7.1772051962965627E-2</v>
      </c>
      <c r="BV68" s="886">
        <v>7.1772051962965627E-2</v>
      </c>
      <c r="BW68" s="886">
        <v>7.1772051962965627E-2</v>
      </c>
      <c r="BX68" s="886">
        <v>7.1772051962965627E-2</v>
      </c>
      <c r="BY68" s="886">
        <v>7.1772051962965627E-2</v>
      </c>
      <c r="BZ68" s="886">
        <v>7.1772051962965627E-2</v>
      </c>
      <c r="CA68" s="886">
        <v>7.1772051962965627E-2</v>
      </c>
      <c r="CB68" s="886">
        <v>7.1772051962965627E-2</v>
      </c>
      <c r="CC68" s="886">
        <v>7.1772051962965627E-2</v>
      </c>
      <c r="CD68" s="886">
        <v>7.1772051962965627E-2</v>
      </c>
      <c r="CE68" s="886">
        <v>7.1772051962965627E-2</v>
      </c>
      <c r="CF68" s="887">
        <v>7.1772051962965627E-2</v>
      </c>
    </row>
    <row r="69" spans="1:84">
      <c r="A69" s="852"/>
      <c r="B69" s="860" t="s">
        <v>742</v>
      </c>
      <c r="C69" s="885" t="s">
        <v>741</v>
      </c>
      <c r="D69" s="886">
        <v>7.6171672239444432E-2</v>
      </c>
      <c r="E69" s="886">
        <v>7.6171672239444432E-2</v>
      </c>
      <c r="F69" s="886">
        <v>7.6171672239444432E-2</v>
      </c>
      <c r="G69" s="886">
        <v>7.6171672239444432E-2</v>
      </c>
      <c r="H69" s="886">
        <v>7.6171672239444432E-2</v>
      </c>
      <c r="I69" s="886">
        <v>7.6171672239444432E-2</v>
      </c>
      <c r="J69" s="886">
        <v>7.6171672239444432E-2</v>
      </c>
      <c r="K69" s="886">
        <v>7.6171672239444432E-2</v>
      </c>
      <c r="L69" s="886">
        <v>7.6171672239444432E-2</v>
      </c>
      <c r="M69" s="886">
        <v>7.6171672239444432E-2</v>
      </c>
      <c r="N69" s="886">
        <v>7.6171672239444432E-2</v>
      </c>
      <c r="O69" s="886">
        <v>7.6171672239444432E-2</v>
      </c>
      <c r="P69" s="886">
        <v>7.6171672239444432E-2</v>
      </c>
      <c r="Q69" s="886">
        <v>7.6171672239444432E-2</v>
      </c>
      <c r="R69" s="886">
        <v>7.6171672239444432E-2</v>
      </c>
      <c r="S69" s="886">
        <v>7.6171672239444432E-2</v>
      </c>
      <c r="T69" s="886">
        <v>7.6171672239444432E-2</v>
      </c>
      <c r="U69" s="886">
        <v>7.6171672239444432E-2</v>
      </c>
      <c r="V69" s="886">
        <v>7.6171672239444432E-2</v>
      </c>
      <c r="W69" s="886">
        <v>7.6171672239444432E-2</v>
      </c>
      <c r="X69" s="886">
        <v>7.6171672239444432E-2</v>
      </c>
      <c r="Y69" s="886">
        <v>7.6171672239444432E-2</v>
      </c>
      <c r="Z69" s="886">
        <v>7.6171672239444432E-2</v>
      </c>
      <c r="AA69" s="886">
        <v>7.6171672239444432E-2</v>
      </c>
      <c r="AB69" s="886">
        <v>7.6171672239444432E-2</v>
      </c>
      <c r="AC69" s="886">
        <v>7.6171672239444432E-2</v>
      </c>
      <c r="AD69" s="886">
        <v>7.6171672239444432E-2</v>
      </c>
      <c r="AE69" s="886">
        <v>7.6171672239444432E-2</v>
      </c>
      <c r="AF69" s="886">
        <v>7.6171672239444432E-2</v>
      </c>
      <c r="AG69" s="886">
        <v>7.6171672239444432E-2</v>
      </c>
      <c r="AH69" s="886">
        <v>7.6171672239444432E-2</v>
      </c>
      <c r="AI69" s="886">
        <v>7.6171672239444432E-2</v>
      </c>
      <c r="AJ69" s="886">
        <v>7.6171672239444432E-2</v>
      </c>
      <c r="AK69" s="886">
        <v>7.6171672239444432E-2</v>
      </c>
      <c r="AL69" s="886">
        <v>7.6171672239444432E-2</v>
      </c>
      <c r="AM69" s="886">
        <v>7.6171672239444432E-2</v>
      </c>
      <c r="AN69" s="886">
        <v>7.6171672239444432E-2</v>
      </c>
      <c r="AO69" s="886">
        <v>7.6171672239444432E-2</v>
      </c>
      <c r="AP69" s="886">
        <v>7.6171672239444432E-2</v>
      </c>
      <c r="AQ69" s="886">
        <v>7.6171672239444432E-2</v>
      </c>
      <c r="AR69" s="886">
        <v>7.6171672239444432E-2</v>
      </c>
      <c r="AS69" s="886">
        <v>7.6171672239444432E-2</v>
      </c>
      <c r="AT69" s="886">
        <v>7.6171672239444432E-2</v>
      </c>
      <c r="AU69" s="886">
        <v>7.6171672239444432E-2</v>
      </c>
      <c r="AV69" s="886">
        <v>7.6171672239444432E-2</v>
      </c>
      <c r="AW69" s="886">
        <v>7.6171672239444432E-2</v>
      </c>
      <c r="AX69" s="886">
        <v>7.6171672239444432E-2</v>
      </c>
      <c r="AY69" s="886">
        <v>7.6171672239444432E-2</v>
      </c>
      <c r="AZ69" s="886">
        <v>7.6171672239444432E-2</v>
      </c>
      <c r="BA69" s="886">
        <v>7.6171672239444432E-2</v>
      </c>
      <c r="BB69" s="886">
        <v>7.6171672239444432E-2</v>
      </c>
      <c r="BC69" s="886">
        <v>7.6171672239444432E-2</v>
      </c>
      <c r="BD69" s="886">
        <v>7.6171672239444432E-2</v>
      </c>
      <c r="BE69" s="886">
        <v>7.6171672239444432E-2</v>
      </c>
      <c r="BF69" s="886">
        <v>7.6171672239444432E-2</v>
      </c>
      <c r="BG69" s="886">
        <v>7.6171672239444432E-2</v>
      </c>
      <c r="BH69" s="886">
        <v>7.6171672239444432E-2</v>
      </c>
      <c r="BI69" s="886">
        <v>7.6171672239444432E-2</v>
      </c>
      <c r="BJ69" s="886">
        <v>7.6171672239444432E-2</v>
      </c>
      <c r="BK69" s="886">
        <v>7.6171672239444432E-2</v>
      </c>
      <c r="BL69" s="886">
        <v>7.6171672239444432E-2</v>
      </c>
      <c r="BM69" s="886">
        <v>7.6171672239444432E-2</v>
      </c>
      <c r="BN69" s="886">
        <v>7.6171672239444432E-2</v>
      </c>
      <c r="BO69" s="886">
        <v>7.6171672239444432E-2</v>
      </c>
      <c r="BP69" s="886">
        <v>7.6171672239444432E-2</v>
      </c>
      <c r="BQ69" s="886">
        <v>7.6171672239444432E-2</v>
      </c>
      <c r="BR69" s="886">
        <v>7.6171672239444432E-2</v>
      </c>
      <c r="BS69" s="886">
        <v>7.6171672239444432E-2</v>
      </c>
      <c r="BT69" s="886">
        <v>7.6171672239444432E-2</v>
      </c>
      <c r="BU69" s="886">
        <v>7.6171672239444432E-2</v>
      </c>
      <c r="BV69" s="886">
        <v>7.6171672239444432E-2</v>
      </c>
      <c r="BW69" s="886">
        <v>7.6171672239444432E-2</v>
      </c>
      <c r="BX69" s="886">
        <v>7.6171672239444432E-2</v>
      </c>
      <c r="BY69" s="886">
        <v>7.6171672239444432E-2</v>
      </c>
      <c r="BZ69" s="886">
        <v>7.6171672239444432E-2</v>
      </c>
      <c r="CA69" s="886">
        <v>7.6171672239444432E-2</v>
      </c>
      <c r="CB69" s="886">
        <v>7.6171672239444432E-2</v>
      </c>
      <c r="CC69" s="886">
        <v>7.6171672239444432E-2</v>
      </c>
      <c r="CD69" s="886">
        <v>7.6171672239444432E-2</v>
      </c>
      <c r="CE69" s="886">
        <v>7.6171672239444432E-2</v>
      </c>
      <c r="CF69" s="887">
        <v>7.6171672239444432E-2</v>
      </c>
    </row>
    <row r="70" spans="1:84">
      <c r="A70" s="852"/>
      <c r="B70" s="860" t="s">
        <v>743</v>
      </c>
      <c r="C70" s="885" t="s">
        <v>741</v>
      </c>
      <c r="D70" s="886">
        <v>0.87468936779861017</v>
      </c>
      <c r="E70" s="886">
        <v>0.87468936779861017</v>
      </c>
      <c r="F70" s="886">
        <v>0.87468936779861017</v>
      </c>
      <c r="G70" s="886">
        <v>0.87468936779861017</v>
      </c>
      <c r="H70" s="886">
        <v>0.87468936779861017</v>
      </c>
      <c r="I70" s="886">
        <v>0.87468936779861017</v>
      </c>
      <c r="J70" s="886">
        <v>0.87468936779861017</v>
      </c>
      <c r="K70" s="886">
        <v>0.87468936779861017</v>
      </c>
      <c r="L70" s="886">
        <v>0.87468936779861017</v>
      </c>
      <c r="M70" s="886">
        <v>0.87468936779861017</v>
      </c>
      <c r="N70" s="886">
        <v>0.87468936779861017</v>
      </c>
      <c r="O70" s="886">
        <v>0.87468936779861017</v>
      </c>
      <c r="P70" s="886">
        <v>0.87468936779861017</v>
      </c>
      <c r="Q70" s="886">
        <v>0.87468936779861017</v>
      </c>
      <c r="R70" s="886">
        <v>0.87468936779861017</v>
      </c>
      <c r="S70" s="886">
        <v>0.87468936779861017</v>
      </c>
      <c r="T70" s="886">
        <v>0.87468936779861017</v>
      </c>
      <c r="U70" s="886">
        <v>0.87468936779861017</v>
      </c>
      <c r="V70" s="886">
        <v>0.87468936779861017</v>
      </c>
      <c r="W70" s="886">
        <v>0.87468936779861017</v>
      </c>
      <c r="X70" s="886">
        <v>0.87468936779861017</v>
      </c>
      <c r="Y70" s="886">
        <v>0.87468936779861017</v>
      </c>
      <c r="Z70" s="886">
        <v>0.87468936779861017</v>
      </c>
      <c r="AA70" s="886">
        <v>0.87468936779861017</v>
      </c>
      <c r="AB70" s="886">
        <v>0.87468936779861017</v>
      </c>
      <c r="AC70" s="886">
        <v>0.87468936779861017</v>
      </c>
      <c r="AD70" s="886">
        <v>0.87468936779861017</v>
      </c>
      <c r="AE70" s="886">
        <v>0.87468936779861017</v>
      </c>
      <c r="AF70" s="886">
        <v>0.87468936779861017</v>
      </c>
      <c r="AG70" s="886">
        <v>0.87468936779861017</v>
      </c>
      <c r="AH70" s="886">
        <v>0.87468936779861017</v>
      </c>
      <c r="AI70" s="886">
        <v>0.87468936779861017</v>
      </c>
      <c r="AJ70" s="886">
        <v>0.87468936779861017</v>
      </c>
      <c r="AK70" s="886">
        <v>0.87468936779861017</v>
      </c>
      <c r="AL70" s="886">
        <v>0.87468936779861017</v>
      </c>
      <c r="AM70" s="886">
        <v>0.87468936779861017</v>
      </c>
      <c r="AN70" s="886">
        <v>0.87468936779861017</v>
      </c>
      <c r="AO70" s="886">
        <v>0.87468936779861017</v>
      </c>
      <c r="AP70" s="886">
        <v>0.87468936779861017</v>
      </c>
      <c r="AQ70" s="886">
        <v>0.87468936779861017</v>
      </c>
      <c r="AR70" s="886">
        <v>0.87468936779861017</v>
      </c>
      <c r="AS70" s="886">
        <v>0.87468936779861017</v>
      </c>
      <c r="AT70" s="886">
        <v>0.87468936779861017</v>
      </c>
      <c r="AU70" s="886">
        <v>0.87468936779861017</v>
      </c>
      <c r="AV70" s="886">
        <v>0.87468936779861017</v>
      </c>
      <c r="AW70" s="886">
        <v>0.87468936779861017</v>
      </c>
      <c r="AX70" s="886">
        <v>0.87468936779861017</v>
      </c>
      <c r="AY70" s="886">
        <v>0.87468936779861017</v>
      </c>
      <c r="AZ70" s="886">
        <v>0.87468936779861017</v>
      </c>
      <c r="BA70" s="886">
        <v>0.87468936779861017</v>
      </c>
      <c r="BB70" s="886">
        <v>0.87468936779861017</v>
      </c>
      <c r="BC70" s="886">
        <v>0.87468936779861017</v>
      </c>
      <c r="BD70" s="886">
        <v>0.87468936779861017</v>
      </c>
      <c r="BE70" s="886">
        <v>0.87468936779861017</v>
      </c>
      <c r="BF70" s="886">
        <v>0.87468936779861017</v>
      </c>
      <c r="BG70" s="886">
        <v>0.87468936779861017</v>
      </c>
      <c r="BH70" s="886">
        <v>0.87468936779861017</v>
      </c>
      <c r="BI70" s="886">
        <v>0.87468936779861017</v>
      </c>
      <c r="BJ70" s="886">
        <v>0.87468936779861017</v>
      </c>
      <c r="BK70" s="886">
        <v>0.87468936779861017</v>
      </c>
      <c r="BL70" s="886">
        <v>0.87468936779861017</v>
      </c>
      <c r="BM70" s="886">
        <v>0.87468936779861017</v>
      </c>
      <c r="BN70" s="886">
        <v>0.87468936779861017</v>
      </c>
      <c r="BO70" s="886">
        <v>0.87468936779861017</v>
      </c>
      <c r="BP70" s="886">
        <v>0.87468936779861017</v>
      </c>
      <c r="BQ70" s="886">
        <v>0.87468936779861017</v>
      </c>
      <c r="BR70" s="886">
        <v>0.87468936779861017</v>
      </c>
      <c r="BS70" s="886">
        <v>0.87468936779861017</v>
      </c>
      <c r="BT70" s="886">
        <v>0.87468936779861017</v>
      </c>
      <c r="BU70" s="886">
        <v>0.87468936779861017</v>
      </c>
      <c r="BV70" s="886">
        <v>0.87468936779861017</v>
      </c>
      <c r="BW70" s="886">
        <v>0.87468936779861017</v>
      </c>
      <c r="BX70" s="886">
        <v>0.87468936779861017</v>
      </c>
      <c r="BY70" s="886">
        <v>0.87468936779861017</v>
      </c>
      <c r="BZ70" s="886">
        <v>0.87468936779861017</v>
      </c>
      <c r="CA70" s="886">
        <v>0.87468936779861017</v>
      </c>
      <c r="CB70" s="886">
        <v>0.87468936779861017</v>
      </c>
      <c r="CC70" s="886">
        <v>0.87468936779861017</v>
      </c>
      <c r="CD70" s="886">
        <v>0.87468936779861017</v>
      </c>
      <c r="CE70" s="886">
        <v>0.87468936779861017</v>
      </c>
      <c r="CF70" s="887">
        <v>0.87468936779861017</v>
      </c>
    </row>
    <row r="71" spans="1:84">
      <c r="A71" s="852"/>
      <c r="B71" s="866" t="s">
        <v>744</v>
      </c>
      <c r="C71" s="895" t="s">
        <v>741</v>
      </c>
      <c r="D71" s="896">
        <v>0.51262015963546359</v>
      </c>
      <c r="E71" s="897">
        <v>0.51262015963546359</v>
      </c>
      <c r="F71" s="897">
        <v>0.51262015963546359</v>
      </c>
      <c r="G71" s="897">
        <v>0.51262015963546359</v>
      </c>
      <c r="H71" s="897">
        <v>0.51262015963546359</v>
      </c>
      <c r="I71" s="897">
        <v>0.51262015963546359</v>
      </c>
      <c r="J71" s="897">
        <v>0.51262015963546359</v>
      </c>
      <c r="K71" s="897">
        <v>0.51262015963546359</v>
      </c>
      <c r="L71" s="897">
        <v>0.51262015963546359</v>
      </c>
      <c r="M71" s="897">
        <v>0.51262015963546359</v>
      </c>
      <c r="N71" s="897">
        <v>0.51262015963546359</v>
      </c>
      <c r="O71" s="897">
        <v>0.51262015963546359</v>
      </c>
      <c r="P71" s="897">
        <v>0.51262015963546359</v>
      </c>
      <c r="Q71" s="897">
        <v>0.51262015963546359</v>
      </c>
      <c r="R71" s="897">
        <v>0.51262015963546359</v>
      </c>
      <c r="S71" s="897">
        <v>0.51262015963546359</v>
      </c>
      <c r="T71" s="897">
        <v>0.51262015963546359</v>
      </c>
      <c r="U71" s="897">
        <v>0.51262015963546359</v>
      </c>
      <c r="V71" s="897">
        <v>0.51262015963546359</v>
      </c>
      <c r="W71" s="897">
        <v>0.51262015963546359</v>
      </c>
      <c r="X71" s="897">
        <v>0.51262015963546359</v>
      </c>
      <c r="Y71" s="897">
        <v>0.51262015963546359</v>
      </c>
      <c r="Z71" s="897">
        <v>0.51262015963546359</v>
      </c>
      <c r="AA71" s="897">
        <v>0.51262015963546359</v>
      </c>
      <c r="AB71" s="897">
        <v>0.51262015963546359</v>
      </c>
      <c r="AC71" s="897">
        <v>0.51262015963546359</v>
      </c>
      <c r="AD71" s="897">
        <v>0.51262015963546359</v>
      </c>
      <c r="AE71" s="897">
        <v>0.51262015963546359</v>
      </c>
      <c r="AF71" s="897">
        <v>0.51262015963546359</v>
      </c>
      <c r="AG71" s="897">
        <v>0.51262015963546359</v>
      </c>
      <c r="AH71" s="897">
        <v>0.51262015963546359</v>
      </c>
      <c r="AI71" s="897">
        <v>0.51262015963546359</v>
      </c>
      <c r="AJ71" s="897">
        <v>0.51262015963546359</v>
      </c>
      <c r="AK71" s="897">
        <v>0.51262015963546359</v>
      </c>
      <c r="AL71" s="897">
        <v>0.51262015963546359</v>
      </c>
      <c r="AM71" s="897">
        <v>0.51262015963546359</v>
      </c>
      <c r="AN71" s="897">
        <v>0.51262015963546359</v>
      </c>
      <c r="AO71" s="897">
        <v>0.51262015963546359</v>
      </c>
      <c r="AP71" s="897">
        <v>0.51262015963546359</v>
      </c>
      <c r="AQ71" s="897">
        <v>0.51262015963546359</v>
      </c>
      <c r="AR71" s="897">
        <v>0.51262015963546359</v>
      </c>
      <c r="AS71" s="897">
        <v>0.51262015963546359</v>
      </c>
      <c r="AT71" s="897">
        <v>0.51262015963546359</v>
      </c>
      <c r="AU71" s="897">
        <v>0.51262015963546359</v>
      </c>
      <c r="AV71" s="897">
        <v>0.51262015963546359</v>
      </c>
      <c r="AW71" s="897">
        <v>0.51262015963546359</v>
      </c>
      <c r="AX71" s="897">
        <v>0.51262015963546359</v>
      </c>
      <c r="AY71" s="897">
        <v>0.51262015963546359</v>
      </c>
      <c r="AZ71" s="897">
        <v>0.51262015963546359</v>
      </c>
      <c r="BA71" s="897">
        <v>0.51262015963546359</v>
      </c>
      <c r="BB71" s="897">
        <v>0.51262015963546359</v>
      </c>
      <c r="BC71" s="897">
        <v>0.51262015963546359</v>
      </c>
      <c r="BD71" s="897">
        <v>0.51262015963546359</v>
      </c>
      <c r="BE71" s="897">
        <v>0.51262015963546359</v>
      </c>
      <c r="BF71" s="897">
        <v>0.51262015963546359</v>
      </c>
      <c r="BG71" s="897">
        <v>0.51262015963546359</v>
      </c>
      <c r="BH71" s="897">
        <v>0.51262015963546359</v>
      </c>
      <c r="BI71" s="897">
        <v>0.51262015963546359</v>
      </c>
      <c r="BJ71" s="897">
        <v>0.51262015963546359</v>
      </c>
      <c r="BK71" s="897">
        <v>0.51262015963546359</v>
      </c>
      <c r="BL71" s="897">
        <v>0.51262015963546359</v>
      </c>
      <c r="BM71" s="897">
        <v>0.51262015963546359</v>
      </c>
      <c r="BN71" s="897">
        <v>0.51262015963546359</v>
      </c>
      <c r="BO71" s="897">
        <v>0.51262015963546359</v>
      </c>
      <c r="BP71" s="897">
        <v>0.51262015963546359</v>
      </c>
      <c r="BQ71" s="897">
        <v>0.51262015963546359</v>
      </c>
      <c r="BR71" s="897">
        <v>0.51262015963546359</v>
      </c>
      <c r="BS71" s="897">
        <v>0.51262015963546359</v>
      </c>
      <c r="BT71" s="897">
        <v>0.51262015963546359</v>
      </c>
      <c r="BU71" s="897">
        <v>0.51262015963546359</v>
      </c>
      <c r="BV71" s="897">
        <v>0.51262015963546359</v>
      </c>
      <c r="BW71" s="897">
        <v>0.51262015963546359</v>
      </c>
      <c r="BX71" s="897">
        <v>0.51262015963546359</v>
      </c>
      <c r="BY71" s="897">
        <v>0.51262015963546359</v>
      </c>
      <c r="BZ71" s="897">
        <v>0.51262015963546359</v>
      </c>
      <c r="CA71" s="897">
        <v>0.51262015963546359</v>
      </c>
      <c r="CB71" s="897">
        <v>0.51262015963546359</v>
      </c>
      <c r="CC71" s="897">
        <v>0.51262015963546359</v>
      </c>
      <c r="CD71" s="897">
        <v>0.51262015963546359</v>
      </c>
      <c r="CE71" s="897">
        <v>0.51262015963546359</v>
      </c>
      <c r="CF71" s="898">
        <v>0.51262015963546359</v>
      </c>
    </row>
    <row r="72" spans="1:84">
      <c r="A72" s="852"/>
      <c r="B72" s="860" t="str">
        <f>CONCATENATE("Drivmiddel (", $D$122,"-priser)")</f>
        <v>Drivmiddel (-priser)</v>
      </c>
      <c r="C72" s="885" t="s">
        <v>745</v>
      </c>
      <c r="D72" s="893" t="e">
        <f t="shared" ref="D72" si="729">D6/#REF!*#REF!</f>
        <v>#REF!</v>
      </c>
      <c r="E72" s="893" t="e">
        <f t="shared" ref="E72" si="730">E6/#REF!*#REF!</f>
        <v>#REF!</v>
      </c>
      <c r="F72" s="893" t="e">
        <f t="shared" ref="F72" si="731">F6/#REF!*#REF!</f>
        <v>#REF!</v>
      </c>
      <c r="G72" s="893" t="e">
        <f t="shared" ref="G72" si="732">G6/#REF!*#REF!</f>
        <v>#REF!</v>
      </c>
      <c r="H72" s="893" t="e">
        <f t="shared" ref="H72" si="733">H6/#REF!*#REF!</f>
        <v>#REF!</v>
      </c>
      <c r="I72" s="893" t="e">
        <f t="shared" ref="I72" si="734">I6/#REF!*#REF!</f>
        <v>#REF!</v>
      </c>
      <c r="J72" s="893" t="e">
        <f t="shared" ref="J72" si="735">J6/#REF!*#REF!</f>
        <v>#REF!</v>
      </c>
      <c r="K72" s="893" t="e">
        <f t="shared" ref="K72" si="736">K6/#REF!*#REF!</f>
        <v>#REF!</v>
      </c>
      <c r="L72" s="893" t="e">
        <f t="shared" ref="L72" si="737">L6/#REF!*#REF!</f>
        <v>#REF!</v>
      </c>
      <c r="M72" s="893" t="e">
        <f t="shared" ref="M72" si="738">M6/#REF!*#REF!</f>
        <v>#REF!</v>
      </c>
      <c r="N72" s="893" t="e">
        <f t="shared" ref="N72" si="739">N6/#REF!*#REF!</f>
        <v>#REF!</v>
      </c>
      <c r="O72" s="893" t="e">
        <f t="shared" ref="O72" si="740">O6/#REF!*#REF!</f>
        <v>#REF!</v>
      </c>
      <c r="P72" s="893" t="e">
        <f t="shared" ref="P72" si="741">P6/#REF!*#REF!</f>
        <v>#REF!</v>
      </c>
      <c r="Q72" s="893" t="e">
        <f t="shared" ref="Q72" si="742">Q6/#REF!*#REF!</f>
        <v>#REF!</v>
      </c>
      <c r="R72" s="893" t="e">
        <f t="shared" ref="R72" si="743">R6/#REF!*#REF!</f>
        <v>#REF!</v>
      </c>
      <c r="S72" s="893" t="e">
        <f t="shared" ref="S72" si="744">S6/#REF!*#REF!</f>
        <v>#REF!</v>
      </c>
      <c r="T72" s="893" t="e">
        <f t="shared" ref="T72" si="745">T6/#REF!*#REF!</f>
        <v>#REF!</v>
      </c>
      <c r="U72" s="893" t="e">
        <f t="shared" ref="U72" si="746">U6/#REF!*#REF!</f>
        <v>#REF!</v>
      </c>
      <c r="V72" s="893" t="e">
        <f t="shared" ref="V72" si="747">V6/#REF!*#REF!</f>
        <v>#REF!</v>
      </c>
      <c r="W72" s="893" t="e">
        <f t="shared" ref="W72" si="748">W6/#REF!*#REF!</f>
        <v>#REF!</v>
      </c>
      <c r="X72" s="893" t="e">
        <f t="shared" ref="X72" si="749">X6/#REF!*#REF!</f>
        <v>#REF!</v>
      </c>
      <c r="Y72" s="893" t="e">
        <f t="shared" ref="Y72" si="750">Y6/#REF!*#REF!</f>
        <v>#REF!</v>
      </c>
      <c r="Z72" s="893" t="e">
        <f t="shared" ref="Z72" si="751">Z6/#REF!*#REF!</f>
        <v>#REF!</v>
      </c>
      <c r="AA72" s="893" t="e">
        <f t="shared" ref="AA72" si="752">AA6/#REF!*#REF!</f>
        <v>#REF!</v>
      </c>
      <c r="AB72" s="893" t="e">
        <f t="shared" ref="AB72" si="753">AB6/#REF!*#REF!</f>
        <v>#REF!</v>
      </c>
      <c r="AC72" s="893" t="e">
        <f t="shared" ref="AC72" si="754">AC6/#REF!*#REF!</f>
        <v>#REF!</v>
      </c>
      <c r="AD72" s="893" t="e">
        <f t="shared" ref="AD72" si="755">AD6/#REF!*#REF!</f>
        <v>#REF!</v>
      </c>
      <c r="AE72" s="893" t="e">
        <f t="shared" ref="AE72" si="756">AE6/#REF!*#REF!</f>
        <v>#REF!</v>
      </c>
      <c r="AF72" s="893" t="e">
        <f t="shared" ref="AF72" si="757">AF6/#REF!*#REF!</f>
        <v>#REF!</v>
      </c>
      <c r="AG72" s="893" t="e">
        <f t="shared" ref="AG72" si="758">AG6/#REF!*#REF!</f>
        <v>#REF!</v>
      </c>
      <c r="AH72" s="893" t="e">
        <f t="shared" ref="AH72" si="759">AH6/#REF!*#REF!</f>
        <v>#REF!</v>
      </c>
      <c r="AI72" s="893" t="e">
        <f t="shared" ref="AI72" si="760">AI6/#REF!*#REF!</f>
        <v>#REF!</v>
      </c>
      <c r="AJ72" s="893" t="e">
        <f t="shared" ref="AJ72" si="761">AJ6/#REF!*#REF!</f>
        <v>#REF!</v>
      </c>
      <c r="AK72" s="893" t="e">
        <f t="shared" ref="AK72" si="762">AK6/#REF!*#REF!</f>
        <v>#REF!</v>
      </c>
      <c r="AL72" s="893" t="e">
        <f t="shared" ref="AL72" si="763">AL6/#REF!*#REF!</f>
        <v>#REF!</v>
      </c>
      <c r="AM72" s="893" t="e">
        <f t="shared" ref="AM72" si="764">AM6/#REF!*#REF!</f>
        <v>#REF!</v>
      </c>
      <c r="AN72" s="893" t="e">
        <f t="shared" ref="AN72" si="765">AN6/#REF!*#REF!</f>
        <v>#REF!</v>
      </c>
      <c r="AO72" s="893" t="e">
        <f t="shared" ref="AO72" si="766">AO6/#REF!*#REF!</f>
        <v>#REF!</v>
      </c>
      <c r="AP72" s="893" t="e">
        <f t="shared" ref="AP72" si="767">AP6/#REF!*#REF!</f>
        <v>#REF!</v>
      </c>
      <c r="AQ72" s="893" t="e">
        <f t="shared" ref="AQ72" si="768">AQ6/#REF!*#REF!</f>
        <v>#REF!</v>
      </c>
      <c r="AR72" s="893" t="e">
        <f t="shared" ref="AR72" si="769">AR6/#REF!*#REF!</f>
        <v>#REF!</v>
      </c>
      <c r="AS72" s="893" t="e">
        <f t="shared" ref="AS72" si="770">AS6/#REF!*#REF!</f>
        <v>#REF!</v>
      </c>
      <c r="AT72" s="893" t="e">
        <f t="shared" ref="AT72" si="771">AT6/#REF!*#REF!</f>
        <v>#REF!</v>
      </c>
      <c r="AU72" s="893" t="e">
        <f t="shared" ref="AU72" si="772">AU6/#REF!*#REF!</f>
        <v>#REF!</v>
      </c>
      <c r="AV72" s="893" t="e">
        <f t="shared" ref="AV72" si="773">AV6/#REF!*#REF!</f>
        <v>#REF!</v>
      </c>
      <c r="AW72" s="893" t="e">
        <f t="shared" ref="AW72" si="774">AW6/#REF!*#REF!</f>
        <v>#REF!</v>
      </c>
      <c r="AX72" s="893" t="e">
        <f t="shared" ref="AX72" si="775">AX6/#REF!*#REF!</f>
        <v>#REF!</v>
      </c>
      <c r="AY72" s="893" t="e">
        <f t="shared" ref="AY72" si="776">AY6/#REF!*#REF!</f>
        <v>#REF!</v>
      </c>
      <c r="AZ72" s="893" t="e">
        <f t="shared" ref="AZ72" si="777">AZ6/#REF!*#REF!</f>
        <v>#REF!</v>
      </c>
      <c r="BA72" s="893" t="e">
        <f t="shared" ref="BA72" si="778">BA6/#REF!*#REF!</f>
        <v>#REF!</v>
      </c>
      <c r="BB72" s="893" t="e">
        <f t="shared" ref="BB72" si="779">BB6/#REF!*#REF!</f>
        <v>#REF!</v>
      </c>
      <c r="BC72" s="893" t="e">
        <f t="shared" ref="BC72" si="780">BC6/#REF!*#REF!</f>
        <v>#REF!</v>
      </c>
      <c r="BD72" s="893" t="e">
        <f t="shared" ref="BD72" si="781">BD6/#REF!*#REF!</f>
        <v>#REF!</v>
      </c>
      <c r="BE72" s="893" t="e">
        <f t="shared" ref="BE72" si="782">BE6/#REF!*#REF!</f>
        <v>#REF!</v>
      </c>
      <c r="BF72" s="893" t="e">
        <f t="shared" ref="BF72" si="783">BF6/#REF!*#REF!</f>
        <v>#REF!</v>
      </c>
      <c r="BG72" s="893" t="e">
        <f t="shared" ref="BG72" si="784">BG6/#REF!*#REF!</f>
        <v>#REF!</v>
      </c>
      <c r="BH72" s="893" t="e">
        <f t="shared" ref="BH72" si="785">BH6/#REF!*#REF!</f>
        <v>#REF!</v>
      </c>
      <c r="BI72" s="893" t="e">
        <f t="shared" ref="BI72" si="786">BI6/#REF!*#REF!</f>
        <v>#REF!</v>
      </c>
      <c r="BJ72" s="893" t="e">
        <f t="shared" ref="BJ72" si="787">BJ6/#REF!*#REF!</f>
        <v>#REF!</v>
      </c>
      <c r="BK72" s="893" t="e">
        <f t="shared" ref="BK72" si="788">BK6/#REF!*#REF!</f>
        <v>#REF!</v>
      </c>
      <c r="BL72" s="893" t="e">
        <f t="shared" ref="BL72" si="789">BL6/#REF!*#REF!</f>
        <v>#REF!</v>
      </c>
      <c r="BM72" s="893" t="e">
        <f t="shared" ref="BM72" si="790">BM6/#REF!*#REF!</f>
        <v>#REF!</v>
      </c>
      <c r="BN72" s="893" t="e">
        <f t="shared" ref="BN72" si="791">BN6/#REF!*#REF!</f>
        <v>#REF!</v>
      </c>
      <c r="BO72" s="893" t="e">
        <f t="shared" ref="BO72" si="792">BO6/#REF!*#REF!</f>
        <v>#REF!</v>
      </c>
      <c r="BP72" s="893" t="e">
        <f t="shared" ref="BP72" si="793">BP6/#REF!*#REF!</f>
        <v>#REF!</v>
      </c>
      <c r="BQ72" s="893" t="e">
        <f t="shared" ref="BQ72" si="794">BQ6/#REF!*#REF!</f>
        <v>#REF!</v>
      </c>
      <c r="BR72" s="893" t="e">
        <f t="shared" ref="BR72" si="795">BR6/#REF!*#REF!</f>
        <v>#REF!</v>
      </c>
      <c r="BS72" s="893" t="e">
        <f t="shared" ref="BS72" si="796">BS6/#REF!*#REF!</f>
        <v>#REF!</v>
      </c>
      <c r="BT72" s="893" t="e">
        <f t="shared" ref="BT72" si="797">BT6/#REF!*#REF!</f>
        <v>#REF!</v>
      </c>
      <c r="BU72" s="893" t="e">
        <f t="shared" ref="BU72" si="798">BU6/#REF!*#REF!</f>
        <v>#REF!</v>
      </c>
      <c r="BV72" s="893" t="e">
        <f t="shared" ref="BV72" si="799">BV6/#REF!*#REF!</f>
        <v>#REF!</v>
      </c>
      <c r="BW72" s="893" t="e">
        <f t="shared" ref="BW72" si="800">BW6/#REF!*#REF!</f>
        <v>#REF!</v>
      </c>
      <c r="BX72" s="893" t="e">
        <f t="shared" ref="BX72" si="801">BX6/#REF!*#REF!</f>
        <v>#REF!</v>
      </c>
      <c r="BY72" s="893" t="e">
        <f t="shared" ref="BY72" si="802">BY6/#REF!*#REF!</f>
        <v>#REF!</v>
      </c>
      <c r="BZ72" s="893" t="e">
        <f t="shared" ref="BZ72" si="803">BZ6/#REF!*#REF!</f>
        <v>#REF!</v>
      </c>
      <c r="CA72" s="893" t="e">
        <f t="shared" ref="CA72" si="804">CA6/#REF!*#REF!</f>
        <v>#REF!</v>
      </c>
      <c r="CB72" s="893" t="e">
        <f t="shared" ref="CB72" si="805">CB6/#REF!*#REF!</f>
        <v>#REF!</v>
      </c>
      <c r="CC72" s="893" t="e">
        <f t="shared" ref="CC72" si="806">CC6/#REF!*#REF!</f>
        <v>#REF!</v>
      </c>
      <c r="CD72" s="893" t="e">
        <f t="shared" ref="CD72" si="807">CD6/#REF!*#REF!</f>
        <v>#REF!</v>
      </c>
      <c r="CE72" s="893" t="e">
        <f t="shared" ref="CE72" si="808">CE6/#REF!*#REF!</f>
        <v>#REF!</v>
      </c>
      <c r="CF72" s="894" t="e">
        <f t="shared" ref="CF72" si="809">CF6/#REF!*#REF!</f>
        <v>#REF!</v>
      </c>
    </row>
    <row r="73" spans="1:84">
      <c r="A73" s="852"/>
      <c r="B73" s="884" t="s">
        <v>151</v>
      </c>
      <c r="C73" s="885" t="s">
        <v>745</v>
      </c>
      <c r="D73" s="886">
        <v>8.9715064953707027E-2</v>
      </c>
      <c r="E73" s="886">
        <v>8.9715064953707027E-2</v>
      </c>
      <c r="F73" s="886">
        <v>8.9715064953707027E-2</v>
      </c>
      <c r="G73" s="886">
        <v>8.9715064953707027E-2</v>
      </c>
      <c r="H73" s="886">
        <v>8.9715064953707027E-2</v>
      </c>
      <c r="I73" s="886">
        <v>8.9715064953707027E-2</v>
      </c>
      <c r="J73" s="886">
        <v>8.9715064953707027E-2</v>
      </c>
      <c r="K73" s="886">
        <v>8.9715064953707027E-2</v>
      </c>
      <c r="L73" s="886">
        <v>8.9715064953707027E-2</v>
      </c>
      <c r="M73" s="886">
        <v>8.9715064953707027E-2</v>
      </c>
      <c r="N73" s="886">
        <v>8.9715064953707027E-2</v>
      </c>
      <c r="O73" s="886">
        <v>8.9715064953707027E-2</v>
      </c>
      <c r="P73" s="886">
        <v>8.9715064953707027E-2</v>
      </c>
      <c r="Q73" s="886">
        <v>8.9715064953707027E-2</v>
      </c>
      <c r="R73" s="886">
        <v>8.9715064953707027E-2</v>
      </c>
      <c r="S73" s="886">
        <v>8.9715064953707027E-2</v>
      </c>
      <c r="T73" s="886">
        <v>8.9715064953707027E-2</v>
      </c>
      <c r="U73" s="886">
        <v>8.9715064953707027E-2</v>
      </c>
      <c r="V73" s="886">
        <v>8.9715064953707027E-2</v>
      </c>
      <c r="W73" s="886">
        <v>8.9715064953707027E-2</v>
      </c>
      <c r="X73" s="886">
        <v>8.9715064953707027E-2</v>
      </c>
      <c r="Y73" s="886">
        <v>8.9715064953707027E-2</v>
      </c>
      <c r="Z73" s="886">
        <v>8.9715064953707027E-2</v>
      </c>
      <c r="AA73" s="886">
        <v>8.9715064953707027E-2</v>
      </c>
      <c r="AB73" s="886">
        <v>8.9715064953707027E-2</v>
      </c>
      <c r="AC73" s="886">
        <v>8.9715064953707027E-2</v>
      </c>
      <c r="AD73" s="886">
        <v>8.9715064953707027E-2</v>
      </c>
      <c r="AE73" s="886">
        <v>8.9715064953707027E-2</v>
      </c>
      <c r="AF73" s="886">
        <v>8.9715064953707027E-2</v>
      </c>
      <c r="AG73" s="886">
        <v>8.9715064953707027E-2</v>
      </c>
      <c r="AH73" s="886">
        <v>8.9715064953707027E-2</v>
      </c>
      <c r="AI73" s="886">
        <v>8.9715064953707027E-2</v>
      </c>
      <c r="AJ73" s="886">
        <v>8.9715064953707027E-2</v>
      </c>
      <c r="AK73" s="886">
        <v>8.9715064953707027E-2</v>
      </c>
      <c r="AL73" s="886">
        <v>8.9715064953707027E-2</v>
      </c>
      <c r="AM73" s="886">
        <v>8.9715064953707027E-2</v>
      </c>
      <c r="AN73" s="886">
        <v>8.9715064953707027E-2</v>
      </c>
      <c r="AO73" s="886">
        <v>8.9715064953707027E-2</v>
      </c>
      <c r="AP73" s="886">
        <v>8.9715064953707027E-2</v>
      </c>
      <c r="AQ73" s="886">
        <v>8.9715064953707027E-2</v>
      </c>
      <c r="AR73" s="886">
        <v>8.9715064953707027E-2</v>
      </c>
      <c r="AS73" s="886">
        <v>8.9715064953707027E-2</v>
      </c>
      <c r="AT73" s="886">
        <v>8.9715064953707027E-2</v>
      </c>
      <c r="AU73" s="886">
        <v>8.9715064953707027E-2</v>
      </c>
      <c r="AV73" s="886">
        <v>8.9715064953707027E-2</v>
      </c>
      <c r="AW73" s="886">
        <v>8.9715064953707027E-2</v>
      </c>
      <c r="AX73" s="886">
        <v>8.9715064953707027E-2</v>
      </c>
      <c r="AY73" s="886">
        <v>8.9715064953707027E-2</v>
      </c>
      <c r="AZ73" s="886">
        <v>8.9715064953707027E-2</v>
      </c>
      <c r="BA73" s="886">
        <v>8.9715064953707027E-2</v>
      </c>
      <c r="BB73" s="886">
        <v>8.9715064953707027E-2</v>
      </c>
      <c r="BC73" s="886">
        <v>8.9715064953707027E-2</v>
      </c>
      <c r="BD73" s="886">
        <v>8.9715064953707027E-2</v>
      </c>
      <c r="BE73" s="886">
        <v>8.9715064953707027E-2</v>
      </c>
      <c r="BF73" s="886">
        <v>8.9715064953707027E-2</v>
      </c>
      <c r="BG73" s="886">
        <v>8.9715064953707027E-2</v>
      </c>
      <c r="BH73" s="886">
        <v>8.9715064953707027E-2</v>
      </c>
      <c r="BI73" s="886">
        <v>8.9715064953707027E-2</v>
      </c>
      <c r="BJ73" s="886">
        <v>8.9715064953707027E-2</v>
      </c>
      <c r="BK73" s="886">
        <v>8.9715064953707027E-2</v>
      </c>
      <c r="BL73" s="886">
        <v>8.9715064953707027E-2</v>
      </c>
      <c r="BM73" s="886">
        <v>8.9715064953707027E-2</v>
      </c>
      <c r="BN73" s="886">
        <v>8.9715064953707027E-2</v>
      </c>
      <c r="BO73" s="886">
        <v>8.9715064953707027E-2</v>
      </c>
      <c r="BP73" s="886">
        <v>8.9715064953707027E-2</v>
      </c>
      <c r="BQ73" s="886">
        <v>8.9715064953707027E-2</v>
      </c>
      <c r="BR73" s="886">
        <v>8.9715064953707027E-2</v>
      </c>
      <c r="BS73" s="886">
        <v>8.9715064953707027E-2</v>
      </c>
      <c r="BT73" s="886">
        <v>8.9715064953707027E-2</v>
      </c>
      <c r="BU73" s="886">
        <v>8.9715064953707027E-2</v>
      </c>
      <c r="BV73" s="886">
        <v>8.9715064953707027E-2</v>
      </c>
      <c r="BW73" s="886">
        <v>8.9715064953707027E-2</v>
      </c>
      <c r="BX73" s="886">
        <v>8.9715064953707027E-2</v>
      </c>
      <c r="BY73" s="886">
        <v>8.9715064953707027E-2</v>
      </c>
      <c r="BZ73" s="886">
        <v>8.9715064953707027E-2</v>
      </c>
      <c r="CA73" s="886">
        <v>8.9715064953707027E-2</v>
      </c>
      <c r="CB73" s="886">
        <v>8.9715064953707027E-2</v>
      </c>
      <c r="CC73" s="886">
        <v>8.9715064953707027E-2</v>
      </c>
      <c r="CD73" s="886">
        <v>8.9715064953707027E-2</v>
      </c>
      <c r="CE73" s="886">
        <v>8.9715064953707027E-2</v>
      </c>
      <c r="CF73" s="887">
        <v>8.9715064953707027E-2</v>
      </c>
    </row>
    <row r="74" spans="1:84">
      <c r="A74" s="852"/>
      <c r="B74" s="884" t="s">
        <v>742</v>
      </c>
      <c r="C74" s="885" t="s">
        <v>745</v>
      </c>
      <c r="D74" s="886">
        <v>9.521459029930554E-2</v>
      </c>
      <c r="E74" s="886">
        <v>9.521459029930554E-2</v>
      </c>
      <c r="F74" s="886">
        <v>9.521459029930554E-2</v>
      </c>
      <c r="G74" s="886">
        <v>9.521459029930554E-2</v>
      </c>
      <c r="H74" s="886">
        <v>9.521459029930554E-2</v>
      </c>
      <c r="I74" s="886">
        <v>9.521459029930554E-2</v>
      </c>
      <c r="J74" s="886">
        <v>9.521459029930554E-2</v>
      </c>
      <c r="K74" s="886">
        <v>9.521459029930554E-2</v>
      </c>
      <c r="L74" s="886">
        <v>9.521459029930554E-2</v>
      </c>
      <c r="M74" s="886">
        <v>9.521459029930554E-2</v>
      </c>
      <c r="N74" s="886">
        <v>9.521459029930554E-2</v>
      </c>
      <c r="O74" s="886">
        <v>9.521459029930554E-2</v>
      </c>
      <c r="P74" s="886">
        <v>9.521459029930554E-2</v>
      </c>
      <c r="Q74" s="886">
        <v>9.521459029930554E-2</v>
      </c>
      <c r="R74" s="886">
        <v>9.521459029930554E-2</v>
      </c>
      <c r="S74" s="886">
        <v>9.521459029930554E-2</v>
      </c>
      <c r="T74" s="886">
        <v>9.521459029930554E-2</v>
      </c>
      <c r="U74" s="886">
        <v>9.521459029930554E-2</v>
      </c>
      <c r="V74" s="886">
        <v>9.521459029930554E-2</v>
      </c>
      <c r="W74" s="886">
        <v>9.521459029930554E-2</v>
      </c>
      <c r="X74" s="886">
        <v>9.521459029930554E-2</v>
      </c>
      <c r="Y74" s="886">
        <v>9.521459029930554E-2</v>
      </c>
      <c r="Z74" s="886">
        <v>9.521459029930554E-2</v>
      </c>
      <c r="AA74" s="886">
        <v>9.521459029930554E-2</v>
      </c>
      <c r="AB74" s="886">
        <v>9.521459029930554E-2</v>
      </c>
      <c r="AC74" s="886">
        <v>9.521459029930554E-2</v>
      </c>
      <c r="AD74" s="886">
        <v>9.521459029930554E-2</v>
      </c>
      <c r="AE74" s="886">
        <v>9.521459029930554E-2</v>
      </c>
      <c r="AF74" s="886">
        <v>9.521459029930554E-2</v>
      </c>
      <c r="AG74" s="886">
        <v>9.521459029930554E-2</v>
      </c>
      <c r="AH74" s="886">
        <v>9.521459029930554E-2</v>
      </c>
      <c r="AI74" s="886">
        <v>9.521459029930554E-2</v>
      </c>
      <c r="AJ74" s="886">
        <v>9.521459029930554E-2</v>
      </c>
      <c r="AK74" s="886">
        <v>9.521459029930554E-2</v>
      </c>
      <c r="AL74" s="886">
        <v>9.521459029930554E-2</v>
      </c>
      <c r="AM74" s="886">
        <v>9.521459029930554E-2</v>
      </c>
      <c r="AN74" s="886">
        <v>9.521459029930554E-2</v>
      </c>
      <c r="AO74" s="886">
        <v>9.521459029930554E-2</v>
      </c>
      <c r="AP74" s="886">
        <v>9.521459029930554E-2</v>
      </c>
      <c r="AQ74" s="886">
        <v>9.521459029930554E-2</v>
      </c>
      <c r="AR74" s="886">
        <v>9.521459029930554E-2</v>
      </c>
      <c r="AS74" s="886">
        <v>9.521459029930554E-2</v>
      </c>
      <c r="AT74" s="886">
        <v>9.521459029930554E-2</v>
      </c>
      <c r="AU74" s="886">
        <v>9.521459029930554E-2</v>
      </c>
      <c r="AV74" s="886">
        <v>9.521459029930554E-2</v>
      </c>
      <c r="AW74" s="886">
        <v>9.521459029930554E-2</v>
      </c>
      <c r="AX74" s="886">
        <v>9.521459029930554E-2</v>
      </c>
      <c r="AY74" s="886">
        <v>9.521459029930554E-2</v>
      </c>
      <c r="AZ74" s="886">
        <v>9.521459029930554E-2</v>
      </c>
      <c r="BA74" s="886">
        <v>9.521459029930554E-2</v>
      </c>
      <c r="BB74" s="886">
        <v>9.521459029930554E-2</v>
      </c>
      <c r="BC74" s="886">
        <v>9.521459029930554E-2</v>
      </c>
      <c r="BD74" s="886">
        <v>9.521459029930554E-2</v>
      </c>
      <c r="BE74" s="886">
        <v>9.521459029930554E-2</v>
      </c>
      <c r="BF74" s="886">
        <v>9.521459029930554E-2</v>
      </c>
      <c r="BG74" s="886">
        <v>9.521459029930554E-2</v>
      </c>
      <c r="BH74" s="886">
        <v>9.521459029930554E-2</v>
      </c>
      <c r="BI74" s="886">
        <v>9.521459029930554E-2</v>
      </c>
      <c r="BJ74" s="886">
        <v>9.521459029930554E-2</v>
      </c>
      <c r="BK74" s="886">
        <v>9.521459029930554E-2</v>
      </c>
      <c r="BL74" s="886">
        <v>9.521459029930554E-2</v>
      </c>
      <c r="BM74" s="886">
        <v>9.521459029930554E-2</v>
      </c>
      <c r="BN74" s="886">
        <v>9.521459029930554E-2</v>
      </c>
      <c r="BO74" s="886">
        <v>9.521459029930554E-2</v>
      </c>
      <c r="BP74" s="886">
        <v>9.521459029930554E-2</v>
      </c>
      <c r="BQ74" s="886">
        <v>9.521459029930554E-2</v>
      </c>
      <c r="BR74" s="886">
        <v>9.521459029930554E-2</v>
      </c>
      <c r="BS74" s="886">
        <v>9.521459029930554E-2</v>
      </c>
      <c r="BT74" s="886">
        <v>9.521459029930554E-2</v>
      </c>
      <c r="BU74" s="886">
        <v>9.521459029930554E-2</v>
      </c>
      <c r="BV74" s="886">
        <v>9.521459029930554E-2</v>
      </c>
      <c r="BW74" s="886">
        <v>9.521459029930554E-2</v>
      </c>
      <c r="BX74" s="886">
        <v>9.521459029930554E-2</v>
      </c>
      <c r="BY74" s="886">
        <v>9.521459029930554E-2</v>
      </c>
      <c r="BZ74" s="886">
        <v>9.521459029930554E-2</v>
      </c>
      <c r="CA74" s="886">
        <v>9.521459029930554E-2</v>
      </c>
      <c r="CB74" s="886">
        <v>9.521459029930554E-2</v>
      </c>
      <c r="CC74" s="886">
        <v>9.521459029930554E-2</v>
      </c>
      <c r="CD74" s="886">
        <v>9.521459029930554E-2</v>
      </c>
      <c r="CE74" s="886">
        <v>9.521459029930554E-2</v>
      </c>
      <c r="CF74" s="887">
        <v>9.521459029930554E-2</v>
      </c>
    </row>
    <row r="75" spans="1:84">
      <c r="A75" s="852"/>
      <c r="B75" s="860" t="s">
        <v>743</v>
      </c>
      <c r="C75" s="885" t="s">
        <v>745</v>
      </c>
      <c r="D75" s="886">
        <v>1.1261625610407109</v>
      </c>
      <c r="E75" s="886">
        <v>1.1261625610407109</v>
      </c>
      <c r="F75" s="886">
        <v>1.1261625610407109</v>
      </c>
      <c r="G75" s="886">
        <v>1.1261625610407109</v>
      </c>
      <c r="H75" s="886">
        <v>1.1261625610407109</v>
      </c>
      <c r="I75" s="886">
        <v>1.1261625610407109</v>
      </c>
      <c r="J75" s="886">
        <v>1.1261625610407109</v>
      </c>
      <c r="K75" s="886">
        <v>1.1261625610407109</v>
      </c>
      <c r="L75" s="886">
        <v>1.1261625610407109</v>
      </c>
      <c r="M75" s="886">
        <v>1.1261625610407109</v>
      </c>
      <c r="N75" s="886">
        <v>1.1261625610407109</v>
      </c>
      <c r="O75" s="886">
        <v>1.1261625610407109</v>
      </c>
      <c r="P75" s="886">
        <v>1.1261625610407109</v>
      </c>
      <c r="Q75" s="886">
        <v>1.1261625610407109</v>
      </c>
      <c r="R75" s="886">
        <v>1.1261625610407109</v>
      </c>
      <c r="S75" s="886">
        <v>1.1261625610407109</v>
      </c>
      <c r="T75" s="886">
        <v>1.1261625610407109</v>
      </c>
      <c r="U75" s="886">
        <v>1.1261625610407109</v>
      </c>
      <c r="V75" s="886">
        <v>1.1261625610407109</v>
      </c>
      <c r="W75" s="886">
        <v>1.1261625610407109</v>
      </c>
      <c r="X75" s="886">
        <v>1.1261625610407109</v>
      </c>
      <c r="Y75" s="886">
        <v>1.1261625610407109</v>
      </c>
      <c r="Z75" s="886">
        <v>1.1261625610407109</v>
      </c>
      <c r="AA75" s="886">
        <v>1.1261625610407109</v>
      </c>
      <c r="AB75" s="886">
        <v>1.1261625610407109</v>
      </c>
      <c r="AC75" s="886">
        <v>1.1261625610407109</v>
      </c>
      <c r="AD75" s="886">
        <v>1.1261625610407109</v>
      </c>
      <c r="AE75" s="886">
        <v>1.1261625610407109</v>
      </c>
      <c r="AF75" s="886">
        <v>1.1261625610407109</v>
      </c>
      <c r="AG75" s="886">
        <v>1.1261625610407109</v>
      </c>
      <c r="AH75" s="886">
        <v>1.1261625610407109</v>
      </c>
      <c r="AI75" s="886">
        <v>1.1261625610407109</v>
      </c>
      <c r="AJ75" s="886">
        <v>1.1261625610407109</v>
      </c>
      <c r="AK75" s="886">
        <v>1.1261625610407109</v>
      </c>
      <c r="AL75" s="886">
        <v>1.1261625610407109</v>
      </c>
      <c r="AM75" s="886">
        <v>1.1261625610407109</v>
      </c>
      <c r="AN75" s="886">
        <v>1.1261625610407109</v>
      </c>
      <c r="AO75" s="886">
        <v>1.1261625610407109</v>
      </c>
      <c r="AP75" s="886">
        <v>1.1261625610407109</v>
      </c>
      <c r="AQ75" s="886">
        <v>1.1261625610407109</v>
      </c>
      <c r="AR75" s="886">
        <v>1.1261625610407109</v>
      </c>
      <c r="AS75" s="886">
        <v>1.1261625610407109</v>
      </c>
      <c r="AT75" s="886">
        <v>1.1261625610407109</v>
      </c>
      <c r="AU75" s="886">
        <v>1.1261625610407109</v>
      </c>
      <c r="AV75" s="886">
        <v>1.1261625610407109</v>
      </c>
      <c r="AW75" s="886">
        <v>1.1261625610407109</v>
      </c>
      <c r="AX75" s="886">
        <v>1.1261625610407109</v>
      </c>
      <c r="AY75" s="886">
        <v>1.1261625610407109</v>
      </c>
      <c r="AZ75" s="886">
        <v>1.1261625610407109</v>
      </c>
      <c r="BA75" s="886">
        <v>1.1261625610407109</v>
      </c>
      <c r="BB75" s="886">
        <v>1.1261625610407109</v>
      </c>
      <c r="BC75" s="886">
        <v>1.1261625610407109</v>
      </c>
      <c r="BD75" s="886">
        <v>1.1261625610407109</v>
      </c>
      <c r="BE75" s="886">
        <v>1.1261625610407109</v>
      </c>
      <c r="BF75" s="886">
        <v>1.1261625610407109</v>
      </c>
      <c r="BG75" s="886">
        <v>1.1261625610407109</v>
      </c>
      <c r="BH75" s="886">
        <v>1.1261625610407109</v>
      </c>
      <c r="BI75" s="886">
        <v>1.1261625610407109</v>
      </c>
      <c r="BJ75" s="886">
        <v>1.1261625610407109</v>
      </c>
      <c r="BK75" s="886">
        <v>1.1261625610407109</v>
      </c>
      <c r="BL75" s="886">
        <v>1.1261625610407109</v>
      </c>
      <c r="BM75" s="886">
        <v>1.1261625610407109</v>
      </c>
      <c r="BN75" s="886">
        <v>1.1261625610407109</v>
      </c>
      <c r="BO75" s="886">
        <v>1.1261625610407109</v>
      </c>
      <c r="BP75" s="886">
        <v>1.1261625610407109</v>
      </c>
      <c r="BQ75" s="886">
        <v>1.1261625610407109</v>
      </c>
      <c r="BR75" s="886">
        <v>1.1261625610407109</v>
      </c>
      <c r="BS75" s="886">
        <v>1.1261625610407109</v>
      </c>
      <c r="BT75" s="886">
        <v>1.1261625610407109</v>
      </c>
      <c r="BU75" s="886">
        <v>1.1261625610407109</v>
      </c>
      <c r="BV75" s="886">
        <v>1.1261625610407109</v>
      </c>
      <c r="BW75" s="886">
        <v>1.1261625610407109</v>
      </c>
      <c r="BX75" s="886">
        <v>1.1261625610407109</v>
      </c>
      <c r="BY75" s="886">
        <v>1.1261625610407109</v>
      </c>
      <c r="BZ75" s="886">
        <v>1.1261625610407109</v>
      </c>
      <c r="CA75" s="886">
        <v>1.1261625610407109</v>
      </c>
      <c r="CB75" s="886">
        <v>1.1261625610407109</v>
      </c>
      <c r="CC75" s="886">
        <v>1.1261625610407109</v>
      </c>
      <c r="CD75" s="886">
        <v>1.1261625610407109</v>
      </c>
      <c r="CE75" s="886">
        <v>1.1261625610407109</v>
      </c>
      <c r="CF75" s="887">
        <v>1.1261625610407109</v>
      </c>
    </row>
    <row r="76" spans="1:84">
      <c r="A76" s="852"/>
      <c r="B76" s="860" t="s">
        <v>746</v>
      </c>
      <c r="C76" s="885"/>
      <c r="D76" s="886">
        <v>4.4498672217038682E-2</v>
      </c>
      <c r="E76" s="886">
        <v>4.4498672217038682E-2</v>
      </c>
      <c r="F76" s="886">
        <v>4.4498672217038682E-2</v>
      </c>
      <c r="G76" s="886">
        <v>4.4498672217038682E-2</v>
      </c>
      <c r="H76" s="886">
        <v>4.4498672217038682E-2</v>
      </c>
      <c r="I76" s="886">
        <v>4.4498672217038682E-2</v>
      </c>
      <c r="J76" s="886">
        <v>4.4498672217038682E-2</v>
      </c>
      <c r="K76" s="886">
        <v>4.4498672217038682E-2</v>
      </c>
      <c r="L76" s="886">
        <v>4.4498672217038682E-2</v>
      </c>
      <c r="M76" s="886">
        <v>4.4498672217038682E-2</v>
      </c>
      <c r="N76" s="886">
        <v>4.4498672217038682E-2</v>
      </c>
      <c r="O76" s="886">
        <v>4.4498672217038682E-2</v>
      </c>
      <c r="P76" s="886">
        <v>4.4498672217038682E-2</v>
      </c>
      <c r="Q76" s="886">
        <v>4.4498672217038682E-2</v>
      </c>
      <c r="R76" s="886">
        <v>4.4498672217038682E-2</v>
      </c>
      <c r="S76" s="886">
        <v>4.4498672217038682E-2</v>
      </c>
      <c r="T76" s="886">
        <v>4.4498672217038682E-2</v>
      </c>
      <c r="U76" s="886">
        <v>4.4498672217038682E-2</v>
      </c>
      <c r="V76" s="886">
        <v>4.4498672217038682E-2</v>
      </c>
      <c r="W76" s="886">
        <v>4.4498672217038682E-2</v>
      </c>
      <c r="X76" s="886">
        <v>4.4498672217038682E-2</v>
      </c>
      <c r="Y76" s="886">
        <v>4.4498672217038682E-2</v>
      </c>
      <c r="Z76" s="886">
        <v>4.4498672217038682E-2</v>
      </c>
      <c r="AA76" s="886">
        <v>4.4498672217038682E-2</v>
      </c>
      <c r="AB76" s="886">
        <v>4.4498672217038682E-2</v>
      </c>
      <c r="AC76" s="886">
        <v>4.4498672217038682E-2</v>
      </c>
      <c r="AD76" s="886">
        <v>4.4498672217038682E-2</v>
      </c>
      <c r="AE76" s="886">
        <v>4.4498672217038682E-2</v>
      </c>
      <c r="AF76" s="886">
        <v>4.4498672217038682E-2</v>
      </c>
      <c r="AG76" s="886">
        <v>4.4498672217038682E-2</v>
      </c>
      <c r="AH76" s="886">
        <v>4.4498672217038682E-2</v>
      </c>
      <c r="AI76" s="886">
        <v>4.4498672217038682E-2</v>
      </c>
      <c r="AJ76" s="886">
        <v>4.4498672217038682E-2</v>
      </c>
      <c r="AK76" s="886">
        <v>4.4498672217038682E-2</v>
      </c>
      <c r="AL76" s="886">
        <v>4.4498672217038682E-2</v>
      </c>
      <c r="AM76" s="886">
        <v>4.4498672217038682E-2</v>
      </c>
      <c r="AN76" s="886">
        <v>4.4498672217038682E-2</v>
      </c>
      <c r="AO76" s="886">
        <v>4.4498672217038682E-2</v>
      </c>
      <c r="AP76" s="886">
        <v>4.4498672217038682E-2</v>
      </c>
      <c r="AQ76" s="886">
        <v>4.4498672217038682E-2</v>
      </c>
      <c r="AR76" s="886">
        <v>4.4498672217038682E-2</v>
      </c>
      <c r="AS76" s="886">
        <v>4.4498672217038682E-2</v>
      </c>
      <c r="AT76" s="886">
        <v>4.4498672217038682E-2</v>
      </c>
      <c r="AU76" s="886">
        <v>4.4498672217038682E-2</v>
      </c>
      <c r="AV76" s="886">
        <v>4.4498672217038682E-2</v>
      </c>
      <c r="AW76" s="886">
        <v>4.4498672217038682E-2</v>
      </c>
      <c r="AX76" s="886">
        <v>4.4498672217038682E-2</v>
      </c>
      <c r="AY76" s="886">
        <v>4.4498672217038682E-2</v>
      </c>
      <c r="AZ76" s="886">
        <v>4.4498672217038682E-2</v>
      </c>
      <c r="BA76" s="886">
        <v>4.4498672217038682E-2</v>
      </c>
      <c r="BB76" s="886">
        <v>4.4498672217038682E-2</v>
      </c>
      <c r="BC76" s="886">
        <v>4.4498672217038682E-2</v>
      </c>
      <c r="BD76" s="886">
        <v>4.4498672217038682E-2</v>
      </c>
      <c r="BE76" s="886">
        <v>4.4498672217038682E-2</v>
      </c>
      <c r="BF76" s="886">
        <v>4.4498672217038682E-2</v>
      </c>
      <c r="BG76" s="886">
        <v>4.4498672217038682E-2</v>
      </c>
      <c r="BH76" s="886">
        <v>4.4498672217038682E-2</v>
      </c>
      <c r="BI76" s="886">
        <v>4.4498672217038682E-2</v>
      </c>
      <c r="BJ76" s="886">
        <v>4.4498672217038682E-2</v>
      </c>
      <c r="BK76" s="886">
        <v>4.4498672217038682E-2</v>
      </c>
      <c r="BL76" s="886">
        <v>4.4498672217038682E-2</v>
      </c>
      <c r="BM76" s="886">
        <v>4.4498672217038682E-2</v>
      </c>
      <c r="BN76" s="886">
        <v>4.4498672217038682E-2</v>
      </c>
      <c r="BO76" s="886">
        <v>4.4498672217038682E-2</v>
      </c>
      <c r="BP76" s="886">
        <v>4.4498672217038682E-2</v>
      </c>
      <c r="BQ76" s="886">
        <v>4.4498672217038682E-2</v>
      </c>
      <c r="BR76" s="886">
        <v>4.4498672217038682E-2</v>
      </c>
      <c r="BS76" s="886">
        <v>4.4498672217038682E-2</v>
      </c>
      <c r="BT76" s="886">
        <v>4.4498672217038682E-2</v>
      </c>
      <c r="BU76" s="886">
        <v>4.4498672217038682E-2</v>
      </c>
      <c r="BV76" s="886">
        <v>4.4498672217038682E-2</v>
      </c>
      <c r="BW76" s="886">
        <v>4.4498672217038682E-2</v>
      </c>
      <c r="BX76" s="886">
        <v>4.4498672217038682E-2</v>
      </c>
      <c r="BY76" s="886">
        <v>4.4498672217038682E-2</v>
      </c>
      <c r="BZ76" s="886">
        <v>4.4498672217038682E-2</v>
      </c>
      <c r="CA76" s="886">
        <v>4.4498672217038682E-2</v>
      </c>
      <c r="CB76" s="886">
        <v>4.4498672217038682E-2</v>
      </c>
      <c r="CC76" s="886">
        <v>4.4498672217038682E-2</v>
      </c>
      <c r="CD76" s="886">
        <v>4.4498672217038682E-2</v>
      </c>
      <c r="CE76" s="886">
        <v>4.4498672217038682E-2</v>
      </c>
      <c r="CF76" s="887">
        <v>4.4498672217038682E-2</v>
      </c>
    </row>
    <row r="77" spans="1:84" ht="13.8" thickBot="1">
      <c r="A77" s="852"/>
      <c r="B77" s="888" t="s">
        <v>744</v>
      </c>
      <c r="C77" s="889" t="s">
        <v>745</v>
      </c>
      <c r="D77" s="890">
        <v>1.1060422480308603</v>
      </c>
      <c r="E77" s="891">
        <v>1.1060422480308603</v>
      </c>
      <c r="F77" s="891">
        <v>1.1060422480308603</v>
      </c>
      <c r="G77" s="891">
        <v>1.1060422480308603</v>
      </c>
      <c r="H77" s="891">
        <v>1.1060422480308603</v>
      </c>
      <c r="I77" s="891">
        <v>1.1060422480308603</v>
      </c>
      <c r="J77" s="891">
        <v>1.1060422480308603</v>
      </c>
      <c r="K77" s="891">
        <v>1.1060422480308603</v>
      </c>
      <c r="L77" s="891">
        <v>1.1060422480308603</v>
      </c>
      <c r="M77" s="891">
        <v>1.1060422480308603</v>
      </c>
      <c r="N77" s="891">
        <v>1.1060422480308603</v>
      </c>
      <c r="O77" s="891">
        <v>1.1060422480308603</v>
      </c>
      <c r="P77" s="891">
        <v>1.1060422480308603</v>
      </c>
      <c r="Q77" s="891">
        <v>1.1060422480308603</v>
      </c>
      <c r="R77" s="891">
        <v>1.1060422480308603</v>
      </c>
      <c r="S77" s="891">
        <v>1.1060422480308603</v>
      </c>
      <c r="T77" s="891">
        <v>1.1060422480308603</v>
      </c>
      <c r="U77" s="891">
        <v>1.1060422480308603</v>
      </c>
      <c r="V77" s="891">
        <v>1.1060422480308603</v>
      </c>
      <c r="W77" s="891">
        <v>1.1060422480308603</v>
      </c>
      <c r="X77" s="891">
        <v>1.1060422480308603</v>
      </c>
      <c r="Y77" s="891">
        <v>1.1060422480308603</v>
      </c>
      <c r="Z77" s="891">
        <v>1.1060422480308603</v>
      </c>
      <c r="AA77" s="891">
        <v>1.1060422480308603</v>
      </c>
      <c r="AB77" s="891">
        <v>1.1060422480308603</v>
      </c>
      <c r="AC77" s="891">
        <v>1.1060422480308603</v>
      </c>
      <c r="AD77" s="891">
        <v>1.1060422480308603</v>
      </c>
      <c r="AE77" s="891">
        <v>1.1060422480308603</v>
      </c>
      <c r="AF77" s="891">
        <v>1.1060422480308603</v>
      </c>
      <c r="AG77" s="891">
        <v>1.1060422480308603</v>
      </c>
      <c r="AH77" s="891">
        <v>1.1060422480308603</v>
      </c>
      <c r="AI77" s="891">
        <v>1.1060422480308603</v>
      </c>
      <c r="AJ77" s="891">
        <v>1.1060422480308603</v>
      </c>
      <c r="AK77" s="891">
        <v>1.1060422480308603</v>
      </c>
      <c r="AL77" s="891">
        <v>1.1060422480308603</v>
      </c>
      <c r="AM77" s="891">
        <v>1.1060422480308603</v>
      </c>
      <c r="AN77" s="891">
        <v>1.1060422480308603</v>
      </c>
      <c r="AO77" s="891">
        <v>1.1060422480308603</v>
      </c>
      <c r="AP77" s="891">
        <v>1.1060422480308603</v>
      </c>
      <c r="AQ77" s="891">
        <v>1.1060422480308603</v>
      </c>
      <c r="AR77" s="891">
        <v>1.1060422480308603</v>
      </c>
      <c r="AS77" s="891">
        <v>1.1060422480308603</v>
      </c>
      <c r="AT77" s="891">
        <v>1.1060422480308603</v>
      </c>
      <c r="AU77" s="891">
        <v>1.1060422480308603</v>
      </c>
      <c r="AV77" s="891">
        <v>1.1060422480308603</v>
      </c>
      <c r="AW77" s="891">
        <v>1.1060422480308603</v>
      </c>
      <c r="AX77" s="891">
        <v>1.1060422480308603</v>
      </c>
      <c r="AY77" s="891">
        <v>1.1060422480308603</v>
      </c>
      <c r="AZ77" s="891">
        <v>1.1060422480308603</v>
      </c>
      <c r="BA77" s="891">
        <v>1.1060422480308603</v>
      </c>
      <c r="BB77" s="891">
        <v>1.1060422480308603</v>
      </c>
      <c r="BC77" s="891">
        <v>1.1060422480308603</v>
      </c>
      <c r="BD77" s="891">
        <v>1.1060422480308603</v>
      </c>
      <c r="BE77" s="891">
        <v>1.1060422480308603</v>
      </c>
      <c r="BF77" s="891">
        <v>1.1060422480308603</v>
      </c>
      <c r="BG77" s="891">
        <v>1.1060422480308603</v>
      </c>
      <c r="BH77" s="891">
        <v>1.1060422480308603</v>
      </c>
      <c r="BI77" s="891">
        <v>1.1060422480308603</v>
      </c>
      <c r="BJ77" s="891">
        <v>1.1060422480308603</v>
      </c>
      <c r="BK77" s="891">
        <v>1.1060422480308603</v>
      </c>
      <c r="BL77" s="891">
        <v>1.1060422480308603</v>
      </c>
      <c r="BM77" s="891">
        <v>1.1060422480308603</v>
      </c>
      <c r="BN77" s="891">
        <v>1.1060422480308603</v>
      </c>
      <c r="BO77" s="891">
        <v>1.1060422480308603</v>
      </c>
      <c r="BP77" s="891">
        <v>1.1060422480308603</v>
      </c>
      <c r="BQ77" s="891">
        <v>1.1060422480308603</v>
      </c>
      <c r="BR77" s="891">
        <v>1.1060422480308603</v>
      </c>
      <c r="BS77" s="891">
        <v>1.1060422480308603</v>
      </c>
      <c r="BT77" s="891">
        <v>1.1060422480308603</v>
      </c>
      <c r="BU77" s="891">
        <v>1.1060422480308603</v>
      </c>
      <c r="BV77" s="891">
        <v>1.1060422480308603</v>
      </c>
      <c r="BW77" s="891">
        <v>1.1060422480308603</v>
      </c>
      <c r="BX77" s="891">
        <v>1.1060422480308603</v>
      </c>
      <c r="BY77" s="891">
        <v>1.1060422480308603</v>
      </c>
      <c r="BZ77" s="891">
        <v>1.1060422480308603</v>
      </c>
      <c r="CA77" s="891">
        <v>1.1060422480308603</v>
      </c>
      <c r="CB77" s="891">
        <v>1.1060422480308603</v>
      </c>
      <c r="CC77" s="891">
        <v>1.1060422480308603</v>
      </c>
      <c r="CD77" s="891">
        <v>1.1060422480308603</v>
      </c>
      <c r="CE77" s="891">
        <v>1.1060422480308603</v>
      </c>
      <c r="CF77" s="892">
        <v>1.1060422480308603</v>
      </c>
    </row>
    <row r="78" spans="1:84">
      <c r="A78" s="852"/>
      <c r="B78" s="876" t="s">
        <v>751</v>
      </c>
      <c r="C78" s="852"/>
      <c r="D78" s="852"/>
      <c r="E78" s="852"/>
      <c r="F78" s="852"/>
      <c r="G78" s="852"/>
      <c r="H78" s="852"/>
      <c r="I78" s="852"/>
      <c r="J78" s="852"/>
      <c r="K78" s="852"/>
      <c r="L78" s="852"/>
      <c r="M78" s="852"/>
      <c r="N78" s="852"/>
      <c r="O78" s="852"/>
      <c r="P78" s="852"/>
      <c r="Q78" s="852"/>
      <c r="R78" s="852"/>
      <c r="S78" s="852"/>
      <c r="T78" s="852"/>
      <c r="U78" s="852"/>
      <c r="V78" s="852"/>
      <c r="W78" s="852"/>
      <c r="X78" s="852"/>
      <c r="Y78" s="852"/>
      <c r="Z78" s="852"/>
      <c r="AA78" s="852"/>
      <c r="AB78" s="852"/>
      <c r="AC78" s="852"/>
      <c r="AD78" s="852"/>
      <c r="AE78" s="852"/>
      <c r="AF78" s="852"/>
      <c r="AG78" s="852"/>
      <c r="AH78" s="852"/>
      <c r="AI78" s="852"/>
      <c r="AJ78" s="852"/>
      <c r="AK78" s="852"/>
      <c r="AL78" s="852"/>
      <c r="AM78" s="852"/>
      <c r="AN78" s="852"/>
      <c r="AO78" s="852"/>
      <c r="AP78" s="852"/>
      <c r="AQ78" s="852"/>
      <c r="AR78" s="852"/>
      <c r="AS78" s="852"/>
      <c r="AT78" s="852"/>
      <c r="AU78" s="852"/>
      <c r="AV78" s="852"/>
      <c r="AW78" s="852"/>
      <c r="AX78" s="852"/>
      <c r="AY78" s="852"/>
      <c r="AZ78" s="852"/>
      <c r="BA78" s="852"/>
      <c r="BB78" s="852"/>
      <c r="BC78" s="852"/>
      <c r="BD78" s="852"/>
      <c r="BE78" s="852"/>
      <c r="BF78" s="852"/>
      <c r="BG78" s="852"/>
      <c r="BH78" s="852"/>
      <c r="BI78" s="852"/>
      <c r="BJ78" s="852"/>
      <c r="BK78" s="852"/>
      <c r="BL78" s="852"/>
      <c r="BM78" s="852"/>
      <c r="BN78" s="852"/>
      <c r="BO78" s="852"/>
      <c r="BP78" s="852"/>
      <c r="BQ78" s="852"/>
      <c r="BR78" s="852"/>
      <c r="BS78" s="852"/>
      <c r="BT78" s="852"/>
      <c r="BU78" s="852"/>
      <c r="BV78" s="852"/>
      <c r="BW78" s="852"/>
      <c r="BX78" s="852"/>
      <c r="BY78" s="852"/>
      <c r="BZ78" s="852"/>
      <c r="CA78" s="852"/>
      <c r="CB78" s="852"/>
      <c r="CC78" s="852"/>
      <c r="CD78" s="852"/>
      <c r="CE78" s="852"/>
      <c r="CF78" s="852"/>
    </row>
    <row r="79" spans="1:84">
      <c r="A79" s="852"/>
      <c r="B79" s="852"/>
      <c r="C79" s="852"/>
      <c r="D79" s="852"/>
      <c r="E79" s="852"/>
      <c r="F79" s="852"/>
      <c r="G79" s="852"/>
      <c r="H79" s="852"/>
      <c r="I79" s="852"/>
      <c r="J79" s="852"/>
      <c r="K79" s="852"/>
      <c r="L79" s="852"/>
      <c r="M79" s="852"/>
      <c r="N79" s="852"/>
      <c r="O79" s="852"/>
      <c r="P79" s="852"/>
      <c r="Q79" s="852"/>
      <c r="R79" s="852"/>
      <c r="S79" s="852"/>
      <c r="T79" s="852"/>
      <c r="U79" s="852"/>
      <c r="V79" s="852"/>
      <c r="W79" s="852"/>
      <c r="X79" s="852"/>
      <c r="Y79" s="852"/>
      <c r="Z79" s="852"/>
      <c r="AA79" s="852"/>
      <c r="AB79" s="852"/>
      <c r="AC79" s="852"/>
      <c r="AD79" s="852"/>
      <c r="AE79" s="852"/>
      <c r="AF79" s="852"/>
      <c r="AG79" s="852"/>
      <c r="AH79" s="852"/>
      <c r="AI79" s="852"/>
      <c r="AJ79" s="852"/>
      <c r="AK79" s="852"/>
      <c r="AL79" s="852"/>
      <c r="AM79" s="852"/>
      <c r="AN79" s="852"/>
      <c r="AO79" s="852"/>
      <c r="AP79" s="852"/>
      <c r="AQ79" s="852"/>
      <c r="AR79" s="852"/>
      <c r="AS79" s="852"/>
      <c r="AT79" s="852"/>
      <c r="AU79" s="852"/>
      <c r="AV79" s="852"/>
      <c r="AW79" s="852"/>
      <c r="AX79" s="852"/>
      <c r="AY79" s="852"/>
      <c r="AZ79" s="852"/>
      <c r="BA79" s="852"/>
      <c r="BB79" s="852"/>
      <c r="BC79" s="852"/>
      <c r="BD79" s="852"/>
      <c r="BE79" s="852"/>
      <c r="BF79" s="852"/>
      <c r="BG79" s="852"/>
      <c r="BH79" s="852"/>
      <c r="BI79" s="852"/>
      <c r="BJ79" s="852"/>
      <c r="BK79" s="852"/>
      <c r="BL79" s="852"/>
      <c r="BM79" s="852"/>
      <c r="BN79" s="852"/>
      <c r="BO79" s="852"/>
      <c r="BP79" s="852"/>
      <c r="BQ79" s="852"/>
      <c r="BR79" s="852"/>
      <c r="BS79" s="852"/>
      <c r="BT79" s="852"/>
      <c r="BU79" s="852"/>
      <c r="BV79" s="852"/>
      <c r="BW79" s="852"/>
      <c r="BX79" s="852"/>
      <c r="BY79" s="852"/>
      <c r="BZ79" s="852"/>
      <c r="CA79" s="852"/>
      <c r="CB79" s="852"/>
      <c r="CC79" s="852"/>
      <c r="CD79" s="852"/>
      <c r="CE79" s="852"/>
      <c r="CF79" s="852"/>
    </row>
    <row r="80" spans="1:84" ht="13.8" thickBot="1">
      <c r="A80" s="852"/>
      <c r="B80" s="853" t="s">
        <v>752</v>
      </c>
      <c r="C80" s="852"/>
      <c r="D80" s="852"/>
      <c r="E80" s="852"/>
      <c r="F80" s="852"/>
      <c r="G80" s="852"/>
      <c r="H80" s="852"/>
      <c r="I80" s="883">
        <f>$I$140</f>
        <v>0</v>
      </c>
      <c r="J80" s="852" t="s">
        <v>739</v>
      </c>
      <c r="K80" s="852"/>
      <c r="L80" s="852"/>
      <c r="M80" s="852"/>
      <c r="N80" s="852"/>
      <c r="O80" s="852"/>
      <c r="P80" s="852"/>
      <c r="Q80" s="852"/>
      <c r="R80" s="852"/>
      <c r="S80" s="852"/>
      <c r="T80" s="852"/>
      <c r="U80" s="852"/>
      <c r="V80" s="852"/>
      <c r="W80" s="852"/>
      <c r="X80" s="852"/>
      <c r="Y80" s="852"/>
      <c r="Z80" s="852"/>
      <c r="AA80" s="852"/>
      <c r="AB80" s="852"/>
      <c r="AC80" s="852"/>
      <c r="AD80" s="852"/>
      <c r="AE80" s="852"/>
      <c r="AF80" s="852"/>
      <c r="AG80" s="852"/>
      <c r="AH80" s="852"/>
      <c r="AI80" s="852"/>
      <c r="AJ80" s="852"/>
      <c r="AK80" s="852"/>
      <c r="AL80" s="852"/>
      <c r="AM80" s="852"/>
      <c r="AN80" s="852"/>
      <c r="AO80" s="852"/>
      <c r="AP80" s="852"/>
      <c r="AQ80" s="852"/>
      <c r="AR80" s="852"/>
      <c r="AS80" s="852"/>
      <c r="AT80" s="852"/>
      <c r="AU80" s="852"/>
      <c r="AV80" s="852"/>
      <c r="AW80" s="852"/>
      <c r="AX80" s="852"/>
      <c r="AY80" s="852"/>
      <c r="AZ80" s="852"/>
      <c r="BA80" s="852"/>
      <c r="BB80" s="852"/>
      <c r="BC80" s="852"/>
      <c r="BD80" s="852"/>
      <c r="BE80" s="852"/>
      <c r="BF80" s="852"/>
      <c r="BG80" s="852"/>
      <c r="BH80" s="852"/>
      <c r="BI80" s="852"/>
      <c r="BJ80" s="852"/>
      <c r="BK80" s="852"/>
      <c r="BL80" s="852"/>
      <c r="BM80" s="852"/>
      <c r="BN80" s="852"/>
      <c r="BO80" s="852"/>
      <c r="BP80" s="852"/>
      <c r="BQ80" s="852"/>
      <c r="BR80" s="852"/>
      <c r="BS80" s="852"/>
      <c r="BT80" s="852"/>
      <c r="BU80" s="852"/>
      <c r="BV80" s="852"/>
      <c r="BW80" s="852"/>
      <c r="BX80" s="852"/>
      <c r="BY80" s="852"/>
      <c r="BZ80" s="852"/>
      <c r="CA80" s="852"/>
      <c r="CB80" s="852"/>
      <c r="CC80" s="852"/>
      <c r="CD80" s="852"/>
      <c r="CE80" s="852"/>
      <c r="CF80" s="852"/>
    </row>
    <row r="81" spans="1:84">
      <c r="A81" s="852"/>
      <c r="B81" s="856" t="s">
        <v>740</v>
      </c>
      <c r="C81" s="857"/>
      <c r="D81" s="858">
        <v>2010</v>
      </c>
      <c r="E81" s="858">
        <v>2011</v>
      </c>
      <c r="F81" s="858">
        <v>2012</v>
      </c>
      <c r="G81" s="858">
        <v>2013</v>
      </c>
      <c r="H81" s="858">
        <v>2014</v>
      </c>
      <c r="I81" s="858">
        <v>2015</v>
      </c>
      <c r="J81" s="858">
        <v>2016</v>
      </c>
      <c r="K81" s="858">
        <v>2017</v>
      </c>
      <c r="L81" s="858">
        <v>2018</v>
      </c>
      <c r="M81" s="858">
        <v>2019</v>
      </c>
      <c r="N81" s="858">
        <v>2020</v>
      </c>
      <c r="O81" s="858">
        <v>2021</v>
      </c>
      <c r="P81" s="858">
        <v>2022</v>
      </c>
      <c r="Q81" s="858">
        <v>2023</v>
      </c>
      <c r="R81" s="858">
        <v>2024</v>
      </c>
      <c r="S81" s="858">
        <v>2025</v>
      </c>
      <c r="T81" s="858">
        <v>2026</v>
      </c>
      <c r="U81" s="858">
        <v>2027</v>
      </c>
      <c r="V81" s="858">
        <v>2028</v>
      </c>
      <c r="W81" s="858">
        <v>2029</v>
      </c>
      <c r="X81" s="858">
        <v>2030</v>
      </c>
      <c r="Y81" s="858">
        <v>2031</v>
      </c>
      <c r="Z81" s="858">
        <v>2032</v>
      </c>
      <c r="AA81" s="858">
        <v>2033</v>
      </c>
      <c r="AB81" s="858">
        <v>2034</v>
      </c>
      <c r="AC81" s="858">
        <v>2035</v>
      </c>
      <c r="AD81" s="858">
        <v>2036</v>
      </c>
      <c r="AE81" s="858">
        <v>2037</v>
      </c>
      <c r="AF81" s="858">
        <v>2038</v>
      </c>
      <c r="AG81" s="858">
        <v>2039</v>
      </c>
      <c r="AH81" s="858">
        <v>2040</v>
      </c>
      <c r="AI81" s="858">
        <v>2041</v>
      </c>
      <c r="AJ81" s="858">
        <v>2042</v>
      </c>
      <c r="AK81" s="858">
        <v>2043</v>
      </c>
      <c r="AL81" s="858">
        <v>2044</v>
      </c>
      <c r="AM81" s="858">
        <v>2045</v>
      </c>
      <c r="AN81" s="858">
        <v>2046</v>
      </c>
      <c r="AO81" s="858">
        <v>2047</v>
      </c>
      <c r="AP81" s="858">
        <v>2048</v>
      </c>
      <c r="AQ81" s="858">
        <v>2049</v>
      </c>
      <c r="AR81" s="858">
        <v>2050</v>
      </c>
      <c r="AS81" s="858">
        <v>2051</v>
      </c>
      <c r="AT81" s="858">
        <v>2052</v>
      </c>
      <c r="AU81" s="858">
        <v>2053</v>
      </c>
      <c r="AV81" s="858">
        <v>2054</v>
      </c>
      <c r="AW81" s="858">
        <v>2055</v>
      </c>
      <c r="AX81" s="858">
        <v>2056</v>
      </c>
      <c r="AY81" s="858">
        <v>2057</v>
      </c>
      <c r="AZ81" s="858">
        <v>2058</v>
      </c>
      <c r="BA81" s="858">
        <v>2059</v>
      </c>
      <c r="BB81" s="858">
        <v>2060</v>
      </c>
      <c r="BC81" s="858">
        <v>2061</v>
      </c>
      <c r="BD81" s="858">
        <v>2062</v>
      </c>
      <c r="BE81" s="858">
        <v>2063</v>
      </c>
      <c r="BF81" s="858">
        <v>2064</v>
      </c>
      <c r="BG81" s="858">
        <v>2065</v>
      </c>
      <c r="BH81" s="858">
        <v>2066</v>
      </c>
      <c r="BI81" s="858">
        <v>2067</v>
      </c>
      <c r="BJ81" s="858">
        <v>2068</v>
      </c>
      <c r="BK81" s="858">
        <v>2069</v>
      </c>
      <c r="BL81" s="858">
        <v>2070</v>
      </c>
      <c r="BM81" s="858">
        <v>2071</v>
      </c>
      <c r="BN81" s="858">
        <v>2072</v>
      </c>
      <c r="BO81" s="858">
        <v>2073</v>
      </c>
      <c r="BP81" s="858">
        <v>2074</v>
      </c>
      <c r="BQ81" s="858">
        <v>2075</v>
      </c>
      <c r="BR81" s="858">
        <v>2076</v>
      </c>
      <c r="BS81" s="858">
        <v>2077</v>
      </c>
      <c r="BT81" s="858">
        <v>2078</v>
      </c>
      <c r="BU81" s="858">
        <v>2079</v>
      </c>
      <c r="BV81" s="858">
        <v>2080</v>
      </c>
      <c r="BW81" s="858">
        <v>2081</v>
      </c>
      <c r="BX81" s="858">
        <v>2082</v>
      </c>
      <c r="BY81" s="858">
        <v>2083</v>
      </c>
      <c r="BZ81" s="858">
        <v>2084</v>
      </c>
      <c r="CA81" s="858">
        <v>2085</v>
      </c>
      <c r="CB81" s="858">
        <v>2086</v>
      </c>
      <c r="CC81" s="858">
        <v>2087</v>
      </c>
      <c r="CD81" s="858">
        <v>2088</v>
      </c>
      <c r="CE81" s="858">
        <v>2089</v>
      </c>
      <c r="CF81" s="859">
        <v>2090</v>
      </c>
    </row>
    <row r="82" spans="1:84">
      <c r="A82" s="852"/>
      <c r="B82" s="860" t="str">
        <f>CONCATENATE("Drivmiddel (", $D$122,"-priser)")</f>
        <v>Drivmiddel (-priser)</v>
      </c>
      <c r="C82" s="885" t="s">
        <v>741</v>
      </c>
      <c r="D82" s="893" t="e">
        <f t="shared" ref="D82" si="810">D3/#REF!*#REF!</f>
        <v>#REF!</v>
      </c>
      <c r="E82" s="893" t="e">
        <f t="shared" ref="E82" si="811">E3/#REF!*#REF!</f>
        <v>#REF!</v>
      </c>
      <c r="F82" s="893" t="e">
        <f t="shared" ref="F82" si="812">F3/#REF!*#REF!</f>
        <v>#REF!</v>
      </c>
      <c r="G82" s="893" t="e">
        <f t="shared" ref="G82" si="813">G3/#REF!*#REF!</f>
        <v>#REF!</v>
      </c>
      <c r="H82" s="893" t="e">
        <f t="shared" ref="H82" si="814">H3/#REF!*#REF!</f>
        <v>#REF!</v>
      </c>
      <c r="I82" s="893" t="e">
        <f t="shared" ref="I82" si="815">I3/#REF!*#REF!</f>
        <v>#REF!</v>
      </c>
      <c r="J82" s="893" t="e">
        <f t="shared" ref="J82" si="816">J3/#REF!*#REF!</f>
        <v>#REF!</v>
      </c>
      <c r="K82" s="893" t="e">
        <f t="shared" ref="K82" si="817">K3/#REF!*#REF!</f>
        <v>#REF!</v>
      </c>
      <c r="L82" s="893" t="e">
        <f t="shared" ref="L82" si="818">L3/#REF!*#REF!</f>
        <v>#REF!</v>
      </c>
      <c r="M82" s="893" t="e">
        <f t="shared" ref="M82" si="819">M3/#REF!*#REF!</f>
        <v>#REF!</v>
      </c>
      <c r="N82" s="893" t="e">
        <f t="shared" ref="N82" si="820">N3/#REF!*#REF!</f>
        <v>#REF!</v>
      </c>
      <c r="O82" s="893" t="e">
        <f t="shared" ref="O82" si="821">O3/#REF!*#REF!</f>
        <v>#REF!</v>
      </c>
      <c r="P82" s="893" t="e">
        <f t="shared" ref="P82" si="822">P3/#REF!*#REF!</f>
        <v>#REF!</v>
      </c>
      <c r="Q82" s="893" t="e">
        <f t="shared" ref="Q82" si="823">Q3/#REF!*#REF!</f>
        <v>#REF!</v>
      </c>
      <c r="R82" s="893" t="e">
        <f t="shared" ref="R82" si="824">R3/#REF!*#REF!</f>
        <v>#REF!</v>
      </c>
      <c r="S82" s="893" t="e">
        <f t="shared" ref="S82" si="825">S3/#REF!*#REF!</f>
        <v>#REF!</v>
      </c>
      <c r="T82" s="893" t="e">
        <f t="shared" ref="T82" si="826">T3/#REF!*#REF!</f>
        <v>#REF!</v>
      </c>
      <c r="U82" s="893" t="e">
        <f t="shared" ref="U82" si="827">U3/#REF!*#REF!</f>
        <v>#REF!</v>
      </c>
      <c r="V82" s="893" t="e">
        <f t="shared" ref="V82" si="828">V3/#REF!*#REF!</f>
        <v>#REF!</v>
      </c>
      <c r="W82" s="893" t="e">
        <f t="shared" ref="W82" si="829">W3/#REF!*#REF!</f>
        <v>#REF!</v>
      </c>
      <c r="X82" s="893" t="e">
        <f t="shared" ref="X82" si="830">X3/#REF!*#REF!</f>
        <v>#REF!</v>
      </c>
      <c r="Y82" s="893" t="e">
        <f t="shared" ref="Y82" si="831">Y3/#REF!*#REF!</f>
        <v>#REF!</v>
      </c>
      <c r="Z82" s="893" t="e">
        <f t="shared" ref="Z82" si="832">Z3/#REF!*#REF!</f>
        <v>#REF!</v>
      </c>
      <c r="AA82" s="893" t="e">
        <f t="shared" ref="AA82" si="833">AA3/#REF!*#REF!</f>
        <v>#REF!</v>
      </c>
      <c r="AB82" s="893" t="e">
        <f t="shared" ref="AB82" si="834">AB3/#REF!*#REF!</f>
        <v>#REF!</v>
      </c>
      <c r="AC82" s="893" t="e">
        <f t="shared" ref="AC82" si="835">AC3/#REF!*#REF!</f>
        <v>#REF!</v>
      </c>
      <c r="AD82" s="893" t="e">
        <f t="shared" ref="AD82" si="836">AD3/#REF!*#REF!</f>
        <v>#REF!</v>
      </c>
      <c r="AE82" s="893" t="e">
        <f t="shared" ref="AE82" si="837">AE3/#REF!*#REF!</f>
        <v>#REF!</v>
      </c>
      <c r="AF82" s="893" t="e">
        <f t="shared" ref="AF82" si="838">AF3/#REF!*#REF!</f>
        <v>#REF!</v>
      </c>
      <c r="AG82" s="893" t="e">
        <f t="shared" ref="AG82" si="839">AG3/#REF!*#REF!</f>
        <v>#REF!</v>
      </c>
      <c r="AH82" s="893" t="e">
        <f t="shared" ref="AH82" si="840">AH3/#REF!*#REF!</f>
        <v>#REF!</v>
      </c>
      <c r="AI82" s="893" t="e">
        <f t="shared" ref="AI82" si="841">AI3/#REF!*#REF!</f>
        <v>#REF!</v>
      </c>
      <c r="AJ82" s="893" t="e">
        <f t="shared" ref="AJ82" si="842">AJ3/#REF!*#REF!</f>
        <v>#REF!</v>
      </c>
      <c r="AK82" s="893" t="e">
        <f t="shared" ref="AK82" si="843">AK3/#REF!*#REF!</f>
        <v>#REF!</v>
      </c>
      <c r="AL82" s="893" t="e">
        <f t="shared" ref="AL82" si="844">AL3/#REF!*#REF!</f>
        <v>#REF!</v>
      </c>
      <c r="AM82" s="893" t="e">
        <f t="shared" ref="AM82" si="845">AM3/#REF!*#REF!</f>
        <v>#REF!</v>
      </c>
      <c r="AN82" s="893" t="e">
        <f t="shared" ref="AN82" si="846">AN3/#REF!*#REF!</f>
        <v>#REF!</v>
      </c>
      <c r="AO82" s="893" t="e">
        <f t="shared" ref="AO82" si="847">AO3/#REF!*#REF!</f>
        <v>#REF!</v>
      </c>
      <c r="AP82" s="893" t="e">
        <f t="shared" ref="AP82" si="848">AP3/#REF!*#REF!</f>
        <v>#REF!</v>
      </c>
      <c r="AQ82" s="893" t="e">
        <f t="shared" ref="AQ82" si="849">AQ3/#REF!*#REF!</f>
        <v>#REF!</v>
      </c>
      <c r="AR82" s="893" t="e">
        <f t="shared" ref="AR82" si="850">AR3/#REF!*#REF!</f>
        <v>#REF!</v>
      </c>
      <c r="AS82" s="893" t="e">
        <f t="shared" ref="AS82" si="851">AS3/#REF!*#REF!</f>
        <v>#REF!</v>
      </c>
      <c r="AT82" s="893" t="e">
        <f t="shared" ref="AT82" si="852">AT3/#REF!*#REF!</f>
        <v>#REF!</v>
      </c>
      <c r="AU82" s="893" t="e">
        <f t="shared" ref="AU82" si="853">AU3/#REF!*#REF!</f>
        <v>#REF!</v>
      </c>
      <c r="AV82" s="893" t="e">
        <f t="shared" ref="AV82" si="854">AV3/#REF!*#REF!</f>
        <v>#REF!</v>
      </c>
      <c r="AW82" s="893" t="e">
        <f t="shared" ref="AW82" si="855">AW3/#REF!*#REF!</f>
        <v>#REF!</v>
      </c>
      <c r="AX82" s="893" t="e">
        <f t="shared" ref="AX82" si="856">AX3/#REF!*#REF!</f>
        <v>#REF!</v>
      </c>
      <c r="AY82" s="893" t="e">
        <f t="shared" ref="AY82" si="857">AY3/#REF!*#REF!</f>
        <v>#REF!</v>
      </c>
      <c r="AZ82" s="893" t="e">
        <f t="shared" ref="AZ82" si="858">AZ3/#REF!*#REF!</f>
        <v>#REF!</v>
      </c>
      <c r="BA82" s="893" t="e">
        <f t="shared" ref="BA82" si="859">BA3/#REF!*#REF!</f>
        <v>#REF!</v>
      </c>
      <c r="BB82" s="893" t="e">
        <f t="shared" ref="BB82" si="860">BB3/#REF!*#REF!</f>
        <v>#REF!</v>
      </c>
      <c r="BC82" s="893" t="e">
        <f t="shared" ref="BC82" si="861">BC3/#REF!*#REF!</f>
        <v>#REF!</v>
      </c>
      <c r="BD82" s="893" t="e">
        <f t="shared" ref="BD82" si="862">BD3/#REF!*#REF!</f>
        <v>#REF!</v>
      </c>
      <c r="BE82" s="893" t="e">
        <f t="shared" ref="BE82" si="863">BE3/#REF!*#REF!</f>
        <v>#REF!</v>
      </c>
      <c r="BF82" s="893" t="e">
        <f t="shared" ref="BF82" si="864">BF3/#REF!*#REF!</f>
        <v>#REF!</v>
      </c>
      <c r="BG82" s="893" t="e">
        <f t="shared" ref="BG82" si="865">BG3/#REF!*#REF!</f>
        <v>#REF!</v>
      </c>
      <c r="BH82" s="893" t="e">
        <f t="shared" ref="BH82" si="866">BH3/#REF!*#REF!</f>
        <v>#REF!</v>
      </c>
      <c r="BI82" s="893" t="e">
        <f t="shared" ref="BI82" si="867">BI3/#REF!*#REF!</f>
        <v>#REF!</v>
      </c>
      <c r="BJ82" s="893" t="e">
        <f t="shared" ref="BJ82" si="868">BJ3/#REF!*#REF!</f>
        <v>#REF!</v>
      </c>
      <c r="BK82" s="893" t="e">
        <f t="shared" ref="BK82" si="869">BK3/#REF!*#REF!</f>
        <v>#REF!</v>
      </c>
      <c r="BL82" s="893" t="e">
        <f t="shared" ref="BL82" si="870">BL3/#REF!*#REF!</f>
        <v>#REF!</v>
      </c>
      <c r="BM82" s="893" t="e">
        <f t="shared" ref="BM82" si="871">BM3/#REF!*#REF!</f>
        <v>#REF!</v>
      </c>
      <c r="BN82" s="893" t="e">
        <f t="shared" ref="BN82" si="872">BN3/#REF!*#REF!</f>
        <v>#REF!</v>
      </c>
      <c r="BO82" s="893" t="e">
        <f t="shared" ref="BO82" si="873">BO3/#REF!*#REF!</f>
        <v>#REF!</v>
      </c>
      <c r="BP82" s="893" t="e">
        <f t="shared" ref="BP82" si="874">BP3/#REF!*#REF!</f>
        <v>#REF!</v>
      </c>
      <c r="BQ82" s="893" t="e">
        <f t="shared" ref="BQ82" si="875">BQ3/#REF!*#REF!</f>
        <v>#REF!</v>
      </c>
      <c r="BR82" s="893" t="e">
        <f t="shared" ref="BR82" si="876">BR3/#REF!*#REF!</f>
        <v>#REF!</v>
      </c>
      <c r="BS82" s="893" t="e">
        <f t="shared" ref="BS82" si="877">BS3/#REF!*#REF!</f>
        <v>#REF!</v>
      </c>
      <c r="BT82" s="893" t="e">
        <f t="shared" ref="BT82" si="878">BT3/#REF!*#REF!</f>
        <v>#REF!</v>
      </c>
      <c r="BU82" s="893" t="e">
        <f t="shared" ref="BU82" si="879">BU3/#REF!*#REF!</f>
        <v>#REF!</v>
      </c>
      <c r="BV82" s="893" t="e">
        <f t="shared" ref="BV82" si="880">BV3/#REF!*#REF!</f>
        <v>#REF!</v>
      </c>
      <c r="BW82" s="893" t="e">
        <f t="shared" ref="BW82" si="881">BW3/#REF!*#REF!</f>
        <v>#REF!</v>
      </c>
      <c r="BX82" s="893" t="e">
        <f t="shared" ref="BX82" si="882">BX3/#REF!*#REF!</f>
        <v>#REF!</v>
      </c>
      <c r="BY82" s="893" t="e">
        <f t="shared" ref="BY82" si="883">BY3/#REF!*#REF!</f>
        <v>#REF!</v>
      </c>
      <c r="BZ82" s="893" t="e">
        <f t="shared" ref="BZ82" si="884">BZ3/#REF!*#REF!</f>
        <v>#REF!</v>
      </c>
      <c r="CA82" s="893" t="e">
        <f t="shared" ref="CA82" si="885">CA3/#REF!*#REF!</f>
        <v>#REF!</v>
      </c>
      <c r="CB82" s="893" t="e">
        <f t="shared" ref="CB82" si="886">CB3/#REF!*#REF!</f>
        <v>#REF!</v>
      </c>
      <c r="CC82" s="893" t="e">
        <f t="shared" ref="CC82" si="887">CC3/#REF!*#REF!</f>
        <v>#REF!</v>
      </c>
      <c r="CD82" s="893" t="e">
        <f t="shared" ref="CD82" si="888">CD3/#REF!*#REF!</f>
        <v>#REF!</v>
      </c>
      <c r="CE82" s="893" t="e">
        <f t="shared" ref="CE82" si="889">CE3/#REF!*#REF!</f>
        <v>#REF!</v>
      </c>
      <c r="CF82" s="894" t="e">
        <f t="shared" ref="CF82" si="890">CF3/#REF!*#REF!</f>
        <v>#REF!</v>
      </c>
    </row>
    <row r="83" spans="1:84">
      <c r="A83" s="852"/>
      <c r="B83" s="860" t="s">
        <v>151</v>
      </c>
      <c r="C83" s="885" t="s">
        <v>741</v>
      </c>
      <c r="D83" s="886">
        <v>2.3590386728984565E-2</v>
      </c>
      <c r="E83" s="886">
        <v>2.3590386728984565E-2</v>
      </c>
      <c r="F83" s="886">
        <v>2.3590386728984565E-2</v>
      </c>
      <c r="G83" s="886">
        <v>2.3590386728984565E-2</v>
      </c>
      <c r="H83" s="886">
        <v>2.3590386728984565E-2</v>
      </c>
      <c r="I83" s="886">
        <v>2.3590386728984565E-2</v>
      </c>
      <c r="J83" s="886">
        <v>2.3590386728984565E-2</v>
      </c>
      <c r="K83" s="886">
        <v>2.3590386728984565E-2</v>
      </c>
      <c r="L83" s="886">
        <v>2.3590386728984565E-2</v>
      </c>
      <c r="M83" s="886">
        <v>2.3590386728984565E-2</v>
      </c>
      <c r="N83" s="886">
        <v>2.3590386728984565E-2</v>
      </c>
      <c r="O83" s="886">
        <v>2.3590386728984565E-2</v>
      </c>
      <c r="P83" s="886">
        <v>2.3590386728984565E-2</v>
      </c>
      <c r="Q83" s="886">
        <v>2.3590386728984565E-2</v>
      </c>
      <c r="R83" s="886">
        <v>2.3590386728984565E-2</v>
      </c>
      <c r="S83" s="886">
        <v>2.3590386728984565E-2</v>
      </c>
      <c r="T83" s="886">
        <v>2.3590386728984565E-2</v>
      </c>
      <c r="U83" s="886">
        <v>2.3590386728984565E-2</v>
      </c>
      <c r="V83" s="886">
        <v>2.3590386728984565E-2</v>
      </c>
      <c r="W83" s="886">
        <v>2.3590386728984565E-2</v>
      </c>
      <c r="X83" s="886">
        <v>2.3590386728984565E-2</v>
      </c>
      <c r="Y83" s="886">
        <v>2.3590386728984565E-2</v>
      </c>
      <c r="Z83" s="886">
        <v>2.3590386728984565E-2</v>
      </c>
      <c r="AA83" s="886">
        <v>2.3590386728984565E-2</v>
      </c>
      <c r="AB83" s="886">
        <v>2.3590386728984565E-2</v>
      </c>
      <c r="AC83" s="886">
        <v>2.3590386728984565E-2</v>
      </c>
      <c r="AD83" s="886">
        <v>2.3590386728984565E-2</v>
      </c>
      <c r="AE83" s="886">
        <v>2.3590386728984565E-2</v>
      </c>
      <c r="AF83" s="886">
        <v>2.3590386728984565E-2</v>
      </c>
      <c r="AG83" s="886">
        <v>2.3590386728984565E-2</v>
      </c>
      <c r="AH83" s="886">
        <v>2.3590386728984565E-2</v>
      </c>
      <c r="AI83" s="886">
        <v>2.3590386728984565E-2</v>
      </c>
      <c r="AJ83" s="886">
        <v>2.3590386728984565E-2</v>
      </c>
      <c r="AK83" s="886">
        <v>2.3590386728984565E-2</v>
      </c>
      <c r="AL83" s="886">
        <v>2.3590386728984565E-2</v>
      </c>
      <c r="AM83" s="886">
        <v>2.3590386728984565E-2</v>
      </c>
      <c r="AN83" s="886">
        <v>2.3590386728984565E-2</v>
      </c>
      <c r="AO83" s="886">
        <v>2.3590386728984565E-2</v>
      </c>
      <c r="AP83" s="886">
        <v>2.3590386728984565E-2</v>
      </c>
      <c r="AQ83" s="886">
        <v>2.3590386728984565E-2</v>
      </c>
      <c r="AR83" s="886">
        <v>2.3590386728984565E-2</v>
      </c>
      <c r="AS83" s="886">
        <v>2.3590386728984565E-2</v>
      </c>
      <c r="AT83" s="886">
        <v>2.3590386728984565E-2</v>
      </c>
      <c r="AU83" s="886">
        <v>2.3590386728984565E-2</v>
      </c>
      <c r="AV83" s="886">
        <v>2.3590386728984565E-2</v>
      </c>
      <c r="AW83" s="886">
        <v>2.3590386728984565E-2</v>
      </c>
      <c r="AX83" s="886">
        <v>2.3590386728984565E-2</v>
      </c>
      <c r="AY83" s="886">
        <v>2.3590386728984565E-2</v>
      </c>
      <c r="AZ83" s="886">
        <v>2.3590386728984565E-2</v>
      </c>
      <c r="BA83" s="886">
        <v>2.3590386728984565E-2</v>
      </c>
      <c r="BB83" s="886">
        <v>2.3590386728984565E-2</v>
      </c>
      <c r="BC83" s="886">
        <v>2.3590386728984565E-2</v>
      </c>
      <c r="BD83" s="886">
        <v>2.3590386728984565E-2</v>
      </c>
      <c r="BE83" s="886">
        <v>2.3590386728984565E-2</v>
      </c>
      <c r="BF83" s="886">
        <v>2.3590386728984565E-2</v>
      </c>
      <c r="BG83" s="886">
        <v>2.3590386728984565E-2</v>
      </c>
      <c r="BH83" s="886">
        <v>2.3590386728984565E-2</v>
      </c>
      <c r="BI83" s="886">
        <v>2.3590386728984565E-2</v>
      </c>
      <c r="BJ83" s="886">
        <v>2.3590386728984565E-2</v>
      </c>
      <c r="BK83" s="886">
        <v>2.3590386728984565E-2</v>
      </c>
      <c r="BL83" s="886">
        <v>2.3590386728984565E-2</v>
      </c>
      <c r="BM83" s="886">
        <v>2.3590386728984565E-2</v>
      </c>
      <c r="BN83" s="886">
        <v>2.3590386728984565E-2</v>
      </c>
      <c r="BO83" s="886">
        <v>2.3590386728984565E-2</v>
      </c>
      <c r="BP83" s="886">
        <v>2.3590386728984565E-2</v>
      </c>
      <c r="BQ83" s="886">
        <v>2.3590386728984565E-2</v>
      </c>
      <c r="BR83" s="886">
        <v>2.3590386728984565E-2</v>
      </c>
      <c r="BS83" s="886">
        <v>2.3590386728984565E-2</v>
      </c>
      <c r="BT83" s="886">
        <v>2.3590386728984565E-2</v>
      </c>
      <c r="BU83" s="886">
        <v>2.3590386728984565E-2</v>
      </c>
      <c r="BV83" s="886">
        <v>2.3590386728984565E-2</v>
      </c>
      <c r="BW83" s="886">
        <v>2.3590386728984565E-2</v>
      </c>
      <c r="BX83" s="886">
        <v>2.3590386728984565E-2</v>
      </c>
      <c r="BY83" s="886">
        <v>2.3590386728984565E-2</v>
      </c>
      <c r="BZ83" s="886">
        <v>2.3590386728984565E-2</v>
      </c>
      <c r="CA83" s="886">
        <v>2.3590386728984565E-2</v>
      </c>
      <c r="CB83" s="886">
        <v>2.3590386728984565E-2</v>
      </c>
      <c r="CC83" s="886">
        <v>2.3590386728984565E-2</v>
      </c>
      <c r="CD83" s="886">
        <v>2.3590386728984565E-2</v>
      </c>
      <c r="CE83" s="886">
        <v>2.3590386728984565E-2</v>
      </c>
      <c r="CF83" s="887">
        <v>2.3590386728984565E-2</v>
      </c>
    </row>
    <row r="84" spans="1:84">
      <c r="A84" s="852"/>
      <c r="B84" s="860" t="s">
        <v>742</v>
      </c>
      <c r="C84" s="885" t="s">
        <v>741</v>
      </c>
      <c r="D84" s="886">
        <v>7.6171672239444432E-2</v>
      </c>
      <c r="E84" s="886">
        <v>7.6171672239444432E-2</v>
      </c>
      <c r="F84" s="886">
        <v>7.6171672239444432E-2</v>
      </c>
      <c r="G84" s="886">
        <v>7.6171672239444432E-2</v>
      </c>
      <c r="H84" s="886">
        <v>7.6171672239444432E-2</v>
      </c>
      <c r="I84" s="886">
        <v>7.6171672239444432E-2</v>
      </c>
      <c r="J84" s="886">
        <v>7.6171672239444432E-2</v>
      </c>
      <c r="K84" s="886">
        <v>7.6171672239444432E-2</v>
      </c>
      <c r="L84" s="886">
        <v>7.6171672239444432E-2</v>
      </c>
      <c r="M84" s="886">
        <v>7.6171672239444432E-2</v>
      </c>
      <c r="N84" s="886">
        <v>7.6171672239444432E-2</v>
      </c>
      <c r="O84" s="886">
        <v>7.6171672239444432E-2</v>
      </c>
      <c r="P84" s="886">
        <v>7.6171672239444432E-2</v>
      </c>
      <c r="Q84" s="886">
        <v>7.6171672239444432E-2</v>
      </c>
      <c r="R84" s="886">
        <v>7.6171672239444432E-2</v>
      </c>
      <c r="S84" s="886">
        <v>7.6171672239444432E-2</v>
      </c>
      <c r="T84" s="886">
        <v>7.6171672239444432E-2</v>
      </c>
      <c r="U84" s="886">
        <v>7.6171672239444432E-2</v>
      </c>
      <c r="V84" s="886">
        <v>7.6171672239444432E-2</v>
      </c>
      <c r="W84" s="886">
        <v>7.6171672239444432E-2</v>
      </c>
      <c r="X84" s="886">
        <v>7.6171672239444432E-2</v>
      </c>
      <c r="Y84" s="886">
        <v>7.6171672239444432E-2</v>
      </c>
      <c r="Z84" s="886">
        <v>7.6171672239444432E-2</v>
      </c>
      <c r="AA84" s="886">
        <v>7.6171672239444432E-2</v>
      </c>
      <c r="AB84" s="886">
        <v>7.6171672239444432E-2</v>
      </c>
      <c r="AC84" s="886">
        <v>7.6171672239444432E-2</v>
      </c>
      <c r="AD84" s="886">
        <v>7.6171672239444432E-2</v>
      </c>
      <c r="AE84" s="886">
        <v>7.6171672239444432E-2</v>
      </c>
      <c r="AF84" s="886">
        <v>7.6171672239444432E-2</v>
      </c>
      <c r="AG84" s="886">
        <v>7.6171672239444432E-2</v>
      </c>
      <c r="AH84" s="886">
        <v>7.6171672239444432E-2</v>
      </c>
      <c r="AI84" s="886">
        <v>7.6171672239444432E-2</v>
      </c>
      <c r="AJ84" s="886">
        <v>7.6171672239444432E-2</v>
      </c>
      <c r="AK84" s="886">
        <v>7.6171672239444432E-2</v>
      </c>
      <c r="AL84" s="886">
        <v>7.6171672239444432E-2</v>
      </c>
      <c r="AM84" s="886">
        <v>7.6171672239444432E-2</v>
      </c>
      <c r="AN84" s="886">
        <v>7.6171672239444432E-2</v>
      </c>
      <c r="AO84" s="886">
        <v>7.6171672239444432E-2</v>
      </c>
      <c r="AP84" s="886">
        <v>7.6171672239444432E-2</v>
      </c>
      <c r="AQ84" s="886">
        <v>7.6171672239444432E-2</v>
      </c>
      <c r="AR84" s="886">
        <v>7.6171672239444432E-2</v>
      </c>
      <c r="AS84" s="886">
        <v>7.6171672239444432E-2</v>
      </c>
      <c r="AT84" s="886">
        <v>7.6171672239444432E-2</v>
      </c>
      <c r="AU84" s="886">
        <v>7.6171672239444432E-2</v>
      </c>
      <c r="AV84" s="886">
        <v>7.6171672239444432E-2</v>
      </c>
      <c r="AW84" s="886">
        <v>7.6171672239444432E-2</v>
      </c>
      <c r="AX84" s="886">
        <v>7.6171672239444432E-2</v>
      </c>
      <c r="AY84" s="886">
        <v>7.6171672239444432E-2</v>
      </c>
      <c r="AZ84" s="886">
        <v>7.6171672239444432E-2</v>
      </c>
      <c r="BA84" s="886">
        <v>7.6171672239444432E-2</v>
      </c>
      <c r="BB84" s="886">
        <v>7.6171672239444432E-2</v>
      </c>
      <c r="BC84" s="886">
        <v>7.6171672239444432E-2</v>
      </c>
      <c r="BD84" s="886">
        <v>7.6171672239444432E-2</v>
      </c>
      <c r="BE84" s="886">
        <v>7.6171672239444432E-2</v>
      </c>
      <c r="BF84" s="886">
        <v>7.6171672239444432E-2</v>
      </c>
      <c r="BG84" s="886">
        <v>7.6171672239444432E-2</v>
      </c>
      <c r="BH84" s="886">
        <v>7.6171672239444432E-2</v>
      </c>
      <c r="BI84" s="886">
        <v>7.6171672239444432E-2</v>
      </c>
      <c r="BJ84" s="886">
        <v>7.6171672239444432E-2</v>
      </c>
      <c r="BK84" s="886">
        <v>7.6171672239444432E-2</v>
      </c>
      <c r="BL84" s="886">
        <v>7.6171672239444432E-2</v>
      </c>
      <c r="BM84" s="886">
        <v>7.6171672239444432E-2</v>
      </c>
      <c r="BN84" s="886">
        <v>7.6171672239444432E-2</v>
      </c>
      <c r="BO84" s="886">
        <v>7.6171672239444432E-2</v>
      </c>
      <c r="BP84" s="886">
        <v>7.6171672239444432E-2</v>
      </c>
      <c r="BQ84" s="886">
        <v>7.6171672239444432E-2</v>
      </c>
      <c r="BR84" s="886">
        <v>7.6171672239444432E-2</v>
      </c>
      <c r="BS84" s="886">
        <v>7.6171672239444432E-2</v>
      </c>
      <c r="BT84" s="886">
        <v>7.6171672239444432E-2</v>
      </c>
      <c r="BU84" s="886">
        <v>7.6171672239444432E-2</v>
      </c>
      <c r="BV84" s="886">
        <v>7.6171672239444432E-2</v>
      </c>
      <c r="BW84" s="886">
        <v>7.6171672239444432E-2</v>
      </c>
      <c r="BX84" s="886">
        <v>7.6171672239444432E-2</v>
      </c>
      <c r="BY84" s="886">
        <v>7.6171672239444432E-2</v>
      </c>
      <c r="BZ84" s="886">
        <v>7.6171672239444432E-2</v>
      </c>
      <c r="CA84" s="886">
        <v>7.6171672239444432E-2</v>
      </c>
      <c r="CB84" s="886">
        <v>7.6171672239444432E-2</v>
      </c>
      <c r="CC84" s="886">
        <v>7.6171672239444432E-2</v>
      </c>
      <c r="CD84" s="886">
        <v>7.6171672239444432E-2</v>
      </c>
      <c r="CE84" s="886">
        <v>7.6171672239444432E-2</v>
      </c>
      <c r="CF84" s="887">
        <v>7.6171672239444432E-2</v>
      </c>
    </row>
    <row r="85" spans="1:84">
      <c r="A85" s="852"/>
      <c r="B85" s="860" t="s">
        <v>743</v>
      </c>
      <c r="C85" s="885" t="s">
        <v>741</v>
      </c>
      <c r="D85" s="886">
        <v>0.28749715090697858</v>
      </c>
      <c r="E85" s="886">
        <v>0.28749715090697858</v>
      </c>
      <c r="F85" s="886">
        <v>0.28749715090697858</v>
      </c>
      <c r="G85" s="886">
        <v>0.28749715090697858</v>
      </c>
      <c r="H85" s="886">
        <v>0.28749715090697858</v>
      </c>
      <c r="I85" s="886">
        <v>0.28749715090697858</v>
      </c>
      <c r="J85" s="886">
        <v>0.28749715090697858</v>
      </c>
      <c r="K85" s="886">
        <v>0.28749715090697858</v>
      </c>
      <c r="L85" s="886">
        <v>0.28749715090697858</v>
      </c>
      <c r="M85" s="886">
        <v>0.28749715090697858</v>
      </c>
      <c r="N85" s="886">
        <v>0.28749715090697858</v>
      </c>
      <c r="O85" s="886">
        <v>0.28749715090697858</v>
      </c>
      <c r="P85" s="886">
        <v>0.28749715090697858</v>
      </c>
      <c r="Q85" s="886">
        <v>0.28749715090697858</v>
      </c>
      <c r="R85" s="886">
        <v>0.28749715090697858</v>
      </c>
      <c r="S85" s="886">
        <v>0.28749715090697858</v>
      </c>
      <c r="T85" s="886">
        <v>0.28749715090697858</v>
      </c>
      <c r="U85" s="886">
        <v>0.28749715090697858</v>
      </c>
      <c r="V85" s="886">
        <v>0.28749715090697858</v>
      </c>
      <c r="W85" s="886">
        <v>0.28749715090697858</v>
      </c>
      <c r="X85" s="886">
        <v>0.28749715090697858</v>
      </c>
      <c r="Y85" s="886">
        <v>0.28749715090697858</v>
      </c>
      <c r="Z85" s="886">
        <v>0.28749715090697858</v>
      </c>
      <c r="AA85" s="886">
        <v>0.28749715090697858</v>
      </c>
      <c r="AB85" s="886">
        <v>0.28749715090697858</v>
      </c>
      <c r="AC85" s="886">
        <v>0.28749715090697858</v>
      </c>
      <c r="AD85" s="886">
        <v>0.28749715090697858</v>
      </c>
      <c r="AE85" s="886">
        <v>0.28749715090697858</v>
      </c>
      <c r="AF85" s="886">
        <v>0.28749715090697858</v>
      </c>
      <c r="AG85" s="886">
        <v>0.28749715090697858</v>
      </c>
      <c r="AH85" s="886">
        <v>0.28749715090697858</v>
      </c>
      <c r="AI85" s="886">
        <v>0.28749715090697858</v>
      </c>
      <c r="AJ85" s="886">
        <v>0.28749715090697858</v>
      </c>
      <c r="AK85" s="886">
        <v>0.28749715090697858</v>
      </c>
      <c r="AL85" s="886">
        <v>0.28749715090697858</v>
      </c>
      <c r="AM85" s="886">
        <v>0.28749715090697858</v>
      </c>
      <c r="AN85" s="886">
        <v>0.28749715090697858</v>
      </c>
      <c r="AO85" s="886">
        <v>0.28749715090697858</v>
      </c>
      <c r="AP85" s="886">
        <v>0.28749715090697858</v>
      </c>
      <c r="AQ85" s="886">
        <v>0.28749715090697858</v>
      </c>
      <c r="AR85" s="886">
        <v>0.28749715090697858</v>
      </c>
      <c r="AS85" s="886">
        <v>0.28749715090697858</v>
      </c>
      <c r="AT85" s="886">
        <v>0.28749715090697858</v>
      </c>
      <c r="AU85" s="886">
        <v>0.28749715090697858</v>
      </c>
      <c r="AV85" s="886">
        <v>0.28749715090697858</v>
      </c>
      <c r="AW85" s="886">
        <v>0.28749715090697858</v>
      </c>
      <c r="AX85" s="886">
        <v>0.28749715090697858</v>
      </c>
      <c r="AY85" s="886">
        <v>0.28749715090697858</v>
      </c>
      <c r="AZ85" s="886">
        <v>0.28749715090697858</v>
      </c>
      <c r="BA85" s="886">
        <v>0.28749715090697858</v>
      </c>
      <c r="BB85" s="886">
        <v>0.28749715090697858</v>
      </c>
      <c r="BC85" s="886">
        <v>0.28749715090697858</v>
      </c>
      <c r="BD85" s="886">
        <v>0.28749715090697858</v>
      </c>
      <c r="BE85" s="886">
        <v>0.28749715090697858</v>
      </c>
      <c r="BF85" s="886">
        <v>0.28749715090697858</v>
      </c>
      <c r="BG85" s="886">
        <v>0.28749715090697858</v>
      </c>
      <c r="BH85" s="886">
        <v>0.28749715090697858</v>
      </c>
      <c r="BI85" s="886">
        <v>0.28749715090697858</v>
      </c>
      <c r="BJ85" s="886">
        <v>0.28749715090697858</v>
      </c>
      <c r="BK85" s="886">
        <v>0.28749715090697858</v>
      </c>
      <c r="BL85" s="886">
        <v>0.28749715090697858</v>
      </c>
      <c r="BM85" s="886">
        <v>0.28749715090697858</v>
      </c>
      <c r="BN85" s="886">
        <v>0.28749715090697858</v>
      </c>
      <c r="BO85" s="886">
        <v>0.28749715090697858</v>
      </c>
      <c r="BP85" s="886">
        <v>0.28749715090697858</v>
      </c>
      <c r="BQ85" s="886">
        <v>0.28749715090697858</v>
      </c>
      <c r="BR85" s="886">
        <v>0.28749715090697858</v>
      </c>
      <c r="BS85" s="886">
        <v>0.28749715090697858</v>
      </c>
      <c r="BT85" s="886">
        <v>0.28749715090697858</v>
      </c>
      <c r="BU85" s="886">
        <v>0.28749715090697858</v>
      </c>
      <c r="BV85" s="886">
        <v>0.28749715090697858</v>
      </c>
      <c r="BW85" s="886">
        <v>0.28749715090697858</v>
      </c>
      <c r="BX85" s="886">
        <v>0.28749715090697858</v>
      </c>
      <c r="BY85" s="886">
        <v>0.28749715090697858</v>
      </c>
      <c r="BZ85" s="886">
        <v>0.28749715090697858</v>
      </c>
      <c r="CA85" s="886">
        <v>0.28749715090697858</v>
      </c>
      <c r="CB85" s="886">
        <v>0.28749715090697858</v>
      </c>
      <c r="CC85" s="886">
        <v>0.28749715090697858</v>
      </c>
      <c r="CD85" s="886">
        <v>0.28749715090697858</v>
      </c>
      <c r="CE85" s="886">
        <v>0.28749715090697858</v>
      </c>
      <c r="CF85" s="887">
        <v>0.28749715090697858</v>
      </c>
    </row>
    <row r="86" spans="1:84">
      <c r="A86" s="852"/>
      <c r="B86" s="866" t="s">
        <v>744</v>
      </c>
      <c r="C86" s="895" t="s">
        <v>741</v>
      </c>
      <c r="D86" s="896">
        <v>8.1000000000000003E-2</v>
      </c>
      <c r="E86" s="897">
        <v>8.1000000000000003E-2</v>
      </c>
      <c r="F86" s="897">
        <v>8.1000000000000003E-2</v>
      </c>
      <c r="G86" s="897">
        <v>8.1000000000000003E-2</v>
      </c>
      <c r="H86" s="897">
        <v>8.1000000000000003E-2</v>
      </c>
      <c r="I86" s="897">
        <v>8.1000000000000003E-2</v>
      </c>
      <c r="J86" s="897">
        <v>8.1000000000000003E-2</v>
      </c>
      <c r="K86" s="897">
        <v>8.1000000000000003E-2</v>
      </c>
      <c r="L86" s="897">
        <v>8.1000000000000003E-2</v>
      </c>
      <c r="M86" s="897">
        <v>8.1000000000000003E-2</v>
      </c>
      <c r="N86" s="897">
        <v>8.1000000000000003E-2</v>
      </c>
      <c r="O86" s="897">
        <v>8.1000000000000003E-2</v>
      </c>
      <c r="P86" s="897">
        <v>8.1000000000000003E-2</v>
      </c>
      <c r="Q86" s="897">
        <v>8.1000000000000003E-2</v>
      </c>
      <c r="R86" s="897">
        <v>8.1000000000000003E-2</v>
      </c>
      <c r="S86" s="897">
        <v>8.1000000000000003E-2</v>
      </c>
      <c r="T86" s="897">
        <v>8.1000000000000003E-2</v>
      </c>
      <c r="U86" s="897">
        <v>8.1000000000000003E-2</v>
      </c>
      <c r="V86" s="897">
        <v>8.1000000000000003E-2</v>
      </c>
      <c r="W86" s="897">
        <v>8.1000000000000003E-2</v>
      </c>
      <c r="X86" s="897">
        <v>8.1000000000000003E-2</v>
      </c>
      <c r="Y86" s="897">
        <v>8.1000000000000003E-2</v>
      </c>
      <c r="Z86" s="897">
        <v>8.1000000000000003E-2</v>
      </c>
      <c r="AA86" s="897">
        <v>8.1000000000000003E-2</v>
      </c>
      <c r="AB86" s="897">
        <v>8.1000000000000003E-2</v>
      </c>
      <c r="AC86" s="897">
        <v>8.1000000000000003E-2</v>
      </c>
      <c r="AD86" s="897">
        <v>8.1000000000000003E-2</v>
      </c>
      <c r="AE86" s="897">
        <v>8.1000000000000003E-2</v>
      </c>
      <c r="AF86" s="897">
        <v>8.1000000000000003E-2</v>
      </c>
      <c r="AG86" s="897">
        <v>8.1000000000000003E-2</v>
      </c>
      <c r="AH86" s="897">
        <v>8.1000000000000003E-2</v>
      </c>
      <c r="AI86" s="897">
        <v>8.1000000000000003E-2</v>
      </c>
      <c r="AJ86" s="897">
        <v>8.1000000000000003E-2</v>
      </c>
      <c r="AK86" s="897">
        <v>8.1000000000000003E-2</v>
      </c>
      <c r="AL86" s="897">
        <v>8.1000000000000003E-2</v>
      </c>
      <c r="AM86" s="897">
        <v>8.1000000000000003E-2</v>
      </c>
      <c r="AN86" s="897">
        <v>8.1000000000000003E-2</v>
      </c>
      <c r="AO86" s="897">
        <v>8.1000000000000003E-2</v>
      </c>
      <c r="AP86" s="897">
        <v>8.1000000000000003E-2</v>
      </c>
      <c r="AQ86" s="897">
        <v>8.1000000000000003E-2</v>
      </c>
      <c r="AR86" s="897">
        <v>8.1000000000000003E-2</v>
      </c>
      <c r="AS86" s="897">
        <v>8.1000000000000003E-2</v>
      </c>
      <c r="AT86" s="897">
        <v>8.1000000000000003E-2</v>
      </c>
      <c r="AU86" s="897">
        <v>8.1000000000000003E-2</v>
      </c>
      <c r="AV86" s="897">
        <v>8.1000000000000003E-2</v>
      </c>
      <c r="AW86" s="897">
        <v>8.1000000000000003E-2</v>
      </c>
      <c r="AX86" s="897">
        <v>8.1000000000000003E-2</v>
      </c>
      <c r="AY86" s="897">
        <v>8.1000000000000003E-2</v>
      </c>
      <c r="AZ86" s="897">
        <v>8.1000000000000003E-2</v>
      </c>
      <c r="BA86" s="897">
        <v>8.1000000000000003E-2</v>
      </c>
      <c r="BB86" s="897">
        <v>8.1000000000000003E-2</v>
      </c>
      <c r="BC86" s="897">
        <v>8.1000000000000003E-2</v>
      </c>
      <c r="BD86" s="897">
        <v>8.1000000000000003E-2</v>
      </c>
      <c r="BE86" s="897">
        <v>8.1000000000000003E-2</v>
      </c>
      <c r="BF86" s="897">
        <v>8.1000000000000003E-2</v>
      </c>
      <c r="BG86" s="897">
        <v>8.1000000000000003E-2</v>
      </c>
      <c r="BH86" s="897">
        <v>8.1000000000000003E-2</v>
      </c>
      <c r="BI86" s="897">
        <v>8.1000000000000003E-2</v>
      </c>
      <c r="BJ86" s="897">
        <v>8.1000000000000003E-2</v>
      </c>
      <c r="BK86" s="897">
        <v>8.1000000000000003E-2</v>
      </c>
      <c r="BL86" s="897">
        <v>8.1000000000000003E-2</v>
      </c>
      <c r="BM86" s="897">
        <v>8.1000000000000003E-2</v>
      </c>
      <c r="BN86" s="897">
        <v>8.1000000000000003E-2</v>
      </c>
      <c r="BO86" s="897">
        <v>8.1000000000000003E-2</v>
      </c>
      <c r="BP86" s="897">
        <v>8.1000000000000003E-2</v>
      </c>
      <c r="BQ86" s="897">
        <v>8.1000000000000003E-2</v>
      </c>
      <c r="BR86" s="897">
        <v>8.1000000000000003E-2</v>
      </c>
      <c r="BS86" s="897">
        <v>8.1000000000000003E-2</v>
      </c>
      <c r="BT86" s="897">
        <v>8.1000000000000003E-2</v>
      </c>
      <c r="BU86" s="897">
        <v>8.1000000000000003E-2</v>
      </c>
      <c r="BV86" s="897">
        <v>8.1000000000000003E-2</v>
      </c>
      <c r="BW86" s="897">
        <v>8.1000000000000003E-2</v>
      </c>
      <c r="BX86" s="897">
        <v>8.1000000000000003E-2</v>
      </c>
      <c r="BY86" s="897">
        <v>8.1000000000000003E-2</v>
      </c>
      <c r="BZ86" s="897">
        <v>8.1000000000000003E-2</v>
      </c>
      <c r="CA86" s="897">
        <v>8.1000000000000003E-2</v>
      </c>
      <c r="CB86" s="897">
        <v>8.1000000000000003E-2</v>
      </c>
      <c r="CC86" s="897">
        <v>8.1000000000000003E-2</v>
      </c>
      <c r="CD86" s="897">
        <v>8.1000000000000003E-2</v>
      </c>
      <c r="CE86" s="897">
        <v>8.1000000000000003E-2</v>
      </c>
      <c r="CF86" s="898">
        <v>8.1000000000000003E-2</v>
      </c>
    </row>
    <row r="87" spans="1:84">
      <c r="A87" s="852"/>
      <c r="B87" s="860" t="str">
        <f>CONCATENATE("Drivmiddel (", $D$122,"-priser)")</f>
        <v>Drivmiddel (-priser)</v>
      </c>
      <c r="C87" s="885" t="s">
        <v>745</v>
      </c>
      <c r="D87" s="893" t="e">
        <f t="shared" ref="D87" si="891">D6/#REF!*#REF!</f>
        <v>#REF!</v>
      </c>
      <c r="E87" s="893" t="e">
        <f t="shared" ref="E87" si="892">E6/#REF!*#REF!</f>
        <v>#REF!</v>
      </c>
      <c r="F87" s="893" t="e">
        <f t="shared" ref="F87" si="893">F6/#REF!*#REF!</f>
        <v>#REF!</v>
      </c>
      <c r="G87" s="893" t="e">
        <f t="shared" ref="G87" si="894">G6/#REF!*#REF!</f>
        <v>#REF!</v>
      </c>
      <c r="H87" s="893" t="e">
        <f t="shared" ref="H87" si="895">H6/#REF!*#REF!</f>
        <v>#REF!</v>
      </c>
      <c r="I87" s="893" t="e">
        <f t="shared" ref="I87" si="896">I6/#REF!*#REF!</f>
        <v>#REF!</v>
      </c>
      <c r="J87" s="893" t="e">
        <f t="shared" ref="J87" si="897">J6/#REF!*#REF!</f>
        <v>#REF!</v>
      </c>
      <c r="K87" s="893" t="e">
        <f t="shared" ref="K87" si="898">K6/#REF!*#REF!</f>
        <v>#REF!</v>
      </c>
      <c r="L87" s="893" t="e">
        <f t="shared" ref="L87" si="899">L6/#REF!*#REF!</f>
        <v>#REF!</v>
      </c>
      <c r="M87" s="893" t="e">
        <f t="shared" ref="M87" si="900">M6/#REF!*#REF!</f>
        <v>#REF!</v>
      </c>
      <c r="N87" s="893" t="e">
        <f t="shared" ref="N87" si="901">N6/#REF!*#REF!</f>
        <v>#REF!</v>
      </c>
      <c r="O87" s="893" t="e">
        <f t="shared" ref="O87" si="902">O6/#REF!*#REF!</f>
        <v>#REF!</v>
      </c>
      <c r="P87" s="893" t="e">
        <f t="shared" ref="P87" si="903">P6/#REF!*#REF!</f>
        <v>#REF!</v>
      </c>
      <c r="Q87" s="893" t="e">
        <f t="shared" ref="Q87" si="904">Q6/#REF!*#REF!</f>
        <v>#REF!</v>
      </c>
      <c r="R87" s="893" t="e">
        <f t="shared" ref="R87" si="905">R6/#REF!*#REF!</f>
        <v>#REF!</v>
      </c>
      <c r="S87" s="893" t="e">
        <f t="shared" ref="S87" si="906">S6/#REF!*#REF!</f>
        <v>#REF!</v>
      </c>
      <c r="T87" s="893" t="e">
        <f t="shared" ref="T87" si="907">T6/#REF!*#REF!</f>
        <v>#REF!</v>
      </c>
      <c r="U87" s="893" t="e">
        <f t="shared" ref="U87" si="908">U6/#REF!*#REF!</f>
        <v>#REF!</v>
      </c>
      <c r="V87" s="893" t="e">
        <f t="shared" ref="V87" si="909">V6/#REF!*#REF!</f>
        <v>#REF!</v>
      </c>
      <c r="W87" s="893" t="e">
        <f t="shared" ref="W87" si="910">W6/#REF!*#REF!</f>
        <v>#REF!</v>
      </c>
      <c r="X87" s="893" t="e">
        <f t="shared" ref="X87" si="911">X6/#REF!*#REF!</f>
        <v>#REF!</v>
      </c>
      <c r="Y87" s="893" t="e">
        <f t="shared" ref="Y87" si="912">Y6/#REF!*#REF!</f>
        <v>#REF!</v>
      </c>
      <c r="Z87" s="893" t="e">
        <f t="shared" ref="Z87" si="913">Z6/#REF!*#REF!</f>
        <v>#REF!</v>
      </c>
      <c r="AA87" s="893" t="e">
        <f t="shared" ref="AA87" si="914">AA6/#REF!*#REF!</f>
        <v>#REF!</v>
      </c>
      <c r="AB87" s="893" t="e">
        <f t="shared" ref="AB87" si="915">AB6/#REF!*#REF!</f>
        <v>#REF!</v>
      </c>
      <c r="AC87" s="893" t="e">
        <f t="shared" ref="AC87" si="916">AC6/#REF!*#REF!</f>
        <v>#REF!</v>
      </c>
      <c r="AD87" s="893" t="e">
        <f t="shared" ref="AD87" si="917">AD6/#REF!*#REF!</f>
        <v>#REF!</v>
      </c>
      <c r="AE87" s="893" t="e">
        <f t="shared" ref="AE87" si="918">AE6/#REF!*#REF!</f>
        <v>#REF!</v>
      </c>
      <c r="AF87" s="893" t="e">
        <f t="shared" ref="AF87" si="919">AF6/#REF!*#REF!</f>
        <v>#REF!</v>
      </c>
      <c r="AG87" s="893" t="e">
        <f t="shared" ref="AG87" si="920">AG6/#REF!*#REF!</f>
        <v>#REF!</v>
      </c>
      <c r="AH87" s="893" t="e">
        <f t="shared" ref="AH87" si="921">AH6/#REF!*#REF!</f>
        <v>#REF!</v>
      </c>
      <c r="AI87" s="893" t="e">
        <f t="shared" ref="AI87" si="922">AI6/#REF!*#REF!</f>
        <v>#REF!</v>
      </c>
      <c r="AJ87" s="893" t="e">
        <f t="shared" ref="AJ87" si="923">AJ6/#REF!*#REF!</f>
        <v>#REF!</v>
      </c>
      <c r="AK87" s="893" t="e">
        <f t="shared" ref="AK87" si="924">AK6/#REF!*#REF!</f>
        <v>#REF!</v>
      </c>
      <c r="AL87" s="893" t="e">
        <f t="shared" ref="AL87" si="925">AL6/#REF!*#REF!</f>
        <v>#REF!</v>
      </c>
      <c r="AM87" s="893" t="e">
        <f t="shared" ref="AM87" si="926">AM6/#REF!*#REF!</f>
        <v>#REF!</v>
      </c>
      <c r="AN87" s="893" t="e">
        <f t="shared" ref="AN87" si="927">AN6/#REF!*#REF!</f>
        <v>#REF!</v>
      </c>
      <c r="AO87" s="893" t="e">
        <f t="shared" ref="AO87" si="928">AO6/#REF!*#REF!</f>
        <v>#REF!</v>
      </c>
      <c r="AP87" s="893" t="e">
        <f t="shared" ref="AP87" si="929">AP6/#REF!*#REF!</f>
        <v>#REF!</v>
      </c>
      <c r="AQ87" s="893" t="e">
        <f t="shared" ref="AQ87" si="930">AQ6/#REF!*#REF!</f>
        <v>#REF!</v>
      </c>
      <c r="AR87" s="893" t="e">
        <f t="shared" ref="AR87" si="931">AR6/#REF!*#REF!</f>
        <v>#REF!</v>
      </c>
      <c r="AS87" s="893" t="e">
        <f t="shared" ref="AS87" si="932">AS6/#REF!*#REF!</f>
        <v>#REF!</v>
      </c>
      <c r="AT87" s="893" t="e">
        <f t="shared" ref="AT87" si="933">AT6/#REF!*#REF!</f>
        <v>#REF!</v>
      </c>
      <c r="AU87" s="893" t="e">
        <f t="shared" ref="AU87" si="934">AU6/#REF!*#REF!</f>
        <v>#REF!</v>
      </c>
      <c r="AV87" s="893" t="e">
        <f t="shared" ref="AV87" si="935">AV6/#REF!*#REF!</f>
        <v>#REF!</v>
      </c>
      <c r="AW87" s="893" t="e">
        <f t="shared" ref="AW87" si="936">AW6/#REF!*#REF!</f>
        <v>#REF!</v>
      </c>
      <c r="AX87" s="893" t="e">
        <f t="shared" ref="AX87" si="937">AX6/#REF!*#REF!</f>
        <v>#REF!</v>
      </c>
      <c r="AY87" s="893" t="e">
        <f t="shared" ref="AY87" si="938">AY6/#REF!*#REF!</f>
        <v>#REF!</v>
      </c>
      <c r="AZ87" s="893" t="e">
        <f t="shared" ref="AZ87" si="939">AZ6/#REF!*#REF!</f>
        <v>#REF!</v>
      </c>
      <c r="BA87" s="893" t="e">
        <f t="shared" ref="BA87" si="940">BA6/#REF!*#REF!</f>
        <v>#REF!</v>
      </c>
      <c r="BB87" s="893" t="e">
        <f t="shared" ref="BB87" si="941">BB6/#REF!*#REF!</f>
        <v>#REF!</v>
      </c>
      <c r="BC87" s="893" t="e">
        <f t="shared" ref="BC87" si="942">BC6/#REF!*#REF!</f>
        <v>#REF!</v>
      </c>
      <c r="BD87" s="893" t="e">
        <f t="shared" ref="BD87" si="943">BD6/#REF!*#REF!</f>
        <v>#REF!</v>
      </c>
      <c r="BE87" s="893" t="e">
        <f t="shared" ref="BE87" si="944">BE6/#REF!*#REF!</f>
        <v>#REF!</v>
      </c>
      <c r="BF87" s="893" t="e">
        <f t="shared" ref="BF87" si="945">BF6/#REF!*#REF!</f>
        <v>#REF!</v>
      </c>
      <c r="BG87" s="893" t="e">
        <f t="shared" ref="BG87" si="946">BG6/#REF!*#REF!</f>
        <v>#REF!</v>
      </c>
      <c r="BH87" s="893" t="e">
        <f t="shared" ref="BH87" si="947">BH6/#REF!*#REF!</f>
        <v>#REF!</v>
      </c>
      <c r="BI87" s="893" t="e">
        <f t="shared" ref="BI87" si="948">BI6/#REF!*#REF!</f>
        <v>#REF!</v>
      </c>
      <c r="BJ87" s="893" t="e">
        <f t="shared" ref="BJ87" si="949">BJ6/#REF!*#REF!</f>
        <v>#REF!</v>
      </c>
      <c r="BK87" s="893" t="e">
        <f t="shared" ref="BK87" si="950">BK6/#REF!*#REF!</f>
        <v>#REF!</v>
      </c>
      <c r="BL87" s="893" t="e">
        <f t="shared" ref="BL87" si="951">BL6/#REF!*#REF!</f>
        <v>#REF!</v>
      </c>
      <c r="BM87" s="893" t="e">
        <f t="shared" ref="BM87" si="952">BM6/#REF!*#REF!</f>
        <v>#REF!</v>
      </c>
      <c r="BN87" s="893" t="e">
        <f t="shared" ref="BN87" si="953">BN6/#REF!*#REF!</f>
        <v>#REF!</v>
      </c>
      <c r="BO87" s="893" t="e">
        <f t="shared" ref="BO87" si="954">BO6/#REF!*#REF!</f>
        <v>#REF!</v>
      </c>
      <c r="BP87" s="893" t="e">
        <f t="shared" ref="BP87" si="955">BP6/#REF!*#REF!</f>
        <v>#REF!</v>
      </c>
      <c r="BQ87" s="893" t="e">
        <f t="shared" ref="BQ87" si="956">BQ6/#REF!*#REF!</f>
        <v>#REF!</v>
      </c>
      <c r="BR87" s="893" t="e">
        <f t="shared" ref="BR87" si="957">BR6/#REF!*#REF!</f>
        <v>#REF!</v>
      </c>
      <c r="BS87" s="893" t="e">
        <f t="shared" ref="BS87" si="958">BS6/#REF!*#REF!</f>
        <v>#REF!</v>
      </c>
      <c r="BT87" s="893" t="e">
        <f t="shared" ref="BT87" si="959">BT6/#REF!*#REF!</f>
        <v>#REF!</v>
      </c>
      <c r="BU87" s="893" t="e">
        <f t="shared" ref="BU87" si="960">BU6/#REF!*#REF!</f>
        <v>#REF!</v>
      </c>
      <c r="BV87" s="893" t="e">
        <f t="shared" ref="BV87" si="961">BV6/#REF!*#REF!</f>
        <v>#REF!</v>
      </c>
      <c r="BW87" s="893" t="e">
        <f t="shared" ref="BW87" si="962">BW6/#REF!*#REF!</f>
        <v>#REF!</v>
      </c>
      <c r="BX87" s="893" t="e">
        <f t="shared" ref="BX87" si="963">BX6/#REF!*#REF!</f>
        <v>#REF!</v>
      </c>
      <c r="BY87" s="893" t="e">
        <f t="shared" ref="BY87" si="964">BY6/#REF!*#REF!</f>
        <v>#REF!</v>
      </c>
      <c r="BZ87" s="893" t="e">
        <f t="shared" ref="BZ87" si="965">BZ6/#REF!*#REF!</f>
        <v>#REF!</v>
      </c>
      <c r="CA87" s="893" t="e">
        <f t="shared" ref="CA87" si="966">CA6/#REF!*#REF!</f>
        <v>#REF!</v>
      </c>
      <c r="CB87" s="893" t="e">
        <f t="shared" ref="CB87" si="967">CB6/#REF!*#REF!</f>
        <v>#REF!</v>
      </c>
      <c r="CC87" s="893" t="e">
        <f t="shared" ref="CC87" si="968">CC6/#REF!*#REF!</f>
        <v>#REF!</v>
      </c>
      <c r="CD87" s="893" t="e">
        <f t="shared" ref="CD87" si="969">CD6/#REF!*#REF!</f>
        <v>#REF!</v>
      </c>
      <c r="CE87" s="893" t="e">
        <f t="shared" ref="CE87" si="970">CE6/#REF!*#REF!</f>
        <v>#REF!</v>
      </c>
      <c r="CF87" s="894" t="e">
        <f t="shared" ref="CF87" si="971">CF6/#REF!*#REF!</f>
        <v>#REF!</v>
      </c>
    </row>
    <row r="88" spans="1:84">
      <c r="A88" s="852"/>
      <c r="B88" s="860" t="s">
        <v>151</v>
      </c>
      <c r="C88" s="885" t="s">
        <v>745</v>
      </c>
      <c r="D88" s="886">
        <v>2.9487983411230705E-2</v>
      </c>
      <c r="E88" s="886">
        <v>2.9487983411230705E-2</v>
      </c>
      <c r="F88" s="886">
        <v>2.9487983411230705E-2</v>
      </c>
      <c r="G88" s="886">
        <v>2.9487983411230705E-2</v>
      </c>
      <c r="H88" s="886">
        <v>2.9487983411230705E-2</v>
      </c>
      <c r="I88" s="886">
        <v>2.9487983411230705E-2</v>
      </c>
      <c r="J88" s="886">
        <v>2.9487983411230705E-2</v>
      </c>
      <c r="K88" s="886">
        <v>2.9487983411230705E-2</v>
      </c>
      <c r="L88" s="886">
        <v>2.9487983411230705E-2</v>
      </c>
      <c r="M88" s="886">
        <v>2.9487983411230705E-2</v>
      </c>
      <c r="N88" s="886">
        <v>2.9487983411230705E-2</v>
      </c>
      <c r="O88" s="886">
        <v>2.9487983411230705E-2</v>
      </c>
      <c r="P88" s="886">
        <v>2.9487983411230705E-2</v>
      </c>
      <c r="Q88" s="886">
        <v>2.9487983411230705E-2</v>
      </c>
      <c r="R88" s="886">
        <v>2.9487983411230705E-2</v>
      </c>
      <c r="S88" s="886">
        <v>2.9487983411230705E-2</v>
      </c>
      <c r="T88" s="886">
        <v>2.9487983411230705E-2</v>
      </c>
      <c r="U88" s="886">
        <v>2.9487983411230705E-2</v>
      </c>
      <c r="V88" s="886">
        <v>2.9487983411230705E-2</v>
      </c>
      <c r="W88" s="886">
        <v>2.9487983411230705E-2</v>
      </c>
      <c r="X88" s="886">
        <v>2.9487983411230705E-2</v>
      </c>
      <c r="Y88" s="886">
        <v>2.9487983411230705E-2</v>
      </c>
      <c r="Z88" s="886">
        <v>2.9487983411230705E-2</v>
      </c>
      <c r="AA88" s="886">
        <v>2.9487983411230705E-2</v>
      </c>
      <c r="AB88" s="886">
        <v>2.9487983411230705E-2</v>
      </c>
      <c r="AC88" s="886">
        <v>2.9487983411230705E-2</v>
      </c>
      <c r="AD88" s="886">
        <v>2.9487983411230705E-2</v>
      </c>
      <c r="AE88" s="886">
        <v>2.9487983411230705E-2</v>
      </c>
      <c r="AF88" s="886">
        <v>2.9487983411230705E-2</v>
      </c>
      <c r="AG88" s="886">
        <v>2.9487983411230705E-2</v>
      </c>
      <c r="AH88" s="886">
        <v>2.9487983411230705E-2</v>
      </c>
      <c r="AI88" s="886">
        <v>2.9487983411230705E-2</v>
      </c>
      <c r="AJ88" s="886">
        <v>2.9487983411230705E-2</v>
      </c>
      <c r="AK88" s="886">
        <v>2.9487983411230705E-2</v>
      </c>
      <c r="AL88" s="886">
        <v>2.9487983411230705E-2</v>
      </c>
      <c r="AM88" s="886">
        <v>2.9487983411230705E-2</v>
      </c>
      <c r="AN88" s="886">
        <v>2.9487983411230705E-2</v>
      </c>
      <c r="AO88" s="886">
        <v>2.9487983411230705E-2</v>
      </c>
      <c r="AP88" s="886">
        <v>2.9487983411230705E-2</v>
      </c>
      <c r="AQ88" s="886">
        <v>2.9487983411230705E-2</v>
      </c>
      <c r="AR88" s="886">
        <v>2.9487983411230705E-2</v>
      </c>
      <c r="AS88" s="886">
        <v>2.9487983411230705E-2</v>
      </c>
      <c r="AT88" s="886">
        <v>2.9487983411230705E-2</v>
      </c>
      <c r="AU88" s="886">
        <v>2.9487983411230705E-2</v>
      </c>
      <c r="AV88" s="886">
        <v>2.9487983411230705E-2</v>
      </c>
      <c r="AW88" s="886">
        <v>2.9487983411230705E-2</v>
      </c>
      <c r="AX88" s="886">
        <v>2.9487983411230705E-2</v>
      </c>
      <c r="AY88" s="886">
        <v>2.9487983411230705E-2</v>
      </c>
      <c r="AZ88" s="886">
        <v>2.9487983411230705E-2</v>
      </c>
      <c r="BA88" s="886">
        <v>2.9487983411230705E-2</v>
      </c>
      <c r="BB88" s="886">
        <v>2.9487983411230705E-2</v>
      </c>
      <c r="BC88" s="886">
        <v>2.9487983411230705E-2</v>
      </c>
      <c r="BD88" s="886">
        <v>2.9487983411230705E-2</v>
      </c>
      <c r="BE88" s="886">
        <v>2.9487983411230705E-2</v>
      </c>
      <c r="BF88" s="886">
        <v>2.9487983411230705E-2</v>
      </c>
      <c r="BG88" s="886">
        <v>2.9487983411230705E-2</v>
      </c>
      <c r="BH88" s="886">
        <v>2.9487983411230705E-2</v>
      </c>
      <c r="BI88" s="886">
        <v>2.9487983411230705E-2</v>
      </c>
      <c r="BJ88" s="886">
        <v>2.9487983411230705E-2</v>
      </c>
      <c r="BK88" s="886">
        <v>2.9487983411230705E-2</v>
      </c>
      <c r="BL88" s="886">
        <v>2.9487983411230705E-2</v>
      </c>
      <c r="BM88" s="886">
        <v>2.9487983411230705E-2</v>
      </c>
      <c r="BN88" s="886">
        <v>2.9487983411230705E-2</v>
      </c>
      <c r="BO88" s="886">
        <v>2.9487983411230705E-2</v>
      </c>
      <c r="BP88" s="886">
        <v>2.9487983411230705E-2</v>
      </c>
      <c r="BQ88" s="886">
        <v>2.9487983411230705E-2</v>
      </c>
      <c r="BR88" s="886">
        <v>2.9487983411230705E-2</v>
      </c>
      <c r="BS88" s="886">
        <v>2.9487983411230705E-2</v>
      </c>
      <c r="BT88" s="886">
        <v>2.9487983411230705E-2</v>
      </c>
      <c r="BU88" s="886">
        <v>2.9487983411230705E-2</v>
      </c>
      <c r="BV88" s="886">
        <v>2.9487983411230705E-2</v>
      </c>
      <c r="BW88" s="886">
        <v>2.9487983411230705E-2</v>
      </c>
      <c r="BX88" s="886">
        <v>2.9487983411230705E-2</v>
      </c>
      <c r="BY88" s="886">
        <v>2.9487983411230705E-2</v>
      </c>
      <c r="BZ88" s="886">
        <v>2.9487983411230705E-2</v>
      </c>
      <c r="CA88" s="886">
        <v>2.9487983411230705E-2</v>
      </c>
      <c r="CB88" s="886">
        <v>2.9487983411230705E-2</v>
      </c>
      <c r="CC88" s="886">
        <v>2.9487983411230705E-2</v>
      </c>
      <c r="CD88" s="886">
        <v>2.9487983411230705E-2</v>
      </c>
      <c r="CE88" s="886">
        <v>2.9487983411230705E-2</v>
      </c>
      <c r="CF88" s="887">
        <v>2.9487983411230705E-2</v>
      </c>
    </row>
    <row r="89" spans="1:84">
      <c r="A89" s="852"/>
      <c r="B89" s="860" t="s">
        <v>742</v>
      </c>
      <c r="C89" s="885" t="s">
        <v>745</v>
      </c>
      <c r="D89" s="886">
        <v>9.521459029930554E-2</v>
      </c>
      <c r="E89" s="886">
        <v>9.521459029930554E-2</v>
      </c>
      <c r="F89" s="886">
        <v>9.521459029930554E-2</v>
      </c>
      <c r="G89" s="886">
        <v>9.521459029930554E-2</v>
      </c>
      <c r="H89" s="886">
        <v>9.521459029930554E-2</v>
      </c>
      <c r="I89" s="886">
        <v>9.521459029930554E-2</v>
      </c>
      <c r="J89" s="886">
        <v>9.521459029930554E-2</v>
      </c>
      <c r="K89" s="886">
        <v>9.521459029930554E-2</v>
      </c>
      <c r="L89" s="886">
        <v>9.521459029930554E-2</v>
      </c>
      <c r="M89" s="886">
        <v>9.521459029930554E-2</v>
      </c>
      <c r="N89" s="886">
        <v>9.521459029930554E-2</v>
      </c>
      <c r="O89" s="886">
        <v>9.521459029930554E-2</v>
      </c>
      <c r="P89" s="886">
        <v>9.521459029930554E-2</v>
      </c>
      <c r="Q89" s="886">
        <v>9.521459029930554E-2</v>
      </c>
      <c r="R89" s="886">
        <v>9.521459029930554E-2</v>
      </c>
      <c r="S89" s="886">
        <v>9.521459029930554E-2</v>
      </c>
      <c r="T89" s="886">
        <v>9.521459029930554E-2</v>
      </c>
      <c r="U89" s="886">
        <v>9.521459029930554E-2</v>
      </c>
      <c r="V89" s="886">
        <v>9.521459029930554E-2</v>
      </c>
      <c r="W89" s="886">
        <v>9.521459029930554E-2</v>
      </c>
      <c r="X89" s="886">
        <v>9.521459029930554E-2</v>
      </c>
      <c r="Y89" s="886">
        <v>9.521459029930554E-2</v>
      </c>
      <c r="Z89" s="886">
        <v>9.521459029930554E-2</v>
      </c>
      <c r="AA89" s="886">
        <v>9.521459029930554E-2</v>
      </c>
      <c r="AB89" s="886">
        <v>9.521459029930554E-2</v>
      </c>
      <c r="AC89" s="886">
        <v>9.521459029930554E-2</v>
      </c>
      <c r="AD89" s="886">
        <v>9.521459029930554E-2</v>
      </c>
      <c r="AE89" s="886">
        <v>9.521459029930554E-2</v>
      </c>
      <c r="AF89" s="886">
        <v>9.521459029930554E-2</v>
      </c>
      <c r="AG89" s="886">
        <v>9.521459029930554E-2</v>
      </c>
      <c r="AH89" s="886">
        <v>9.521459029930554E-2</v>
      </c>
      <c r="AI89" s="886">
        <v>9.521459029930554E-2</v>
      </c>
      <c r="AJ89" s="886">
        <v>9.521459029930554E-2</v>
      </c>
      <c r="AK89" s="886">
        <v>9.521459029930554E-2</v>
      </c>
      <c r="AL89" s="886">
        <v>9.521459029930554E-2</v>
      </c>
      <c r="AM89" s="886">
        <v>9.521459029930554E-2</v>
      </c>
      <c r="AN89" s="886">
        <v>9.521459029930554E-2</v>
      </c>
      <c r="AO89" s="886">
        <v>9.521459029930554E-2</v>
      </c>
      <c r="AP89" s="886">
        <v>9.521459029930554E-2</v>
      </c>
      <c r="AQ89" s="886">
        <v>9.521459029930554E-2</v>
      </c>
      <c r="AR89" s="886">
        <v>9.521459029930554E-2</v>
      </c>
      <c r="AS89" s="886">
        <v>9.521459029930554E-2</v>
      </c>
      <c r="AT89" s="886">
        <v>9.521459029930554E-2</v>
      </c>
      <c r="AU89" s="886">
        <v>9.521459029930554E-2</v>
      </c>
      <c r="AV89" s="886">
        <v>9.521459029930554E-2</v>
      </c>
      <c r="AW89" s="886">
        <v>9.521459029930554E-2</v>
      </c>
      <c r="AX89" s="886">
        <v>9.521459029930554E-2</v>
      </c>
      <c r="AY89" s="886">
        <v>9.521459029930554E-2</v>
      </c>
      <c r="AZ89" s="886">
        <v>9.521459029930554E-2</v>
      </c>
      <c r="BA89" s="886">
        <v>9.521459029930554E-2</v>
      </c>
      <c r="BB89" s="886">
        <v>9.521459029930554E-2</v>
      </c>
      <c r="BC89" s="886">
        <v>9.521459029930554E-2</v>
      </c>
      <c r="BD89" s="886">
        <v>9.521459029930554E-2</v>
      </c>
      <c r="BE89" s="886">
        <v>9.521459029930554E-2</v>
      </c>
      <c r="BF89" s="886">
        <v>9.521459029930554E-2</v>
      </c>
      <c r="BG89" s="886">
        <v>9.521459029930554E-2</v>
      </c>
      <c r="BH89" s="886">
        <v>9.521459029930554E-2</v>
      </c>
      <c r="BI89" s="886">
        <v>9.521459029930554E-2</v>
      </c>
      <c r="BJ89" s="886">
        <v>9.521459029930554E-2</v>
      </c>
      <c r="BK89" s="886">
        <v>9.521459029930554E-2</v>
      </c>
      <c r="BL89" s="886">
        <v>9.521459029930554E-2</v>
      </c>
      <c r="BM89" s="886">
        <v>9.521459029930554E-2</v>
      </c>
      <c r="BN89" s="886">
        <v>9.521459029930554E-2</v>
      </c>
      <c r="BO89" s="886">
        <v>9.521459029930554E-2</v>
      </c>
      <c r="BP89" s="886">
        <v>9.521459029930554E-2</v>
      </c>
      <c r="BQ89" s="886">
        <v>9.521459029930554E-2</v>
      </c>
      <c r="BR89" s="886">
        <v>9.521459029930554E-2</v>
      </c>
      <c r="BS89" s="886">
        <v>9.521459029930554E-2</v>
      </c>
      <c r="BT89" s="886">
        <v>9.521459029930554E-2</v>
      </c>
      <c r="BU89" s="886">
        <v>9.521459029930554E-2</v>
      </c>
      <c r="BV89" s="886">
        <v>9.521459029930554E-2</v>
      </c>
      <c r="BW89" s="886">
        <v>9.521459029930554E-2</v>
      </c>
      <c r="BX89" s="886">
        <v>9.521459029930554E-2</v>
      </c>
      <c r="BY89" s="886">
        <v>9.521459029930554E-2</v>
      </c>
      <c r="BZ89" s="886">
        <v>9.521459029930554E-2</v>
      </c>
      <c r="CA89" s="886">
        <v>9.521459029930554E-2</v>
      </c>
      <c r="CB89" s="886">
        <v>9.521459029930554E-2</v>
      </c>
      <c r="CC89" s="886">
        <v>9.521459029930554E-2</v>
      </c>
      <c r="CD89" s="886">
        <v>9.521459029930554E-2</v>
      </c>
      <c r="CE89" s="886">
        <v>9.521459029930554E-2</v>
      </c>
      <c r="CF89" s="887">
        <v>9.521459029930554E-2</v>
      </c>
    </row>
    <row r="90" spans="1:84">
      <c r="A90" s="852"/>
      <c r="B90" s="860" t="s">
        <v>743</v>
      </c>
      <c r="C90" s="885" t="s">
        <v>745</v>
      </c>
      <c r="D90" s="886">
        <v>0.38477862156470538</v>
      </c>
      <c r="E90" s="886">
        <v>0.38477862156470538</v>
      </c>
      <c r="F90" s="886">
        <v>0.38477862156470538</v>
      </c>
      <c r="G90" s="886">
        <v>0.38477862156470538</v>
      </c>
      <c r="H90" s="886">
        <v>0.38477862156470538</v>
      </c>
      <c r="I90" s="886">
        <v>0.38477862156470538</v>
      </c>
      <c r="J90" s="886">
        <v>0.38477862156470538</v>
      </c>
      <c r="K90" s="886">
        <v>0.38477862156470538</v>
      </c>
      <c r="L90" s="886">
        <v>0.38477862156470538</v>
      </c>
      <c r="M90" s="886">
        <v>0.38477862156470538</v>
      </c>
      <c r="N90" s="886">
        <v>0.38477862156470538</v>
      </c>
      <c r="O90" s="886">
        <v>0.38477862156470538</v>
      </c>
      <c r="P90" s="886">
        <v>0.38477862156470538</v>
      </c>
      <c r="Q90" s="886">
        <v>0.38477862156470538</v>
      </c>
      <c r="R90" s="886">
        <v>0.38477862156470538</v>
      </c>
      <c r="S90" s="886">
        <v>0.38477862156470538</v>
      </c>
      <c r="T90" s="886">
        <v>0.38477862156470538</v>
      </c>
      <c r="U90" s="886">
        <v>0.38477862156470538</v>
      </c>
      <c r="V90" s="886">
        <v>0.38477862156470538</v>
      </c>
      <c r="W90" s="886">
        <v>0.38477862156470538</v>
      </c>
      <c r="X90" s="886">
        <v>0.38477862156470538</v>
      </c>
      <c r="Y90" s="886">
        <v>0.38477862156470538</v>
      </c>
      <c r="Z90" s="886">
        <v>0.38477862156470538</v>
      </c>
      <c r="AA90" s="886">
        <v>0.38477862156470538</v>
      </c>
      <c r="AB90" s="886">
        <v>0.38477862156470538</v>
      </c>
      <c r="AC90" s="886">
        <v>0.38477862156470538</v>
      </c>
      <c r="AD90" s="886">
        <v>0.38477862156470538</v>
      </c>
      <c r="AE90" s="886">
        <v>0.38477862156470538</v>
      </c>
      <c r="AF90" s="886">
        <v>0.38477862156470538</v>
      </c>
      <c r="AG90" s="886">
        <v>0.38477862156470538</v>
      </c>
      <c r="AH90" s="886">
        <v>0.38477862156470538</v>
      </c>
      <c r="AI90" s="886">
        <v>0.38477862156470538</v>
      </c>
      <c r="AJ90" s="886">
        <v>0.38477862156470538</v>
      </c>
      <c r="AK90" s="886">
        <v>0.38477862156470538</v>
      </c>
      <c r="AL90" s="886">
        <v>0.38477862156470538</v>
      </c>
      <c r="AM90" s="886">
        <v>0.38477862156470538</v>
      </c>
      <c r="AN90" s="886">
        <v>0.38477862156470538</v>
      </c>
      <c r="AO90" s="886">
        <v>0.38477862156470538</v>
      </c>
      <c r="AP90" s="886">
        <v>0.38477862156470538</v>
      </c>
      <c r="AQ90" s="886">
        <v>0.38477862156470538</v>
      </c>
      <c r="AR90" s="886">
        <v>0.38477862156470538</v>
      </c>
      <c r="AS90" s="886">
        <v>0.38477862156470538</v>
      </c>
      <c r="AT90" s="886">
        <v>0.38477862156470538</v>
      </c>
      <c r="AU90" s="886">
        <v>0.38477862156470538</v>
      </c>
      <c r="AV90" s="886">
        <v>0.38477862156470538</v>
      </c>
      <c r="AW90" s="886">
        <v>0.38477862156470538</v>
      </c>
      <c r="AX90" s="886">
        <v>0.38477862156470538</v>
      </c>
      <c r="AY90" s="886">
        <v>0.38477862156470538</v>
      </c>
      <c r="AZ90" s="886">
        <v>0.38477862156470538</v>
      </c>
      <c r="BA90" s="886">
        <v>0.38477862156470538</v>
      </c>
      <c r="BB90" s="886">
        <v>0.38477862156470538</v>
      </c>
      <c r="BC90" s="886">
        <v>0.38477862156470538</v>
      </c>
      <c r="BD90" s="886">
        <v>0.38477862156470538</v>
      </c>
      <c r="BE90" s="886">
        <v>0.38477862156470538</v>
      </c>
      <c r="BF90" s="886">
        <v>0.38477862156470538</v>
      </c>
      <c r="BG90" s="886">
        <v>0.38477862156470538</v>
      </c>
      <c r="BH90" s="886">
        <v>0.38477862156470538</v>
      </c>
      <c r="BI90" s="886">
        <v>0.38477862156470538</v>
      </c>
      <c r="BJ90" s="886">
        <v>0.38477862156470538</v>
      </c>
      <c r="BK90" s="886">
        <v>0.38477862156470538</v>
      </c>
      <c r="BL90" s="886">
        <v>0.38477862156470538</v>
      </c>
      <c r="BM90" s="886">
        <v>0.38477862156470538</v>
      </c>
      <c r="BN90" s="886">
        <v>0.38477862156470538</v>
      </c>
      <c r="BO90" s="886">
        <v>0.38477862156470538</v>
      </c>
      <c r="BP90" s="886">
        <v>0.38477862156470538</v>
      </c>
      <c r="BQ90" s="886">
        <v>0.38477862156470538</v>
      </c>
      <c r="BR90" s="886">
        <v>0.38477862156470538</v>
      </c>
      <c r="BS90" s="886">
        <v>0.38477862156470538</v>
      </c>
      <c r="BT90" s="886">
        <v>0.38477862156470538</v>
      </c>
      <c r="BU90" s="886">
        <v>0.38477862156470538</v>
      </c>
      <c r="BV90" s="886">
        <v>0.38477862156470538</v>
      </c>
      <c r="BW90" s="886">
        <v>0.38477862156470538</v>
      </c>
      <c r="BX90" s="886">
        <v>0.38477862156470538</v>
      </c>
      <c r="BY90" s="886">
        <v>0.38477862156470538</v>
      </c>
      <c r="BZ90" s="886">
        <v>0.38477862156470538</v>
      </c>
      <c r="CA90" s="886">
        <v>0.38477862156470538</v>
      </c>
      <c r="CB90" s="886">
        <v>0.38477862156470538</v>
      </c>
      <c r="CC90" s="886">
        <v>0.38477862156470538</v>
      </c>
      <c r="CD90" s="886">
        <v>0.38477862156470538</v>
      </c>
      <c r="CE90" s="886">
        <v>0.38477862156470538</v>
      </c>
      <c r="CF90" s="887">
        <v>0.38477862156470538</v>
      </c>
    </row>
    <row r="91" spans="1:84" ht="13.8" thickBot="1">
      <c r="A91" s="852"/>
      <c r="B91" s="888" t="s">
        <v>744</v>
      </c>
      <c r="C91" s="889" t="s">
        <v>745</v>
      </c>
      <c r="D91" s="890">
        <v>0.17144184125704315</v>
      </c>
      <c r="E91" s="891">
        <v>0.17144184125704315</v>
      </c>
      <c r="F91" s="891">
        <v>0.17144184125704315</v>
      </c>
      <c r="G91" s="891">
        <v>0.17144184125704315</v>
      </c>
      <c r="H91" s="891">
        <v>0.17144184125704315</v>
      </c>
      <c r="I91" s="891">
        <v>0.17144184125704315</v>
      </c>
      <c r="J91" s="891">
        <v>0.17144184125704315</v>
      </c>
      <c r="K91" s="891">
        <v>0.17144184125704315</v>
      </c>
      <c r="L91" s="891">
        <v>0.17144184125704315</v>
      </c>
      <c r="M91" s="891">
        <v>0.17144184125704315</v>
      </c>
      <c r="N91" s="891">
        <v>0.17144184125704315</v>
      </c>
      <c r="O91" s="891">
        <v>0.17144184125704315</v>
      </c>
      <c r="P91" s="891">
        <v>0.17144184125704315</v>
      </c>
      <c r="Q91" s="891">
        <v>0.17144184125704315</v>
      </c>
      <c r="R91" s="891">
        <v>0.17144184125704315</v>
      </c>
      <c r="S91" s="891">
        <v>0.17144184125704315</v>
      </c>
      <c r="T91" s="891">
        <v>0.17144184125704315</v>
      </c>
      <c r="U91" s="891">
        <v>0.17144184125704315</v>
      </c>
      <c r="V91" s="891">
        <v>0.17144184125704315</v>
      </c>
      <c r="W91" s="891">
        <v>0.17144184125704315</v>
      </c>
      <c r="X91" s="891">
        <v>0.17144184125704315</v>
      </c>
      <c r="Y91" s="891">
        <v>0.17144184125704315</v>
      </c>
      <c r="Z91" s="891">
        <v>0.17144184125704315</v>
      </c>
      <c r="AA91" s="891">
        <v>0.17144184125704315</v>
      </c>
      <c r="AB91" s="891">
        <v>0.17144184125704315</v>
      </c>
      <c r="AC91" s="891">
        <v>0.17144184125704315</v>
      </c>
      <c r="AD91" s="891">
        <v>0.17144184125704315</v>
      </c>
      <c r="AE91" s="891">
        <v>0.17144184125704315</v>
      </c>
      <c r="AF91" s="891">
        <v>0.17144184125704315</v>
      </c>
      <c r="AG91" s="891">
        <v>0.17144184125704315</v>
      </c>
      <c r="AH91" s="891">
        <v>0.17144184125704315</v>
      </c>
      <c r="AI91" s="891">
        <v>0.17144184125704315</v>
      </c>
      <c r="AJ91" s="891">
        <v>0.17144184125704315</v>
      </c>
      <c r="AK91" s="891">
        <v>0.17144184125704315</v>
      </c>
      <c r="AL91" s="891">
        <v>0.17144184125704315</v>
      </c>
      <c r="AM91" s="891">
        <v>0.17144184125704315</v>
      </c>
      <c r="AN91" s="891">
        <v>0.17144184125704315</v>
      </c>
      <c r="AO91" s="891">
        <v>0.17144184125704315</v>
      </c>
      <c r="AP91" s="891">
        <v>0.17144184125704315</v>
      </c>
      <c r="AQ91" s="891">
        <v>0.17144184125704315</v>
      </c>
      <c r="AR91" s="891">
        <v>0.17144184125704315</v>
      </c>
      <c r="AS91" s="891">
        <v>0.17144184125704315</v>
      </c>
      <c r="AT91" s="891">
        <v>0.17144184125704315</v>
      </c>
      <c r="AU91" s="891">
        <v>0.17144184125704315</v>
      </c>
      <c r="AV91" s="891">
        <v>0.17144184125704315</v>
      </c>
      <c r="AW91" s="891">
        <v>0.17144184125704315</v>
      </c>
      <c r="AX91" s="891">
        <v>0.17144184125704315</v>
      </c>
      <c r="AY91" s="891">
        <v>0.17144184125704315</v>
      </c>
      <c r="AZ91" s="891">
        <v>0.17144184125704315</v>
      </c>
      <c r="BA91" s="891">
        <v>0.17144184125704315</v>
      </c>
      <c r="BB91" s="891">
        <v>0.17144184125704315</v>
      </c>
      <c r="BC91" s="891">
        <v>0.17144184125704315</v>
      </c>
      <c r="BD91" s="891">
        <v>0.17144184125704315</v>
      </c>
      <c r="BE91" s="891">
        <v>0.17144184125704315</v>
      </c>
      <c r="BF91" s="891">
        <v>0.17144184125704315</v>
      </c>
      <c r="BG91" s="891">
        <v>0.17144184125704315</v>
      </c>
      <c r="BH91" s="891">
        <v>0.17144184125704315</v>
      </c>
      <c r="BI91" s="891">
        <v>0.17144184125704315</v>
      </c>
      <c r="BJ91" s="891">
        <v>0.17144184125704315</v>
      </c>
      <c r="BK91" s="891">
        <v>0.17144184125704315</v>
      </c>
      <c r="BL91" s="891">
        <v>0.17144184125704315</v>
      </c>
      <c r="BM91" s="891">
        <v>0.17144184125704315</v>
      </c>
      <c r="BN91" s="891">
        <v>0.17144184125704315</v>
      </c>
      <c r="BO91" s="891">
        <v>0.17144184125704315</v>
      </c>
      <c r="BP91" s="891">
        <v>0.17144184125704315</v>
      </c>
      <c r="BQ91" s="891">
        <v>0.17144184125704315</v>
      </c>
      <c r="BR91" s="891">
        <v>0.17144184125704315</v>
      </c>
      <c r="BS91" s="891">
        <v>0.17144184125704315</v>
      </c>
      <c r="BT91" s="891">
        <v>0.17144184125704315</v>
      </c>
      <c r="BU91" s="891">
        <v>0.17144184125704315</v>
      </c>
      <c r="BV91" s="891">
        <v>0.17144184125704315</v>
      </c>
      <c r="BW91" s="891">
        <v>0.17144184125704315</v>
      </c>
      <c r="BX91" s="891">
        <v>0.17144184125704315</v>
      </c>
      <c r="BY91" s="891">
        <v>0.17144184125704315</v>
      </c>
      <c r="BZ91" s="891">
        <v>0.17144184125704315</v>
      </c>
      <c r="CA91" s="891">
        <v>0.17144184125704315</v>
      </c>
      <c r="CB91" s="891">
        <v>0.17144184125704315</v>
      </c>
      <c r="CC91" s="891">
        <v>0.17144184125704315</v>
      </c>
      <c r="CD91" s="891">
        <v>0.17144184125704315</v>
      </c>
      <c r="CE91" s="891">
        <v>0.17144184125704315</v>
      </c>
      <c r="CF91" s="892">
        <v>0.17144184125704315</v>
      </c>
    </row>
    <row r="92" spans="1:84">
      <c r="A92" s="852"/>
      <c r="B92" s="876" t="s">
        <v>751</v>
      </c>
      <c r="C92" s="852"/>
      <c r="D92" s="852"/>
      <c r="E92" s="852"/>
      <c r="F92" s="852"/>
      <c r="G92" s="852"/>
      <c r="H92" s="852"/>
      <c r="I92" s="852"/>
      <c r="J92" s="852"/>
      <c r="K92" s="852"/>
      <c r="L92" s="852"/>
      <c r="M92" s="852"/>
      <c r="N92" s="852"/>
      <c r="O92" s="852"/>
      <c r="P92" s="852"/>
      <c r="Q92" s="852"/>
      <c r="R92" s="852"/>
      <c r="S92" s="852"/>
      <c r="T92" s="852"/>
      <c r="U92" s="852"/>
      <c r="V92" s="852"/>
      <c r="W92" s="852"/>
      <c r="X92" s="852"/>
      <c r="Y92" s="852"/>
      <c r="Z92" s="852"/>
      <c r="AA92" s="852"/>
      <c r="AB92" s="852"/>
      <c r="AC92" s="852"/>
      <c r="AD92" s="852"/>
      <c r="AE92" s="852"/>
      <c r="AF92" s="852"/>
      <c r="AG92" s="852"/>
      <c r="AH92" s="852"/>
      <c r="AI92" s="852"/>
      <c r="AJ92" s="852"/>
      <c r="AK92" s="852"/>
      <c r="AL92" s="852"/>
      <c r="AM92" s="852"/>
      <c r="AN92" s="852"/>
      <c r="AO92" s="852"/>
      <c r="AP92" s="852"/>
      <c r="AQ92" s="852"/>
      <c r="AR92" s="852"/>
      <c r="AS92" s="852"/>
      <c r="AT92" s="852"/>
      <c r="AU92" s="852"/>
      <c r="AV92" s="852"/>
      <c r="AW92" s="852"/>
      <c r="AX92" s="852"/>
      <c r="AY92" s="852"/>
      <c r="AZ92" s="852"/>
      <c r="BA92" s="852"/>
      <c r="BB92" s="852"/>
      <c r="BC92" s="852"/>
      <c r="BD92" s="852"/>
      <c r="BE92" s="852"/>
      <c r="BF92" s="852"/>
      <c r="BG92" s="852"/>
      <c r="BH92" s="852"/>
      <c r="BI92" s="852"/>
      <c r="BJ92" s="852"/>
      <c r="BK92" s="852"/>
      <c r="BL92" s="852"/>
      <c r="BM92" s="852"/>
      <c r="BN92" s="852"/>
      <c r="BO92" s="852"/>
      <c r="BP92" s="852"/>
      <c r="BQ92" s="852"/>
      <c r="BR92" s="852"/>
      <c r="BS92" s="852"/>
      <c r="BT92" s="852"/>
      <c r="BU92" s="852"/>
      <c r="BV92" s="852"/>
      <c r="BW92" s="852"/>
      <c r="BX92" s="852"/>
      <c r="BY92" s="852"/>
      <c r="BZ92" s="852"/>
      <c r="CA92" s="852"/>
      <c r="CB92" s="852"/>
      <c r="CC92" s="852"/>
      <c r="CD92" s="852"/>
      <c r="CE92" s="852"/>
      <c r="CF92" s="852"/>
    </row>
    <row r="93" spans="1:84">
      <c r="A93" s="852"/>
      <c r="B93" s="876"/>
      <c r="C93" s="852"/>
      <c r="D93" s="852"/>
      <c r="E93" s="852"/>
      <c r="F93" s="852"/>
      <c r="G93" s="852"/>
      <c r="H93" s="852"/>
      <c r="I93" s="852"/>
      <c r="J93" s="852"/>
      <c r="K93" s="852"/>
      <c r="L93" s="852"/>
      <c r="M93" s="852"/>
      <c r="N93" s="852"/>
      <c r="O93" s="852"/>
      <c r="P93" s="852"/>
      <c r="Q93" s="852"/>
      <c r="R93" s="852"/>
      <c r="S93" s="852"/>
      <c r="T93" s="852"/>
      <c r="U93" s="852"/>
      <c r="V93" s="852"/>
      <c r="W93" s="852"/>
      <c r="X93" s="852"/>
      <c r="Y93" s="852"/>
      <c r="Z93" s="852"/>
      <c r="AA93" s="852"/>
      <c r="AB93" s="852"/>
      <c r="AC93" s="852"/>
      <c r="AD93" s="852"/>
      <c r="AE93" s="852"/>
      <c r="AF93" s="852"/>
      <c r="AG93" s="852"/>
      <c r="AH93" s="852"/>
      <c r="AI93" s="852"/>
      <c r="AJ93" s="852"/>
      <c r="AK93" s="852"/>
      <c r="AL93" s="852"/>
      <c r="AM93" s="852"/>
      <c r="AN93" s="852"/>
      <c r="AO93" s="852"/>
      <c r="AP93" s="852"/>
      <c r="AQ93" s="852"/>
      <c r="AR93" s="852"/>
      <c r="AS93" s="852"/>
      <c r="AT93" s="852"/>
      <c r="AU93" s="852"/>
      <c r="AV93" s="852"/>
      <c r="AW93" s="852"/>
      <c r="AX93" s="852"/>
      <c r="AY93" s="852"/>
      <c r="AZ93" s="852"/>
      <c r="BA93" s="852"/>
      <c r="BB93" s="852"/>
      <c r="BC93" s="852"/>
      <c r="BD93" s="852"/>
      <c r="BE93" s="852"/>
      <c r="BF93" s="852"/>
      <c r="BG93" s="852"/>
      <c r="BH93" s="852"/>
      <c r="BI93" s="852"/>
      <c r="BJ93" s="852"/>
      <c r="BK93" s="852"/>
      <c r="BL93" s="852"/>
      <c r="BM93" s="852"/>
      <c r="BN93" s="852"/>
      <c r="BO93" s="852"/>
      <c r="BP93" s="852"/>
      <c r="BQ93" s="852"/>
      <c r="BR93" s="852"/>
      <c r="BS93" s="852"/>
      <c r="BT93" s="852"/>
      <c r="BU93" s="852"/>
      <c r="BV93" s="852"/>
      <c r="BW93" s="852"/>
      <c r="BX93" s="852"/>
      <c r="BY93" s="852"/>
      <c r="BZ93" s="852"/>
      <c r="CA93" s="852"/>
      <c r="CB93" s="852"/>
      <c r="CC93" s="852"/>
      <c r="CD93" s="852"/>
      <c r="CE93" s="852"/>
      <c r="CF93" s="852"/>
    </row>
    <row r="94" spans="1:84" ht="13.8" thickBot="1">
      <c r="A94" s="852"/>
      <c r="B94" s="853" t="s">
        <v>753</v>
      </c>
      <c r="C94" s="852"/>
      <c r="D94" s="852"/>
      <c r="E94" s="852"/>
      <c r="F94" s="852"/>
      <c r="G94" s="852"/>
      <c r="H94" s="852"/>
      <c r="I94" s="883">
        <f>$I$140</f>
        <v>0</v>
      </c>
      <c r="J94" s="852" t="s">
        <v>739</v>
      </c>
      <c r="K94" s="852"/>
      <c r="L94" s="852"/>
      <c r="M94" s="852"/>
      <c r="N94" s="852"/>
      <c r="O94" s="852"/>
      <c r="P94" s="852"/>
      <c r="Q94" s="852"/>
      <c r="R94" s="852"/>
      <c r="S94" s="852"/>
      <c r="T94" s="852"/>
      <c r="U94" s="852"/>
      <c r="V94" s="852"/>
      <c r="W94" s="852"/>
      <c r="X94" s="852"/>
      <c r="Y94" s="852"/>
      <c r="Z94" s="852"/>
      <c r="AA94" s="852"/>
      <c r="AB94" s="852"/>
      <c r="AC94" s="852"/>
      <c r="AD94" s="852"/>
      <c r="AE94" s="852"/>
      <c r="AF94" s="852"/>
      <c r="AG94" s="852"/>
      <c r="AH94" s="852"/>
      <c r="AI94" s="852"/>
      <c r="AJ94" s="852"/>
      <c r="AK94" s="852"/>
      <c r="AL94" s="852"/>
      <c r="AM94" s="852"/>
      <c r="AN94" s="852"/>
      <c r="AO94" s="852"/>
      <c r="AP94" s="852"/>
      <c r="AQ94" s="852"/>
      <c r="AR94" s="852"/>
      <c r="AS94" s="852"/>
      <c r="AT94" s="852"/>
      <c r="AU94" s="852"/>
      <c r="AV94" s="852"/>
      <c r="AW94" s="852"/>
      <c r="AX94" s="852"/>
      <c r="AY94" s="852"/>
      <c r="AZ94" s="852"/>
      <c r="BA94" s="852"/>
      <c r="BB94" s="852"/>
      <c r="BC94" s="852"/>
      <c r="BD94" s="852"/>
      <c r="BE94" s="852"/>
      <c r="BF94" s="852"/>
      <c r="BG94" s="852"/>
      <c r="BH94" s="852"/>
      <c r="BI94" s="852"/>
      <c r="BJ94" s="852"/>
      <c r="BK94" s="852"/>
      <c r="BL94" s="852"/>
      <c r="BM94" s="852"/>
      <c r="BN94" s="852"/>
      <c r="BO94" s="852"/>
      <c r="BP94" s="852"/>
      <c r="BQ94" s="852"/>
      <c r="BR94" s="852"/>
      <c r="BS94" s="852"/>
      <c r="BT94" s="852"/>
      <c r="BU94" s="852"/>
      <c r="BV94" s="852"/>
      <c r="BW94" s="852"/>
      <c r="BX94" s="852"/>
      <c r="BY94" s="852"/>
      <c r="BZ94" s="852"/>
      <c r="CA94" s="852"/>
      <c r="CB94" s="852"/>
      <c r="CC94" s="852"/>
      <c r="CD94" s="852"/>
      <c r="CE94" s="852"/>
      <c r="CF94" s="852"/>
    </row>
    <row r="95" spans="1:84">
      <c r="A95" s="852"/>
      <c r="B95" s="856" t="s">
        <v>740</v>
      </c>
      <c r="C95" s="857"/>
      <c r="D95" s="858">
        <v>2010</v>
      </c>
      <c r="E95" s="858">
        <v>2011</v>
      </c>
      <c r="F95" s="858">
        <v>2012</v>
      </c>
      <c r="G95" s="858">
        <v>2013</v>
      </c>
      <c r="H95" s="858">
        <v>2014</v>
      </c>
      <c r="I95" s="858">
        <v>2015</v>
      </c>
      <c r="J95" s="858">
        <v>2016</v>
      </c>
      <c r="K95" s="858">
        <v>2017</v>
      </c>
      <c r="L95" s="858">
        <v>2018</v>
      </c>
      <c r="M95" s="858">
        <v>2019</v>
      </c>
      <c r="N95" s="858">
        <v>2020</v>
      </c>
      <c r="O95" s="858">
        <v>2021</v>
      </c>
      <c r="P95" s="858">
        <v>2022</v>
      </c>
      <c r="Q95" s="858">
        <v>2023</v>
      </c>
      <c r="R95" s="858">
        <v>2024</v>
      </c>
      <c r="S95" s="858">
        <v>2025</v>
      </c>
      <c r="T95" s="858">
        <v>2026</v>
      </c>
      <c r="U95" s="858">
        <v>2027</v>
      </c>
      <c r="V95" s="858">
        <v>2028</v>
      </c>
      <c r="W95" s="858">
        <v>2029</v>
      </c>
      <c r="X95" s="858">
        <v>2030</v>
      </c>
      <c r="Y95" s="858">
        <v>2031</v>
      </c>
      <c r="Z95" s="858">
        <v>2032</v>
      </c>
      <c r="AA95" s="858">
        <v>2033</v>
      </c>
      <c r="AB95" s="858">
        <v>2034</v>
      </c>
      <c r="AC95" s="858">
        <v>2035</v>
      </c>
      <c r="AD95" s="858">
        <v>2036</v>
      </c>
      <c r="AE95" s="858">
        <v>2037</v>
      </c>
      <c r="AF95" s="858">
        <v>2038</v>
      </c>
      <c r="AG95" s="858">
        <v>2039</v>
      </c>
      <c r="AH95" s="858">
        <v>2040</v>
      </c>
      <c r="AI95" s="858">
        <v>2041</v>
      </c>
      <c r="AJ95" s="858">
        <v>2042</v>
      </c>
      <c r="AK95" s="858">
        <v>2043</v>
      </c>
      <c r="AL95" s="858">
        <v>2044</v>
      </c>
      <c r="AM95" s="858">
        <v>2045</v>
      </c>
      <c r="AN95" s="858">
        <v>2046</v>
      </c>
      <c r="AO95" s="858">
        <v>2047</v>
      </c>
      <c r="AP95" s="858">
        <v>2048</v>
      </c>
      <c r="AQ95" s="858">
        <v>2049</v>
      </c>
      <c r="AR95" s="858">
        <v>2050</v>
      </c>
      <c r="AS95" s="858">
        <v>2051</v>
      </c>
      <c r="AT95" s="858">
        <v>2052</v>
      </c>
      <c r="AU95" s="858">
        <v>2053</v>
      </c>
      <c r="AV95" s="858">
        <v>2054</v>
      </c>
      <c r="AW95" s="858">
        <v>2055</v>
      </c>
      <c r="AX95" s="858">
        <v>2056</v>
      </c>
      <c r="AY95" s="858">
        <v>2057</v>
      </c>
      <c r="AZ95" s="858">
        <v>2058</v>
      </c>
      <c r="BA95" s="858">
        <v>2059</v>
      </c>
      <c r="BB95" s="858">
        <v>2060</v>
      </c>
      <c r="BC95" s="858">
        <v>2061</v>
      </c>
      <c r="BD95" s="858">
        <v>2062</v>
      </c>
      <c r="BE95" s="858">
        <v>2063</v>
      </c>
      <c r="BF95" s="858">
        <v>2064</v>
      </c>
      <c r="BG95" s="858">
        <v>2065</v>
      </c>
      <c r="BH95" s="858">
        <v>2066</v>
      </c>
      <c r="BI95" s="858">
        <v>2067</v>
      </c>
      <c r="BJ95" s="858">
        <v>2068</v>
      </c>
      <c r="BK95" s="858">
        <v>2069</v>
      </c>
      <c r="BL95" s="858">
        <v>2070</v>
      </c>
      <c r="BM95" s="858">
        <v>2071</v>
      </c>
      <c r="BN95" s="858">
        <v>2072</v>
      </c>
      <c r="BO95" s="858">
        <v>2073</v>
      </c>
      <c r="BP95" s="858">
        <v>2074</v>
      </c>
      <c r="BQ95" s="858">
        <v>2075</v>
      </c>
      <c r="BR95" s="858">
        <v>2076</v>
      </c>
      <c r="BS95" s="858">
        <v>2077</v>
      </c>
      <c r="BT95" s="858">
        <v>2078</v>
      </c>
      <c r="BU95" s="858">
        <v>2079</v>
      </c>
      <c r="BV95" s="858">
        <v>2080</v>
      </c>
      <c r="BW95" s="858">
        <v>2081</v>
      </c>
      <c r="BX95" s="858">
        <v>2082</v>
      </c>
      <c r="BY95" s="858">
        <v>2083</v>
      </c>
      <c r="BZ95" s="858">
        <v>2084</v>
      </c>
      <c r="CA95" s="858">
        <v>2085</v>
      </c>
      <c r="CB95" s="858">
        <v>2086</v>
      </c>
      <c r="CC95" s="858">
        <v>2087</v>
      </c>
      <c r="CD95" s="858">
        <v>2088</v>
      </c>
      <c r="CE95" s="858">
        <v>2089</v>
      </c>
      <c r="CF95" s="859">
        <v>2090</v>
      </c>
    </row>
    <row r="96" spans="1:84">
      <c r="A96" s="852"/>
      <c r="B96" s="860" t="str">
        <f>CONCATENATE("Drivmiddel (", $D$122,"-priser)")</f>
        <v>Drivmiddel (-priser)</v>
      </c>
      <c r="C96" s="861" t="s">
        <v>741</v>
      </c>
      <c r="D96" s="862" t="e">
        <f t="shared" ref="D96" si="972">D5/#REF!*#REF!</f>
        <v>#REF!</v>
      </c>
      <c r="E96" s="862" t="e">
        <f t="shared" ref="E96" si="973">E5/#REF!*#REF!</f>
        <v>#REF!</v>
      </c>
      <c r="F96" s="862" t="e">
        <f t="shared" ref="F96" si="974">F5/#REF!*#REF!</f>
        <v>#REF!</v>
      </c>
      <c r="G96" s="862" t="e">
        <f t="shared" ref="G96" si="975">G5/#REF!*#REF!</f>
        <v>#REF!</v>
      </c>
      <c r="H96" s="862" t="e">
        <f t="shared" ref="H96" si="976">H5/#REF!*#REF!</f>
        <v>#REF!</v>
      </c>
      <c r="I96" s="862" t="e">
        <f t="shared" ref="I96" si="977">I5/#REF!*#REF!</f>
        <v>#REF!</v>
      </c>
      <c r="J96" s="862" t="e">
        <f t="shared" ref="J96" si="978">J5/#REF!*#REF!</f>
        <v>#REF!</v>
      </c>
      <c r="K96" s="862" t="e">
        <f t="shared" ref="K96" si="979">K5/#REF!*#REF!</f>
        <v>#REF!</v>
      </c>
      <c r="L96" s="862" t="e">
        <f t="shared" ref="L96" si="980">L5/#REF!*#REF!</f>
        <v>#REF!</v>
      </c>
      <c r="M96" s="862" t="e">
        <f t="shared" ref="M96" si="981">M5/#REF!*#REF!</f>
        <v>#REF!</v>
      </c>
      <c r="N96" s="862" t="e">
        <f t="shared" ref="N96" si="982">N5/#REF!*#REF!</f>
        <v>#REF!</v>
      </c>
      <c r="O96" s="862" t="e">
        <f t="shared" ref="O96" si="983">O5/#REF!*#REF!</f>
        <v>#REF!</v>
      </c>
      <c r="P96" s="862" t="e">
        <f t="shared" ref="P96" si="984">P5/#REF!*#REF!</f>
        <v>#REF!</v>
      </c>
      <c r="Q96" s="862" t="e">
        <f t="shared" ref="Q96" si="985">Q5/#REF!*#REF!</f>
        <v>#REF!</v>
      </c>
      <c r="R96" s="862" t="e">
        <f t="shared" ref="R96" si="986">R5/#REF!*#REF!</f>
        <v>#REF!</v>
      </c>
      <c r="S96" s="862" t="e">
        <f t="shared" ref="S96" si="987">S5/#REF!*#REF!</f>
        <v>#REF!</v>
      </c>
      <c r="T96" s="862" t="e">
        <f t="shared" ref="T96" si="988">T5/#REF!*#REF!</f>
        <v>#REF!</v>
      </c>
      <c r="U96" s="862" t="e">
        <f t="shared" ref="U96" si="989">U5/#REF!*#REF!</f>
        <v>#REF!</v>
      </c>
      <c r="V96" s="862" t="e">
        <f t="shared" ref="V96" si="990">V5/#REF!*#REF!</f>
        <v>#REF!</v>
      </c>
      <c r="W96" s="862" t="e">
        <f t="shared" ref="W96" si="991">W5/#REF!*#REF!</f>
        <v>#REF!</v>
      </c>
      <c r="X96" s="862" t="e">
        <f t="shared" ref="X96" si="992">X5/#REF!*#REF!</f>
        <v>#REF!</v>
      </c>
      <c r="Y96" s="862" t="e">
        <f t="shared" ref="Y96" si="993">Y5/#REF!*#REF!</f>
        <v>#REF!</v>
      </c>
      <c r="Z96" s="862" t="e">
        <f t="shared" ref="Z96" si="994">Z5/#REF!*#REF!</f>
        <v>#REF!</v>
      </c>
      <c r="AA96" s="862" t="e">
        <f t="shared" ref="AA96" si="995">AA5/#REF!*#REF!</f>
        <v>#REF!</v>
      </c>
      <c r="AB96" s="862" t="e">
        <f t="shared" ref="AB96" si="996">AB5/#REF!*#REF!</f>
        <v>#REF!</v>
      </c>
      <c r="AC96" s="862" t="e">
        <f t="shared" ref="AC96" si="997">AC5/#REF!*#REF!</f>
        <v>#REF!</v>
      </c>
      <c r="AD96" s="862" t="e">
        <f t="shared" ref="AD96" si="998">AD5/#REF!*#REF!</f>
        <v>#REF!</v>
      </c>
      <c r="AE96" s="862" t="e">
        <f t="shared" ref="AE96" si="999">AE5/#REF!*#REF!</f>
        <v>#REF!</v>
      </c>
      <c r="AF96" s="862" t="e">
        <f t="shared" ref="AF96" si="1000">AF5/#REF!*#REF!</f>
        <v>#REF!</v>
      </c>
      <c r="AG96" s="862" t="e">
        <f t="shared" ref="AG96" si="1001">AG5/#REF!*#REF!</f>
        <v>#REF!</v>
      </c>
      <c r="AH96" s="862" t="e">
        <f t="shared" ref="AH96" si="1002">AH5/#REF!*#REF!</f>
        <v>#REF!</v>
      </c>
      <c r="AI96" s="862" t="e">
        <f t="shared" ref="AI96" si="1003">AI5/#REF!*#REF!</f>
        <v>#REF!</v>
      </c>
      <c r="AJ96" s="862" t="e">
        <f t="shared" ref="AJ96" si="1004">AJ5/#REF!*#REF!</f>
        <v>#REF!</v>
      </c>
      <c r="AK96" s="862" t="e">
        <f t="shared" ref="AK96" si="1005">AK5/#REF!*#REF!</f>
        <v>#REF!</v>
      </c>
      <c r="AL96" s="862" t="e">
        <f t="shared" ref="AL96" si="1006">AL5/#REF!*#REF!</f>
        <v>#REF!</v>
      </c>
      <c r="AM96" s="862" t="e">
        <f t="shared" ref="AM96" si="1007">AM5/#REF!*#REF!</f>
        <v>#REF!</v>
      </c>
      <c r="AN96" s="862" t="e">
        <f t="shared" ref="AN96" si="1008">AN5/#REF!*#REF!</f>
        <v>#REF!</v>
      </c>
      <c r="AO96" s="862" t="e">
        <f t="shared" ref="AO96" si="1009">AO5/#REF!*#REF!</f>
        <v>#REF!</v>
      </c>
      <c r="AP96" s="862" t="e">
        <f t="shared" ref="AP96" si="1010">AP5/#REF!*#REF!</f>
        <v>#REF!</v>
      </c>
      <c r="AQ96" s="862" t="e">
        <f t="shared" ref="AQ96" si="1011">AQ5/#REF!*#REF!</f>
        <v>#REF!</v>
      </c>
      <c r="AR96" s="862" t="e">
        <f t="shared" ref="AR96" si="1012">AR5/#REF!*#REF!</f>
        <v>#REF!</v>
      </c>
      <c r="AS96" s="862" t="e">
        <f t="shared" ref="AS96" si="1013">AS5/#REF!*#REF!</f>
        <v>#REF!</v>
      </c>
      <c r="AT96" s="862" t="e">
        <f t="shared" ref="AT96" si="1014">AT5/#REF!*#REF!</f>
        <v>#REF!</v>
      </c>
      <c r="AU96" s="862" t="e">
        <f t="shared" ref="AU96" si="1015">AU5/#REF!*#REF!</f>
        <v>#REF!</v>
      </c>
      <c r="AV96" s="862" t="e">
        <f t="shared" ref="AV96" si="1016">AV5/#REF!*#REF!</f>
        <v>#REF!</v>
      </c>
      <c r="AW96" s="862" t="e">
        <f t="shared" ref="AW96" si="1017">AW5/#REF!*#REF!</f>
        <v>#REF!</v>
      </c>
      <c r="AX96" s="862" t="e">
        <f t="shared" ref="AX96" si="1018">AX5/#REF!*#REF!</f>
        <v>#REF!</v>
      </c>
      <c r="AY96" s="862" t="e">
        <f t="shared" ref="AY96" si="1019">AY5/#REF!*#REF!</f>
        <v>#REF!</v>
      </c>
      <c r="AZ96" s="862" t="e">
        <f t="shared" ref="AZ96" si="1020">AZ5/#REF!*#REF!</f>
        <v>#REF!</v>
      </c>
      <c r="BA96" s="862" t="e">
        <f t="shared" ref="BA96" si="1021">BA5/#REF!*#REF!</f>
        <v>#REF!</v>
      </c>
      <c r="BB96" s="862" t="e">
        <f t="shared" ref="BB96" si="1022">BB5/#REF!*#REF!</f>
        <v>#REF!</v>
      </c>
      <c r="BC96" s="862" t="e">
        <f t="shared" ref="BC96" si="1023">BC5/#REF!*#REF!</f>
        <v>#REF!</v>
      </c>
      <c r="BD96" s="862" t="e">
        <f t="shared" ref="BD96" si="1024">BD5/#REF!*#REF!</f>
        <v>#REF!</v>
      </c>
      <c r="BE96" s="862" t="e">
        <f t="shared" ref="BE96" si="1025">BE5/#REF!*#REF!</f>
        <v>#REF!</v>
      </c>
      <c r="BF96" s="862" t="e">
        <f t="shared" ref="BF96" si="1026">BF5/#REF!*#REF!</f>
        <v>#REF!</v>
      </c>
      <c r="BG96" s="862" t="e">
        <f t="shared" ref="BG96" si="1027">BG5/#REF!*#REF!</f>
        <v>#REF!</v>
      </c>
      <c r="BH96" s="862" t="e">
        <f t="shared" ref="BH96" si="1028">BH5/#REF!*#REF!</f>
        <v>#REF!</v>
      </c>
      <c r="BI96" s="862" t="e">
        <f t="shared" ref="BI96" si="1029">BI5/#REF!*#REF!</f>
        <v>#REF!</v>
      </c>
      <c r="BJ96" s="862" t="e">
        <f t="shared" ref="BJ96" si="1030">BJ5/#REF!*#REF!</f>
        <v>#REF!</v>
      </c>
      <c r="BK96" s="862" t="e">
        <f t="shared" ref="BK96" si="1031">BK5/#REF!*#REF!</f>
        <v>#REF!</v>
      </c>
      <c r="BL96" s="862" t="e">
        <f t="shared" ref="BL96" si="1032">BL5/#REF!*#REF!</f>
        <v>#REF!</v>
      </c>
      <c r="BM96" s="862" t="e">
        <f t="shared" ref="BM96" si="1033">BM5/#REF!*#REF!</f>
        <v>#REF!</v>
      </c>
      <c r="BN96" s="862" t="e">
        <f t="shared" ref="BN96" si="1034">BN5/#REF!*#REF!</f>
        <v>#REF!</v>
      </c>
      <c r="BO96" s="862" t="e">
        <f t="shared" ref="BO96" si="1035">BO5/#REF!*#REF!</f>
        <v>#REF!</v>
      </c>
      <c r="BP96" s="862" t="e">
        <f t="shared" ref="BP96" si="1036">BP5/#REF!*#REF!</f>
        <v>#REF!</v>
      </c>
      <c r="BQ96" s="862" t="e">
        <f t="shared" ref="BQ96" si="1037">BQ5/#REF!*#REF!</f>
        <v>#REF!</v>
      </c>
      <c r="BR96" s="862" t="e">
        <f t="shared" ref="BR96" si="1038">BR5/#REF!*#REF!</f>
        <v>#REF!</v>
      </c>
      <c r="BS96" s="862" t="e">
        <f t="shared" ref="BS96" si="1039">BS5/#REF!*#REF!</f>
        <v>#REF!</v>
      </c>
      <c r="BT96" s="862" t="e">
        <f t="shared" ref="BT96" si="1040">BT5/#REF!*#REF!</f>
        <v>#REF!</v>
      </c>
      <c r="BU96" s="862" t="e">
        <f t="shared" ref="BU96" si="1041">BU5/#REF!*#REF!</f>
        <v>#REF!</v>
      </c>
      <c r="BV96" s="862" t="e">
        <f t="shared" ref="BV96" si="1042">BV5/#REF!*#REF!</f>
        <v>#REF!</v>
      </c>
      <c r="BW96" s="862" t="e">
        <f t="shared" ref="BW96" si="1043">BW5/#REF!*#REF!</f>
        <v>#REF!</v>
      </c>
      <c r="BX96" s="862" t="e">
        <f t="shared" ref="BX96" si="1044">BX5/#REF!*#REF!</f>
        <v>#REF!</v>
      </c>
      <c r="BY96" s="862" t="e">
        <f t="shared" ref="BY96" si="1045">BY5/#REF!*#REF!</f>
        <v>#REF!</v>
      </c>
      <c r="BZ96" s="862" t="e">
        <f t="shared" ref="BZ96" si="1046">BZ5/#REF!*#REF!</f>
        <v>#REF!</v>
      </c>
      <c r="CA96" s="862" t="e">
        <f t="shared" ref="CA96" si="1047">CA5/#REF!*#REF!</f>
        <v>#REF!</v>
      </c>
      <c r="CB96" s="862" t="e">
        <f t="shared" ref="CB96" si="1048">CB5/#REF!*#REF!</f>
        <v>#REF!</v>
      </c>
      <c r="CC96" s="862" t="e">
        <f t="shared" ref="CC96" si="1049">CC5/#REF!*#REF!</f>
        <v>#REF!</v>
      </c>
      <c r="CD96" s="862" t="e">
        <f t="shared" ref="CD96" si="1050">CD5/#REF!*#REF!</f>
        <v>#REF!</v>
      </c>
      <c r="CE96" s="862" t="e">
        <f t="shared" ref="CE96" si="1051">CE5/#REF!*#REF!</f>
        <v>#REF!</v>
      </c>
      <c r="CF96" s="863" t="e">
        <f t="shared" ref="CF96" si="1052">CF5/#REF!*#REF!</f>
        <v>#REF!</v>
      </c>
    </row>
    <row r="97" spans="1:84">
      <c r="A97" s="852"/>
      <c r="B97" s="860" t="s">
        <v>151</v>
      </c>
      <c r="C97" s="861" t="s">
        <v>741</v>
      </c>
      <c r="D97" s="864">
        <v>0.34097939718713188</v>
      </c>
      <c r="E97" s="864">
        <v>0.34097939718713188</v>
      </c>
      <c r="F97" s="864">
        <v>0.34097939718713188</v>
      </c>
      <c r="G97" s="864">
        <v>0.34097939718713188</v>
      </c>
      <c r="H97" s="864">
        <v>0.34097939718713188</v>
      </c>
      <c r="I97" s="864">
        <v>0.34097939718713188</v>
      </c>
      <c r="J97" s="864">
        <v>0.34097939718713188</v>
      </c>
      <c r="K97" s="864">
        <v>0.34097939718713188</v>
      </c>
      <c r="L97" s="864">
        <v>0.34097939718713188</v>
      </c>
      <c r="M97" s="864">
        <v>0.34097939718713188</v>
      </c>
      <c r="N97" s="864">
        <v>0.34097939718713188</v>
      </c>
      <c r="O97" s="864">
        <v>0.34097939718713188</v>
      </c>
      <c r="P97" s="864">
        <v>0.34097939718713188</v>
      </c>
      <c r="Q97" s="864">
        <v>0.34097939718713188</v>
      </c>
      <c r="R97" s="864">
        <v>0.34097939718713188</v>
      </c>
      <c r="S97" s="864">
        <v>0.34097939718713188</v>
      </c>
      <c r="T97" s="864">
        <v>0.34097939718713188</v>
      </c>
      <c r="U97" s="864">
        <v>0.34097939718713188</v>
      </c>
      <c r="V97" s="864">
        <v>0.34097939718713188</v>
      </c>
      <c r="W97" s="864">
        <v>0.34097939718713188</v>
      </c>
      <c r="X97" s="864">
        <v>0.34097939718713188</v>
      </c>
      <c r="Y97" s="864">
        <v>0.34097939718713188</v>
      </c>
      <c r="Z97" s="864">
        <v>0.34097939718713188</v>
      </c>
      <c r="AA97" s="864">
        <v>0.34097939718713188</v>
      </c>
      <c r="AB97" s="864">
        <v>0.34097939718713188</v>
      </c>
      <c r="AC97" s="864">
        <v>0.34097939718713188</v>
      </c>
      <c r="AD97" s="864">
        <v>0.34097939718713188</v>
      </c>
      <c r="AE97" s="864">
        <v>0.34097939718713188</v>
      </c>
      <c r="AF97" s="864">
        <v>0.34097939718713188</v>
      </c>
      <c r="AG97" s="864">
        <v>0.34097939718713188</v>
      </c>
      <c r="AH97" s="864">
        <v>0.34097939718713188</v>
      </c>
      <c r="AI97" s="864">
        <v>0.34097939718713188</v>
      </c>
      <c r="AJ97" s="864">
        <v>0.34097939718713188</v>
      </c>
      <c r="AK97" s="864">
        <v>0.34097939718713188</v>
      </c>
      <c r="AL97" s="864">
        <v>0.34097939718713188</v>
      </c>
      <c r="AM97" s="864">
        <v>0.34097939718713188</v>
      </c>
      <c r="AN97" s="864">
        <v>0.34097939718713188</v>
      </c>
      <c r="AO97" s="864">
        <v>0.34097939718713188</v>
      </c>
      <c r="AP97" s="864">
        <v>0.34097939718713188</v>
      </c>
      <c r="AQ97" s="864">
        <v>0.34097939718713188</v>
      </c>
      <c r="AR97" s="864">
        <v>0.34097939718713188</v>
      </c>
      <c r="AS97" s="864">
        <v>0.34097939718713188</v>
      </c>
      <c r="AT97" s="864">
        <v>0.34097939718713188</v>
      </c>
      <c r="AU97" s="864">
        <v>0.34097939718713188</v>
      </c>
      <c r="AV97" s="864">
        <v>0.34097939718713188</v>
      </c>
      <c r="AW97" s="864">
        <v>0.34097939718713188</v>
      </c>
      <c r="AX97" s="864">
        <v>0.34097939718713188</v>
      </c>
      <c r="AY97" s="864">
        <v>0.34097939718713188</v>
      </c>
      <c r="AZ97" s="864">
        <v>0.34097939718713188</v>
      </c>
      <c r="BA97" s="864">
        <v>0.34097939718713188</v>
      </c>
      <c r="BB97" s="864">
        <v>0.34097939718713188</v>
      </c>
      <c r="BC97" s="864">
        <v>0.34097939718713188</v>
      </c>
      <c r="BD97" s="864">
        <v>0.34097939718713188</v>
      </c>
      <c r="BE97" s="864">
        <v>0.34097939718713188</v>
      </c>
      <c r="BF97" s="864">
        <v>0.34097939718713188</v>
      </c>
      <c r="BG97" s="864">
        <v>0.34097939718713188</v>
      </c>
      <c r="BH97" s="864">
        <v>0.34097939718713188</v>
      </c>
      <c r="BI97" s="864">
        <v>0.34097939718713188</v>
      </c>
      <c r="BJ97" s="864">
        <v>0.34097939718713188</v>
      </c>
      <c r="BK97" s="864">
        <v>0.34097939718713188</v>
      </c>
      <c r="BL97" s="864">
        <v>0.34097939718713188</v>
      </c>
      <c r="BM97" s="864">
        <v>0.34097939718713188</v>
      </c>
      <c r="BN97" s="864">
        <v>0.34097939718713188</v>
      </c>
      <c r="BO97" s="864">
        <v>0.34097939718713188</v>
      </c>
      <c r="BP97" s="864">
        <v>0.34097939718713188</v>
      </c>
      <c r="BQ97" s="864">
        <v>0.34097939718713188</v>
      </c>
      <c r="BR97" s="864">
        <v>0.34097939718713188</v>
      </c>
      <c r="BS97" s="864">
        <v>0.34097939718713188</v>
      </c>
      <c r="BT97" s="864">
        <v>0.34097939718713188</v>
      </c>
      <c r="BU97" s="864">
        <v>0.34097939718713188</v>
      </c>
      <c r="BV97" s="864">
        <v>0.34097939718713188</v>
      </c>
      <c r="BW97" s="864">
        <v>0.34097939718713188</v>
      </c>
      <c r="BX97" s="864">
        <v>0.34097939718713188</v>
      </c>
      <c r="BY97" s="864">
        <v>0.34097939718713188</v>
      </c>
      <c r="BZ97" s="864">
        <v>0.34097939718713188</v>
      </c>
      <c r="CA97" s="864">
        <v>0.34097939718713188</v>
      </c>
      <c r="CB97" s="864">
        <v>0.34097939718713188</v>
      </c>
      <c r="CC97" s="864">
        <v>0.34097939718713188</v>
      </c>
      <c r="CD97" s="864">
        <v>0.34097939718713188</v>
      </c>
      <c r="CE97" s="864">
        <v>0.34097939718713188</v>
      </c>
      <c r="CF97" s="865">
        <v>0.34097939718713188</v>
      </c>
    </row>
    <row r="98" spans="1:84">
      <c r="A98" s="852"/>
      <c r="B98" s="860" t="s">
        <v>742</v>
      </c>
      <c r="C98" s="861" t="s">
        <v>741</v>
      </c>
      <c r="D98" s="864">
        <v>8.9178502116168887E-2</v>
      </c>
      <c r="E98" s="864">
        <v>8.9178502116168887E-2</v>
      </c>
      <c r="F98" s="864">
        <v>8.9178502116168887E-2</v>
      </c>
      <c r="G98" s="864">
        <v>8.9178502116168887E-2</v>
      </c>
      <c r="H98" s="864">
        <v>8.9178502116168887E-2</v>
      </c>
      <c r="I98" s="864">
        <v>8.9178502116168887E-2</v>
      </c>
      <c r="J98" s="864">
        <v>8.9178502116168887E-2</v>
      </c>
      <c r="K98" s="864">
        <v>8.9178502116168887E-2</v>
      </c>
      <c r="L98" s="864">
        <v>8.9178502116168887E-2</v>
      </c>
      <c r="M98" s="864">
        <v>8.9178502116168887E-2</v>
      </c>
      <c r="N98" s="864">
        <v>8.9178502116168887E-2</v>
      </c>
      <c r="O98" s="864">
        <v>8.9178502116168887E-2</v>
      </c>
      <c r="P98" s="864">
        <v>8.9178502116168887E-2</v>
      </c>
      <c r="Q98" s="864">
        <v>8.9178502116168887E-2</v>
      </c>
      <c r="R98" s="864">
        <v>8.9178502116168887E-2</v>
      </c>
      <c r="S98" s="864">
        <v>8.9178502116168887E-2</v>
      </c>
      <c r="T98" s="864">
        <v>8.9178502116168887E-2</v>
      </c>
      <c r="U98" s="864">
        <v>8.9178502116168887E-2</v>
      </c>
      <c r="V98" s="864">
        <v>8.9178502116168887E-2</v>
      </c>
      <c r="W98" s="864">
        <v>8.9178502116168887E-2</v>
      </c>
      <c r="X98" s="864">
        <v>8.9178502116168887E-2</v>
      </c>
      <c r="Y98" s="864">
        <v>8.9178502116168887E-2</v>
      </c>
      <c r="Z98" s="864">
        <v>8.9178502116168887E-2</v>
      </c>
      <c r="AA98" s="864">
        <v>8.9178502116168887E-2</v>
      </c>
      <c r="AB98" s="864">
        <v>8.9178502116168887E-2</v>
      </c>
      <c r="AC98" s="864">
        <v>8.9178502116168887E-2</v>
      </c>
      <c r="AD98" s="864">
        <v>8.9178502116168887E-2</v>
      </c>
      <c r="AE98" s="864">
        <v>8.9178502116168887E-2</v>
      </c>
      <c r="AF98" s="864">
        <v>8.9178502116168887E-2</v>
      </c>
      <c r="AG98" s="864">
        <v>8.9178502116168887E-2</v>
      </c>
      <c r="AH98" s="864">
        <v>8.9178502116168887E-2</v>
      </c>
      <c r="AI98" s="864">
        <v>8.9178502116168887E-2</v>
      </c>
      <c r="AJ98" s="864">
        <v>8.9178502116168887E-2</v>
      </c>
      <c r="AK98" s="864">
        <v>8.9178502116168887E-2</v>
      </c>
      <c r="AL98" s="864">
        <v>8.9178502116168887E-2</v>
      </c>
      <c r="AM98" s="864">
        <v>8.9178502116168887E-2</v>
      </c>
      <c r="AN98" s="864">
        <v>8.9178502116168887E-2</v>
      </c>
      <c r="AO98" s="864">
        <v>8.9178502116168887E-2</v>
      </c>
      <c r="AP98" s="864">
        <v>8.9178502116168887E-2</v>
      </c>
      <c r="AQ98" s="864">
        <v>8.9178502116168887E-2</v>
      </c>
      <c r="AR98" s="864">
        <v>8.9178502116168887E-2</v>
      </c>
      <c r="AS98" s="864">
        <v>8.9178502116168887E-2</v>
      </c>
      <c r="AT98" s="864">
        <v>8.9178502116168887E-2</v>
      </c>
      <c r="AU98" s="864">
        <v>8.9178502116168887E-2</v>
      </c>
      <c r="AV98" s="864">
        <v>8.9178502116168887E-2</v>
      </c>
      <c r="AW98" s="864">
        <v>8.9178502116168887E-2</v>
      </c>
      <c r="AX98" s="864">
        <v>8.9178502116168887E-2</v>
      </c>
      <c r="AY98" s="864">
        <v>8.9178502116168887E-2</v>
      </c>
      <c r="AZ98" s="864">
        <v>8.9178502116168887E-2</v>
      </c>
      <c r="BA98" s="864">
        <v>8.9178502116168887E-2</v>
      </c>
      <c r="BB98" s="864">
        <v>8.9178502116168887E-2</v>
      </c>
      <c r="BC98" s="864">
        <v>8.9178502116168887E-2</v>
      </c>
      <c r="BD98" s="864">
        <v>8.9178502116168887E-2</v>
      </c>
      <c r="BE98" s="864">
        <v>8.9178502116168887E-2</v>
      </c>
      <c r="BF98" s="864">
        <v>8.9178502116168887E-2</v>
      </c>
      <c r="BG98" s="864">
        <v>8.9178502116168887E-2</v>
      </c>
      <c r="BH98" s="864">
        <v>8.9178502116168887E-2</v>
      </c>
      <c r="BI98" s="864">
        <v>8.9178502116168887E-2</v>
      </c>
      <c r="BJ98" s="864">
        <v>8.9178502116168887E-2</v>
      </c>
      <c r="BK98" s="864">
        <v>8.9178502116168887E-2</v>
      </c>
      <c r="BL98" s="864">
        <v>8.9178502116168887E-2</v>
      </c>
      <c r="BM98" s="864">
        <v>8.9178502116168887E-2</v>
      </c>
      <c r="BN98" s="864">
        <v>8.9178502116168887E-2</v>
      </c>
      <c r="BO98" s="864">
        <v>8.9178502116168887E-2</v>
      </c>
      <c r="BP98" s="864">
        <v>8.9178502116168887E-2</v>
      </c>
      <c r="BQ98" s="864">
        <v>8.9178502116168887E-2</v>
      </c>
      <c r="BR98" s="864">
        <v>8.9178502116168887E-2</v>
      </c>
      <c r="BS98" s="864">
        <v>8.9178502116168887E-2</v>
      </c>
      <c r="BT98" s="864">
        <v>8.9178502116168887E-2</v>
      </c>
      <c r="BU98" s="864">
        <v>8.9178502116168887E-2</v>
      </c>
      <c r="BV98" s="864">
        <v>8.9178502116168887E-2</v>
      </c>
      <c r="BW98" s="864">
        <v>8.9178502116168887E-2</v>
      </c>
      <c r="BX98" s="864">
        <v>8.9178502116168887E-2</v>
      </c>
      <c r="BY98" s="864">
        <v>8.9178502116168887E-2</v>
      </c>
      <c r="BZ98" s="864">
        <v>8.9178502116168887E-2</v>
      </c>
      <c r="CA98" s="864">
        <v>8.9178502116168887E-2</v>
      </c>
      <c r="CB98" s="864">
        <v>8.9178502116168887E-2</v>
      </c>
      <c r="CC98" s="864">
        <v>8.9178502116168887E-2</v>
      </c>
      <c r="CD98" s="864">
        <v>8.9178502116168887E-2</v>
      </c>
      <c r="CE98" s="864">
        <v>8.9178502116168887E-2</v>
      </c>
      <c r="CF98" s="865">
        <v>8.9178502116168887E-2</v>
      </c>
    </row>
    <row r="99" spans="1:84">
      <c r="A99" s="852"/>
      <c r="B99" s="860" t="s">
        <v>743</v>
      </c>
      <c r="C99" s="861" t="s">
        <v>741</v>
      </c>
      <c r="D99" s="864">
        <v>0.46</v>
      </c>
      <c r="E99" s="864">
        <v>0.46</v>
      </c>
      <c r="F99" s="864">
        <v>0.46</v>
      </c>
      <c r="G99" s="864">
        <v>0.46</v>
      </c>
      <c r="H99" s="864">
        <v>0.46</v>
      </c>
      <c r="I99" s="864">
        <v>0.46</v>
      </c>
      <c r="J99" s="864">
        <v>0.46</v>
      </c>
      <c r="K99" s="864">
        <v>0.46</v>
      </c>
      <c r="L99" s="864">
        <v>0.46</v>
      </c>
      <c r="M99" s="864">
        <v>0.46</v>
      </c>
      <c r="N99" s="864">
        <v>0.46</v>
      </c>
      <c r="O99" s="864">
        <v>0.46</v>
      </c>
      <c r="P99" s="864">
        <v>0.46</v>
      </c>
      <c r="Q99" s="864">
        <v>0.46</v>
      </c>
      <c r="R99" s="864">
        <v>0.46</v>
      </c>
      <c r="S99" s="864">
        <v>0.46</v>
      </c>
      <c r="T99" s="864">
        <v>0.46</v>
      </c>
      <c r="U99" s="864">
        <v>0.46</v>
      </c>
      <c r="V99" s="864">
        <v>0.46</v>
      </c>
      <c r="W99" s="864">
        <v>0.46</v>
      </c>
      <c r="X99" s="864">
        <v>0.46</v>
      </c>
      <c r="Y99" s="864">
        <v>0.46</v>
      </c>
      <c r="Z99" s="864">
        <v>0.46</v>
      </c>
      <c r="AA99" s="864">
        <v>0.46</v>
      </c>
      <c r="AB99" s="864">
        <v>0.46</v>
      </c>
      <c r="AC99" s="864">
        <v>0.46</v>
      </c>
      <c r="AD99" s="864">
        <v>0.46</v>
      </c>
      <c r="AE99" s="864">
        <v>0.46</v>
      </c>
      <c r="AF99" s="864">
        <v>0.46</v>
      </c>
      <c r="AG99" s="864">
        <v>0.46</v>
      </c>
      <c r="AH99" s="864">
        <v>0.46</v>
      </c>
      <c r="AI99" s="864">
        <v>0.46</v>
      </c>
      <c r="AJ99" s="864">
        <v>0.46</v>
      </c>
      <c r="AK99" s="864">
        <v>0.46</v>
      </c>
      <c r="AL99" s="864">
        <v>0.46</v>
      </c>
      <c r="AM99" s="864">
        <v>0.46</v>
      </c>
      <c r="AN99" s="864">
        <v>0.46</v>
      </c>
      <c r="AO99" s="864">
        <v>0.46</v>
      </c>
      <c r="AP99" s="864">
        <v>0.46</v>
      </c>
      <c r="AQ99" s="864">
        <v>0.46</v>
      </c>
      <c r="AR99" s="864">
        <v>0.46</v>
      </c>
      <c r="AS99" s="864">
        <v>0.46</v>
      </c>
      <c r="AT99" s="864">
        <v>0.46</v>
      </c>
      <c r="AU99" s="864">
        <v>0.46</v>
      </c>
      <c r="AV99" s="864">
        <v>0.46</v>
      </c>
      <c r="AW99" s="864">
        <v>0.46</v>
      </c>
      <c r="AX99" s="864">
        <v>0.46</v>
      </c>
      <c r="AY99" s="864">
        <v>0.46</v>
      </c>
      <c r="AZ99" s="864">
        <v>0.46</v>
      </c>
      <c r="BA99" s="864">
        <v>0.46</v>
      </c>
      <c r="BB99" s="864">
        <v>0.46</v>
      </c>
      <c r="BC99" s="864">
        <v>0.46</v>
      </c>
      <c r="BD99" s="864">
        <v>0.46</v>
      </c>
      <c r="BE99" s="864">
        <v>0.46</v>
      </c>
      <c r="BF99" s="864">
        <v>0.46</v>
      </c>
      <c r="BG99" s="864">
        <v>0.46</v>
      </c>
      <c r="BH99" s="864">
        <v>0.46</v>
      </c>
      <c r="BI99" s="864">
        <v>0.46</v>
      </c>
      <c r="BJ99" s="864">
        <v>0.46</v>
      </c>
      <c r="BK99" s="864">
        <v>0.46</v>
      </c>
      <c r="BL99" s="864">
        <v>0.46</v>
      </c>
      <c r="BM99" s="864">
        <v>0.46</v>
      </c>
      <c r="BN99" s="864">
        <v>0.46</v>
      </c>
      <c r="BO99" s="864">
        <v>0.46</v>
      </c>
      <c r="BP99" s="864">
        <v>0.46</v>
      </c>
      <c r="BQ99" s="864">
        <v>0.46</v>
      </c>
      <c r="BR99" s="864">
        <v>0.46</v>
      </c>
      <c r="BS99" s="864">
        <v>0.46</v>
      </c>
      <c r="BT99" s="864">
        <v>0.46</v>
      </c>
      <c r="BU99" s="864">
        <v>0.46</v>
      </c>
      <c r="BV99" s="864">
        <v>0.46</v>
      </c>
      <c r="BW99" s="864">
        <v>0.46</v>
      </c>
      <c r="BX99" s="864">
        <v>0.46</v>
      </c>
      <c r="BY99" s="864">
        <v>0.46</v>
      </c>
      <c r="BZ99" s="864">
        <v>0.46</v>
      </c>
      <c r="CA99" s="864">
        <v>0.46</v>
      </c>
      <c r="CB99" s="864">
        <v>0.46</v>
      </c>
      <c r="CC99" s="864">
        <v>0.46</v>
      </c>
      <c r="CD99" s="864">
        <v>0.46</v>
      </c>
      <c r="CE99" s="864">
        <v>0.46</v>
      </c>
      <c r="CF99" s="865">
        <v>0.46</v>
      </c>
    </row>
    <row r="100" spans="1:84">
      <c r="A100" s="852"/>
      <c r="B100" s="866" t="s">
        <v>744</v>
      </c>
      <c r="C100" s="867" t="s">
        <v>741</v>
      </c>
      <c r="D100" s="868">
        <v>1.1508877495320959</v>
      </c>
      <c r="E100" s="869">
        <v>1.1508877495320959</v>
      </c>
      <c r="F100" s="869">
        <v>1.1508877495320959</v>
      </c>
      <c r="G100" s="869">
        <v>1.1508877495320959</v>
      </c>
      <c r="H100" s="869">
        <v>1.1508877495320959</v>
      </c>
      <c r="I100" s="869">
        <v>1.1508877495320959</v>
      </c>
      <c r="J100" s="869">
        <v>1.1508877495320959</v>
      </c>
      <c r="K100" s="869">
        <v>1.1508877495320959</v>
      </c>
      <c r="L100" s="869">
        <v>1.1508877495320959</v>
      </c>
      <c r="M100" s="869">
        <v>1.1508877495320959</v>
      </c>
      <c r="N100" s="869">
        <v>1.1508877495320959</v>
      </c>
      <c r="O100" s="869">
        <v>1.1508877495320959</v>
      </c>
      <c r="P100" s="869">
        <v>1.1508877495320959</v>
      </c>
      <c r="Q100" s="869">
        <v>1.1508877495320959</v>
      </c>
      <c r="R100" s="869">
        <v>1.1508877495320959</v>
      </c>
      <c r="S100" s="869">
        <v>1.1508877495320959</v>
      </c>
      <c r="T100" s="869">
        <v>1.1508877495320959</v>
      </c>
      <c r="U100" s="869">
        <v>1.1508877495320959</v>
      </c>
      <c r="V100" s="869">
        <v>1.1508877495320959</v>
      </c>
      <c r="W100" s="869">
        <v>1.1508877495320959</v>
      </c>
      <c r="X100" s="869">
        <v>1.1508877495320959</v>
      </c>
      <c r="Y100" s="869">
        <v>1.1508877495320959</v>
      </c>
      <c r="Z100" s="869">
        <v>1.1508877495320959</v>
      </c>
      <c r="AA100" s="869">
        <v>1.1508877495320959</v>
      </c>
      <c r="AB100" s="869">
        <v>1.1508877495320959</v>
      </c>
      <c r="AC100" s="869">
        <v>1.1508877495320959</v>
      </c>
      <c r="AD100" s="869">
        <v>1.1508877495320959</v>
      </c>
      <c r="AE100" s="869">
        <v>1.1508877495320959</v>
      </c>
      <c r="AF100" s="869">
        <v>1.1508877495320959</v>
      </c>
      <c r="AG100" s="869">
        <v>1.1508877495320959</v>
      </c>
      <c r="AH100" s="869">
        <v>1.1508877495320959</v>
      </c>
      <c r="AI100" s="869">
        <v>1.1508877495320959</v>
      </c>
      <c r="AJ100" s="869">
        <v>1.1508877495320959</v>
      </c>
      <c r="AK100" s="869">
        <v>1.1508877495320959</v>
      </c>
      <c r="AL100" s="869">
        <v>1.1508877495320959</v>
      </c>
      <c r="AM100" s="869">
        <v>1.1508877495320959</v>
      </c>
      <c r="AN100" s="869">
        <v>1.1508877495320959</v>
      </c>
      <c r="AO100" s="869">
        <v>1.1508877495320959</v>
      </c>
      <c r="AP100" s="869">
        <v>1.1508877495320959</v>
      </c>
      <c r="AQ100" s="869">
        <v>1.1508877495320959</v>
      </c>
      <c r="AR100" s="869">
        <v>1.1508877495320959</v>
      </c>
      <c r="AS100" s="869">
        <v>1.1508877495320959</v>
      </c>
      <c r="AT100" s="869">
        <v>1.1508877495320959</v>
      </c>
      <c r="AU100" s="869">
        <v>1.1508877495320959</v>
      </c>
      <c r="AV100" s="869">
        <v>1.1508877495320959</v>
      </c>
      <c r="AW100" s="869">
        <v>1.1508877495320959</v>
      </c>
      <c r="AX100" s="869">
        <v>1.1508877495320959</v>
      </c>
      <c r="AY100" s="869">
        <v>1.1508877495320959</v>
      </c>
      <c r="AZ100" s="869">
        <v>1.1508877495320959</v>
      </c>
      <c r="BA100" s="869">
        <v>1.1508877495320959</v>
      </c>
      <c r="BB100" s="869">
        <v>1.1508877495320959</v>
      </c>
      <c r="BC100" s="869">
        <v>1.1508877495320959</v>
      </c>
      <c r="BD100" s="869">
        <v>1.1508877495320959</v>
      </c>
      <c r="BE100" s="869">
        <v>1.1508877495320959</v>
      </c>
      <c r="BF100" s="869">
        <v>1.1508877495320959</v>
      </c>
      <c r="BG100" s="869">
        <v>1.1508877495320959</v>
      </c>
      <c r="BH100" s="869">
        <v>1.1508877495320959</v>
      </c>
      <c r="BI100" s="869">
        <v>1.1508877495320959</v>
      </c>
      <c r="BJ100" s="869">
        <v>1.1508877495320959</v>
      </c>
      <c r="BK100" s="869">
        <v>1.1508877495320959</v>
      </c>
      <c r="BL100" s="869">
        <v>1.1508877495320959</v>
      </c>
      <c r="BM100" s="869">
        <v>1.1508877495320959</v>
      </c>
      <c r="BN100" s="869">
        <v>1.1508877495320959</v>
      </c>
      <c r="BO100" s="869">
        <v>1.1508877495320959</v>
      </c>
      <c r="BP100" s="869">
        <v>1.1508877495320959</v>
      </c>
      <c r="BQ100" s="869">
        <v>1.1508877495320959</v>
      </c>
      <c r="BR100" s="869">
        <v>1.1508877495320959</v>
      </c>
      <c r="BS100" s="869">
        <v>1.1508877495320959</v>
      </c>
      <c r="BT100" s="869">
        <v>1.1508877495320959</v>
      </c>
      <c r="BU100" s="869">
        <v>1.1508877495320959</v>
      </c>
      <c r="BV100" s="869">
        <v>1.1508877495320959</v>
      </c>
      <c r="BW100" s="869">
        <v>1.1508877495320959</v>
      </c>
      <c r="BX100" s="869">
        <v>1.1508877495320959</v>
      </c>
      <c r="BY100" s="869">
        <v>1.1508877495320959</v>
      </c>
      <c r="BZ100" s="869">
        <v>1.1508877495320959</v>
      </c>
      <c r="CA100" s="869">
        <v>1.1508877495320959</v>
      </c>
      <c r="CB100" s="869">
        <v>1.1508877495320959</v>
      </c>
      <c r="CC100" s="869">
        <v>1.1508877495320959</v>
      </c>
      <c r="CD100" s="869">
        <v>1.1508877495320959</v>
      </c>
      <c r="CE100" s="869">
        <v>1.1508877495320959</v>
      </c>
      <c r="CF100" s="870">
        <v>1.1508877495320959</v>
      </c>
    </row>
    <row r="101" spans="1:84">
      <c r="A101" s="852"/>
      <c r="B101" s="860" t="str">
        <f>CONCATENATE("Drivmiddel (", $D$122,"-priser)")</f>
        <v>Drivmiddel (-priser)</v>
      </c>
      <c r="C101" s="861" t="s">
        <v>745</v>
      </c>
      <c r="D101" s="862" t="e">
        <f t="shared" ref="D101" si="1053">D8/#REF!*#REF!</f>
        <v>#REF!</v>
      </c>
      <c r="E101" s="862" t="e">
        <f t="shared" ref="E101" si="1054">E8/#REF!*#REF!</f>
        <v>#REF!</v>
      </c>
      <c r="F101" s="862" t="e">
        <f t="shared" ref="F101" si="1055">F8/#REF!*#REF!</f>
        <v>#REF!</v>
      </c>
      <c r="G101" s="862" t="e">
        <f t="shared" ref="G101" si="1056">G8/#REF!*#REF!</f>
        <v>#REF!</v>
      </c>
      <c r="H101" s="862" t="e">
        <f t="shared" ref="H101" si="1057">H8/#REF!*#REF!</f>
        <v>#REF!</v>
      </c>
      <c r="I101" s="862" t="e">
        <f t="shared" ref="I101" si="1058">I8/#REF!*#REF!</f>
        <v>#REF!</v>
      </c>
      <c r="J101" s="862" t="e">
        <f t="shared" ref="J101" si="1059">J8/#REF!*#REF!</f>
        <v>#REF!</v>
      </c>
      <c r="K101" s="862" t="e">
        <f t="shared" ref="K101" si="1060">K8/#REF!*#REF!</f>
        <v>#REF!</v>
      </c>
      <c r="L101" s="862" t="e">
        <f t="shared" ref="L101" si="1061">L8/#REF!*#REF!</f>
        <v>#REF!</v>
      </c>
      <c r="M101" s="862" t="e">
        <f t="shared" ref="M101" si="1062">M8/#REF!*#REF!</f>
        <v>#REF!</v>
      </c>
      <c r="N101" s="862" t="e">
        <f t="shared" ref="N101" si="1063">N8/#REF!*#REF!</f>
        <v>#REF!</v>
      </c>
      <c r="O101" s="862" t="e">
        <f t="shared" ref="O101" si="1064">O8/#REF!*#REF!</f>
        <v>#REF!</v>
      </c>
      <c r="P101" s="862" t="e">
        <f t="shared" ref="P101" si="1065">P8/#REF!*#REF!</f>
        <v>#REF!</v>
      </c>
      <c r="Q101" s="862" t="e">
        <f t="shared" ref="Q101" si="1066">Q8/#REF!*#REF!</f>
        <v>#REF!</v>
      </c>
      <c r="R101" s="862" t="e">
        <f t="shared" ref="R101" si="1067">R8/#REF!*#REF!</f>
        <v>#REF!</v>
      </c>
      <c r="S101" s="862" t="e">
        <f t="shared" ref="S101" si="1068">S8/#REF!*#REF!</f>
        <v>#REF!</v>
      </c>
      <c r="T101" s="862" t="e">
        <f t="shared" ref="T101" si="1069">T8/#REF!*#REF!</f>
        <v>#REF!</v>
      </c>
      <c r="U101" s="862" t="e">
        <f t="shared" ref="U101" si="1070">U8/#REF!*#REF!</f>
        <v>#REF!</v>
      </c>
      <c r="V101" s="862" t="e">
        <f t="shared" ref="V101" si="1071">V8/#REF!*#REF!</f>
        <v>#REF!</v>
      </c>
      <c r="W101" s="862" t="e">
        <f t="shared" ref="W101" si="1072">W8/#REF!*#REF!</f>
        <v>#REF!</v>
      </c>
      <c r="X101" s="862" t="e">
        <f t="shared" ref="X101" si="1073">X8/#REF!*#REF!</f>
        <v>#REF!</v>
      </c>
      <c r="Y101" s="862" t="e">
        <f t="shared" ref="Y101" si="1074">Y8/#REF!*#REF!</f>
        <v>#REF!</v>
      </c>
      <c r="Z101" s="862" t="e">
        <f t="shared" ref="Z101" si="1075">Z8/#REF!*#REF!</f>
        <v>#REF!</v>
      </c>
      <c r="AA101" s="862" t="e">
        <f t="shared" ref="AA101" si="1076">AA8/#REF!*#REF!</f>
        <v>#REF!</v>
      </c>
      <c r="AB101" s="862" t="e">
        <f t="shared" ref="AB101" si="1077">AB8/#REF!*#REF!</f>
        <v>#REF!</v>
      </c>
      <c r="AC101" s="862" t="e">
        <f t="shared" ref="AC101" si="1078">AC8/#REF!*#REF!</f>
        <v>#REF!</v>
      </c>
      <c r="AD101" s="862" t="e">
        <f t="shared" ref="AD101" si="1079">AD8/#REF!*#REF!</f>
        <v>#REF!</v>
      </c>
      <c r="AE101" s="862" t="e">
        <f t="shared" ref="AE101" si="1080">AE8/#REF!*#REF!</f>
        <v>#REF!</v>
      </c>
      <c r="AF101" s="862" t="e">
        <f t="shared" ref="AF101" si="1081">AF8/#REF!*#REF!</f>
        <v>#REF!</v>
      </c>
      <c r="AG101" s="862" t="e">
        <f t="shared" ref="AG101" si="1082">AG8/#REF!*#REF!</f>
        <v>#REF!</v>
      </c>
      <c r="AH101" s="862" t="e">
        <f t="shared" ref="AH101" si="1083">AH8/#REF!*#REF!</f>
        <v>#REF!</v>
      </c>
      <c r="AI101" s="862" t="e">
        <f t="shared" ref="AI101" si="1084">AI8/#REF!*#REF!</f>
        <v>#REF!</v>
      </c>
      <c r="AJ101" s="862" t="e">
        <f t="shared" ref="AJ101" si="1085">AJ8/#REF!*#REF!</f>
        <v>#REF!</v>
      </c>
      <c r="AK101" s="862" t="e">
        <f t="shared" ref="AK101" si="1086">AK8/#REF!*#REF!</f>
        <v>#REF!</v>
      </c>
      <c r="AL101" s="862" t="e">
        <f t="shared" ref="AL101" si="1087">AL8/#REF!*#REF!</f>
        <v>#REF!</v>
      </c>
      <c r="AM101" s="862" t="e">
        <f t="shared" ref="AM101" si="1088">AM8/#REF!*#REF!</f>
        <v>#REF!</v>
      </c>
      <c r="AN101" s="862" t="e">
        <f t="shared" ref="AN101" si="1089">AN8/#REF!*#REF!</f>
        <v>#REF!</v>
      </c>
      <c r="AO101" s="862" t="e">
        <f t="shared" ref="AO101" si="1090">AO8/#REF!*#REF!</f>
        <v>#REF!</v>
      </c>
      <c r="AP101" s="862" t="e">
        <f t="shared" ref="AP101" si="1091">AP8/#REF!*#REF!</f>
        <v>#REF!</v>
      </c>
      <c r="AQ101" s="862" t="e">
        <f t="shared" ref="AQ101" si="1092">AQ8/#REF!*#REF!</f>
        <v>#REF!</v>
      </c>
      <c r="AR101" s="862" t="e">
        <f t="shared" ref="AR101" si="1093">AR8/#REF!*#REF!</f>
        <v>#REF!</v>
      </c>
      <c r="AS101" s="862" t="e">
        <f t="shared" ref="AS101" si="1094">AS8/#REF!*#REF!</f>
        <v>#REF!</v>
      </c>
      <c r="AT101" s="862" t="e">
        <f t="shared" ref="AT101" si="1095">AT8/#REF!*#REF!</f>
        <v>#REF!</v>
      </c>
      <c r="AU101" s="862" t="e">
        <f t="shared" ref="AU101" si="1096">AU8/#REF!*#REF!</f>
        <v>#REF!</v>
      </c>
      <c r="AV101" s="862" t="e">
        <f t="shared" ref="AV101" si="1097">AV8/#REF!*#REF!</f>
        <v>#REF!</v>
      </c>
      <c r="AW101" s="862" t="e">
        <f t="shared" ref="AW101" si="1098">AW8/#REF!*#REF!</f>
        <v>#REF!</v>
      </c>
      <c r="AX101" s="862" t="e">
        <f t="shared" ref="AX101" si="1099">AX8/#REF!*#REF!</f>
        <v>#REF!</v>
      </c>
      <c r="AY101" s="862" t="e">
        <f t="shared" ref="AY101" si="1100">AY8/#REF!*#REF!</f>
        <v>#REF!</v>
      </c>
      <c r="AZ101" s="862" t="e">
        <f t="shared" ref="AZ101" si="1101">AZ8/#REF!*#REF!</f>
        <v>#REF!</v>
      </c>
      <c r="BA101" s="862" t="e">
        <f t="shared" ref="BA101" si="1102">BA8/#REF!*#REF!</f>
        <v>#REF!</v>
      </c>
      <c r="BB101" s="862" t="e">
        <f t="shared" ref="BB101" si="1103">BB8/#REF!*#REF!</f>
        <v>#REF!</v>
      </c>
      <c r="BC101" s="862" t="e">
        <f t="shared" ref="BC101" si="1104">BC8/#REF!*#REF!</f>
        <v>#REF!</v>
      </c>
      <c r="BD101" s="862" t="e">
        <f t="shared" ref="BD101" si="1105">BD8/#REF!*#REF!</f>
        <v>#REF!</v>
      </c>
      <c r="BE101" s="862" t="e">
        <f t="shared" ref="BE101" si="1106">BE8/#REF!*#REF!</f>
        <v>#REF!</v>
      </c>
      <c r="BF101" s="862" t="e">
        <f t="shared" ref="BF101" si="1107">BF8/#REF!*#REF!</f>
        <v>#REF!</v>
      </c>
      <c r="BG101" s="862" t="e">
        <f t="shared" ref="BG101" si="1108">BG8/#REF!*#REF!</f>
        <v>#REF!</v>
      </c>
      <c r="BH101" s="862" t="e">
        <f t="shared" ref="BH101" si="1109">BH8/#REF!*#REF!</f>
        <v>#REF!</v>
      </c>
      <c r="BI101" s="862" t="e">
        <f t="shared" ref="BI101" si="1110">BI8/#REF!*#REF!</f>
        <v>#REF!</v>
      </c>
      <c r="BJ101" s="862" t="e">
        <f t="shared" ref="BJ101" si="1111">BJ8/#REF!*#REF!</f>
        <v>#REF!</v>
      </c>
      <c r="BK101" s="862" t="e">
        <f t="shared" ref="BK101" si="1112">BK8/#REF!*#REF!</f>
        <v>#REF!</v>
      </c>
      <c r="BL101" s="862" t="e">
        <f t="shared" ref="BL101" si="1113">BL8/#REF!*#REF!</f>
        <v>#REF!</v>
      </c>
      <c r="BM101" s="862" t="e">
        <f t="shared" ref="BM101" si="1114">BM8/#REF!*#REF!</f>
        <v>#REF!</v>
      </c>
      <c r="BN101" s="862" t="e">
        <f t="shared" ref="BN101" si="1115">BN8/#REF!*#REF!</f>
        <v>#REF!</v>
      </c>
      <c r="BO101" s="862" t="e">
        <f t="shared" ref="BO101" si="1116">BO8/#REF!*#REF!</f>
        <v>#REF!</v>
      </c>
      <c r="BP101" s="862" t="e">
        <f t="shared" ref="BP101" si="1117">BP8/#REF!*#REF!</f>
        <v>#REF!</v>
      </c>
      <c r="BQ101" s="862" t="e">
        <f t="shared" ref="BQ101" si="1118">BQ8/#REF!*#REF!</f>
        <v>#REF!</v>
      </c>
      <c r="BR101" s="862" t="e">
        <f t="shared" ref="BR101" si="1119">BR8/#REF!*#REF!</f>
        <v>#REF!</v>
      </c>
      <c r="BS101" s="862" t="e">
        <f t="shared" ref="BS101" si="1120">BS8/#REF!*#REF!</f>
        <v>#REF!</v>
      </c>
      <c r="BT101" s="862" t="e">
        <f t="shared" ref="BT101" si="1121">BT8/#REF!*#REF!</f>
        <v>#REF!</v>
      </c>
      <c r="BU101" s="862" t="e">
        <f t="shared" ref="BU101" si="1122">BU8/#REF!*#REF!</f>
        <v>#REF!</v>
      </c>
      <c r="BV101" s="862" t="e">
        <f t="shared" ref="BV101" si="1123">BV8/#REF!*#REF!</f>
        <v>#REF!</v>
      </c>
      <c r="BW101" s="862" t="e">
        <f t="shared" ref="BW101" si="1124">BW8/#REF!*#REF!</f>
        <v>#REF!</v>
      </c>
      <c r="BX101" s="862" t="e">
        <f t="shared" ref="BX101" si="1125">BX8/#REF!*#REF!</f>
        <v>#REF!</v>
      </c>
      <c r="BY101" s="862" t="e">
        <f t="shared" ref="BY101" si="1126">BY8/#REF!*#REF!</f>
        <v>#REF!</v>
      </c>
      <c r="BZ101" s="862" t="e">
        <f t="shared" ref="BZ101" si="1127">BZ8/#REF!*#REF!</f>
        <v>#REF!</v>
      </c>
      <c r="CA101" s="862" t="e">
        <f t="shared" ref="CA101" si="1128">CA8/#REF!*#REF!</f>
        <v>#REF!</v>
      </c>
      <c r="CB101" s="862" t="e">
        <f t="shared" ref="CB101" si="1129">CB8/#REF!*#REF!</f>
        <v>#REF!</v>
      </c>
      <c r="CC101" s="862" t="e">
        <f t="shared" ref="CC101" si="1130">CC8/#REF!*#REF!</f>
        <v>#REF!</v>
      </c>
      <c r="CD101" s="862" t="e">
        <f t="shared" ref="CD101" si="1131">CD8/#REF!*#REF!</f>
        <v>#REF!</v>
      </c>
      <c r="CE101" s="862" t="e">
        <f t="shared" ref="CE101" si="1132">CE8/#REF!*#REF!</f>
        <v>#REF!</v>
      </c>
      <c r="CF101" s="863" t="e">
        <f t="shared" ref="CF101" si="1133">CF8/#REF!*#REF!</f>
        <v>#REF!</v>
      </c>
    </row>
    <row r="102" spans="1:84">
      <c r="A102" s="852"/>
      <c r="B102" s="884" t="s">
        <v>151</v>
      </c>
      <c r="C102" s="885" t="s">
        <v>745</v>
      </c>
      <c r="D102" s="886">
        <v>0.42622424648391499</v>
      </c>
      <c r="E102" s="886">
        <v>0.42622424648391477</v>
      </c>
      <c r="F102" s="886">
        <v>0.42622424648391477</v>
      </c>
      <c r="G102" s="886">
        <v>0.42622424648391477</v>
      </c>
      <c r="H102" s="886">
        <v>0.42622424648391477</v>
      </c>
      <c r="I102" s="886">
        <v>0.42622424648391477</v>
      </c>
      <c r="J102" s="886">
        <v>0.42622424648391477</v>
      </c>
      <c r="K102" s="886">
        <v>0.42622424648391477</v>
      </c>
      <c r="L102" s="886">
        <v>0.42622424648391477</v>
      </c>
      <c r="M102" s="886">
        <v>0.42622424648391477</v>
      </c>
      <c r="N102" s="886">
        <v>0.42622424648391477</v>
      </c>
      <c r="O102" s="886">
        <v>0.42622424648391477</v>
      </c>
      <c r="P102" s="886">
        <v>0.42622424648391477</v>
      </c>
      <c r="Q102" s="886">
        <v>0.42622424648391477</v>
      </c>
      <c r="R102" s="886">
        <v>0.42622424648391477</v>
      </c>
      <c r="S102" s="886">
        <v>0.42622424648391477</v>
      </c>
      <c r="T102" s="886">
        <v>0.42622424648391477</v>
      </c>
      <c r="U102" s="886">
        <v>0.42622424648391477</v>
      </c>
      <c r="V102" s="886">
        <v>0.42622424648391477</v>
      </c>
      <c r="W102" s="886">
        <v>0.42622424648391477</v>
      </c>
      <c r="X102" s="886">
        <v>0.42622424648391477</v>
      </c>
      <c r="Y102" s="886">
        <v>0.42622424648391477</v>
      </c>
      <c r="Z102" s="886">
        <v>0.42622424648391477</v>
      </c>
      <c r="AA102" s="886">
        <v>0.42622424648391477</v>
      </c>
      <c r="AB102" s="886">
        <v>0.42622424648391477</v>
      </c>
      <c r="AC102" s="886">
        <v>0.42622424648391477</v>
      </c>
      <c r="AD102" s="886">
        <v>0.42622424648391477</v>
      </c>
      <c r="AE102" s="886">
        <v>0.42622424648391477</v>
      </c>
      <c r="AF102" s="886">
        <v>0.42622424648391477</v>
      </c>
      <c r="AG102" s="886">
        <v>0.42622424648391477</v>
      </c>
      <c r="AH102" s="886">
        <v>0.42622424648391477</v>
      </c>
      <c r="AI102" s="886">
        <v>0.42622424648391477</v>
      </c>
      <c r="AJ102" s="886">
        <v>0.42622424648391477</v>
      </c>
      <c r="AK102" s="886">
        <v>0.42622424648391477</v>
      </c>
      <c r="AL102" s="886">
        <v>0.42622424648391477</v>
      </c>
      <c r="AM102" s="886">
        <v>0.42622424648391477</v>
      </c>
      <c r="AN102" s="886">
        <v>0.42622424648391477</v>
      </c>
      <c r="AO102" s="886">
        <v>0.42622424648391477</v>
      </c>
      <c r="AP102" s="886">
        <v>0.42622424648391477</v>
      </c>
      <c r="AQ102" s="886">
        <v>0.42622424648391477</v>
      </c>
      <c r="AR102" s="886">
        <v>0.42622424648391477</v>
      </c>
      <c r="AS102" s="886">
        <v>0.42622424648391477</v>
      </c>
      <c r="AT102" s="886">
        <v>0.42622424648391477</v>
      </c>
      <c r="AU102" s="886">
        <v>0.42622424648391477</v>
      </c>
      <c r="AV102" s="886">
        <v>0.42622424648391477</v>
      </c>
      <c r="AW102" s="886">
        <v>0.42622424648391477</v>
      </c>
      <c r="AX102" s="886">
        <v>0.42622424648391477</v>
      </c>
      <c r="AY102" s="886">
        <v>0.42622424648391477</v>
      </c>
      <c r="AZ102" s="886">
        <v>0.42622424648391477</v>
      </c>
      <c r="BA102" s="886">
        <v>0.42622424648391477</v>
      </c>
      <c r="BB102" s="886">
        <v>0.42622424648391477</v>
      </c>
      <c r="BC102" s="886">
        <v>0.42622424648391477</v>
      </c>
      <c r="BD102" s="886">
        <v>0.42622424648391477</v>
      </c>
      <c r="BE102" s="886">
        <v>0.42622424648391477</v>
      </c>
      <c r="BF102" s="886">
        <v>0.42622424648391477</v>
      </c>
      <c r="BG102" s="886">
        <v>0.42622424648391477</v>
      </c>
      <c r="BH102" s="886">
        <v>0.42622424648391477</v>
      </c>
      <c r="BI102" s="886">
        <v>0.42622424648391477</v>
      </c>
      <c r="BJ102" s="886">
        <v>0.42622424648391477</v>
      </c>
      <c r="BK102" s="886">
        <v>0.42622424648391477</v>
      </c>
      <c r="BL102" s="886">
        <v>0.42622424648391477</v>
      </c>
      <c r="BM102" s="886">
        <v>0.42622424648391477</v>
      </c>
      <c r="BN102" s="886">
        <v>0.42622424648391477</v>
      </c>
      <c r="BO102" s="886">
        <v>0.42622424648391477</v>
      </c>
      <c r="BP102" s="886">
        <v>0.42622424648391477</v>
      </c>
      <c r="BQ102" s="886">
        <v>0.42622424648391477</v>
      </c>
      <c r="BR102" s="886">
        <v>0.42622424648391477</v>
      </c>
      <c r="BS102" s="886">
        <v>0.42622424648391477</v>
      </c>
      <c r="BT102" s="886">
        <v>0.42622424648391477</v>
      </c>
      <c r="BU102" s="886">
        <v>0.42622424648391477</v>
      </c>
      <c r="BV102" s="886">
        <v>0.42622424648391477</v>
      </c>
      <c r="BW102" s="886">
        <v>0.42622424648391477</v>
      </c>
      <c r="BX102" s="886">
        <v>0.42622424648391477</v>
      </c>
      <c r="BY102" s="886">
        <v>0.42622424648391477</v>
      </c>
      <c r="BZ102" s="886">
        <v>0.42622424648391477</v>
      </c>
      <c r="CA102" s="886">
        <v>0.42622424648391477</v>
      </c>
      <c r="CB102" s="886">
        <v>0.42622424648391477</v>
      </c>
      <c r="CC102" s="886">
        <v>0.42622424648391477</v>
      </c>
      <c r="CD102" s="886">
        <v>0.42622424648391477</v>
      </c>
      <c r="CE102" s="886">
        <v>0.42622424648391477</v>
      </c>
      <c r="CF102" s="887">
        <v>0.42622424648391477</v>
      </c>
    </row>
    <row r="103" spans="1:84">
      <c r="A103" s="852"/>
      <c r="B103" s="884" t="s">
        <v>742</v>
      </c>
      <c r="C103" s="885" t="s">
        <v>745</v>
      </c>
      <c r="D103" s="886">
        <v>0.11147312764521111</v>
      </c>
      <c r="E103" s="886">
        <v>0.11147312764521111</v>
      </c>
      <c r="F103" s="886">
        <v>0.11147312764521111</v>
      </c>
      <c r="G103" s="886">
        <v>0.11147312764521111</v>
      </c>
      <c r="H103" s="886">
        <v>0.11147312764521111</v>
      </c>
      <c r="I103" s="886">
        <v>0.11147312764521111</v>
      </c>
      <c r="J103" s="886">
        <v>0.11147312764521111</v>
      </c>
      <c r="K103" s="886">
        <v>0.11147312764521111</v>
      </c>
      <c r="L103" s="886">
        <v>0.11147312764521111</v>
      </c>
      <c r="M103" s="886">
        <v>0.11147312764521111</v>
      </c>
      <c r="N103" s="886">
        <v>0.11147312764521111</v>
      </c>
      <c r="O103" s="886">
        <v>0.11147312764521111</v>
      </c>
      <c r="P103" s="886">
        <v>0.11147312764521111</v>
      </c>
      <c r="Q103" s="886">
        <v>0.11147312764521111</v>
      </c>
      <c r="R103" s="886">
        <v>0.11147312764521111</v>
      </c>
      <c r="S103" s="886">
        <v>0.11147312764521111</v>
      </c>
      <c r="T103" s="886">
        <v>0.11147312764521111</v>
      </c>
      <c r="U103" s="886">
        <v>0.11147312764521111</v>
      </c>
      <c r="V103" s="886">
        <v>0.11147312764521111</v>
      </c>
      <c r="W103" s="886">
        <v>0.11147312764521111</v>
      </c>
      <c r="X103" s="886">
        <v>0.11147312764521111</v>
      </c>
      <c r="Y103" s="886">
        <v>0.11147312764521111</v>
      </c>
      <c r="Z103" s="886">
        <v>0.11147312764521111</v>
      </c>
      <c r="AA103" s="886">
        <v>0.11147312764521111</v>
      </c>
      <c r="AB103" s="886">
        <v>0.11147312764521111</v>
      </c>
      <c r="AC103" s="886">
        <v>0.11147312764521111</v>
      </c>
      <c r="AD103" s="886">
        <v>0.11147312764521111</v>
      </c>
      <c r="AE103" s="886">
        <v>0.11147312764521111</v>
      </c>
      <c r="AF103" s="886">
        <v>0.11147312764521111</v>
      </c>
      <c r="AG103" s="886">
        <v>0.11147312764521111</v>
      </c>
      <c r="AH103" s="886">
        <v>0.11147312764521111</v>
      </c>
      <c r="AI103" s="886">
        <v>0.11147312764521111</v>
      </c>
      <c r="AJ103" s="886">
        <v>0.11147312764521111</v>
      </c>
      <c r="AK103" s="886">
        <v>0.11147312764521111</v>
      </c>
      <c r="AL103" s="886">
        <v>0.11147312764521111</v>
      </c>
      <c r="AM103" s="886">
        <v>0.11147312764521111</v>
      </c>
      <c r="AN103" s="886">
        <v>0.11147312764521111</v>
      </c>
      <c r="AO103" s="886">
        <v>0.11147312764521111</v>
      </c>
      <c r="AP103" s="886">
        <v>0.11147312764521111</v>
      </c>
      <c r="AQ103" s="886">
        <v>0.11147312764521111</v>
      </c>
      <c r="AR103" s="886">
        <v>0.11147312764521111</v>
      </c>
      <c r="AS103" s="886">
        <v>0.11147312764521111</v>
      </c>
      <c r="AT103" s="886">
        <v>0.11147312764521111</v>
      </c>
      <c r="AU103" s="886">
        <v>0.11147312764521111</v>
      </c>
      <c r="AV103" s="886">
        <v>0.11147312764521111</v>
      </c>
      <c r="AW103" s="886">
        <v>0.11147312764521111</v>
      </c>
      <c r="AX103" s="886">
        <v>0.11147312764521111</v>
      </c>
      <c r="AY103" s="886">
        <v>0.11147312764521111</v>
      </c>
      <c r="AZ103" s="886">
        <v>0.11147312764521111</v>
      </c>
      <c r="BA103" s="886">
        <v>0.11147312764521111</v>
      </c>
      <c r="BB103" s="886">
        <v>0.11147312764521111</v>
      </c>
      <c r="BC103" s="886">
        <v>0.11147312764521111</v>
      </c>
      <c r="BD103" s="886">
        <v>0.11147312764521111</v>
      </c>
      <c r="BE103" s="886">
        <v>0.11147312764521111</v>
      </c>
      <c r="BF103" s="886">
        <v>0.11147312764521111</v>
      </c>
      <c r="BG103" s="886">
        <v>0.11147312764521111</v>
      </c>
      <c r="BH103" s="886">
        <v>0.11147312764521111</v>
      </c>
      <c r="BI103" s="886">
        <v>0.11147312764521111</v>
      </c>
      <c r="BJ103" s="886">
        <v>0.11147312764521111</v>
      </c>
      <c r="BK103" s="886">
        <v>0.11147312764521111</v>
      </c>
      <c r="BL103" s="886">
        <v>0.11147312764521111</v>
      </c>
      <c r="BM103" s="886">
        <v>0.11147312764521111</v>
      </c>
      <c r="BN103" s="886">
        <v>0.11147312764521111</v>
      </c>
      <c r="BO103" s="886">
        <v>0.11147312764521111</v>
      </c>
      <c r="BP103" s="886">
        <v>0.11147312764521111</v>
      </c>
      <c r="BQ103" s="886">
        <v>0.11147312764521111</v>
      </c>
      <c r="BR103" s="886">
        <v>0.11147312764521111</v>
      </c>
      <c r="BS103" s="886">
        <v>0.11147312764521111</v>
      </c>
      <c r="BT103" s="886">
        <v>0.11147312764521111</v>
      </c>
      <c r="BU103" s="886">
        <v>0.11147312764521111</v>
      </c>
      <c r="BV103" s="886">
        <v>0.11147312764521111</v>
      </c>
      <c r="BW103" s="886">
        <v>0.11147312764521111</v>
      </c>
      <c r="BX103" s="886">
        <v>0.11147312764521111</v>
      </c>
      <c r="BY103" s="886">
        <v>0.11147312764521111</v>
      </c>
      <c r="BZ103" s="886">
        <v>0.11147312764521111</v>
      </c>
      <c r="CA103" s="886">
        <v>0.11147312764521111</v>
      </c>
      <c r="CB103" s="886">
        <v>0.11147312764521111</v>
      </c>
      <c r="CC103" s="886">
        <v>0.11147312764521111</v>
      </c>
      <c r="CD103" s="886">
        <v>0.11147312764521111</v>
      </c>
      <c r="CE103" s="886">
        <v>0.11147312764521111</v>
      </c>
      <c r="CF103" s="887">
        <v>0.11147312764521111</v>
      </c>
    </row>
    <row r="104" spans="1:84">
      <c r="A104" s="852"/>
      <c r="B104" s="860" t="s">
        <v>743</v>
      </c>
      <c r="C104" s="885" t="s">
        <v>745</v>
      </c>
      <c r="D104" s="886">
        <v>0.59225000000000005</v>
      </c>
      <c r="E104" s="886">
        <v>0.59225000000000005</v>
      </c>
      <c r="F104" s="886">
        <v>0.59225000000000005</v>
      </c>
      <c r="G104" s="886">
        <v>0.59225000000000005</v>
      </c>
      <c r="H104" s="886">
        <v>0.59225000000000005</v>
      </c>
      <c r="I104" s="886">
        <v>0.59225000000000005</v>
      </c>
      <c r="J104" s="886">
        <v>0.59225000000000005</v>
      </c>
      <c r="K104" s="886">
        <v>0.59225000000000005</v>
      </c>
      <c r="L104" s="886">
        <v>0.59225000000000005</v>
      </c>
      <c r="M104" s="886">
        <v>0.59225000000000005</v>
      </c>
      <c r="N104" s="886">
        <v>0.59225000000000005</v>
      </c>
      <c r="O104" s="886">
        <v>0.59225000000000005</v>
      </c>
      <c r="P104" s="886">
        <v>0.59225000000000005</v>
      </c>
      <c r="Q104" s="886">
        <v>0.59225000000000005</v>
      </c>
      <c r="R104" s="886">
        <v>0.59225000000000005</v>
      </c>
      <c r="S104" s="886">
        <v>0.59225000000000005</v>
      </c>
      <c r="T104" s="886">
        <v>0.59225000000000005</v>
      </c>
      <c r="U104" s="886">
        <v>0.59225000000000005</v>
      </c>
      <c r="V104" s="886">
        <v>0.59225000000000005</v>
      </c>
      <c r="W104" s="886">
        <v>0.59225000000000005</v>
      </c>
      <c r="X104" s="886">
        <v>0.59225000000000005</v>
      </c>
      <c r="Y104" s="886">
        <v>0.59225000000000005</v>
      </c>
      <c r="Z104" s="886">
        <v>0.59225000000000005</v>
      </c>
      <c r="AA104" s="886">
        <v>0.59225000000000005</v>
      </c>
      <c r="AB104" s="886">
        <v>0.59225000000000005</v>
      </c>
      <c r="AC104" s="886">
        <v>0.59225000000000005</v>
      </c>
      <c r="AD104" s="886">
        <v>0.59225000000000005</v>
      </c>
      <c r="AE104" s="886">
        <v>0.59225000000000005</v>
      </c>
      <c r="AF104" s="886">
        <v>0.59225000000000005</v>
      </c>
      <c r="AG104" s="886">
        <v>0.59225000000000005</v>
      </c>
      <c r="AH104" s="886">
        <v>0.59225000000000005</v>
      </c>
      <c r="AI104" s="886">
        <v>0.59225000000000005</v>
      </c>
      <c r="AJ104" s="886">
        <v>0.59225000000000005</v>
      </c>
      <c r="AK104" s="886">
        <v>0.59225000000000005</v>
      </c>
      <c r="AL104" s="886">
        <v>0.59225000000000005</v>
      </c>
      <c r="AM104" s="886">
        <v>0.59225000000000005</v>
      </c>
      <c r="AN104" s="886">
        <v>0.59225000000000005</v>
      </c>
      <c r="AO104" s="886">
        <v>0.59225000000000005</v>
      </c>
      <c r="AP104" s="886">
        <v>0.59225000000000005</v>
      </c>
      <c r="AQ104" s="886">
        <v>0.59225000000000005</v>
      </c>
      <c r="AR104" s="886">
        <v>0.59225000000000005</v>
      </c>
      <c r="AS104" s="886">
        <v>0.59225000000000005</v>
      </c>
      <c r="AT104" s="886">
        <v>0.59225000000000005</v>
      </c>
      <c r="AU104" s="886">
        <v>0.59225000000000005</v>
      </c>
      <c r="AV104" s="886">
        <v>0.59225000000000005</v>
      </c>
      <c r="AW104" s="886">
        <v>0.59225000000000005</v>
      </c>
      <c r="AX104" s="886">
        <v>0.59225000000000005</v>
      </c>
      <c r="AY104" s="886">
        <v>0.59225000000000005</v>
      </c>
      <c r="AZ104" s="886">
        <v>0.59225000000000005</v>
      </c>
      <c r="BA104" s="886">
        <v>0.59225000000000005</v>
      </c>
      <c r="BB104" s="886">
        <v>0.59225000000000005</v>
      </c>
      <c r="BC104" s="886">
        <v>0.59225000000000005</v>
      </c>
      <c r="BD104" s="886">
        <v>0.59225000000000005</v>
      </c>
      <c r="BE104" s="886">
        <v>0.59225000000000005</v>
      </c>
      <c r="BF104" s="886">
        <v>0.59225000000000005</v>
      </c>
      <c r="BG104" s="886">
        <v>0.59225000000000005</v>
      </c>
      <c r="BH104" s="886">
        <v>0.59225000000000005</v>
      </c>
      <c r="BI104" s="886">
        <v>0.59225000000000005</v>
      </c>
      <c r="BJ104" s="886">
        <v>0.59225000000000005</v>
      </c>
      <c r="BK104" s="886">
        <v>0.59225000000000005</v>
      </c>
      <c r="BL104" s="886">
        <v>0.59225000000000005</v>
      </c>
      <c r="BM104" s="886">
        <v>0.59225000000000005</v>
      </c>
      <c r="BN104" s="886">
        <v>0.59225000000000005</v>
      </c>
      <c r="BO104" s="886">
        <v>0.59225000000000005</v>
      </c>
      <c r="BP104" s="886">
        <v>0.59225000000000005</v>
      </c>
      <c r="BQ104" s="886">
        <v>0.59225000000000005</v>
      </c>
      <c r="BR104" s="886">
        <v>0.59225000000000005</v>
      </c>
      <c r="BS104" s="886">
        <v>0.59225000000000005</v>
      </c>
      <c r="BT104" s="886">
        <v>0.59225000000000005</v>
      </c>
      <c r="BU104" s="886">
        <v>0.59225000000000005</v>
      </c>
      <c r="BV104" s="886">
        <v>0.59225000000000005</v>
      </c>
      <c r="BW104" s="886">
        <v>0.59225000000000005</v>
      </c>
      <c r="BX104" s="886">
        <v>0.59225000000000005</v>
      </c>
      <c r="BY104" s="886">
        <v>0.59225000000000005</v>
      </c>
      <c r="BZ104" s="886">
        <v>0.59225000000000005</v>
      </c>
      <c r="CA104" s="886">
        <v>0.59225000000000005</v>
      </c>
      <c r="CB104" s="886">
        <v>0.59225000000000005</v>
      </c>
      <c r="CC104" s="886">
        <v>0.59225000000000005</v>
      </c>
      <c r="CD104" s="886">
        <v>0.59225000000000005</v>
      </c>
      <c r="CE104" s="886">
        <v>0.59225000000000005</v>
      </c>
      <c r="CF104" s="887">
        <v>0.59225000000000005</v>
      </c>
    </row>
    <row r="105" spans="1:84">
      <c r="A105" s="852"/>
      <c r="B105" s="860" t="s">
        <v>746</v>
      </c>
      <c r="C105" s="885"/>
      <c r="D105" s="886">
        <v>3.4541911024419884E-2</v>
      </c>
      <c r="E105" s="886">
        <v>3.4541911024419884E-2</v>
      </c>
      <c r="F105" s="886">
        <v>3.4541911024419884E-2</v>
      </c>
      <c r="G105" s="886">
        <v>3.4541911024419884E-2</v>
      </c>
      <c r="H105" s="886">
        <v>3.4541911024419884E-2</v>
      </c>
      <c r="I105" s="886">
        <v>3.4541911024419884E-2</v>
      </c>
      <c r="J105" s="886">
        <v>3.4541911024419884E-2</v>
      </c>
      <c r="K105" s="886">
        <v>3.4541911024419884E-2</v>
      </c>
      <c r="L105" s="886">
        <v>3.4541911024419884E-2</v>
      </c>
      <c r="M105" s="886">
        <v>3.4541911024419884E-2</v>
      </c>
      <c r="N105" s="886">
        <v>3.4541911024419884E-2</v>
      </c>
      <c r="O105" s="886">
        <v>3.4541911024419884E-2</v>
      </c>
      <c r="P105" s="886">
        <v>3.4541911024419884E-2</v>
      </c>
      <c r="Q105" s="886">
        <v>3.4541911024419884E-2</v>
      </c>
      <c r="R105" s="886">
        <v>3.4541911024419884E-2</v>
      </c>
      <c r="S105" s="886">
        <v>3.4541911024419884E-2</v>
      </c>
      <c r="T105" s="886">
        <v>3.4541911024419884E-2</v>
      </c>
      <c r="U105" s="886">
        <v>3.4541911024419884E-2</v>
      </c>
      <c r="V105" s="886">
        <v>3.4541911024419884E-2</v>
      </c>
      <c r="W105" s="886">
        <v>3.4541911024419884E-2</v>
      </c>
      <c r="X105" s="886">
        <v>3.4541911024419884E-2</v>
      </c>
      <c r="Y105" s="886">
        <v>3.4541911024419884E-2</v>
      </c>
      <c r="Z105" s="886">
        <v>3.4541911024419884E-2</v>
      </c>
      <c r="AA105" s="886">
        <v>3.4541911024419884E-2</v>
      </c>
      <c r="AB105" s="886">
        <v>3.4541911024419884E-2</v>
      </c>
      <c r="AC105" s="886">
        <v>3.4541911024419884E-2</v>
      </c>
      <c r="AD105" s="886">
        <v>3.4541911024419884E-2</v>
      </c>
      <c r="AE105" s="886">
        <v>3.4541911024419884E-2</v>
      </c>
      <c r="AF105" s="886">
        <v>3.4541911024419884E-2</v>
      </c>
      <c r="AG105" s="886">
        <v>3.4541911024419884E-2</v>
      </c>
      <c r="AH105" s="886">
        <v>3.4541911024419884E-2</v>
      </c>
      <c r="AI105" s="886">
        <v>3.4541911024419884E-2</v>
      </c>
      <c r="AJ105" s="886">
        <v>3.4541911024419884E-2</v>
      </c>
      <c r="AK105" s="886">
        <v>3.4541911024419884E-2</v>
      </c>
      <c r="AL105" s="886">
        <v>3.4541911024419884E-2</v>
      </c>
      <c r="AM105" s="886">
        <v>3.4541911024419884E-2</v>
      </c>
      <c r="AN105" s="886">
        <v>3.4541911024419884E-2</v>
      </c>
      <c r="AO105" s="886">
        <v>3.4541911024419884E-2</v>
      </c>
      <c r="AP105" s="886">
        <v>3.4541911024419884E-2</v>
      </c>
      <c r="AQ105" s="886">
        <v>3.4541911024419884E-2</v>
      </c>
      <c r="AR105" s="886">
        <v>3.4541911024419884E-2</v>
      </c>
      <c r="AS105" s="886">
        <v>3.4541911024419884E-2</v>
      </c>
      <c r="AT105" s="886">
        <v>3.4541911024419884E-2</v>
      </c>
      <c r="AU105" s="886">
        <v>3.4541911024419884E-2</v>
      </c>
      <c r="AV105" s="886">
        <v>3.4541911024419884E-2</v>
      </c>
      <c r="AW105" s="886">
        <v>3.4541911024419884E-2</v>
      </c>
      <c r="AX105" s="886">
        <v>3.4541911024419884E-2</v>
      </c>
      <c r="AY105" s="886">
        <v>3.4541911024419884E-2</v>
      </c>
      <c r="AZ105" s="886">
        <v>3.4541911024419884E-2</v>
      </c>
      <c r="BA105" s="886">
        <v>3.4541911024419884E-2</v>
      </c>
      <c r="BB105" s="886">
        <v>3.4541911024419884E-2</v>
      </c>
      <c r="BC105" s="886">
        <v>3.4541911024419884E-2</v>
      </c>
      <c r="BD105" s="886">
        <v>3.4541911024419884E-2</v>
      </c>
      <c r="BE105" s="886">
        <v>3.4541911024419884E-2</v>
      </c>
      <c r="BF105" s="886">
        <v>3.4541911024419884E-2</v>
      </c>
      <c r="BG105" s="886">
        <v>3.4541911024419884E-2</v>
      </c>
      <c r="BH105" s="886">
        <v>3.4541911024419884E-2</v>
      </c>
      <c r="BI105" s="886">
        <v>3.4541911024419884E-2</v>
      </c>
      <c r="BJ105" s="886">
        <v>3.4541911024419884E-2</v>
      </c>
      <c r="BK105" s="886">
        <v>3.4541911024419884E-2</v>
      </c>
      <c r="BL105" s="886">
        <v>3.4541911024419884E-2</v>
      </c>
      <c r="BM105" s="886">
        <v>3.4541911024419884E-2</v>
      </c>
      <c r="BN105" s="886">
        <v>3.4541911024419884E-2</v>
      </c>
      <c r="BO105" s="886">
        <v>3.4541911024419884E-2</v>
      </c>
      <c r="BP105" s="886">
        <v>3.4541911024419884E-2</v>
      </c>
      <c r="BQ105" s="886">
        <v>3.4541911024419884E-2</v>
      </c>
      <c r="BR105" s="886">
        <v>3.4541911024419884E-2</v>
      </c>
      <c r="BS105" s="886">
        <v>3.4541911024419884E-2</v>
      </c>
      <c r="BT105" s="886">
        <v>3.4541911024419884E-2</v>
      </c>
      <c r="BU105" s="886">
        <v>3.4541911024419884E-2</v>
      </c>
      <c r="BV105" s="886">
        <v>3.4541911024419884E-2</v>
      </c>
      <c r="BW105" s="886">
        <v>3.4541911024419884E-2</v>
      </c>
      <c r="BX105" s="886">
        <v>3.4541911024419884E-2</v>
      </c>
      <c r="BY105" s="886">
        <v>3.4541911024419884E-2</v>
      </c>
      <c r="BZ105" s="886">
        <v>3.4541911024419884E-2</v>
      </c>
      <c r="CA105" s="886">
        <v>3.4541911024419884E-2</v>
      </c>
      <c r="CB105" s="886">
        <v>3.4541911024419884E-2</v>
      </c>
      <c r="CC105" s="886">
        <v>3.4541911024419884E-2</v>
      </c>
      <c r="CD105" s="886">
        <v>3.4541911024419884E-2</v>
      </c>
      <c r="CE105" s="886">
        <v>3.4541911024419884E-2</v>
      </c>
      <c r="CF105" s="887">
        <v>3.4541911024419884E-2</v>
      </c>
    </row>
    <row r="106" spans="1:84" ht="13.8" thickBot="1">
      <c r="A106" s="899"/>
      <c r="B106" s="888" t="s">
        <v>744</v>
      </c>
      <c r="C106" s="889" t="s">
        <v>745</v>
      </c>
      <c r="D106" s="890">
        <v>1.7421060217210187</v>
      </c>
      <c r="E106" s="891">
        <v>1.7421060217210187</v>
      </c>
      <c r="F106" s="891">
        <v>1.7421060217210187</v>
      </c>
      <c r="G106" s="891">
        <v>1.7421060217210187</v>
      </c>
      <c r="H106" s="891">
        <v>1.7421060217210187</v>
      </c>
      <c r="I106" s="891">
        <v>1.7421060217210187</v>
      </c>
      <c r="J106" s="891">
        <v>1.7421060217210187</v>
      </c>
      <c r="K106" s="891">
        <v>1.7421060217210187</v>
      </c>
      <c r="L106" s="891">
        <v>1.7421060217210187</v>
      </c>
      <c r="M106" s="891">
        <v>1.7421060217210187</v>
      </c>
      <c r="N106" s="891">
        <v>1.7421060217210187</v>
      </c>
      <c r="O106" s="891">
        <v>1.7421060217210187</v>
      </c>
      <c r="P106" s="891">
        <v>1.7421060217210187</v>
      </c>
      <c r="Q106" s="891">
        <v>1.7421060217210187</v>
      </c>
      <c r="R106" s="891">
        <v>1.7421060217210187</v>
      </c>
      <c r="S106" s="891">
        <v>1.7421060217210187</v>
      </c>
      <c r="T106" s="891">
        <v>1.7421060217210187</v>
      </c>
      <c r="U106" s="891">
        <v>1.7421060217210187</v>
      </c>
      <c r="V106" s="891">
        <v>1.7421060217210187</v>
      </c>
      <c r="W106" s="891">
        <v>1.7421060217210187</v>
      </c>
      <c r="X106" s="891">
        <v>1.7421060217210187</v>
      </c>
      <c r="Y106" s="891">
        <v>1.7421060217210187</v>
      </c>
      <c r="Z106" s="891">
        <v>1.7421060217210187</v>
      </c>
      <c r="AA106" s="891">
        <v>1.7421060217210187</v>
      </c>
      <c r="AB106" s="891">
        <v>1.7421060217210187</v>
      </c>
      <c r="AC106" s="891">
        <v>1.7421060217210187</v>
      </c>
      <c r="AD106" s="891">
        <v>1.7421060217210187</v>
      </c>
      <c r="AE106" s="891">
        <v>1.7421060217210187</v>
      </c>
      <c r="AF106" s="891">
        <v>1.7421060217210187</v>
      </c>
      <c r="AG106" s="891">
        <v>1.7421060217210187</v>
      </c>
      <c r="AH106" s="891">
        <v>1.7421060217210187</v>
      </c>
      <c r="AI106" s="891">
        <v>1.7421060217210187</v>
      </c>
      <c r="AJ106" s="891">
        <v>1.7421060217210187</v>
      </c>
      <c r="AK106" s="891">
        <v>1.7421060217210187</v>
      </c>
      <c r="AL106" s="891">
        <v>1.7421060217210187</v>
      </c>
      <c r="AM106" s="891">
        <v>1.7421060217210187</v>
      </c>
      <c r="AN106" s="891">
        <v>1.7421060217210187</v>
      </c>
      <c r="AO106" s="891">
        <v>1.7421060217210187</v>
      </c>
      <c r="AP106" s="891">
        <v>1.7421060217210187</v>
      </c>
      <c r="AQ106" s="891">
        <v>1.7421060217210187</v>
      </c>
      <c r="AR106" s="891">
        <v>1.7421060217210187</v>
      </c>
      <c r="AS106" s="891">
        <v>1.7421060217210187</v>
      </c>
      <c r="AT106" s="891">
        <v>1.7421060217210187</v>
      </c>
      <c r="AU106" s="891">
        <v>1.7421060217210187</v>
      </c>
      <c r="AV106" s="891">
        <v>1.7421060217210187</v>
      </c>
      <c r="AW106" s="891">
        <v>1.7421060217210187</v>
      </c>
      <c r="AX106" s="891">
        <v>1.7421060217210187</v>
      </c>
      <c r="AY106" s="891">
        <v>1.7421060217210187</v>
      </c>
      <c r="AZ106" s="891">
        <v>1.7421060217210187</v>
      </c>
      <c r="BA106" s="891">
        <v>1.7421060217210187</v>
      </c>
      <c r="BB106" s="891">
        <v>1.7421060217210187</v>
      </c>
      <c r="BC106" s="891">
        <v>1.7421060217210187</v>
      </c>
      <c r="BD106" s="891">
        <v>1.7421060217210187</v>
      </c>
      <c r="BE106" s="891">
        <v>1.7421060217210187</v>
      </c>
      <c r="BF106" s="891">
        <v>1.7421060217210187</v>
      </c>
      <c r="BG106" s="891">
        <v>1.7421060217210187</v>
      </c>
      <c r="BH106" s="891">
        <v>1.7421060217210187</v>
      </c>
      <c r="BI106" s="891">
        <v>1.7421060217210187</v>
      </c>
      <c r="BJ106" s="891">
        <v>1.7421060217210187</v>
      </c>
      <c r="BK106" s="891">
        <v>1.7421060217210187</v>
      </c>
      <c r="BL106" s="891">
        <v>1.7421060217210187</v>
      </c>
      <c r="BM106" s="891">
        <v>1.7421060217210187</v>
      </c>
      <c r="BN106" s="891">
        <v>1.7421060217210187</v>
      </c>
      <c r="BO106" s="891">
        <v>1.7421060217210187</v>
      </c>
      <c r="BP106" s="891">
        <v>1.7421060217210187</v>
      </c>
      <c r="BQ106" s="891">
        <v>1.7421060217210187</v>
      </c>
      <c r="BR106" s="891">
        <v>1.7421060217210187</v>
      </c>
      <c r="BS106" s="891">
        <v>1.7421060217210187</v>
      </c>
      <c r="BT106" s="891">
        <v>1.7421060217210187</v>
      </c>
      <c r="BU106" s="891">
        <v>1.7421060217210187</v>
      </c>
      <c r="BV106" s="891">
        <v>1.7421060217210187</v>
      </c>
      <c r="BW106" s="891">
        <v>1.7421060217210187</v>
      </c>
      <c r="BX106" s="891">
        <v>1.7421060217210187</v>
      </c>
      <c r="BY106" s="891">
        <v>1.7421060217210187</v>
      </c>
      <c r="BZ106" s="891">
        <v>1.7421060217210187</v>
      </c>
      <c r="CA106" s="891">
        <v>1.7421060217210187</v>
      </c>
      <c r="CB106" s="891">
        <v>1.7421060217210187</v>
      </c>
      <c r="CC106" s="891">
        <v>1.7421060217210187</v>
      </c>
      <c r="CD106" s="891">
        <v>1.7421060217210187</v>
      </c>
      <c r="CE106" s="891">
        <v>1.7421060217210187</v>
      </c>
      <c r="CF106" s="892">
        <v>1.7421060217210187</v>
      </c>
    </row>
    <row r="107" spans="1:84">
      <c r="A107" s="899"/>
      <c r="B107" s="900" t="s">
        <v>754</v>
      </c>
      <c r="C107" s="852"/>
      <c r="D107" s="852"/>
      <c r="E107" s="852"/>
      <c r="F107" s="852"/>
      <c r="G107" s="852"/>
      <c r="H107" s="852"/>
      <c r="I107" s="852"/>
      <c r="J107" s="852"/>
      <c r="K107" s="852"/>
      <c r="L107" s="852"/>
      <c r="M107" s="852"/>
      <c r="N107" s="852"/>
      <c r="O107" s="852"/>
      <c r="P107" s="852"/>
      <c r="Q107" s="852"/>
      <c r="R107" s="852"/>
      <c r="S107" s="852"/>
      <c r="T107" s="852"/>
      <c r="U107" s="852"/>
      <c r="V107" s="852"/>
      <c r="W107" s="852"/>
      <c r="X107" s="852"/>
      <c r="Y107" s="852"/>
      <c r="Z107" s="852"/>
      <c r="AA107" s="852"/>
      <c r="AB107" s="852"/>
      <c r="AC107" s="852"/>
      <c r="AD107" s="852"/>
      <c r="AE107" s="852"/>
      <c r="AF107" s="852"/>
      <c r="AG107" s="852"/>
      <c r="AH107" s="852"/>
      <c r="AI107" s="852"/>
      <c r="AJ107" s="852"/>
      <c r="AK107" s="852"/>
      <c r="AL107" s="852"/>
      <c r="AM107" s="852"/>
      <c r="AN107" s="852"/>
      <c r="AO107" s="852"/>
      <c r="AP107" s="852"/>
      <c r="AQ107" s="852"/>
      <c r="AR107" s="852"/>
      <c r="AS107" s="852"/>
      <c r="AT107" s="852"/>
      <c r="AU107" s="852"/>
      <c r="AV107" s="852"/>
      <c r="AW107" s="852"/>
      <c r="AX107" s="852"/>
      <c r="AY107" s="852"/>
      <c r="AZ107" s="852"/>
      <c r="BA107" s="852"/>
      <c r="BB107" s="852"/>
      <c r="BC107" s="852"/>
      <c r="BD107" s="852"/>
      <c r="BE107" s="852"/>
      <c r="BF107" s="852"/>
      <c r="BG107" s="852"/>
      <c r="BH107" s="852"/>
      <c r="BI107" s="852"/>
      <c r="BJ107" s="852"/>
      <c r="BK107" s="852"/>
      <c r="BL107" s="852"/>
      <c r="BM107" s="852"/>
      <c r="BN107" s="852"/>
      <c r="BO107" s="852"/>
      <c r="BP107" s="852"/>
      <c r="BQ107" s="852"/>
      <c r="BR107" s="852"/>
      <c r="BS107" s="852"/>
      <c r="BT107" s="852"/>
      <c r="BU107" s="852"/>
      <c r="BV107" s="852"/>
      <c r="BW107" s="852"/>
      <c r="BX107" s="852"/>
      <c r="BY107" s="852"/>
      <c r="BZ107" s="852"/>
      <c r="CA107" s="852"/>
      <c r="CB107" s="852"/>
      <c r="CC107" s="852"/>
      <c r="CD107" s="852"/>
      <c r="CE107" s="852"/>
      <c r="CF107" s="852"/>
    </row>
    <row r="108" spans="1:84">
      <c r="A108" s="899"/>
      <c r="B108" s="852"/>
      <c r="C108" s="852"/>
      <c r="D108" s="852"/>
      <c r="E108" s="852"/>
      <c r="F108" s="852"/>
      <c r="G108" s="852"/>
      <c r="H108" s="852"/>
      <c r="I108" s="852"/>
      <c r="J108" s="852"/>
      <c r="K108" s="852"/>
      <c r="L108" s="852"/>
      <c r="M108" s="852"/>
      <c r="N108" s="852"/>
      <c r="O108" s="852"/>
      <c r="P108" s="852"/>
      <c r="Q108" s="852"/>
      <c r="R108" s="852"/>
      <c r="S108" s="852"/>
      <c r="T108" s="852"/>
      <c r="U108" s="852"/>
      <c r="V108" s="852"/>
      <c r="W108" s="852"/>
      <c r="X108" s="852"/>
      <c r="Y108" s="852"/>
      <c r="Z108" s="852"/>
      <c r="AA108" s="852"/>
      <c r="AB108" s="852"/>
      <c r="AC108" s="852"/>
      <c r="AD108" s="852"/>
      <c r="AE108" s="852"/>
      <c r="AF108" s="852"/>
      <c r="AG108" s="852"/>
      <c r="AH108" s="852"/>
      <c r="AI108" s="852"/>
      <c r="AJ108" s="852"/>
      <c r="AK108" s="852"/>
      <c r="AL108" s="852"/>
      <c r="AM108" s="852"/>
      <c r="AN108" s="852"/>
      <c r="AO108" s="852"/>
      <c r="AP108" s="852"/>
      <c r="AQ108" s="852"/>
      <c r="AR108" s="852"/>
      <c r="AS108" s="852"/>
      <c r="AT108" s="852"/>
      <c r="AU108" s="852"/>
      <c r="AV108" s="852"/>
      <c r="AW108" s="852"/>
      <c r="AX108" s="852"/>
      <c r="AY108" s="852"/>
      <c r="AZ108" s="852"/>
      <c r="BA108" s="852"/>
      <c r="BB108" s="852"/>
      <c r="BC108" s="852"/>
      <c r="BD108" s="852"/>
      <c r="BE108" s="852"/>
      <c r="BF108" s="852"/>
      <c r="BG108" s="852"/>
      <c r="BH108" s="852"/>
      <c r="BI108" s="852"/>
      <c r="BJ108" s="852"/>
      <c r="BK108" s="852"/>
      <c r="BL108" s="852"/>
      <c r="BM108" s="852"/>
      <c r="BN108" s="852"/>
      <c r="BO108" s="852"/>
      <c r="BP108" s="852"/>
      <c r="BQ108" s="852"/>
      <c r="BR108" s="852"/>
      <c r="BS108" s="852"/>
      <c r="BT108" s="852"/>
      <c r="BU108" s="852"/>
      <c r="BV108" s="852"/>
      <c r="BW108" s="852"/>
      <c r="BX108" s="852"/>
      <c r="BY108" s="852"/>
      <c r="BZ108" s="852"/>
      <c r="CA108" s="852"/>
      <c r="CB108" s="852"/>
      <c r="CC108" s="852"/>
      <c r="CD108" s="852"/>
      <c r="CE108" s="852"/>
      <c r="CF108" s="852"/>
    </row>
    <row r="109" spans="1:84" ht="13.8" thickBot="1">
      <c r="A109" s="899"/>
      <c r="B109" s="853" t="s">
        <v>755</v>
      </c>
      <c r="C109" s="852"/>
      <c r="D109" s="852"/>
      <c r="E109" s="852"/>
      <c r="F109" s="852"/>
      <c r="G109" s="852"/>
      <c r="H109" s="852"/>
      <c r="I109" s="883">
        <f>$I$140</f>
        <v>0</v>
      </c>
      <c r="J109" s="852" t="s">
        <v>739</v>
      </c>
      <c r="K109" s="852"/>
      <c r="L109" s="852"/>
      <c r="M109" s="852"/>
      <c r="N109" s="852"/>
      <c r="O109" s="852"/>
      <c r="P109" s="852"/>
      <c r="Q109" s="852"/>
      <c r="R109" s="852"/>
      <c r="S109" s="852"/>
      <c r="T109" s="852"/>
      <c r="U109" s="852"/>
      <c r="V109" s="852"/>
      <c r="W109" s="852"/>
      <c r="X109" s="852"/>
      <c r="Y109" s="852"/>
      <c r="Z109" s="852"/>
      <c r="AA109" s="852"/>
      <c r="AB109" s="852"/>
      <c r="AC109" s="852"/>
      <c r="AD109" s="852"/>
      <c r="AE109" s="852"/>
      <c r="AF109" s="852"/>
      <c r="AG109" s="852"/>
      <c r="AH109" s="852"/>
      <c r="AI109" s="852"/>
      <c r="AJ109" s="852"/>
      <c r="AK109" s="852"/>
      <c r="AL109" s="852"/>
      <c r="AM109" s="852"/>
      <c r="AN109" s="852"/>
      <c r="AO109" s="852"/>
      <c r="AP109" s="852"/>
      <c r="AQ109" s="852"/>
      <c r="AR109" s="852"/>
      <c r="AS109" s="852"/>
      <c r="AT109" s="852"/>
      <c r="AU109" s="852"/>
      <c r="AV109" s="852"/>
      <c r="AW109" s="852"/>
      <c r="AX109" s="852"/>
      <c r="AY109" s="852"/>
      <c r="AZ109" s="852"/>
      <c r="BA109" s="852"/>
      <c r="BB109" s="852"/>
      <c r="BC109" s="852"/>
      <c r="BD109" s="852"/>
      <c r="BE109" s="852"/>
      <c r="BF109" s="852"/>
      <c r="BG109" s="852"/>
      <c r="BH109" s="852"/>
      <c r="BI109" s="852"/>
      <c r="BJ109" s="852"/>
      <c r="BK109" s="852"/>
      <c r="BL109" s="852"/>
      <c r="BM109" s="852"/>
      <c r="BN109" s="852"/>
      <c r="BO109" s="852"/>
      <c r="BP109" s="852"/>
      <c r="BQ109" s="852"/>
      <c r="BR109" s="852"/>
      <c r="BS109" s="852"/>
      <c r="BT109" s="852"/>
      <c r="BU109" s="852"/>
      <c r="BV109" s="852"/>
      <c r="BW109" s="852"/>
      <c r="BX109" s="852"/>
      <c r="BY109" s="852"/>
      <c r="BZ109" s="852"/>
      <c r="CA109" s="852"/>
      <c r="CB109" s="852"/>
      <c r="CC109" s="852"/>
      <c r="CD109" s="852"/>
      <c r="CE109" s="852"/>
      <c r="CF109" s="852"/>
    </row>
    <row r="110" spans="1:84">
      <c r="A110" s="899"/>
      <c r="B110" s="856" t="s">
        <v>740</v>
      </c>
      <c r="C110" s="857"/>
      <c r="D110" s="858">
        <v>2010</v>
      </c>
      <c r="E110" s="858">
        <v>2011</v>
      </c>
      <c r="F110" s="858">
        <v>2012</v>
      </c>
      <c r="G110" s="858">
        <v>2013</v>
      </c>
      <c r="H110" s="858">
        <v>2014</v>
      </c>
      <c r="I110" s="858">
        <v>2015</v>
      </c>
      <c r="J110" s="858">
        <v>2016</v>
      </c>
      <c r="K110" s="858">
        <v>2017</v>
      </c>
      <c r="L110" s="858">
        <v>2018</v>
      </c>
      <c r="M110" s="858">
        <v>2019</v>
      </c>
      <c r="N110" s="858">
        <v>2020</v>
      </c>
      <c r="O110" s="858">
        <v>2021</v>
      </c>
      <c r="P110" s="858">
        <v>2022</v>
      </c>
      <c r="Q110" s="858">
        <v>2023</v>
      </c>
      <c r="R110" s="858">
        <v>2024</v>
      </c>
      <c r="S110" s="858">
        <v>2025</v>
      </c>
      <c r="T110" s="858">
        <v>2026</v>
      </c>
      <c r="U110" s="858">
        <v>2027</v>
      </c>
      <c r="V110" s="858">
        <v>2028</v>
      </c>
      <c r="W110" s="858">
        <v>2029</v>
      </c>
      <c r="X110" s="858">
        <v>2030</v>
      </c>
      <c r="Y110" s="858">
        <v>2031</v>
      </c>
      <c r="Z110" s="858">
        <v>2032</v>
      </c>
      <c r="AA110" s="858">
        <v>2033</v>
      </c>
      <c r="AB110" s="858">
        <v>2034</v>
      </c>
      <c r="AC110" s="858">
        <v>2035</v>
      </c>
      <c r="AD110" s="858">
        <v>2036</v>
      </c>
      <c r="AE110" s="858">
        <v>2037</v>
      </c>
      <c r="AF110" s="858">
        <v>2038</v>
      </c>
      <c r="AG110" s="858">
        <v>2039</v>
      </c>
      <c r="AH110" s="858">
        <v>2040</v>
      </c>
      <c r="AI110" s="858">
        <v>2041</v>
      </c>
      <c r="AJ110" s="858">
        <v>2042</v>
      </c>
      <c r="AK110" s="858">
        <v>2043</v>
      </c>
      <c r="AL110" s="858">
        <v>2044</v>
      </c>
      <c r="AM110" s="858">
        <v>2045</v>
      </c>
      <c r="AN110" s="858">
        <v>2046</v>
      </c>
      <c r="AO110" s="858">
        <v>2047</v>
      </c>
      <c r="AP110" s="858">
        <v>2048</v>
      </c>
      <c r="AQ110" s="858">
        <v>2049</v>
      </c>
      <c r="AR110" s="858">
        <v>2050</v>
      </c>
      <c r="AS110" s="858">
        <v>2051</v>
      </c>
      <c r="AT110" s="858">
        <v>2052</v>
      </c>
      <c r="AU110" s="858">
        <v>2053</v>
      </c>
      <c r="AV110" s="858">
        <v>2054</v>
      </c>
      <c r="AW110" s="858">
        <v>2055</v>
      </c>
      <c r="AX110" s="858">
        <v>2056</v>
      </c>
      <c r="AY110" s="858">
        <v>2057</v>
      </c>
      <c r="AZ110" s="858">
        <v>2058</v>
      </c>
      <c r="BA110" s="858">
        <v>2059</v>
      </c>
      <c r="BB110" s="858">
        <v>2060</v>
      </c>
      <c r="BC110" s="858">
        <v>2061</v>
      </c>
      <c r="BD110" s="858">
        <v>2062</v>
      </c>
      <c r="BE110" s="858">
        <v>2063</v>
      </c>
      <c r="BF110" s="858">
        <v>2064</v>
      </c>
      <c r="BG110" s="858">
        <v>2065</v>
      </c>
      <c r="BH110" s="858">
        <v>2066</v>
      </c>
      <c r="BI110" s="858">
        <v>2067</v>
      </c>
      <c r="BJ110" s="858">
        <v>2068</v>
      </c>
      <c r="BK110" s="858">
        <v>2069</v>
      </c>
      <c r="BL110" s="858">
        <v>2070</v>
      </c>
      <c r="BM110" s="858">
        <v>2071</v>
      </c>
      <c r="BN110" s="858">
        <v>2072</v>
      </c>
      <c r="BO110" s="858">
        <v>2073</v>
      </c>
      <c r="BP110" s="858">
        <v>2074</v>
      </c>
      <c r="BQ110" s="858">
        <v>2075</v>
      </c>
      <c r="BR110" s="858">
        <v>2076</v>
      </c>
      <c r="BS110" s="858">
        <v>2077</v>
      </c>
      <c r="BT110" s="858">
        <v>2078</v>
      </c>
      <c r="BU110" s="858">
        <v>2079</v>
      </c>
      <c r="BV110" s="858">
        <v>2080</v>
      </c>
      <c r="BW110" s="858">
        <v>2081</v>
      </c>
      <c r="BX110" s="858">
        <v>2082</v>
      </c>
      <c r="BY110" s="858">
        <v>2083</v>
      </c>
      <c r="BZ110" s="858">
        <v>2084</v>
      </c>
      <c r="CA110" s="858">
        <v>2085</v>
      </c>
      <c r="CB110" s="858">
        <v>2086</v>
      </c>
      <c r="CC110" s="858">
        <v>2087</v>
      </c>
      <c r="CD110" s="858">
        <v>2088</v>
      </c>
      <c r="CE110" s="858">
        <v>2089</v>
      </c>
      <c r="CF110" s="859">
        <v>2090</v>
      </c>
    </row>
    <row r="111" spans="1:84">
      <c r="A111" s="899"/>
      <c r="B111" s="860" t="str">
        <f>CONCATENATE("Drivmiddel (", $D$122,"-priser)")</f>
        <v>Drivmiddel (-priser)</v>
      </c>
      <c r="C111" s="861" t="s">
        <v>741</v>
      </c>
      <c r="D111" s="862" t="e">
        <f t="shared" ref="D111" si="1134">D5/#REF!*#REF!</f>
        <v>#REF!</v>
      </c>
      <c r="E111" s="862" t="e">
        <f t="shared" ref="E111" si="1135">E5/#REF!*#REF!</f>
        <v>#REF!</v>
      </c>
      <c r="F111" s="862" t="e">
        <f t="shared" ref="F111" si="1136">F5/#REF!*#REF!</f>
        <v>#REF!</v>
      </c>
      <c r="G111" s="862" t="e">
        <f t="shared" ref="G111" si="1137">G5/#REF!*#REF!</f>
        <v>#REF!</v>
      </c>
      <c r="H111" s="862" t="e">
        <f t="shared" ref="H111" si="1138">H5/#REF!*#REF!</f>
        <v>#REF!</v>
      </c>
      <c r="I111" s="862" t="e">
        <f t="shared" ref="I111" si="1139">I5/#REF!*#REF!</f>
        <v>#REF!</v>
      </c>
      <c r="J111" s="862" t="e">
        <f t="shared" ref="J111" si="1140">J5/#REF!*#REF!</f>
        <v>#REF!</v>
      </c>
      <c r="K111" s="862" t="e">
        <f t="shared" ref="K111" si="1141">K5/#REF!*#REF!</f>
        <v>#REF!</v>
      </c>
      <c r="L111" s="862" t="e">
        <f t="shared" ref="L111" si="1142">L5/#REF!*#REF!</f>
        <v>#REF!</v>
      </c>
      <c r="M111" s="862" t="e">
        <f t="shared" ref="M111" si="1143">M5/#REF!*#REF!</f>
        <v>#REF!</v>
      </c>
      <c r="N111" s="862" t="e">
        <f t="shared" ref="N111" si="1144">N5/#REF!*#REF!</f>
        <v>#REF!</v>
      </c>
      <c r="O111" s="862" t="e">
        <f t="shared" ref="O111" si="1145">O5/#REF!*#REF!</f>
        <v>#REF!</v>
      </c>
      <c r="P111" s="862" t="e">
        <f t="shared" ref="P111" si="1146">P5/#REF!*#REF!</f>
        <v>#REF!</v>
      </c>
      <c r="Q111" s="862" t="e">
        <f t="shared" ref="Q111" si="1147">Q5/#REF!*#REF!</f>
        <v>#REF!</v>
      </c>
      <c r="R111" s="862" t="e">
        <f t="shared" ref="R111" si="1148">R5/#REF!*#REF!</f>
        <v>#REF!</v>
      </c>
      <c r="S111" s="862" t="e">
        <f t="shared" ref="S111" si="1149">S5/#REF!*#REF!</f>
        <v>#REF!</v>
      </c>
      <c r="T111" s="862" t="e">
        <f t="shared" ref="T111" si="1150">T5/#REF!*#REF!</f>
        <v>#REF!</v>
      </c>
      <c r="U111" s="862" t="e">
        <f t="shared" ref="U111" si="1151">U5/#REF!*#REF!</f>
        <v>#REF!</v>
      </c>
      <c r="V111" s="862" t="e">
        <f t="shared" ref="V111" si="1152">V5/#REF!*#REF!</f>
        <v>#REF!</v>
      </c>
      <c r="W111" s="862" t="e">
        <f t="shared" ref="W111" si="1153">W5/#REF!*#REF!</f>
        <v>#REF!</v>
      </c>
      <c r="X111" s="862" t="e">
        <f t="shared" ref="X111" si="1154">X5/#REF!*#REF!</f>
        <v>#REF!</v>
      </c>
      <c r="Y111" s="862" t="e">
        <f t="shared" ref="Y111" si="1155">Y5/#REF!*#REF!</f>
        <v>#REF!</v>
      </c>
      <c r="Z111" s="862" t="e">
        <f t="shared" ref="Z111" si="1156">Z5/#REF!*#REF!</f>
        <v>#REF!</v>
      </c>
      <c r="AA111" s="862" t="e">
        <f t="shared" ref="AA111" si="1157">AA5/#REF!*#REF!</f>
        <v>#REF!</v>
      </c>
      <c r="AB111" s="862" t="e">
        <f t="shared" ref="AB111" si="1158">AB5/#REF!*#REF!</f>
        <v>#REF!</v>
      </c>
      <c r="AC111" s="862" t="e">
        <f t="shared" ref="AC111" si="1159">AC5/#REF!*#REF!</f>
        <v>#REF!</v>
      </c>
      <c r="AD111" s="862" t="e">
        <f t="shared" ref="AD111" si="1160">AD5/#REF!*#REF!</f>
        <v>#REF!</v>
      </c>
      <c r="AE111" s="862" t="e">
        <f t="shared" ref="AE111" si="1161">AE5/#REF!*#REF!</f>
        <v>#REF!</v>
      </c>
      <c r="AF111" s="862" t="e">
        <f t="shared" ref="AF111" si="1162">AF5/#REF!*#REF!</f>
        <v>#REF!</v>
      </c>
      <c r="AG111" s="862" t="e">
        <f t="shared" ref="AG111" si="1163">AG5/#REF!*#REF!</f>
        <v>#REF!</v>
      </c>
      <c r="AH111" s="862" t="e">
        <f t="shared" ref="AH111" si="1164">AH5/#REF!*#REF!</f>
        <v>#REF!</v>
      </c>
      <c r="AI111" s="862" t="e">
        <f t="shared" ref="AI111" si="1165">AI5/#REF!*#REF!</f>
        <v>#REF!</v>
      </c>
      <c r="AJ111" s="862" t="e">
        <f t="shared" ref="AJ111" si="1166">AJ5/#REF!*#REF!</f>
        <v>#REF!</v>
      </c>
      <c r="AK111" s="862" t="e">
        <f t="shared" ref="AK111" si="1167">AK5/#REF!*#REF!</f>
        <v>#REF!</v>
      </c>
      <c r="AL111" s="862" t="e">
        <f t="shared" ref="AL111" si="1168">AL5/#REF!*#REF!</f>
        <v>#REF!</v>
      </c>
      <c r="AM111" s="862" t="e">
        <f t="shared" ref="AM111" si="1169">AM5/#REF!*#REF!</f>
        <v>#REF!</v>
      </c>
      <c r="AN111" s="862" t="e">
        <f t="shared" ref="AN111" si="1170">AN5/#REF!*#REF!</f>
        <v>#REF!</v>
      </c>
      <c r="AO111" s="862" t="e">
        <f t="shared" ref="AO111" si="1171">AO5/#REF!*#REF!</f>
        <v>#REF!</v>
      </c>
      <c r="AP111" s="862" t="e">
        <f t="shared" ref="AP111" si="1172">AP5/#REF!*#REF!</f>
        <v>#REF!</v>
      </c>
      <c r="AQ111" s="862" t="e">
        <f t="shared" ref="AQ111" si="1173">AQ5/#REF!*#REF!</f>
        <v>#REF!</v>
      </c>
      <c r="AR111" s="862" t="e">
        <f t="shared" ref="AR111" si="1174">AR5/#REF!*#REF!</f>
        <v>#REF!</v>
      </c>
      <c r="AS111" s="862" t="e">
        <f t="shared" ref="AS111" si="1175">AS5/#REF!*#REF!</f>
        <v>#REF!</v>
      </c>
      <c r="AT111" s="862" t="e">
        <f t="shared" ref="AT111" si="1176">AT5/#REF!*#REF!</f>
        <v>#REF!</v>
      </c>
      <c r="AU111" s="862" t="e">
        <f t="shared" ref="AU111" si="1177">AU5/#REF!*#REF!</f>
        <v>#REF!</v>
      </c>
      <c r="AV111" s="862" t="e">
        <f t="shared" ref="AV111" si="1178">AV5/#REF!*#REF!</f>
        <v>#REF!</v>
      </c>
      <c r="AW111" s="862" t="e">
        <f t="shared" ref="AW111" si="1179">AW5/#REF!*#REF!</f>
        <v>#REF!</v>
      </c>
      <c r="AX111" s="862" t="e">
        <f t="shared" ref="AX111" si="1180">AX5/#REF!*#REF!</f>
        <v>#REF!</v>
      </c>
      <c r="AY111" s="862" t="e">
        <f t="shared" ref="AY111" si="1181">AY5/#REF!*#REF!</f>
        <v>#REF!</v>
      </c>
      <c r="AZ111" s="862" t="e">
        <f t="shared" ref="AZ111" si="1182">AZ5/#REF!*#REF!</f>
        <v>#REF!</v>
      </c>
      <c r="BA111" s="862" t="e">
        <f t="shared" ref="BA111" si="1183">BA5/#REF!*#REF!</f>
        <v>#REF!</v>
      </c>
      <c r="BB111" s="862" t="e">
        <f t="shared" ref="BB111" si="1184">BB5/#REF!*#REF!</f>
        <v>#REF!</v>
      </c>
      <c r="BC111" s="862" t="e">
        <f t="shared" ref="BC111" si="1185">BC5/#REF!*#REF!</f>
        <v>#REF!</v>
      </c>
      <c r="BD111" s="862" t="e">
        <f t="shared" ref="BD111" si="1186">BD5/#REF!*#REF!</f>
        <v>#REF!</v>
      </c>
      <c r="BE111" s="862" t="e">
        <f t="shared" ref="BE111" si="1187">BE5/#REF!*#REF!</f>
        <v>#REF!</v>
      </c>
      <c r="BF111" s="862" t="e">
        <f t="shared" ref="BF111" si="1188">BF5/#REF!*#REF!</f>
        <v>#REF!</v>
      </c>
      <c r="BG111" s="862" t="e">
        <f t="shared" ref="BG111" si="1189">BG5/#REF!*#REF!</f>
        <v>#REF!</v>
      </c>
      <c r="BH111" s="862" t="e">
        <f t="shared" ref="BH111" si="1190">BH5/#REF!*#REF!</f>
        <v>#REF!</v>
      </c>
      <c r="BI111" s="862" t="e">
        <f t="shared" ref="BI111" si="1191">BI5/#REF!*#REF!</f>
        <v>#REF!</v>
      </c>
      <c r="BJ111" s="862" t="e">
        <f t="shared" ref="BJ111" si="1192">BJ5/#REF!*#REF!</f>
        <v>#REF!</v>
      </c>
      <c r="BK111" s="862" t="e">
        <f t="shared" ref="BK111" si="1193">BK5/#REF!*#REF!</f>
        <v>#REF!</v>
      </c>
      <c r="BL111" s="862" t="e">
        <f t="shared" ref="BL111" si="1194">BL5/#REF!*#REF!</f>
        <v>#REF!</v>
      </c>
      <c r="BM111" s="862" t="e">
        <f t="shared" ref="BM111" si="1195">BM5/#REF!*#REF!</f>
        <v>#REF!</v>
      </c>
      <c r="BN111" s="862" t="e">
        <f t="shared" ref="BN111" si="1196">BN5/#REF!*#REF!</f>
        <v>#REF!</v>
      </c>
      <c r="BO111" s="862" t="e">
        <f t="shared" ref="BO111" si="1197">BO5/#REF!*#REF!</f>
        <v>#REF!</v>
      </c>
      <c r="BP111" s="862" t="e">
        <f t="shared" ref="BP111" si="1198">BP5/#REF!*#REF!</f>
        <v>#REF!</v>
      </c>
      <c r="BQ111" s="862" t="e">
        <f t="shared" ref="BQ111" si="1199">BQ5/#REF!*#REF!</f>
        <v>#REF!</v>
      </c>
      <c r="BR111" s="862" t="e">
        <f t="shared" ref="BR111" si="1200">BR5/#REF!*#REF!</f>
        <v>#REF!</v>
      </c>
      <c r="BS111" s="862" t="e">
        <f t="shared" ref="BS111" si="1201">BS5/#REF!*#REF!</f>
        <v>#REF!</v>
      </c>
      <c r="BT111" s="862" t="e">
        <f t="shared" ref="BT111" si="1202">BT5/#REF!*#REF!</f>
        <v>#REF!</v>
      </c>
      <c r="BU111" s="862" t="e">
        <f t="shared" ref="BU111" si="1203">BU5/#REF!*#REF!</f>
        <v>#REF!</v>
      </c>
      <c r="BV111" s="862" t="e">
        <f t="shared" ref="BV111" si="1204">BV5/#REF!*#REF!</f>
        <v>#REF!</v>
      </c>
      <c r="BW111" s="862" t="e">
        <f t="shared" ref="BW111" si="1205">BW5/#REF!*#REF!</f>
        <v>#REF!</v>
      </c>
      <c r="BX111" s="862" t="e">
        <f t="shared" ref="BX111" si="1206">BX5/#REF!*#REF!</f>
        <v>#REF!</v>
      </c>
      <c r="BY111" s="862" t="e">
        <f t="shared" ref="BY111" si="1207">BY5/#REF!*#REF!</f>
        <v>#REF!</v>
      </c>
      <c r="BZ111" s="862" t="e">
        <f t="shared" ref="BZ111" si="1208">BZ5/#REF!*#REF!</f>
        <v>#REF!</v>
      </c>
      <c r="CA111" s="862" t="e">
        <f t="shared" ref="CA111" si="1209">CA5/#REF!*#REF!</f>
        <v>#REF!</v>
      </c>
      <c r="CB111" s="862" t="e">
        <f t="shared" ref="CB111" si="1210">CB5/#REF!*#REF!</f>
        <v>#REF!</v>
      </c>
      <c r="CC111" s="862" t="e">
        <f t="shared" ref="CC111" si="1211">CC5/#REF!*#REF!</f>
        <v>#REF!</v>
      </c>
      <c r="CD111" s="862" t="e">
        <f t="shared" ref="CD111" si="1212">CD5/#REF!*#REF!</f>
        <v>#REF!</v>
      </c>
      <c r="CE111" s="862" t="e">
        <f t="shared" ref="CE111" si="1213">CE5/#REF!*#REF!</f>
        <v>#REF!</v>
      </c>
      <c r="CF111" s="863" t="e">
        <f t="shared" ref="CF111" si="1214">CF5/#REF!*#REF!</f>
        <v>#REF!</v>
      </c>
    </row>
    <row r="112" spans="1:84">
      <c r="A112" s="899"/>
      <c r="B112" s="860" t="s">
        <v>151</v>
      </c>
      <c r="C112" s="861" t="s">
        <v>741</v>
      </c>
      <c r="D112" s="864">
        <v>0.13597146181504496</v>
      </c>
      <c r="E112" s="864">
        <v>0.13597146181504496</v>
      </c>
      <c r="F112" s="864">
        <v>0.13597146181504496</v>
      </c>
      <c r="G112" s="864">
        <v>0.13597146181504496</v>
      </c>
      <c r="H112" s="864">
        <v>0.13597146181504496</v>
      </c>
      <c r="I112" s="864">
        <v>0.13597146181504496</v>
      </c>
      <c r="J112" s="864">
        <v>0.13597146181504496</v>
      </c>
      <c r="K112" s="864">
        <v>0.13597146181504496</v>
      </c>
      <c r="L112" s="864">
        <v>0.13597146181504496</v>
      </c>
      <c r="M112" s="864">
        <v>0.13597146181504496</v>
      </c>
      <c r="N112" s="864">
        <v>0.13597146181504496</v>
      </c>
      <c r="O112" s="864">
        <v>0.13597146181504496</v>
      </c>
      <c r="P112" s="864">
        <v>0.13597146181504496</v>
      </c>
      <c r="Q112" s="864">
        <v>0.13597146181504496</v>
      </c>
      <c r="R112" s="864">
        <v>0.13597146181504496</v>
      </c>
      <c r="S112" s="864">
        <v>0.13597146181504496</v>
      </c>
      <c r="T112" s="864">
        <v>0.13597146181504496</v>
      </c>
      <c r="U112" s="864">
        <v>0.13597146181504496</v>
      </c>
      <c r="V112" s="864">
        <v>0.13597146181504496</v>
      </c>
      <c r="W112" s="864">
        <v>0.13597146181504496</v>
      </c>
      <c r="X112" s="864">
        <v>0.13597146181504496</v>
      </c>
      <c r="Y112" s="864">
        <v>0.13597146181504496</v>
      </c>
      <c r="Z112" s="864">
        <v>0.13597146181504496</v>
      </c>
      <c r="AA112" s="864">
        <v>0.13597146181504496</v>
      </c>
      <c r="AB112" s="864">
        <v>0.13597146181504496</v>
      </c>
      <c r="AC112" s="864">
        <v>0.13597146181504496</v>
      </c>
      <c r="AD112" s="864">
        <v>0.13597146181504496</v>
      </c>
      <c r="AE112" s="864">
        <v>0.13597146181504496</v>
      </c>
      <c r="AF112" s="864">
        <v>0.13597146181504496</v>
      </c>
      <c r="AG112" s="864">
        <v>0.13597146181504496</v>
      </c>
      <c r="AH112" s="864">
        <v>0.13597146181504496</v>
      </c>
      <c r="AI112" s="864">
        <v>0.13597146181504496</v>
      </c>
      <c r="AJ112" s="864">
        <v>0.13597146181504496</v>
      </c>
      <c r="AK112" s="864">
        <v>0.13597146181504496</v>
      </c>
      <c r="AL112" s="864">
        <v>0.13597146181504496</v>
      </c>
      <c r="AM112" s="864">
        <v>0.13597146181504496</v>
      </c>
      <c r="AN112" s="864">
        <v>0.13597146181504496</v>
      </c>
      <c r="AO112" s="864">
        <v>0.13597146181504496</v>
      </c>
      <c r="AP112" s="864">
        <v>0.13597146181504496</v>
      </c>
      <c r="AQ112" s="864">
        <v>0.13597146181504496</v>
      </c>
      <c r="AR112" s="864">
        <v>0.13597146181504496</v>
      </c>
      <c r="AS112" s="864">
        <v>0.13597146181504496</v>
      </c>
      <c r="AT112" s="864">
        <v>0.13597146181504496</v>
      </c>
      <c r="AU112" s="864">
        <v>0.13597146181504496</v>
      </c>
      <c r="AV112" s="864">
        <v>0.13597146181504496</v>
      </c>
      <c r="AW112" s="864">
        <v>0.13597146181504496</v>
      </c>
      <c r="AX112" s="864">
        <v>0.13597146181504496</v>
      </c>
      <c r="AY112" s="864">
        <v>0.13597146181504496</v>
      </c>
      <c r="AZ112" s="864">
        <v>0.13597146181504496</v>
      </c>
      <c r="BA112" s="864">
        <v>0.13597146181504496</v>
      </c>
      <c r="BB112" s="864">
        <v>0.13597146181504496</v>
      </c>
      <c r="BC112" s="864">
        <v>0.13597146181504496</v>
      </c>
      <c r="BD112" s="864">
        <v>0.13597146181504496</v>
      </c>
      <c r="BE112" s="864">
        <v>0.13597146181504496</v>
      </c>
      <c r="BF112" s="864">
        <v>0.13597146181504496</v>
      </c>
      <c r="BG112" s="864">
        <v>0.13597146181504496</v>
      </c>
      <c r="BH112" s="864">
        <v>0.13597146181504496</v>
      </c>
      <c r="BI112" s="864">
        <v>0.13597146181504496</v>
      </c>
      <c r="BJ112" s="864">
        <v>0.13597146181504496</v>
      </c>
      <c r="BK112" s="864">
        <v>0.13597146181504496</v>
      </c>
      <c r="BL112" s="864">
        <v>0.13597146181504496</v>
      </c>
      <c r="BM112" s="864">
        <v>0.13597146181504496</v>
      </c>
      <c r="BN112" s="864">
        <v>0.13597146181504496</v>
      </c>
      <c r="BO112" s="864">
        <v>0.13597146181504496</v>
      </c>
      <c r="BP112" s="864">
        <v>0.13597146181504496</v>
      </c>
      <c r="BQ112" s="864">
        <v>0.13597146181504496</v>
      </c>
      <c r="BR112" s="864">
        <v>0.13597146181504496</v>
      </c>
      <c r="BS112" s="864">
        <v>0.13597146181504496</v>
      </c>
      <c r="BT112" s="864">
        <v>0.13597146181504496</v>
      </c>
      <c r="BU112" s="864">
        <v>0.13597146181504496</v>
      </c>
      <c r="BV112" s="864">
        <v>0.13597146181504496</v>
      </c>
      <c r="BW112" s="864">
        <v>0.13597146181504496</v>
      </c>
      <c r="BX112" s="864">
        <v>0.13597146181504496</v>
      </c>
      <c r="BY112" s="864">
        <v>0.13597146181504496</v>
      </c>
      <c r="BZ112" s="864">
        <v>0.13597146181504496</v>
      </c>
      <c r="CA112" s="864">
        <v>0.13597146181504496</v>
      </c>
      <c r="CB112" s="864">
        <v>0.13597146181504496</v>
      </c>
      <c r="CC112" s="864">
        <v>0.13597146181504496</v>
      </c>
      <c r="CD112" s="864">
        <v>0.13597146181504496</v>
      </c>
      <c r="CE112" s="864">
        <v>0.13597146181504496</v>
      </c>
      <c r="CF112" s="865">
        <v>0.13597146181504496</v>
      </c>
    </row>
    <row r="113" spans="1:84">
      <c r="A113" s="899"/>
      <c r="B113" s="860" t="s">
        <v>742</v>
      </c>
      <c r="C113" s="861" t="s">
        <v>741</v>
      </c>
      <c r="D113" s="864">
        <v>8.9178502116168887E-2</v>
      </c>
      <c r="E113" s="864">
        <v>8.9178502116168887E-2</v>
      </c>
      <c r="F113" s="864">
        <v>8.9178502116168887E-2</v>
      </c>
      <c r="G113" s="864">
        <v>8.9178502116168887E-2</v>
      </c>
      <c r="H113" s="864">
        <v>8.9178502116168887E-2</v>
      </c>
      <c r="I113" s="864">
        <v>8.9178502116168887E-2</v>
      </c>
      <c r="J113" s="864">
        <v>8.9178502116168887E-2</v>
      </c>
      <c r="K113" s="864">
        <v>8.9178502116168887E-2</v>
      </c>
      <c r="L113" s="864">
        <v>8.9178502116168887E-2</v>
      </c>
      <c r="M113" s="864">
        <v>8.9178502116168887E-2</v>
      </c>
      <c r="N113" s="864">
        <v>8.9178502116168887E-2</v>
      </c>
      <c r="O113" s="864">
        <v>8.9178502116168887E-2</v>
      </c>
      <c r="P113" s="864">
        <v>8.9178502116168887E-2</v>
      </c>
      <c r="Q113" s="864">
        <v>8.9178502116168887E-2</v>
      </c>
      <c r="R113" s="864">
        <v>8.9178502116168887E-2</v>
      </c>
      <c r="S113" s="864">
        <v>8.9178502116168887E-2</v>
      </c>
      <c r="T113" s="864">
        <v>8.9178502116168887E-2</v>
      </c>
      <c r="U113" s="864">
        <v>8.9178502116168887E-2</v>
      </c>
      <c r="V113" s="864">
        <v>8.9178502116168887E-2</v>
      </c>
      <c r="W113" s="864">
        <v>8.9178502116168887E-2</v>
      </c>
      <c r="X113" s="864">
        <v>8.9178502116168887E-2</v>
      </c>
      <c r="Y113" s="864">
        <v>8.9178502116168887E-2</v>
      </c>
      <c r="Z113" s="864">
        <v>8.9178502116168887E-2</v>
      </c>
      <c r="AA113" s="864">
        <v>8.9178502116168887E-2</v>
      </c>
      <c r="AB113" s="864">
        <v>8.9178502116168887E-2</v>
      </c>
      <c r="AC113" s="864">
        <v>8.9178502116168887E-2</v>
      </c>
      <c r="AD113" s="864">
        <v>8.9178502116168887E-2</v>
      </c>
      <c r="AE113" s="864">
        <v>8.9178502116168887E-2</v>
      </c>
      <c r="AF113" s="864">
        <v>8.9178502116168887E-2</v>
      </c>
      <c r="AG113" s="864">
        <v>8.9178502116168887E-2</v>
      </c>
      <c r="AH113" s="864">
        <v>8.9178502116168887E-2</v>
      </c>
      <c r="AI113" s="864">
        <v>8.9178502116168887E-2</v>
      </c>
      <c r="AJ113" s="864">
        <v>8.9178502116168887E-2</v>
      </c>
      <c r="AK113" s="864">
        <v>8.9178502116168887E-2</v>
      </c>
      <c r="AL113" s="864">
        <v>8.9178502116168887E-2</v>
      </c>
      <c r="AM113" s="864">
        <v>8.9178502116168887E-2</v>
      </c>
      <c r="AN113" s="864">
        <v>8.9178502116168887E-2</v>
      </c>
      <c r="AO113" s="864">
        <v>8.9178502116168887E-2</v>
      </c>
      <c r="AP113" s="864">
        <v>8.9178502116168887E-2</v>
      </c>
      <c r="AQ113" s="864">
        <v>8.9178502116168887E-2</v>
      </c>
      <c r="AR113" s="864">
        <v>8.9178502116168887E-2</v>
      </c>
      <c r="AS113" s="864">
        <v>8.9178502116168887E-2</v>
      </c>
      <c r="AT113" s="864">
        <v>8.9178502116168887E-2</v>
      </c>
      <c r="AU113" s="864">
        <v>8.9178502116168887E-2</v>
      </c>
      <c r="AV113" s="864">
        <v>8.9178502116168887E-2</v>
      </c>
      <c r="AW113" s="864">
        <v>8.9178502116168887E-2</v>
      </c>
      <c r="AX113" s="864">
        <v>8.9178502116168887E-2</v>
      </c>
      <c r="AY113" s="864">
        <v>8.9178502116168887E-2</v>
      </c>
      <c r="AZ113" s="864">
        <v>8.9178502116168887E-2</v>
      </c>
      <c r="BA113" s="864">
        <v>8.9178502116168887E-2</v>
      </c>
      <c r="BB113" s="864">
        <v>8.9178502116168887E-2</v>
      </c>
      <c r="BC113" s="864">
        <v>8.9178502116168887E-2</v>
      </c>
      <c r="BD113" s="864">
        <v>8.9178502116168887E-2</v>
      </c>
      <c r="BE113" s="864">
        <v>8.9178502116168887E-2</v>
      </c>
      <c r="BF113" s="864">
        <v>8.9178502116168887E-2</v>
      </c>
      <c r="BG113" s="864">
        <v>8.9178502116168887E-2</v>
      </c>
      <c r="BH113" s="864">
        <v>8.9178502116168887E-2</v>
      </c>
      <c r="BI113" s="864">
        <v>8.9178502116168887E-2</v>
      </c>
      <c r="BJ113" s="864">
        <v>8.9178502116168887E-2</v>
      </c>
      <c r="BK113" s="864">
        <v>8.9178502116168887E-2</v>
      </c>
      <c r="BL113" s="864">
        <v>8.9178502116168887E-2</v>
      </c>
      <c r="BM113" s="864">
        <v>8.9178502116168887E-2</v>
      </c>
      <c r="BN113" s="864">
        <v>8.9178502116168887E-2</v>
      </c>
      <c r="BO113" s="864">
        <v>8.9178502116168887E-2</v>
      </c>
      <c r="BP113" s="864">
        <v>8.9178502116168887E-2</v>
      </c>
      <c r="BQ113" s="864">
        <v>8.9178502116168887E-2</v>
      </c>
      <c r="BR113" s="864">
        <v>8.9178502116168887E-2</v>
      </c>
      <c r="BS113" s="864">
        <v>8.9178502116168887E-2</v>
      </c>
      <c r="BT113" s="864">
        <v>8.9178502116168887E-2</v>
      </c>
      <c r="BU113" s="864">
        <v>8.9178502116168887E-2</v>
      </c>
      <c r="BV113" s="864">
        <v>8.9178502116168887E-2</v>
      </c>
      <c r="BW113" s="864">
        <v>8.9178502116168887E-2</v>
      </c>
      <c r="BX113" s="864">
        <v>8.9178502116168887E-2</v>
      </c>
      <c r="BY113" s="864">
        <v>8.9178502116168887E-2</v>
      </c>
      <c r="BZ113" s="864">
        <v>8.9178502116168887E-2</v>
      </c>
      <c r="CA113" s="864">
        <v>8.9178502116168887E-2</v>
      </c>
      <c r="CB113" s="864">
        <v>8.9178502116168887E-2</v>
      </c>
      <c r="CC113" s="864">
        <v>8.9178502116168887E-2</v>
      </c>
      <c r="CD113" s="864">
        <v>8.9178502116168887E-2</v>
      </c>
      <c r="CE113" s="864">
        <v>8.9178502116168887E-2</v>
      </c>
      <c r="CF113" s="865">
        <v>8.9178502116168887E-2</v>
      </c>
    </row>
    <row r="114" spans="1:84">
      <c r="A114" s="899"/>
      <c r="B114" s="860" t="s">
        <v>743</v>
      </c>
      <c r="C114" s="861" t="s">
        <v>741</v>
      </c>
      <c r="D114" s="864">
        <v>0.18708804523307052</v>
      </c>
      <c r="E114" s="864">
        <v>0.18708804523307052</v>
      </c>
      <c r="F114" s="864">
        <v>0.18708804523307052</v>
      </c>
      <c r="G114" s="864">
        <v>0.18708804523307052</v>
      </c>
      <c r="H114" s="864">
        <v>0.18708804523307052</v>
      </c>
      <c r="I114" s="864">
        <v>0.18708804523307052</v>
      </c>
      <c r="J114" s="864">
        <v>0.18708804523307052</v>
      </c>
      <c r="K114" s="864">
        <v>0.18708804523307052</v>
      </c>
      <c r="L114" s="864">
        <v>0.18708804523307052</v>
      </c>
      <c r="M114" s="864">
        <v>0.18708804523307052</v>
      </c>
      <c r="N114" s="864">
        <v>0.18708804523307052</v>
      </c>
      <c r="O114" s="864">
        <v>0.18708804523307052</v>
      </c>
      <c r="P114" s="864">
        <v>0.18708804523307052</v>
      </c>
      <c r="Q114" s="864">
        <v>0.18708804523307052</v>
      </c>
      <c r="R114" s="864">
        <v>0.18708804523307052</v>
      </c>
      <c r="S114" s="864">
        <v>0.18708804523307052</v>
      </c>
      <c r="T114" s="864">
        <v>0.18708804523307052</v>
      </c>
      <c r="U114" s="864">
        <v>0.18708804523307052</v>
      </c>
      <c r="V114" s="864">
        <v>0.18708804523307052</v>
      </c>
      <c r="W114" s="864">
        <v>0.18708804523307052</v>
      </c>
      <c r="X114" s="864">
        <v>0.18708804523307052</v>
      </c>
      <c r="Y114" s="864">
        <v>0.18708804523307052</v>
      </c>
      <c r="Z114" s="864">
        <v>0.18708804523307052</v>
      </c>
      <c r="AA114" s="864">
        <v>0.18708804523307052</v>
      </c>
      <c r="AB114" s="864">
        <v>0.18708804523307052</v>
      </c>
      <c r="AC114" s="864">
        <v>0.18708804523307052</v>
      </c>
      <c r="AD114" s="864">
        <v>0.18708804523307052</v>
      </c>
      <c r="AE114" s="864">
        <v>0.18708804523307052</v>
      </c>
      <c r="AF114" s="864">
        <v>0.18708804523307052</v>
      </c>
      <c r="AG114" s="864">
        <v>0.18708804523307052</v>
      </c>
      <c r="AH114" s="864">
        <v>0.18708804523307052</v>
      </c>
      <c r="AI114" s="864">
        <v>0.18708804523307052</v>
      </c>
      <c r="AJ114" s="864">
        <v>0.18708804523307052</v>
      </c>
      <c r="AK114" s="864">
        <v>0.18708804523307052</v>
      </c>
      <c r="AL114" s="864">
        <v>0.18708804523307052</v>
      </c>
      <c r="AM114" s="864">
        <v>0.18708804523307052</v>
      </c>
      <c r="AN114" s="864">
        <v>0.18708804523307052</v>
      </c>
      <c r="AO114" s="864">
        <v>0.18708804523307052</v>
      </c>
      <c r="AP114" s="864">
        <v>0.18708804523307052</v>
      </c>
      <c r="AQ114" s="864">
        <v>0.18708804523307052</v>
      </c>
      <c r="AR114" s="864">
        <v>0.18708804523307052</v>
      </c>
      <c r="AS114" s="864">
        <v>0.18708804523307052</v>
      </c>
      <c r="AT114" s="864">
        <v>0.18708804523307052</v>
      </c>
      <c r="AU114" s="864">
        <v>0.18708804523307052</v>
      </c>
      <c r="AV114" s="864">
        <v>0.18708804523307052</v>
      </c>
      <c r="AW114" s="864">
        <v>0.18708804523307052</v>
      </c>
      <c r="AX114" s="864">
        <v>0.18708804523307052</v>
      </c>
      <c r="AY114" s="864">
        <v>0.18708804523307052</v>
      </c>
      <c r="AZ114" s="864">
        <v>0.18708804523307052</v>
      </c>
      <c r="BA114" s="864">
        <v>0.18708804523307052</v>
      </c>
      <c r="BB114" s="864">
        <v>0.18708804523307052</v>
      </c>
      <c r="BC114" s="864">
        <v>0.18708804523307052</v>
      </c>
      <c r="BD114" s="864">
        <v>0.18708804523307052</v>
      </c>
      <c r="BE114" s="864">
        <v>0.18708804523307052</v>
      </c>
      <c r="BF114" s="864">
        <v>0.18708804523307052</v>
      </c>
      <c r="BG114" s="864">
        <v>0.18708804523307052</v>
      </c>
      <c r="BH114" s="864">
        <v>0.18708804523307052</v>
      </c>
      <c r="BI114" s="864">
        <v>0.18708804523307052</v>
      </c>
      <c r="BJ114" s="864">
        <v>0.18708804523307052</v>
      </c>
      <c r="BK114" s="864">
        <v>0.18708804523307052</v>
      </c>
      <c r="BL114" s="864">
        <v>0.18708804523307052</v>
      </c>
      <c r="BM114" s="864">
        <v>0.18708804523307052</v>
      </c>
      <c r="BN114" s="864">
        <v>0.18708804523307052</v>
      </c>
      <c r="BO114" s="864">
        <v>0.18708804523307052</v>
      </c>
      <c r="BP114" s="864">
        <v>0.18708804523307052</v>
      </c>
      <c r="BQ114" s="864">
        <v>0.18708804523307052</v>
      </c>
      <c r="BR114" s="864">
        <v>0.18708804523307052</v>
      </c>
      <c r="BS114" s="864">
        <v>0.18708804523307052</v>
      </c>
      <c r="BT114" s="864">
        <v>0.18708804523307052</v>
      </c>
      <c r="BU114" s="864">
        <v>0.18708804523307052</v>
      </c>
      <c r="BV114" s="864">
        <v>0.18708804523307052</v>
      </c>
      <c r="BW114" s="864">
        <v>0.18708804523307052</v>
      </c>
      <c r="BX114" s="864">
        <v>0.18708804523307052</v>
      </c>
      <c r="BY114" s="864">
        <v>0.18708804523307052</v>
      </c>
      <c r="BZ114" s="864">
        <v>0.18708804523307052</v>
      </c>
      <c r="CA114" s="864">
        <v>0.18708804523307052</v>
      </c>
      <c r="CB114" s="864">
        <v>0.18708804523307052</v>
      </c>
      <c r="CC114" s="864">
        <v>0.18708804523307052</v>
      </c>
      <c r="CD114" s="864">
        <v>0.18708804523307052</v>
      </c>
      <c r="CE114" s="864">
        <v>0.18708804523307052</v>
      </c>
      <c r="CF114" s="865">
        <v>0.18708804523307052</v>
      </c>
    </row>
    <row r="115" spans="1:84">
      <c r="A115" s="899"/>
      <c r="B115" s="866" t="s">
        <v>744</v>
      </c>
      <c r="C115" s="867" t="s">
        <v>741</v>
      </c>
      <c r="D115" s="868">
        <v>0.46829725152086032</v>
      </c>
      <c r="E115" s="869">
        <v>0.46829725152086032</v>
      </c>
      <c r="F115" s="869">
        <v>0.46829725152086032</v>
      </c>
      <c r="G115" s="869">
        <v>0.46829725152086032</v>
      </c>
      <c r="H115" s="869">
        <v>0.46829725152086032</v>
      </c>
      <c r="I115" s="869">
        <v>0.46829725152086032</v>
      </c>
      <c r="J115" s="869">
        <v>0.46829725152086032</v>
      </c>
      <c r="K115" s="869">
        <v>0.46829725152086032</v>
      </c>
      <c r="L115" s="869">
        <v>0.46829725152086032</v>
      </c>
      <c r="M115" s="869">
        <v>0.46829725152086032</v>
      </c>
      <c r="N115" s="869">
        <v>0.46829725152086032</v>
      </c>
      <c r="O115" s="869">
        <v>0.46829725152086032</v>
      </c>
      <c r="P115" s="869">
        <v>0.46829725152086032</v>
      </c>
      <c r="Q115" s="869">
        <v>0.46829725152086032</v>
      </c>
      <c r="R115" s="869">
        <v>0.46829725152086032</v>
      </c>
      <c r="S115" s="869">
        <v>0.46829725152086032</v>
      </c>
      <c r="T115" s="869">
        <v>0.46829725152086032</v>
      </c>
      <c r="U115" s="869">
        <v>0.46829725152086032</v>
      </c>
      <c r="V115" s="869">
        <v>0.46829725152086032</v>
      </c>
      <c r="W115" s="869">
        <v>0.46829725152086032</v>
      </c>
      <c r="X115" s="869">
        <v>0.46829725152086032</v>
      </c>
      <c r="Y115" s="869">
        <v>0.46829725152086032</v>
      </c>
      <c r="Z115" s="869">
        <v>0.46829725152086032</v>
      </c>
      <c r="AA115" s="869">
        <v>0.46829725152086032</v>
      </c>
      <c r="AB115" s="869">
        <v>0.46829725152086032</v>
      </c>
      <c r="AC115" s="869">
        <v>0.46829725152086032</v>
      </c>
      <c r="AD115" s="869">
        <v>0.46829725152086032</v>
      </c>
      <c r="AE115" s="869">
        <v>0.46829725152086032</v>
      </c>
      <c r="AF115" s="869">
        <v>0.46829725152086032</v>
      </c>
      <c r="AG115" s="869">
        <v>0.46829725152086032</v>
      </c>
      <c r="AH115" s="869">
        <v>0.46829725152086032</v>
      </c>
      <c r="AI115" s="869">
        <v>0.46829725152086032</v>
      </c>
      <c r="AJ115" s="869">
        <v>0.46829725152086032</v>
      </c>
      <c r="AK115" s="869">
        <v>0.46829725152086032</v>
      </c>
      <c r="AL115" s="869">
        <v>0.46829725152086032</v>
      </c>
      <c r="AM115" s="869">
        <v>0.46829725152086032</v>
      </c>
      <c r="AN115" s="869">
        <v>0.46829725152086032</v>
      </c>
      <c r="AO115" s="869">
        <v>0.46829725152086032</v>
      </c>
      <c r="AP115" s="869">
        <v>0.46829725152086032</v>
      </c>
      <c r="AQ115" s="869">
        <v>0.46829725152086032</v>
      </c>
      <c r="AR115" s="869">
        <v>0.46829725152086032</v>
      </c>
      <c r="AS115" s="869">
        <v>0.46829725152086032</v>
      </c>
      <c r="AT115" s="869">
        <v>0.46829725152086032</v>
      </c>
      <c r="AU115" s="869">
        <v>0.46829725152086032</v>
      </c>
      <c r="AV115" s="869">
        <v>0.46829725152086032</v>
      </c>
      <c r="AW115" s="869">
        <v>0.46829725152086032</v>
      </c>
      <c r="AX115" s="869">
        <v>0.46829725152086032</v>
      </c>
      <c r="AY115" s="869">
        <v>0.46829725152086032</v>
      </c>
      <c r="AZ115" s="869">
        <v>0.46829725152086032</v>
      </c>
      <c r="BA115" s="869">
        <v>0.46829725152086032</v>
      </c>
      <c r="BB115" s="869">
        <v>0.46829725152086032</v>
      </c>
      <c r="BC115" s="869">
        <v>0.46829725152086032</v>
      </c>
      <c r="BD115" s="869">
        <v>0.46829725152086032</v>
      </c>
      <c r="BE115" s="869">
        <v>0.46829725152086032</v>
      </c>
      <c r="BF115" s="869">
        <v>0.46829725152086032</v>
      </c>
      <c r="BG115" s="869">
        <v>0.46829725152086032</v>
      </c>
      <c r="BH115" s="869">
        <v>0.46829725152086032</v>
      </c>
      <c r="BI115" s="869">
        <v>0.46829725152086032</v>
      </c>
      <c r="BJ115" s="869">
        <v>0.46829725152086032</v>
      </c>
      <c r="BK115" s="869">
        <v>0.46829725152086032</v>
      </c>
      <c r="BL115" s="869">
        <v>0.46829725152086032</v>
      </c>
      <c r="BM115" s="869">
        <v>0.46829725152086032</v>
      </c>
      <c r="BN115" s="869">
        <v>0.46829725152086032</v>
      </c>
      <c r="BO115" s="869">
        <v>0.46829725152086032</v>
      </c>
      <c r="BP115" s="869">
        <v>0.46829725152086032</v>
      </c>
      <c r="BQ115" s="869">
        <v>0.46829725152086032</v>
      </c>
      <c r="BR115" s="869">
        <v>0.46829725152086032</v>
      </c>
      <c r="BS115" s="869">
        <v>0.46829725152086032</v>
      </c>
      <c r="BT115" s="869">
        <v>0.46829725152086032</v>
      </c>
      <c r="BU115" s="869">
        <v>0.46829725152086032</v>
      </c>
      <c r="BV115" s="869">
        <v>0.46829725152086032</v>
      </c>
      <c r="BW115" s="869">
        <v>0.46829725152086032</v>
      </c>
      <c r="BX115" s="869">
        <v>0.46829725152086032</v>
      </c>
      <c r="BY115" s="869">
        <v>0.46829725152086032</v>
      </c>
      <c r="BZ115" s="869">
        <v>0.46829725152086032</v>
      </c>
      <c r="CA115" s="869">
        <v>0.46829725152086032</v>
      </c>
      <c r="CB115" s="869">
        <v>0.46829725152086032</v>
      </c>
      <c r="CC115" s="869">
        <v>0.46829725152086032</v>
      </c>
      <c r="CD115" s="869">
        <v>0.46829725152086032</v>
      </c>
      <c r="CE115" s="869">
        <v>0.46829725152086032</v>
      </c>
      <c r="CF115" s="870">
        <v>0.46829725152086032</v>
      </c>
    </row>
    <row r="116" spans="1:84">
      <c r="A116" s="899"/>
      <c r="B116" s="860" t="str">
        <f>CONCATENATE("Drivmiddel (", $D$122,"-priser)")</f>
        <v>Drivmiddel (-priser)</v>
      </c>
      <c r="C116" s="861" t="s">
        <v>745</v>
      </c>
      <c r="D116" s="862" t="e">
        <f t="shared" ref="D116" si="1215">D8/#REF!*#REF!</f>
        <v>#REF!</v>
      </c>
      <c r="E116" s="862" t="e">
        <f t="shared" ref="E116" si="1216">E8/#REF!*#REF!</f>
        <v>#REF!</v>
      </c>
      <c r="F116" s="862" t="e">
        <f t="shared" ref="F116" si="1217">F8/#REF!*#REF!</f>
        <v>#REF!</v>
      </c>
      <c r="G116" s="862" t="e">
        <f t="shared" ref="G116" si="1218">G8/#REF!*#REF!</f>
        <v>#REF!</v>
      </c>
      <c r="H116" s="862" t="e">
        <f t="shared" ref="H116" si="1219">H8/#REF!*#REF!</f>
        <v>#REF!</v>
      </c>
      <c r="I116" s="862" t="e">
        <f t="shared" ref="I116" si="1220">I8/#REF!*#REF!</f>
        <v>#REF!</v>
      </c>
      <c r="J116" s="862" t="e">
        <f t="shared" ref="J116" si="1221">J8/#REF!*#REF!</f>
        <v>#REF!</v>
      </c>
      <c r="K116" s="862" t="e">
        <f t="shared" ref="K116" si="1222">K8/#REF!*#REF!</f>
        <v>#REF!</v>
      </c>
      <c r="L116" s="862" t="e">
        <f t="shared" ref="L116" si="1223">L8/#REF!*#REF!</f>
        <v>#REF!</v>
      </c>
      <c r="M116" s="862" t="e">
        <f t="shared" ref="M116" si="1224">M8/#REF!*#REF!</f>
        <v>#REF!</v>
      </c>
      <c r="N116" s="862" t="e">
        <f t="shared" ref="N116" si="1225">N8/#REF!*#REF!</f>
        <v>#REF!</v>
      </c>
      <c r="O116" s="862" t="e">
        <f t="shared" ref="O116" si="1226">O8/#REF!*#REF!</f>
        <v>#REF!</v>
      </c>
      <c r="P116" s="862" t="e">
        <f t="shared" ref="P116" si="1227">P8/#REF!*#REF!</f>
        <v>#REF!</v>
      </c>
      <c r="Q116" s="862" t="e">
        <f t="shared" ref="Q116" si="1228">Q8/#REF!*#REF!</f>
        <v>#REF!</v>
      </c>
      <c r="R116" s="862" t="e">
        <f t="shared" ref="R116" si="1229">R8/#REF!*#REF!</f>
        <v>#REF!</v>
      </c>
      <c r="S116" s="862" t="e">
        <f t="shared" ref="S116" si="1230">S8/#REF!*#REF!</f>
        <v>#REF!</v>
      </c>
      <c r="T116" s="862" t="e">
        <f t="shared" ref="T116" si="1231">T8/#REF!*#REF!</f>
        <v>#REF!</v>
      </c>
      <c r="U116" s="862" t="e">
        <f t="shared" ref="U116" si="1232">U8/#REF!*#REF!</f>
        <v>#REF!</v>
      </c>
      <c r="V116" s="862" t="e">
        <f t="shared" ref="V116" si="1233">V8/#REF!*#REF!</f>
        <v>#REF!</v>
      </c>
      <c r="W116" s="862" t="e">
        <f t="shared" ref="W116" si="1234">W8/#REF!*#REF!</f>
        <v>#REF!</v>
      </c>
      <c r="X116" s="862" t="e">
        <f t="shared" ref="X116" si="1235">X8/#REF!*#REF!</f>
        <v>#REF!</v>
      </c>
      <c r="Y116" s="862" t="e">
        <f t="shared" ref="Y116" si="1236">Y8/#REF!*#REF!</f>
        <v>#REF!</v>
      </c>
      <c r="Z116" s="862" t="e">
        <f t="shared" ref="Z116" si="1237">Z8/#REF!*#REF!</f>
        <v>#REF!</v>
      </c>
      <c r="AA116" s="862" t="e">
        <f t="shared" ref="AA116" si="1238">AA8/#REF!*#REF!</f>
        <v>#REF!</v>
      </c>
      <c r="AB116" s="862" t="e">
        <f t="shared" ref="AB116" si="1239">AB8/#REF!*#REF!</f>
        <v>#REF!</v>
      </c>
      <c r="AC116" s="862" t="e">
        <f t="shared" ref="AC116" si="1240">AC8/#REF!*#REF!</f>
        <v>#REF!</v>
      </c>
      <c r="AD116" s="862" t="e">
        <f t="shared" ref="AD116" si="1241">AD8/#REF!*#REF!</f>
        <v>#REF!</v>
      </c>
      <c r="AE116" s="862" t="e">
        <f t="shared" ref="AE116" si="1242">AE8/#REF!*#REF!</f>
        <v>#REF!</v>
      </c>
      <c r="AF116" s="862" t="e">
        <f t="shared" ref="AF116" si="1243">AF8/#REF!*#REF!</f>
        <v>#REF!</v>
      </c>
      <c r="AG116" s="862" t="e">
        <f t="shared" ref="AG116" si="1244">AG8/#REF!*#REF!</f>
        <v>#REF!</v>
      </c>
      <c r="AH116" s="862" t="e">
        <f t="shared" ref="AH116" si="1245">AH8/#REF!*#REF!</f>
        <v>#REF!</v>
      </c>
      <c r="AI116" s="862" t="e">
        <f t="shared" ref="AI116" si="1246">AI8/#REF!*#REF!</f>
        <v>#REF!</v>
      </c>
      <c r="AJ116" s="862" t="e">
        <f t="shared" ref="AJ116" si="1247">AJ8/#REF!*#REF!</f>
        <v>#REF!</v>
      </c>
      <c r="AK116" s="862" t="e">
        <f t="shared" ref="AK116" si="1248">AK8/#REF!*#REF!</f>
        <v>#REF!</v>
      </c>
      <c r="AL116" s="862" t="e">
        <f t="shared" ref="AL116" si="1249">AL8/#REF!*#REF!</f>
        <v>#REF!</v>
      </c>
      <c r="AM116" s="862" t="e">
        <f t="shared" ref="AM116" si="1250">AM8/#REF!*#REF!</f>
        <v>#REF!</v>
      </c>
      <c r="AN116" s="862" t="e">
        <f t="shared" ref="AN116" si="1251">AN8/#REF!*#REF!</f>
        <v>#REF!</v>
      </c>
      <c r="AO116" s="862" t="e">
        <f t="shared" ref="AO116" si="1252">AO8/#REF!*#REF!</f>
        <v>#REF!</v>
      </c>
      <c r="AP116" s="862" t="e">
        <f t="shared" ref="AP116" si="1253">AP8/#REF!*#REF!</f>
        <v>#REF!</v>
      </c>
      <c r="AQ116" s="862" t="e">
        <f t="shared" ref="AQ116" si="1254">AQ8/#REF!*#REF!</f>
        <v>#REF!</v>
      </c>
      <c r="AR116" s="862" t="e">
        <f t="shared" ref="AR116" si="1255">AR8/#REF!*#REF!</f>
        <v>#REF!</v>
      </c>
      <c r="AS116" s="862" t="e">
        <f t="shared" ref="AS116" si="1256">AS8/#REF!*#REF!</f>
        <v>#REF!</v>
      </c>
      <c r="AT116" s="862" t="e">
        <f t="shared" ref="AT116" si="1257">AT8/#REF!*#REF!</f>
        <v>#REF!</v>
      </c>
      <c r="AU116" s="862" t="e">
        <f t="shared" ref="AU116" si="1258">AU8/#REF!*#REF!</f>
        <v>#REF!</v>
      </c>
      <c r="AV116" s="862" t="e">
        <f t="shared" ref="AV116" si="1259">AV8/#REF!*#REF!</f>
        <v>#REF!</v>
      </c>
      <c r="AW116" s="862" t="e">
        <f t="shared" ref="AW116" si="1260">AW8/#REF!*#REF!</f>
        <v>#REF!</v>
      </c>
      <c r="AX116" s="862" t="e">
        <f t="shared" ref="AX116" si="1261">AX8/#REF!*#REF!</f>
        <v>#REF!</v>
      </c>
      <c r="AY116" s="862" t="e">
        <f t="shared" ref="AY116" si="1262">AY8/#REF!*#REF!</f>
        <v>#REF!</v>
      </c>
      <c r="AZ116" s="862" t="e">
        <f t="shared" ref="AZ116" si="1263">AZ8/#REF!*#REF!</f>
        <v>#REF!</v>
      </c>
      <c r="BA116" s="862" t="e">
        <f t="shared" ref="BA116" si="1264">BA8/#REF!*#REF!</f>
        <v>#REF!</v>
      </c>
      <c r="BB116" s="862" t="e">
        <f t="shared" ref="BB116" si="1265">BB8/#REF!*#REF!</f>
        <v>#REF!</v>
      </c>
      <c r="BC116" s="862" t="e">
        <f t="shared" ref="BC116" si="1266">BC8/#REF!*#REF!</f>
        <v>#REF!</v>
      </c>
      <c r="BD116" s="862" t="e">
        <f t="shared" ref="BD116" si="1267">BD8/#REF!*#REF!</f>
        <v>#REF!</v>
      </c>
      <c r="BE116" s="862" t="e">
        <f t="shared" ref="BE116" si="1268">BE8/#REF!*#REF!</f>
        <v>#REF!</v>
      </c>
      <c r="BF116" s="862" t="e">
        <f t="shared" ref="BF116" si="1269">BF8/#REF!*#REF!</f>
        <v>#REF!</v>
      </c>
      <c r="BG116" s="862" t="e">
        <f t="shared" ref="BG116" si="1270">BG8/#REF!*#REF!</f>
        <v>#REF!</v>
      </c>
      <c r="BH116" s="862" t="e">
        <f t="shared" ref="BH116" si="1271">BH8/#REF!*#REF!</f>
        <v>#REF!</v>
      </c>
      <c r="BI116" s="862" t="e">
        <f t="shared" ref="BI116" si="1272">BI8/#REF!*#REF!</f>
        <v>#REF!</v>
      </c>
      <c r="BJ116" s="862" t="e">
        <f t="shared" ref="BJ116" si="1273">BJ8/#REF!*#REF!</f>
        <v>#REF!</v>
      </c>
      <c r="BK116" s="862" t="e">
        <f t="shared" ref="BK116" si="1274">BK8/#REF!*#REF!</f>
        <v>#REF!</v>
      </c>
      <c r="BL116" s="862" t="e">
        <f t="shared" ref="BL116" si="1275">BL8/#REF!*#REF!</f>
        <v>#REF!</v>
      </c>
      <c r="BM116" s="862" t="e">
        <f t="shared" ref="BM116" si="1276">BM8/#REF!*#REF!</f>
        <v>#REF!</v>
      </c>
      <c r="BN116" s="862" t="e">
        <f t="shared" ref="BN116" si="1277">BN8/#REF!*#REF!</f>
        <v>#REF!</v>
      </c>
      <c r="BO116" s="862" t="e">
        <f t="shared" ref="BO116" si="1278">BO8/#REF!*#REF!</f>
        <v>#REF!</v>
      </c>
      <c r="BP116" s="862" t="e">
        <f t="shared" ref="BP116" si="1279">BP8/#REF!*#REF!</f>
        <v>#REF!</v>
      </c>
      <c r="BQ116" s="862" t="e">
        <f t="shared" ref="BQ116" si="1280">BQ8/#REF!*#REF!</f>
        <v>#REF!</v>
      </c>
      <c r="BR116" s="862" t="e">
        <f t="shared" ref="BR116" si="1281">BR8/#REF!*#REF!</f>
        <v>#REF!</v>
      </c>
      <c r="BS116" s="862" t="e">
        <f t="shared" ref="BS116" si="1282">BS8/#REF!*#REF!</f>
        <v>#REF!</v>
      </c>
      <c r="BT116" s="862" t="e">
        <f t="shared" ref="BT116" si="1283">BT8/#REF!*#REF!</f>
        <v>#REF!</v>
      </c>
      <c r="BU116" s="862" t="e">
        <f t="shared" ref="BU116" si="1284">BU8/#REF!*#REF!</f>
        <v>#REF!</v>
      </c>
      <c r="BV116" s="862" t="e">
        <f t="shared" ref="BV116" si="1285">BV8/#REF!*#REF!</f>
        <v>#REF!</v>
      </c>
      <c r="BW116" s="862" t="e">
        <f t="shared" ref="BW116" si="1286">BW8/#REF!*#REF!</f>
        <v>#REF!</v>
      </c>
      <c r="BX116" s="862" t="e">
        <f t="shared" ref="BX116" si="1287">BX8/#REF!*#REF!</f>
        <v>#REF!</v>
      </c>
      <c r="BY116" s="862" t="e">
        <f t="shared" ref="BY116" si="1288">BY8/#REF!*#REF!</f>
        <v>#REF!</v>
      </c>
      <c r="BZ116" s="862" t="e">
        <f t="shared" ref="BZ116" si="1289">BZ8/#REF!*#REF!</f>
        <v>#REF!</v>
      </c>
      <c r="CA116" s="862" t="e">
        <f t="shared" ref="CA116" si="1290">CA8/#REF!*#REF!</f>
        <v>#REF!</v>
      </c>
      <c r="CB116" s="862" t="e">
        <f t="shared" ref="CB116" si="1291">CB8/#REF!*#REF!</f>
        <v>#REF!</v>
      </c>
      <c r="CC116" s="862" t="e">
        <f t="shared" ref="CC116" si="1292">CC8/#REF!*#REF!</f>
        <v>#REF!</v>
      </c>
      <c r="CD116" s="862" t="e">
        <f t="shared" ref="CD116" si="1293">CD8/#REF!*#REF!</f>
        <v>#REF!</v>
      </c>
      <c r="CE116" s="862" t="e">
        <f t="shared" ref="CE116" si="1294">CE8/#REF!*#REF!</f>
        <v>#REF!</v>
      </c>
      <c r="CF116" s="863" t="e">
        <f t="shared" ref="CF116" si="1295">CF8/#REF!*#REF!</f>
        <v>#REF!</v>
      </c>
    </row>
    <row r="117" spans="1:84">
      <c r="A117" s="899"/>
      <c r="B117" s="884" t="s">
        <v>151</v>
      </c>
      <c r="C117" s="885" t="s">
        <v>745</v>
      </c>
      <c r="D117" s="886">
        <v>0.1699643272688062</v>
      </c>
      <c r="E117" s="886">
        <v>0.1699643272688062</v>
      </c>
      <c r="F117" s="886">
        <v>0.1699643272688062</v>
      </c>
      <c r="G117" s="886">
        <v>0.1699643272688062</v>
      </c>
      <c r="H117" s="886">
        <v>0.1699643272688062</v>
      </c>
      <c r="I117" s="886">
        <v>0.1699643272688062</v>
      </c>
      <c r="J117" s="886">
        <v>0.1699643272688062</v>
      </c>
      <c r="K117" s="886">
        <v>0.1699643272688062</v>
      </c>
      <c r="L117" s="886">
        <v>0.1699643272688062</v>
      </c>
      <c r="M117" s="886">
        <v>0.1699643272688062</v>
      </c>
      <c r="N117" s="886">
        <v>0.1699643272688062</v>
      </c>
      <c r="O117" s="886">
        <v>0.1699643272688062</v>
      </c>
      <c r="P117" s="886">
        <v>0.1699643272688062</v>
      </c>
      <c r="Q117" s="886">
        <v>0.1699643272688062</v>
      </c>
      <c r="R117" s="886">
        <v>0.1699643272688062</v>
      </c>
      <c r="S117" s="886">
        <v>0.1699643272688062</v>
      </c>
      <c r="T117" s="886">
        <v>0.1699643272688062</v>
      </c>
      <c r="U117" s="886">
        <v>0.1699643272688062</v>
      </c>
      <c r="V117" s="886">
        <v>0.1699643272688062</v>
      </c>
      <c r="W117" s="886">
        <v>0.1699643272688062</v>
      </c>
      <c r="X117" s="886">
        <v>0.1699643272688062</v>
      </c>
      <c r="Y117" s="886">
        <v>0.1699643272688062</v>
      </c>
      <c r="Z117" s="886">
        <v>0.1699643272688062</v>
      </c>
      <c r="AA117" s="886">
        <v>0.1699643272688062</v>
      </c>
      <c r="AB117" s="886">
        <v>0.1699643272688062</v>
      </c>
      <c r="AC117" s="886">
        <v>0.1699643272688062</v>
      </c>
      <c r="AD117" s="886">
        <v>0.1699643272688062</v>
      </c>
      <c r="AE117" s="886">
        <v>0.1699643272688062</v>
      </c>
      <c r="AF117" s="886">
        <v>0.1699643272688062</v>
      </c>
      <c r="AG117" s="886">
        <v>0.1699643272688062</v>
      </c>
      <c r="AH117" s="886">
        <v>0.1699643272688062</v>
      </c>
      <c r="AI117" s="886">
        <v>0.1699643272688062</v>
      </c>
      <c r="AJ117" s="886">
        <v>0.1699643272688062</v>
      </c>
      <c r="AK117" s="886">
        <v>0.1699643272688062</v>
      </c>
      <c r="AL117" s="886">
        <v>0.1699643272688062</v>
      </c>
      <c r="AM117" s="886">
        <v>0.1699643272688062</v>
      </c>
      <c r="AN117" s="886">
        <v>0.1699643272688062</v>
      </c>
      <c r="AO117" s="886">
        <v>0.1699643272688062</v>
      </c>
      <c r="AP117" s="886">
        <v>0.1699643272688062</v>
      </c>
      <c r="AQ117" s="886">
        <v>0.1699643272688062</v>
      </c>
      <c r="AR117" s="886">
        <v>0.1699643272688062</v>
      </c>
      <c r="AS117" s="886">
        <v>0.1699643272688062</v>
      </c>
      <c r="AT117" s="886">
        <v>0.1699643272688062</v>
      </c>
      <c r="AU117" s="886">
        <v>0.1699643272688062</v>
      </c>
      <c r="AV117" s="886">
        <v>0.1699643272688062</v>
      </c>
      <c r="AW117" s="886">
        <v>0.1699643272688062</v>
      </c>
      <c r="AX117" s="886">
        <v>0.1699643272688062</v>
      </c>
      <c r="AY117" s="886">
        <v>0.1699643272688062</v>
      </c>
      <c r="AZ117" s="886">
        <v>0.1699643272688062</v>
      </c>
      <c r="BA117" s="886">
        <v>0.1699643272688062</v>
      </c>
      <c r="BB117" s="886">
        <v>0.1699643272688062</v>
      </c>
      <c r="BC117" s="886">
        <v>0.1699643272688062</v>
      </c>
      <c r="BD117" s="886">
        <v>0.1699643272688062</v>
      </c>
      <c r="BE117" s="886">
        <v>0.1699643272688062</v>
      </c>
      <c r="BF117" s="886">
        <v>0.1699643272688062</v>
      </c>
      <c r="BG117" s="886">
        <v>0.1699643272688062</v>
      </c>
      <c r="BH117" s="886">
        <v>0.1699643272688062</v>
      </c>
      <c r="BI117" s="886">
        <v>0.1699643272688062</v>
      </c>
      <c r="BJ117" s="886">
        <v>0.1699643272688062</v>
      </c>
      <c r="BK117" s="886">
        <v>0.1699643272688062</v>
      </c>
      <c r="BL117" s="886">
        <v>0.1699643272688062</v>
      </c>
      <c r="BM117" s="886">
        <v>0.1699643272688062</v>
      </c>
      <c r="BN117" s="886">
        <v>0.1699643272688062</v>
      </c>
      <c r="BO117" s="886">
        <v>0.1699643272688062</v>
      </c>
      <c r="BP117" s="886">
        <v>0.1699643272688062</v>
      </c>
      <c r="BQ117" s="886">
        <v>0.1699643272688062</v>
      </c>
      <c r="BR117" s="886">
        <v>0.1699643272688062</v>
      </c>
      <c r="BS117" s="886">
        <v>0.1699643272688062</v>
      </c>
      <c r="BT117" s="886">
        <v>0.1699643272688062</v>
      </c>
      <c r="BU117" s="886">
        <v>0.1699643272688062</v>
      </c>
      <c r="BV117" s="886">
        <v>0.1699643272688062</v>
      </c>
      <c r="BW117" s="886">
        <v>0.1699643272688062</v>
      </c>
      <c r="BX117" s="886">
        <v>0.1699643272688062</v>
      </c>
      <c r="BY117" s="886">
        <v>0.1699643272688062</v>
      </c>
      <c r="BZ117" s="886">
        <v>0.1699643272688062</v>
      </c>
      <c r="CA117" s="886">
        <v>0.1699643272688062</v>
      </c>
      <c r="CB117" s="886">
        <v>0.1699643272688062</v>
      </c>
      <c r="CC117" s="886">
        <v>0.1699643272688062</v>
      </c>
      <c r="CD117" s="886">
        <v>0.1699643272688062</v>
      </c>
      <c r="CE117" s="886">
        <v>0.1699643272688062</v>
      </c>
      <c r="CF117" s="887">
        <v>0.1699643272688062</v>
      </c>
    </row>
    <row r="118" spans="1:84">
      <c r="A118" s="899"/>
      <c r="B118" s="884" t="s">
        <v>742</v>
      </c>
      <c r="C118" s="885" t="s">
        <v>745</v>
      </c>
      <c r="D118" s="886">
        <v>0.11147312764521111</v>
      </c>
      <c r="E118" s="886">
        <v>0.11147312764521111</v>
      </c>
      <c r="F118" s="886">
        <v>0.11147312764521111</v>
      </c>
      <c r="G118" s="886">
        <v>0.11147312764521111</v>
      </c>
      <c r="H118" s="886">
        <v>0.11147312764521111</v>
      </c>
      <c r="I118" s="886">
        <v>0.11147312764521111</v>
      </c>
      <c r="J118" s="886">
        <v>0.11147312764521111</v>
      </c>
      <c r="K118" s="886">
        <v>0.11147312764521111</v>
      </c>
      <c r="L118" s="886">
        <v>0.11147312764521111</v>
      </c>
      <c r="M118" s="886">
        <v>0.11147312764521111</v>
      </c>
      <c r="N118" s="886">
        <v>0.11147312764521111</v>
      </c>
      <c r="O118" s="886">
        <v>0.11147312764521111</v>
      </c>
      <c r="P118" s="886">
        <v>0.11147312764521111</v>
      </c>
      <c r="Q118" s="886">
        <v>0.11147312764521111</v>
      </c>
      <c r="R118" s="886">
        <v>0.11147312764521111</v>
      </c>
      <c r="S118" s="886">
        <v>0.11147312764521111</v>
      </c>
      <c r="T118" s="886">
        <v>0.11147312764521111</v>
      </c>
      <c r="U118" s="886">
        <v>0.11147312764521111</v>
      </c>
      <c r="V118" s="886">
        <v>0.11147312764521111</v>
      </c>
      <c r="W118" s="886">
        <v>0.11147312764521111</v>
      </c>
      <c r="X118" s="886">
        <v>0.11147312764521111</v>
      </c>
      <c r="Y118" s="886">
        <v>0.11147312764521111</v>
      </c>
      <c r="Z118" s="886">
        <v>0.11147312764521111</v>
      </c>
      <c r="AA118" s="886">
        <v>0.11147312764521111</v>
      </c>
      <c r="AB118" s="886">
        <v>0.11147312764521111</v>
      </c>
      <c r="AC118" s="886">
        <v>0.11147312764521111</v>
      </c>
      <c r="AD118" s="886">
        <v>0.11147312764521111</v>
      </c>
      <c r="AE118" s="886">
        <v>0.11147312764521111</v>
      </c>
      <c r="AF118" s="886">
        <v>0.11147312764521111</v>
      </c>
      <c r="AG118" s="886">
        <v>0.11147312764521111</v>
      </c>
      <c r="AH118" s="886">
        <v>0.11147312764521111</v>
      </c>
      <c r="AI118" s="886">
        <v>0.11147312764521111</v>
      </c>
      <c r="AJ118" s="886">
        <v>0.11147312764521111</v>
      </c>
      <c r="AK118" s="886">
        <v>0.11147312764521111</v>
      </c>
      <c r="AL118" s="886">
        <v>0.11147312764521111</v>
      </c>
      <c r="AM118" s="886">
        <v>0.11147312764521111</v>
      </c>
      <c r="AN118" s="886">
        <v>0.11147312764521111</v>
      </c>
      <c r="AO118" s="886">
        <v>0.11147312764521111</v>
      </c>
      <c r="AP118" s="886">
        <v>0.11147312764521111</v>
      </c>
      <c r="AQ118" s="886">
        <v>0.11147312764521111</v>
      </c>
      <c r="AR118" s="886">
        <v>0.11147312764521111</v>
      </c>
      <c r="AS118" s="886">
        <v>0.11147312764521111</v>
      </c>
      <c r="AT118" s="886">
        <v>0.11147312764521111</v>
      </c>
      <c r="AU118" s="886">
        <v>0.11147312764521111</v>
      </c>
      <c r="AV118" s="886">
        <v>0.11147312764521111</v>
      </c>
      <c r="AW118" s="886">
        <v>0.11147312764521111</v>
      </c>
      <c r="AX118" s="886">
        <v>0.11147312764521111</v>
      </c>
      <c r="AY118" s="886">
        <v>0.11147312764521111</v>
      </c>
      <c r="AZ118" s="886">
        <v>0.11147312764521111</v>
      </c>
      <c r="BA118" s="886">
        <v>0.11147312764521111</v>
      </c>
      <c r="BB118" s="886">
        <v>0.11147312764521111</v>
      </c>
      <c r="BC118" s="886">
        <v>0.11147312764521111</v>
      </c>
      <c r="BD118" s="886">
        <v>0.11147312764521111</v>
      </c>
      <c r="BE118" s="886">
        <v>0.11147312764521111</v>
      </c>
      <c r="BF118" s="886">
        <v>0.11147312764521111</v>
      </c>
      <c r="BG118" s="886">
        <v>0.11147312764521111</v>
      </c>
      <c r="BH118" s="886">
        <v>0.11147312764521111</v>
      </c>
      <c r="BI118" s="886">
        <v>0.11147312764521111</v>
      </c>
      <c r="BJ118" s="886">
        <v>0.11147312764521111</v>
      </c>
      <c r="BK118" s="886">
        <v>0.11147312764521111</v>
      </c>
      <c r="BL118" s="886">
        <v>0.11147312764521111</v>
      </c>
      <c r="BM118" s="886">
        <v>0.11147312764521111</v>
      </c>
      <c r="BN118" s="886">
        <v>0.11147312764521111</v>
      </c>
      <c r="BO118" s="886">
        <v>0.11147312764521111</v>
      </c>
      <c r="BP118" s="886">
        <v>0.11147312764521111</v>
      </c>
      <c r="BQ118" s="886">
        <v>0.11147312764521111</v>
      </c>
      <c r="BR118" s="886">
        <v>0.11147312764521111</v>
      </c>
      <c r="BS118" s="886">
        <v>0.11147312764521111</v>
      </c>
      <c r="BT118" s="886">
        <v>0.11147312764521111</v>
      </c>
      <c r="BU118" s="886">
        <v>0.11147312764521111</v>
      </c>
      <c r="BV118" s="886">
        <v>0.11147312764521111</v>
      </c>
      <c r="BW118" s="886">
        <v>0.11147312764521111</v>
      </c>
      <c r="BX118" s="886">
        <v>0.11147312764521111</v>
      </c>
      <c r="BY118" s="886">
        <v>0.11147312764521111</v>
      </c>
      <c r="BZ118" s="886">
        <v>0.11147312764521111</v>
      </c>
      <c r="CA118" s="886">
        <v>0.11147312764521111</v>
      </c>
      <c r="CB118" s="886">
        <v>0.11147312764521111</v>
      </c>
      <c r="CC118" s="886">
        <v>0.11147312764521111</v>
      </c>
      <c r="CD118" s="886">
        <v>0.11147312764521111</v>
      </c>
      <c r="CE118" s="886">
        <v>0.11147312764521111</v>
      </c>
      <c r="CF118" s="887">
        <v>0.11147312764521111</v>
      </c>
    </row>
    <row r="119" spans="1:84">
      <c r="A119" s="899"/>
      <c r="B119" s="884" t="s">
        <v>743</v>
      </c>
      <c r="C119" s="885" t="s">
        <v>745</v>
      </c>
      <c r="D119" s="886">
        <v>0.25541268716410304</v>
      </c>
      <c r="E119" s="886">
        <v>0.25541268716410304</v>
      </c>
      <c r="F119" s="886">
        <v>0.25541268716410304</v>
      </c>
      <c r="G119" s="886">
        <v>0.25541268716410304</v>
      </c>
      <c r="H119" s="886">
        <v>0.25541268716410304</v>
      </c>
      <c r="I119" s="886">
        <v>0.25541268716410304</v>
      </c>
      <c r="J119" s="886">
        <v>0.25541268716410304</v>
      </c>
      <c r="K119" s="886">
        <v>0.25541268716410304</v>
      </c>
      <c r="L119" s="886">
        <v>0.25541268716410304</v>
      </c>
      <c r="M119" s="886">
        <v>0.25541268716410304</v>
      </c>
      <c r="N119" s="886">
        <v>0.25541268716410304</v>
      </c>
      <c r="O119" s="886">
        <v>0.25541268716410304</v>
      </c>
      <c r="P119" s="886">
        <v>0.25541268716410304</v>
      </c>
      <c r="Q119" s="886">
        <v>0.25541268716410304</v>
      </c>
      <c r="R119" s="886">
        <v>0.25541268716410304</v>
      </c>
      <c r="S119" s="886">
        <v>0.25541268716410304</v>
      </c>
      <c r="T119" s="886">
        <v>0.25541268716410304</v>
      </c>
      <c r="U119" s="886">
        <v>0.25541268716410304</v>
      </c>
      <c r="V119" s="886">
        <v>0.25541268716410304</v>
      </c>
      <c r="W119" s="886">
        <v>0.25541268716410304</v>
      </c>
      <c r="X119" s="886">
        <v>0.25541268716410304</v>
      </c>
      <c r="Y119" s="886">
        <v>0.25541268716410304</v>
      </c>
      <c r="Z119" s="886">
        <v>0.25541268716410304</v>
      </c>
      <c r="AA119" s="886">
        <v>0.25541268716410304</v>
      </c>
      <c r="AB119" s="886">
        <v>0.25541268716410304</v>
      </c>
      <c r="AC119" s="886">
        <v>0.25541268716410304</v>
      </c>
      <c r="AD119" s="886">
        <v>0.25541268716410304</v>
      </c>
      <c r="AE119" s="886">
        <v>0.25541268716410304</v>
      </c>
      <c r="AF119" s="886">
        <v>0.25541268716410304</v>
      </c>
      <c r="AG119" s="886">
        <v>0.25541268716410304</v>
      </c>
      <c r="AH119" s="886">
        <v>0.25541268716410304</v>
      </c>
      <c r="AI119" s="886">
        <v>0.25541268716410304</v>
      </c>
      <c r="AJ119" s="886">
        <v>0.25541268716410304</v>
      </c>
      <c r="AK119" s="886">
        <v>0.25541268716410304</v>
      </c>
      <c r="AL119" s="886">
        <v>0.25541268716410304</v>
      </c>
      <c r="AM119" s="886">
        <v>0.25541268716410304</v>
      </c>
      <c r="AN119" s="886">
        <v>0.25541268716410304</v>
      </c>
      <c r="AO119" s="886">
        <v>0.25541268716410304</v>
      </c>
      <c r="AP119" s="886">
        <v>0.25541268716410304</v>
      </c>
      <c r="AQ119" s="886">
        <v>0.25541268716410304</v>
      </c>
      <c r="AR119" s="886">
        <v>0.25541268716410304</v>
      </c>
      <c r="AS119" s="886">
        <v>0.25541268716410304</v>
      </c>
      <c r="AT119" s="886">
        <v>0.25541268716410304</v>
      </c>
      <c r="AU119" s="886">
        <v>0.25541268716410304</v>
      </c>
      <c r="AV119" s="886">
        <v>0.25541268716410304</v>
      </c>
      <c r="AW119" s="886">
        <v>0.25541268716410304</v>
      </c>
      <c r="AX119" s="886">
        <v>0.25541268716410304</v>
      </c>
      <c r="AY119" s="886">
        <v>0.25541268716410304</v>
      </c>
      <c r="AZ119" s="886">
        <v>0.25541268716410304</v>
      </c>
      <c r="BA119" s="886">
        <v>0.25541268716410304</v>
      </c>
      <c r="BB119" s="886">
        <v>0.25541268716410304</v>
      </c>
      <c r="BC119" s="886">
        <v>0.25541268716410304</v>
      </c>
      <c r="BD119" s="886">
        <v>0.25541268716410304</v>
      </c>
      <c r="BE119" s="886">
        <v>0.25541268716410304</v>
      </c>
      <c r="BF119" s="886">
        <v>0.25541268716410304</v>
      </c>
      <c r="BG119" s="886">
        <v>0.25541268716410304</v>
      </c>
      <c r="BH119" s="886">
        <v>0.25541268716410304</v>
      </c>
      <c r="BI119" s="886">
        <v>0.25541268716410304</v>
      </c>
      <c r="BJ119" s="886">
        <v>0.25541268716410304</v>
      </c>
      <c r="BK119" s="886">
        <v>0.25541268716410304</v>
      </c>
      <c r="BL119" s="886">
        <v>0.25541268716410304</v>
      </c>
      <c r="BM119" s="886">
        <v>0.25541268716410304</v>
      </c>
      <c r="BN119" s="886">
        <v>0.25541268716410304</v>
      </c>
      <c r="BO119" s="886">
        <v>0.25541268716410304</v>
      </c>
      <c r="BP119" s="886">
        <v>0.25541268716410304</v>
      </c>
      <c r="BQ119" s="886">
        <v>0.25541268716410304</v>
      </c>
      <c r="BR119" s="886">
        <v>0.25541268716410304</v>
      </c>
      <c r="BS119" s="886">
        <v>0.25541268716410304</v>
      </c>
      <c r="BT119" s="886">
        <v>0.25541268716410304</v>
      </c>
      <c r="BU119" s="886">
        <v>0.25541268716410304</v>
      </c>
      <c r="BV119" s="886">
        <v>0.25541268716410304</v>
      </c>
      <c r="BW119" s="886">
        <v>0.25541268716410304</v>
      </c>
      <c r="BX119" s="886">
        <v>0.25541268716410304</v>
      </c>
      <c r="BY119" s="886">
        <v>0.25541268716410304</v>
      </c>
      <c r="BZ119" s="886">
        <v>0.25541268716410304</v>
      </c>
      <c r="CA119" s="886">
        <v>0.25541268716410304</v>
      </c>
      <c r="CB119" s="886">
        <v>0.25541268716410304</v>
      </c>
      <c r="CC119" s="886">
        <v>0.25541268716410304</v>
      </c>
      <c r="CD119" s="886">
        <v>0.25541268716410304</v>
      </c>
      <c r="CE119" s="886">
        <v>0.25541268716410304</v>
      </c>
      <c r="CF119" s="887">
        <v>0.25541268716410304</v>
      </c>
    </row>
    <row r="120" spans="1:84" ht="13.8" thickBot="1">
      <c r="A120" s="899"/>
      <c r="B120" s="888" t="s">
        <v>744</v>
      </c>
      <c r="C120" s="889" t="s">
        <v>745</v>
      </c>
      <c r="D120" s="890">
        <v>0.7168560808389699</v>
      </c>
      <c r="E120" s="891">
        <v>0.7168560808389699</v>
      </c>
      <c r="F120" s="891">
        <v>0.7168560808389699</v>
      </c>
      <c r="G120" s="891">
        <v>0.7168560808389699</v>
      </c>
      <c r="H120" s="891">
        <v>0.7168560808389699</v>
      </c>
      <c r="I120" s="891">
        <v>0.7168560808389699</v>
      </c>
      <c r="J120" s="891">
        <v>0.7168560808389699</v>
      </c>
      <c r="K120" s="891">
        <v>0.7168560808389699</v>
      </c>
      <c r="L120" s="891">
        <v>0.7168560808389699</v>
      </c>
      <c r="M120" s="891">
        <v>0.7168560808389699</v>
      </c>
      <c r="N120" s="891">
        <v>0.7168560808389699</v>
      </c>
      <c r="O120" s="891">
        <v>0.7168560808389699</v>
      </c>
      <c r="P120" s="891">
        <v>0.7168560808389699</v>
      </c>
      <c r="Q120" s="891">
        <v>0.7168560808389699</v>
      </c>
      <c r="R120" s="891">
        <v>0.7168560808389699</v>
      </c>
      <c r="S120" s="891">
        <v>0.7168560808389699</v>
      </c>
      <c r="T120" s="891">
        <v>0.7168560808389699</v>
      </c>
      <c r="U120" s="891">
        <v>0.7168560808389699</v>
      </c>
      <c r="V120" s="891">
        <v>0.7168560808389699</v>
      </c>
      <c r="W120" s="891">
        <v>0.7168560808389699</v>
      </c>
      <c r="X120" s="891">
        <v>0.7168560808389699</v>
      </c>
      <c r="Y120" s="891">
        <v>0.7168560808389699</v>
      </c>
      <c r="Z120" s="891">
        <v>0.7168560808389699</v>
      </c>
      <c r="AA120" s="891">
        <v>0.7168560808389699</v>
      </c>
      <c r="AB120" s="891">
        <v>0.7168560808389699</v>
      </c>
      <c r="AC120" s="891">
        <v>0.7168560808389699</v>
      </c>
      <c r="AD120" s="891">
        <v>0.7168560808389699</v>
      </c>
      <c r="AE120" s="891">
        <v>0.7168560808389699</v>
      </c>
      <c r="AF120" s="891">
        <v>0.7168560808389699</v>
      </c>
      <c r="AG120" s="891">
        <v>0.7168560808389699</v>
      </c>
      <c r="AH120" s="891">
        <v>0.7168560808389699</v>
      </c>
      <c r="AI120" s="891">
        <v>0.7168560808389699</v>
      </c>
      <c r="AJ120" s="891">
        <v>0.7168560808389699</v>
      </c>
      <c r="AK120" s="891">
        <v>0.7168560808389699</v>
      </c>
      <c r="AL120" s="891">
        <v>0.7168560808389699</v>
      </c>
      <c r="AM120" s="891">
        <v>0.7168560808389699</v>
      </c>
      <c r="AN120" s="891">
        <v>0.7168560808389699</v>
      </c>
      <c r="AO120" s="891">
        <v>0.7168560808389699</v>
      </c>
      <c r="AP120" s="891">
        <v>0.7168560808389699</v>
      </c>
      <c r="AQ120" s="891">
        <v>0.7168560808389699</v>
      </c>
      <c r="AR120" s="891">
        <v>0.7168560808389699</v>
      </c>
      <c r="AS120" s="891">
        <v>0.7168560808389699</v>
      </c>
      <c r="AT120" s="891">
        <v>0.7168560808389699</v>
      </c>
      <c r="AU120" s="891">
        <v>0.7168560808389699</v>
      </c>
      <c r="AV120" s="891">
        <v>0.7168560808389699</v>
      </c>
      <c r="AW120" s="891">
        <v>0.7168560808389699</v>
      </c>
      <c r="AX120" s="891">
        <v>0.7168560808389699</v>
      </c>
      <c r="AY120" s="891">
        <v>0.7168560808389699</v>
      </c>
      <c r="AZ120" s="891">
        <v>0.7168560808389699</v>
      </c>
      <c r="BA120" s="891">
        <v>0.7168560808389699</v>
      </c>
      <c r="BB120" s="891">
        <v>0.7168560808389699</v>
      </c>
      <c r="BC120" s="891">
        <v>0.7168560808389699</v>
      </c>
      <c r="BD120" s="891">
        <v>0.7168560808389699</v>
      </c>
      <c r="BE120" s="891">
        <v>0.7168560808389699</v>
      </c>
      <c r="BF120" s="891">
        <v>0.7168560808389699</v>
      </c>
      <c r="BG120" s="891">
        <v>0.7168560808389699</v>
      </c>
      <c r="BH120" s="891">
        <v>0.7168560808389699</v>
      </c>
      <c r="BI120" s="891">
        <v>0.7168560808389699</v>
      </c>
      <c r="BJ120" s="891">
        <v>0.7168560808389699</v>
      </c>
      <c r="BK120" s="891">
        <v>0.7168560808389699</v>
      </c>
      <c r="BL120" s="891">
        <v>0.7168560808389699</v>
      </c>
      <c r="BM120" s="891">
        <v>0.7168560808389699</v>
      </c>
      <c r="BN120" s="891">
        <v>0.7168560808389699</v>
      </c>
      <c r="BO120" s="891">
        <v>0.7168560808389699</v>
      </c>
      <c r="BP120" s="891">
        <v>0.7168560808389699</v>
      </c>
      <c r="BQ120" s="891">
        <v>0.7168560808389699</v>
      </c>
      <c r="BR120" s="891">
        <v>0.7168560808389699</v>
      </c>
      <c r="BS120" s="891">
        <v>0.7168560808389699</v>
      </c>
      <c r="BT120" s="891">
        <v>0.7168560808389699</v>
      </c>
      <c r="BU120" s="891">
        <v>0.7168560808389699</v>
      </c>
      <c r="BV120" s="891">
        <v>0.7168560808389699</v>
      </c>
      <c r="BW120" s="891">
        <v>0.7168560808389699</v>
      </c>
      <c r="BX120" s="891">
        <v>0.7168560808389699</v>
      </c>
      <c r="BY120" s="891">
        <v>0.7168560808389699</v>
      </c>
      <c r="BZ120" s="891">
        <v>0.7168560808389699</v>
      </c>
      <c r="CA120" s="891">
        <v>0.7168560808389699</v>
      </c>
      <c r="CB120" s="891">
        <v>0.7168560808389699</v>
      </c>
      <c r="CC120" s="891">
        <v>0.7168560808389699</v>
      </c>
      <c r="CD120" s="891">
        <v>0.7168560808389699</v>
      </c>
      <c r="CE120" s="891">
        <v>0.7168560808389699</v>
      </c>
      <c r="CF120" s="892">
        <v>0.7168560808389699</v>
      </c>
    </row>
    <row r="121" spans="1:84">
      <c r="A121" s="899"/>
      <c r="B121" s="900" t="s">
        <v>754</v>
      </c>
      <c r="C121" s="852"/>
      <c r="D121" s="852"/>
      <c r="E121" s="852"/>
      <c r="F121" s="852"/>
      <c r="G121" s="852"/>
      <c r="H121" s="852"/>
      <c r="I121" s="852"/>
      <c r="J121" s="852"/>
      <c r="K121" s="852"/>
      <c r="L121" s="852"/>
      <c r="M121" s="852"/>
      <c r="N121" s="852"/>
      <c r="O121" s="852"/>
      <c r="P121" s="852"/>
      <c r="Q121" s="852"/>
      <c r="R121" s="852"/>
      <c r="S121" s="852"/>
      <c r="T121" s="852"/>
      <c r="U121" s="852"/>
      <c r="V121" s="852"/>
      <c r="W121" s="852"/>
      <c r="X121" s="852"/>
      <c r="Y121" s="852"/>
      <c r="Z121" s="852"/>
      <c r="AA121" s="852"/>
      <c r="AB121" s="852"/>
      <c r="AC121" s="852"/>
      <c r="AD121" s="852"/>
      <c r="AE121" s="852"/>
      <c r="AF121" s="852"/>
      <c r="AG121" s="852"/>
      <c r="AH121" s="852"/>
      <c r="AI121" s="852"/>
      <c r="AJ121" s="852"/>
      <c r="AK121" s="852"/>
      <c r="AL121" s="852"/>
      <c r="AM121" s="852"/>
      <c r="AN121" s="852"/>
      <c r="AO121" s="852"/>
      <c r="AP121" s="852"/>
      <c r="AQ121" s="852"/>
      <c r="AR121" s="852"/>
      <c r="AS121" s="852"/>
      <c r="AT121" s="852"/>
      <c r="AU121" s="852"/>
      <c r="AV121" s="852"/>
      <c r="AW121" s="852"/>
      <c r="AX121" s="852"/>
      <c r="AY121" s="852"/>
      <c r="AZ121" s="852"/>
      <c r="BA121" s="852"/>
      <c r="BB121" s="852"/>
      <c r="BC121" s="852"/>
      <c r="BD121" s="852"/>
      <c r="BE121" s="852"/>
      <c r="BF121" s="852"/>
      <c r="BG121" s="852"/>
      <c r="BH121" s="852"/>
      <c r="BI121" s="852"/>
      <c r="BJ121" s="852"/>
      <c r="BK121" s="852"/>
      <c r="BL121" s="852"/>
      <c r="BM121" s="852"/>
      <c r="BN121" s="852"/>
      <c r="BO121" s="852"/>
      <c r="BP121" s="852"/>
      <c r="BQ121" s="852"/>
      <c r="BR121" s="852"/>
      <c r="BS121" s="852"/>
      <c r="BT121" s="852"/>
      <c r="BU121" s="852"/>
      <c r="BV121" s="852"/>
      <c r="BW121" s="852"/>
      <c r="BX121" s="852"/>
      <c r="BY121" s="852"/>
      <c r="BZ121" s="852"/>
      <c r="CA121" s="852"/>
      <c r="CB121" s="852"/>
      <c r="CC121" s="852"/>
      <c r="CD121" s="852"/>
      <c r="CE121" s="852"/>
      <c r="CF121" s="852"/>
    </row>
    <row r="122" spans="1:84">
      <c r="A122" s="852"/>
      <c r="B122" s="852"/>
      <c r="C122" s="852"/>
      <c r="D122" s="852"/>
      <c r="E122" s="852"/>
      <c r="F122" s="852"/>
      <c r="G122" s="852"/>
      <c r="H122" s="852"/>
      <c r="I122" s="852"/>
      <c r="J122" s="852"/>
      <c r="K122" s="852"/>
      <c r="L122" s="852"/>
      <c r="M122" s="852"/>
      <c r="N122" s="852"/>
      <c r="O122" s="852"/>
      <c r="P122" s="852"/>
      <c r="Q122" s="852"/>
      <c r="R122" s="852"/>
      <c r="S122" s="852"/>
      <c r="T122" s="852"/>
      <c r="U122" s="852"/>
      <c r="V122" s="852"/>
      <c r="W122" s="852"/>
      <c r="X122" s="852"/>
      <c r="Y122" s="852"/>
      <c r="Z122" s="852"/>
      <c r="AA122" s="852"/>
      <c r="AB122" s="852"/>
      <c r="AC122" s="852"/>
      <c r="AD122" s="852"/>
      <c r="AE122" s="852"/>
      <c r="AF122" s="852"/>
      <c r="AG122" s="852"/>
      <c r="AH122" s="852"/>
      <c r="AI122" s="852"/>
      <c r="AJ122" s="852"/>
      <c r="AK122" s="852"/>
      <c r="AL122" s="852"/>
      <c r="AM122" s="852"/>
      <c r="AN122" s="852"/>
      <c r="AO122" s="852"/>
      <c r="AP122" s="852"/>
      <c r="AQ122" s="852"/>
      <c r="AR122" s="852"/>
      <c r="AS122" s="852"/>
      <c r="AT122" s="852"/>
      <c r="AU122" s="852"/>
      <c r="AV122" s="852"/>
      <c r="AW122" s="852"/>
      <c r="AX122" s="852"/>
      <c r="AY122" s="852"/>
      <c r="AZ122" s="852"/>
      <c r="BA122" s="852"/>
      <c r="BB122" s="852"/>
      <c r="BC122" s="852"/>
      <c r="BD122" s="852"/>
      <c r="BE122" s="852"/>
      <c r="BF122" s="852"/>
      <c r="BG122" s="852"/>
      <c r="BH122" s="852"/>
      <c r="BI122" s="852"/>
      <c r="BJ122" s="852"/>
      <c r="BK122" s="852"/>
      <c r="BL122" s="852"/>
      <c r="BM122" s="852"/>
      <c r="BN122" s="852"/>
      <c r="BO122" s="852"/>
      <c r="BP122" s="852"/>
      <c r="BQ122" s="852"/>
      <c r="BR122" s="852"/>
      <c r="BS122" s="852"/>
      <c r="BT122" s="852"/>
      <c r="BU122" s="852"/>
      <c r="BV122" s="852"/>
      <c r="BW122" s="852"/>
      <c r="BX122" s="852"/>
      <c r="BY122" s="852"/>
      <c r="BZ122" s="852"/>
      <c r="CA122" s="852"/>
      <c r="CB122" s="852"/>
      <c r="CC122" s="852"/>
      <c r="CD122" s="852"/>
      <c r="CE122" s="852"/>
      <c r="CF122" s="852"/>
    </row>
    <row r="123" spans="1:84">
      <c r="A123" s="852"/>
      <c r="B123" s="852"/>
      <c r="C123" s="852"/>
      <c r="D123" s="852"/>
      <c r="E123" s="852"/>
      <c r="F123" s="852"/>
      <c r="G123" s="852"/>
      <c r="H123" s="852"/>
      <c r="I123" s="852"/>
      <c r="J123" s="852"/>
      <c r="K123" s="852"/>
      <c r="L123" s="852"/>
      <c r="M123" s="852"/>
      <c r="N123" s="852"/>
      <c r="O123" s="852"/>
      <c r="P123" s="852"/>
      <c r="Q123" s="852"/>
      <c r="R123" s="852"/>
      <c r="S123" s="852"/>
      <c r="T123" s="852"/>
      <c r="U123" s="852"/>
      <c r="V123" s="852"/>
      <c r="W123" s="852"/>
      <c r="X123" s="852"/>
      <c r="Y123" s="852"/>
      <c r="Z123" s="852"/>
      <c r="AA123" s="852"/>
      <c r="AB123" s="852"/>
      <c r="AC123" s="852"/>
      <c r="AD123" s="852"/>
      <c r="AE123" s="852"/>
      <c r="AF123" s="852"/>
      <c r="AG123" s="852"/>
      <c r="AH123" s="852"/>
      <c r="AI123" s="852"/>
      <c r="AJ123" s="852"/>
      <c r="AK123" s="852"/>
      <c r="AL123" s="852"/>
      <c r="AM123" s="852"/>
      <c r="AN123" s="852"/>
      <c r="AO123" s="852"/>
      <c r="AP123" s="852"/>
      <c r="AQ123" s="852"/>
      <c r="AR123" s="852"/>
      <c r="AS123" s="852"/>
      <c r="AT123" s="852"/>
      <c r="AU123" s="852"/>
      <c r="AV123" s="852"/>
      <c r="AW123" s="852"/>
      <c r="AX123" s="852"/>
      <c r="AY123" s="852"/>
      <c r="AZ123" s="852"/>
      <c r="BA123" s="852"/>
      <c r="BB123" s="852"/>
      <c r="BC123" s="852"/>
      <c r="BD123" s="852"/>
      <c r="BE123" s="852"/>
      <c r="BF123" s="852"/>
      <c r="BG123" s="852"/>
      <c r="BH123" s="852"/>
      <c r="BI123" s="852"/>
      <c r="BJ123" s="852"/>
      <c r="BK123" s="852"/>
      <c r="BL123" s="852"/>
      <c r="BM123" s="852"/>
      <c r="BN123" s="852"/>
      <c r="BO123" s="852"/>
      <c r="BP123" s="852"/>
      <c r="BQ123" s="852"/>
      <c r="BR123" s="852"/>
      <c r="BS123" s="852"/>
      <c r="BT123" s="852"/>
      <c r="BU123" s="852"/>
      <c r="BV123" s="852"/>
      <c r="BW123" s="852"/>
      <c r="BX123" s="852"/>
      <c r="BY123" s="852"/>
      <c r="BZ123" s="852"/>
      <c r="CA123" s="852"/>
      <c r="CB123" s="852"/>
      <c r="CC123" s="852"/>
      <c r="CD123" s="852"/>
      <c r="CE123" s="852"/>
      <c r="CF123" s="852"/>
    </row>
  </sheetData>
  <mergeCells count="1">
    <mergeCell ref="B12:J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5:R56"/>
  <sheetViews>
    <sheetView topLeftCell="B1" zoomScale="80" zoomScaleNormal="80" workbookViewId="0">
      <selection activeCell="E52" sqref="E52"/>
    </sheetView>
  </sheetViews>
  <sheetFormatPr defaultColWidth="8.88671875" defaultRowHeight="13.2"/>
  <cols>
    <col min="1" max="1" width="8.88671875" style="476"/>
    <col min="2" max="4" width="12.88671875" style="476" bestFit="1" customWidth="1"/>
    <col min="5" max="5" width="57.44140625" style="476" customWidth="1"/>
    <col min="6" max="6" width="9.33203125" style="476" bestFit="1" customWidth="1"/>
    <col min="7" max="16384" width="8.88671875" style="476"/>
  </cols>
  <sheetData>
    <row r="5" spans="3:18">
      <c r="D5" s="560"/>
      <c r="G5" s="561" t="s">
        <v>0</v>
      </c>
      <c r="J5" s="562"/>
    </row>
    <row r="6" spans="3:18" ht="27.6">
      <c r="C6" s="563" t="s">
        <v>1</v>
      </c>
      <c r="D6" s="563" t="s">
        <v>2</v>
      </c>
      <c r="E6" s="563" t="s">
        <v>3</v>
      </c>
      <c r="F6" s="563" t="s">
        <v>28</v>
      </c>
      <c r="G6" s="563" t="s">
        <v>219</v>
      </c>
      <c r="H6" s="563" t="s">
        <v>87</v>
      </c>
      <c r="I6" s="563" t="s">
        <v>231</v>
      </c>
      <c r="J6" s="563" t="s">
        <v>9</v>
      </c>
      <c r="K6" s="563" t="s">
        <v>10</v>
      </c>
      <c r="L6" s="564" t="s">
        <v>6</v>
      </c>
      <c r="M6" s="565" t="s">
        <v>7</v>
      </c>
      <c r="N6" s="565" t="s">
        <v>617</v>
      </c>
    </row>
    <row r="7" spans="3:18" ht="40.799999999999997">
      <c r="C7" s="566" t="s">
        <v>11</v>
      </c>
      <c r="D7" s="566"/>
      <c r="E7" s="566"/>
      <c r="F7" s="566"/>
      <c r="G7" s="566" t="s">
        <v>218</v>
      </c>
      <c r="H7" s="566" t="s">
        <v>13</v>
      </c>
      <c r="I7" s="566" t="s">
        <v>223</v>
      </c>
      <c r="J7" s="566" t="s">
        <v>220</v>
      </c>
      <c r="K7" s="566" t="s">
        <v>14</v>
      </c>
      <c r="L7" s="566" t="s">
        <v>83</v>
      </c>
      <c r="M7" s="566" t="s">
        <v>12</v>
      </c>
      <c r="N7" s="566" t="s">
        <v>91</v>
      </c>
    </row>
    <row r="8" spans="3:18">
      <c r="C8" s="476" t="s">
        <v>837</v>
      </c>
      <c r="D8" s="568" t="s">
        <v>227</v>
      </c>
      <c r="E8" s="481" t="s">
        <v>834</v>
      </c>
      <c r="F8" s="567">
        <v>2015</v>
      </c>
      <c r="G8" s="567" t="s">
        <v>476</v>
      </c>
      <c r="H8" s="567">
        <v>2012</v>
      </c>
      <c r="I8" s="567">
        <v>2019</v>
      </c>
      <c r="J8" s="569">
        <v>1</v>
      </c>
      <c r="K8" s="567">
        <v>15</v>
      </c>
      <c r="L8" s="570">
        <v>8.0000000000000007E-5</v>
      </c>
      <c r="M8" s="571">
        <f>Q16</f>
        <v>51.851851851851841</v>
      </c>
      <c r="N8" s="567">
        <v>5</v>
      </c>
    </row>
    <row r="9" spans="3:18">
      <c r="C9" s="572"/>
      <c r="D9" s="573"/>
      <c r="E9" s="481" t="s">
        <v>835</v>
      </c>
      <c r="F9" s="572"/>
      <c r="G9" s="572"/>
      <c r="H9" s="572"/>
      <c r="I9" s="572"/>
      <c r="J9" s="575">
        <f>J8</f>
        <v>1</v>
      </c>
      <c r="K9" s="572"/>
      <c r="L9" s="576"/>
      <c r="M9" s="577"/>
      <c r="N9" s="572">
        <v>5</v>
      </c>
    </row>
    <row r="10" spans="3:18">
      <c r="C10" s="572"/>
      <c r="D10" s="573"/>
      <c r="E10" s="481" t="s">
        <v>836</v>
      </c>
      <c r="J10" s="578">
        <f>J8</f>
        <v>1</v>
      </c>
      <c r="L10" s="576"/>
      <c r="M10" s="577"/>
      <c r="N10" s="476">
        <v>5</v>
      </c>
    </row>
    <row r="11" spans="3:18">
      <c r="C11" s="476" t="s">
        <v>838</v>
      </c>
      <c r="D11" s="572" t="s">
        <v>228</v>
      </c>
      <c r="E11" s="481" t="s">
        <v>834</v>
      </c>
      <c r="F11" s="476">
        <v>2020</v>
      </c>
      <c r="G11" s="476" t="s">
        <v>476</v>
      </c>
      <c r="H11" s="476">
        <v>2020</v>
      </c>
      <c r="I11" s="476">
        <v>2034</v>
      </c>
      <c r="J11" s="578">
        <v>1.01</v>
      </c>
      <c r="K11" s="476">
        <v>15</v>
      </c>
      <c r="L11" s="576">
        <f>L8</f>
        <v>8.0000000000000007E-5</v>
      </c>
      <c r="M11" s="577">
        <f>M8</f>
        <v>51.851851851851841</v>
      </c>
      <c r="N11" s="476">
        <v>5</v>
      </c>
    </row>
    <row r="12" spans="3:18">
      <c r="C12" s="572"/>
      <c r="D12" s="572"/>
      <c r="E12" s="481" t="s">
        <v>835</v>
      </c>
      <c r="J12" s="578">
        <f>J11</f>
        <v>1.01</v>
      </c>
      <c r="L12" s="576"/>
      <c r="M12" s="577"/>
      <c r="N12" s="476">
        <v>5</v>
      </c>
    </row>
    <row r="13" spans="3:18">
      <c r="C13" s="572"/>
      <c r="D13" s="572"/>
      <c r="E13" s="481" t="s">
        <v>836</v>
      </c>
      <c r="J13" s="578">
        <f>J11</f>
        <v>1.01</v>
      </c>
      <c r="L13" s="576"/>
      <c r="M13" s="577"/>
      <c r="N13" s="476">
        <v>5</v>
      </c>
      <c r="Q13" s="476" t="s">
        <v>546</v>
      </c>
    </row>
    <row r="14" spans="3:18">
      <c r="C14" s="476" t="s">
        <v>839</v>
      </c>
      <c r="D14" s="572" t="s">
        <v>229</v>
      </c>
      <c r="E14" s="481" t="s">
        <v>834</v>
      </c>
      <c r="F14" s="572">
        <v>2035</v>
      </c>
      <c r="G14" s="572" t="s">
        <v>476</v>
      </c>
      <c r="H14" s="572">
        <v>2035</v>
      </c>
      <c r="I14" s="572"/>
      <c r="J14" s="575">
        <v>1.01</v>
      </c>
      <c r="K14" s="572">
        <v>15</v>
      </c>
      <c r="L14" s="576">
        <f>L8</f>
        <v>8.0000000000000007E-5</v>
      </c>
      <c r="M14" s="577">
        <f>M8</f>
        <v>51.851851851851841</v>
      </c>
      <c r="N14" s="476">
        <v>5</v>
      </c>
      <c r="Q14" s="476">
        <v>7000</v>
      </c>
      <c r="R14" s="579" t="s">
        <v>554</v>
      </c>
    </row>
    <row r="15" spans="3:18">
      <c r="C15" s="572"/>
      <c r="D15" s="572"/>
      <c r="E15" s="481" t="s">
        <v>835</v>
      </c>
      <c r="F15" s="572"/>
      <c r="G15" s="572"/>
      <c r="H15" s="572"/>
      <c r="I15" s="572"/>
      <c r="J15" s="575">
        <f>J14</f>
        <v>1.01</v>
      </c>
      <c r="K15" s="572"/>
      <c r="L15" s="576"/>
      <c r="M15" s="577"/>
      <c r="N15" s="476">
        <v>5</v>
      </c>
      <c r="Q15" s="580">
        <f>Q14/0.135</f>
        <v>51851.851851851847</v>
      </c>
      <c r="R15" s="476" t="s">
        <v>545</v>
      </c>
    </row>
    <row r="16" spans="3:18">
      <c r="C16" s="562"/>
      <c r="D16" s="562"/>
      <c r="E16" s="481" t="s">
        <v>836</v>
      </c>
      <c r="F16" s="562"/>
      <c r="G16" s="562"/>
      <c r="H16" s="562"/>
      <c r="I16" s="562"/>
      <c r="J16" s="582">
        <f>J14</f>
        <v>1.01</v>
      </c>
      <c r="K16" s="562"/>
      <c r="L16" s="583"/>
      <c r="M16" s="584"/>
      <c r="N16" s="562">
        <v>5</v>
      </c>
      <c r="Q16" s="580">
        <f>Q15/10^6*10^3</f>
        <v>51.851851851851841</v>
      </c>
      <c r="R16" s="476" t="s">
        <v>12</v>
      </c>
    </row>
    <row r="17" spans="1:18">
      <c r="C17" s="476" t="s">
        <v>840</v>
      </c>
      <c r="D17" s="573" t="s">
        <v>227</v>
      </c>
      <c r="E17" s="574" t="s">
        <v>833</v>
      </c>
      <c r="F17" s="476">
        <v>2015</v>
      </c>
      <c r="G17" s="476" t="s">
        <v>476</v>
      </c>
      <c r="H17" s="476">
        <v>2012</v>
      </c>
      <c r="I17" s="476">
        <v>2019</v>
      </c>
      <c r="J17" s="578">
        <v>1</v>
      </c>
      <c r="K17" s="476">
        <v>10</v>
      </c>
      <c r="L17" s="576">
        <v>6.0000000000000002E-5</v>
      </c>
      <c r="M17" s="577">
        <f>Q21</f>
        <v>16.296296296296294</v>
      </c>
      <c r="N17" s="476">
        <v>5</v>
      </c>
      <c r="Q17" s="580"/>
    </row>
    <row r="18" spans="1:18">
      <c r="E18" s="481" t="s">
        <v>834</v>
      </c>
      <c r="J18" s="578">
        <v>1</v>
      </c>
      <c r="N18" s="476">
        <v>5</v>
      </c>
    </row>
    <row r="19" spans="1:18">
      <c r="C19" s="572"/>
      <c r="D19" s="573"/>
      <c r="E19" s="481" t="s">
        <v>835</v>
      </c>
      <c r="J19" s="578">
        <f>J18</f>
        <v>1</v>
      </c>
      <c r="L19" s="576"/>
      <c r="M19" s="577"/>
      <c r="N19" s="476">
        <v>5</v>
      </c>
    </row>
    <row r="20" spans="1:18">
      <c r="C20" s="572"/>
      <c r="D20" s="573"/>
      <c r="E20" s="481" t="s">
        <v>836</v>
      </c>
      <c r="J20" s="578">
        <f>J18</f>
        <v>1</v>
      </c>
      <c r="L20" s="576"/>
      <c r="M20" s="577"/>
      <c r="N20" s="476">
        <v>5</v>
      </c>
      <c r="Q20" s="580">
        <f>2200/0.135</f>
        <v>16296.296296296296</v>
      </c>
      <c r="R20" s="476" t="s">
        <v>545</v>
      </c>
    </row>
    <row r="21" spans="1:18">
      <c r="C21" s="476" t="s">
        <v>841</v>
      </c>
      <c r="D21" s="572" t="s">
        <v>228</v>
      </c>
      <c r="E21" s="574" t="s">
        <v>833</v>
      </c>
      <c r="F21" s="476">
        <v>2020</v>
      </c>
      <c r="G21" s="476" t="s">
        <v>476</v>
      </c>
      <c r="H21" s="476">
        <v>2020</v>
      </c>
      <c r="I21" s="476">
        <v>2034</v>
      </c>
      <c r="J21" s="578">
        <v>1.01</v>
      </c>
      <c r="K21" s="476">
        <v>10</v>
      </c>
      <c r="L21" s="576">
        <f>L17</f>
        <v>6.0000000000000002E-5</v>
      </c>
      <c r="M21" s="577">
        <f>M17</f>
        <v>16.296296296296294</v>
      </c>
      <c r="N21" s="476">
        <v>5</v>
      </c>
      <c r="Q21" s="580">
        <f>Q20/10^3</f>
        <v>16.296296296296294</v>
      </c>
      <c r="R21" s="476" t="s">
        <v>12</v>
      </c>
    </row>
    <row r="22" spans="1:18">
      <c r="E22" s="481" t="s">
        <v>834</v>
      </c>
      <c r="J22" s="578">
        <f>J21</f>
        <v>1.01</v>
      </c>
      <c r="L22" s="576"/>
      <c r="M22" s="577"/>
      <c r="N22" s="476">
        <v>5</v>
      </c>
    </row>
    <row r="23" spans="1:18">
      <c r="C23" s="572"/>
      <c r="D23" s="572"/>
      <c r="E23" s="481" t="s">
        <v>835</v>
      </c>
      <c r="J23" s="578">
        <f>J21</f>
        <v>1.01</v>
      </c>
      <c r="L23" s="576"/>
      <c r="M23" s="577"/>
      <c r="N23" s="476">
        <v>5</v>
      </c>
    </row>
    <row r="24" spans="1:18">
      <c r="C24" s="572"/>
      <c r="D24" s="572"/>
      <c r="E24" s="481" t="s">
        <v>836</v>
      </c>
      <c r="J24" s="578">
        <f>J21</f>
        <v>1.01</v>
      </c>
      <c r="N24" s="476">
        <v>5</v>
      </c>
    </row>
    <row r="25" spans="1:18">
      <c r="C25" s="476" t="s">
        <v>842</v>
      </c>
      <c r="D25" s="572" t="s">
        <v>229</v>
      </c>
      <c r="E25" s="574" t="s">
        <v>833</v>
      </c>
      <c r="F25" s="572">
        <v>2035</v>
      </c>
      <c r="G25" s="572" t="s">
        <v>476</v>
      </c>
      <c r="H25" s="572">
        <v>2035</v>
      </c>
      <c r="I25" s="572"/>
      <c r="J25" s="575">
        <v>1.01</v>
      </c>
      <c r="K25" s="572">
        <v>10</v>
      </c>
      <c r="L25" s="576">
        <f>L17</f>
        <v>6.0000000000000002E-5</v>
      </c>
      <c r="M25" s="577">
        <f>M17</f>
        <v>16.296296296296294</v>
      </c>
      <c r="N25" s="476">
        <v>5</v>
      </c>
    </row>
    <row r="26" spans="1:18">
      <c r="E26" s="481" t="s">
        <v>834</v>
      </c>
      <c r="J26" s="575">
        <v>1.01</v>
      </c>
      <c r="N26" s="476">
        <v>5</v>
      </c>
      <c r="O26" s="572"/>
    </row>
    <row r="27" spans="1:18">
      <c r="C27" s="572"/>
      <c r="D27" s="572"/>
      <c r="E27" s="481" t="s">
        <v>835</v>
      </c>
      <c r="F27" s="585"/>
      <c r="G27" s="585"/>
      <c r="H27" s="585"/>
      <c r="I27" s="585"/>
      <c r="J27" s="575">
        <f>J25</f>
        <v>1.01</v>
      </c>
      <c r="K27" s="572"/>
      <c r="L27" s="576"/>
      <c r="M27" s="577"/>
      <c r="N27" s="476">
        <v>5</v>
      </c>
    </row>
    <row r="28" spans="1:18">
      <c r="C28" s="562"/>
      <c r="D28" s="586"/>
      <c r="E28" s="481" t="s">
        <v>836</v>
      </c>
      <c r="F28" s="586"/>
      <c r="G28" s="581"/>
      <c r="H28" s="586"/>
      <c r="I28" s="586"/>
      <c r="J28" s="582">
        <f>J25</f>
        <v>1.01</v>
      </c>
      <c r="K28" s="562"/>
      <c r="L28" s="583"/>
      <c r="M28" s="584"/>
      <c r="N28" s="562">
        <v>5</v>
      </c>
    </row>
    <row r="29" spans="1:18">
      <c r="A29" s="572"/>
      <c r="C29" s="476" t="s">
        <v>843</v>
      </c>
      <c r="D29" s="585" t="s">
        <v>624</v>
      </c>
      <c r="E29" s="481" t="s">
        <v>834</v>
      </c>
      <c r="F29" s="587">
        <v>2035</v>
      </c>
      <c r="G29" s="574" t="s">
        <v>476</v>
      </c>
      <c r="H29" s="587">
        <v>2035</v>
      </c>
      <c r="I29" s="588"/>
      <c r="J29" s="575">
        <v>1.01</v>
      </c>
      <c r="K29" s="476">
        <v>15</v>
      </c>
      <c r="L29" s="576">
        <f>L8</f>
        <v>8.0000000000000007E-5</v>
      </c>
      <c r="M29" s="577">
        <f>M8</f>
        <v>51.851851851851841</v>
      </c>
      <c r="N29" s="476">
        <v>5</v>
      </c>
    </row>
    <row r="30" spans="1:18">
      <c r="A30" s="572"/>
      <c r="C30" s="572"/>
      <c r="D30" s="589"/>
      <c r="E30" s="481" t="s">
        <v>835</v>
      </c>
      <c r="F30" s="587"/>
      <c r="G30" s="574"/>
      <c r="H30" s="587"/>
      <c r="I30" s="588"/>
      <c r="J30" s="575">
        <f>J29</f>
        <v>1.01</v>
      </c>
      <c r="L30" s="576"/>
      <c r="M30" s="577"/>
      <c r="N30" s="476">
        <v>5</v>
      </c>
    </row>
    <row r="31" spans="1:18">
      <c r="A31" s="572"/>
      <c r="C31" s="572"/>
      <c r="D31" s="589"/>
      <c r="E31" s="481" t="s">
        <v>836</v>
      </c>
      <c r="F31" s="587"/>
      <c r="G31" s="574"/>
      <c r="H31" s="587"/>
      <c r="I31" s="588"/>
      <c r="J31" s="575">
        <f>J29</f>
        <v>1.01</v>
      </c>
      <c r="L31" s="576"/>
      <c r="M31" s="577"/>
      <c r="N31" s="476">
        <v>5</v>
      </c>
    </row>
    <row r="32" spans="1:18">
      <c r="A32" s="572"/>
      <c r="C32" s="476" t="s">
        <v>844</v>
      </c>
      <c r="D32" s="585" t="s">
        <v>624</v>
      </c>
      <c r="E32" s="574" t="s">
        <v>833</v>
      </c>
      <c r="F32" s="587">
        <v>2035</v>
      </c>
      <c r="G32" s="574" t="s">
        <v>476</v>
      </c>
      <c r="H32" s="587">
        <v>2035</v>
      </c>
      <c r="I32" s="585"/>
      <c r="J32" s="575">
        <v>1.01</v>
      </c>
      <c r="K32" s="476">
        <v>10</v>
      </c>
      <c r="L32" s="576">
        <f>L17</f>
        <v>6.0000000000000002E-5</v>
      </c>
      <c r="M32" s="577">
        <f>M25</f>
        <v>16.296296296296294</v>
      </c>
      <c r="N32" s="476">
        <v>5</v>
      </c>
    </row>
    <row r="33" spans="3:14">
      <c r="E33" s="481" t="s">
        <v>834</v>
      </c>
      <c r="F33" s="588"/>
      <c r="G33" s="590"/>
      <c r="H33" s="588"/>
      <c r="I33" s="588"/>
      <c r="J33" s="575">
        <f>J32</f>
        <v>1.01</v>
      </c>
      <c r="M33" s="591"/>
      <c r="N33" s="476">
        <v>5</v>
      </c>
    </row>
    <row r="34" spans="3:14">
      <c r="C34" s="572"/>
      <c r="D34" s="589"/>
      <c r="E34" s="481" t="s">
        <v>835</v>
      </c>
      <c r="F34" s="592"/>
      <c r="G34" s="593"/>
      <c r="H34" s="593"/>
      <c r="I34" s="574"/>
      <c r="J34" s="575">
        <f>J33</f>
        <v>1.01</v>
      </c>
      <c r="M34" s="591"/>
      <c r="N34" s="476">
        <v>5</v>
      </c>
    </row>
    <row r="35" spans="3:14">
      <c r="D35" s="589"/>
      <c r="E35" s="481" t="s">
        <v>836</v>
      </c>
      <c r="J35" s="575">
        <f>J34</f>
        <v>1.01</v>
      </c>
      <c r="N35" s="476">
        <v>5</v>
      </c>
    </row>
    <row r="36" spans="3:14">
      <c r="C36" s="572"/>
      <c r="D36" s="573"/>
      <c r="E36" s="572"/>
      <c r="H36" s="572"/>
      <c r="I36" s="594"/>
      <c r="M36" s="591"/>
    </row>
    <row r="37" spans="3:14">
      <c r="C37" s="572"/>
      <c r="D37" s="573"/>
      <c r="E37" s="572"/>
      <c r="H37" s="572"/>
      <c r="I37" s="594"/>
      <c r="L37" s="591"/>
      <c r="M37" s="591"/>
    </row>
    <row r="39" spans="3:14">
      <c r="C39" s="595" t="s">
        <v>62</v>
      </c>
      <c r="D39" s="595"/>
      <c r="E39" s="596"/>
      <c r="F39" s="596"/>
      <c r="G39" s="596"/>
      <c r="H39" s="596"/>
      <c r="I39" s="596"/>
      <c r="J39" s="596"/>
    </row>
    <row r="40" spans="3:14" ht="27.6">
      <c r="C40" s="597" t="s">
        <v>63</v>
      </c>
      <c r="D40" s="597" t="s">
        <v>1</v>
      </c>
      <c r="E40" s="597" t="s">
        <v>64</v>
      </c>
      <c r="F40" s="597" t="s">
        <v>65</v>
      </c>
      <c r="G40" s="597" t="s">
        <v>66</v>
      </c>
      <c r="H40" s="597" t="s">
        <v>67</v>
      </c>
      <c r="I40" s="597" t="s">
        <v>68</v>
      </c>
      <c r="J40" s="597" t="s">
        <v>69</v>
      </c>
    </row>
    <row r="41" spans="3:14" ht="41.4" thickBot="1">
      <c r="C41" s="598" t="s">
        <v>70</v>
      </c>
      <c r="D41" s="598" t="s">
        <v>71</v>
      </c>
      <c r="E41" s="598" t="s">
        <v>72</v>
      </c>
      <c r="F41" s="598" t="s">
        <v>73</v>
      </c>
      <c r="G41" s="598" t="s">
        <v>74</v>
      </c>
      <c r="H41" s="598" t="s">
        <v>75</v>
      </c>
      <c r="I41" s="598" t="s">
        <v>76</v>
      </c>
      <c r="J41" s="598" t="s">
        <v>77</v>
      </c>
    </row>
    <row r="42" spans="3:14">
      <c r="C42" s="599" t="s">
        <v>78</v>
      </c>
      <c r="D42" s="596" t="str">
        <f>C8</f>
        <v>TPMTGSBL2N</v>
      </c>
      <c r="E42" s="600" t="s">
        <v>477</v>
      </c>
      <c r="F42" s="599" t="s">
        <v>81</v>
      </c>
      <c r="G42" s="601" t="s">
        <v>82</v>
      </c>
      <c r="H42" s="599"/>
      <c r="I42" s="599"/>
      <c r="J42" s="601"/>
    </row>
    <row r="43" spans="3:14">
      <c r="C43" s="599"/>
      <c r="D43" s="596" t="str">
        <f>C11</f>
        <v>TPMTGSBL3N</v>
      </c>
      <c r="E43" s="600" t="s">
        <v>478</v>
      </c>
      <c r="F43" s="599" t="s">
        <v>81</v>
      </c>
      <c r="G43" s="601" t="s">
        <v>82</v>
      </c>
      <c r="H43" s="599"/>
      <c r="I43" s="599"/>
      <c r="J43" s="601"/>
    </row>
    <row r="44" spans="3:14">
      <c r="D44" s="596" t="str">
        <f>C14</f>
        <v>TPMTGSBL4N</v>
      </c>
      <c r="E44" s="600" t="s">
        <v>479</v>
      </c>
      <c r="F44" s="599" t="s">
        <v>81</v>
      </c>
      <c r="G44" s="601" t="s">
        <v>82</v>
      </c>
    </row>
    <row r="45" spans="3:14">
      <c r="D45" s="596" t="str">
        <f>C17</f>
        <v>TPMPGSBL2N</v>
      </c>
      <c r="E45" s="600" t="s">
        <v>480</v>
      </c>
      <c r="F45" s="599" t="s">
        <v>81</v>
      </c>
      <c r="G45" s="601" t="s">
        <v>82</v>
      </c>
    </row>
    <row r="46" spans="3:14">
      <c r="D46" s="596" t="str">
        <f>C21</f>
        <v>TPMPGSBL3N</v>
      </c>
      <c r="E46" s="600" t="s">
        <v>481</v>
      </c>
      <c r="F46" s="599" t="s">
        <v>81</v>
      </c>
      <c r="G46" s="601" t="s">
        <v>82</v>
      </c>
    </row>
    <row r="47" spans="3:14">
      <c r="D47" s="596" t="str">
        <f>C25</f>
        <v>TPMPGSBL4N</v>
      </c>
      <c r="E47" s="600" t="s">
        <v>482</v>
      </c>
      <c r="F47" s="599" t="s">
        <v>81</v>
      </c>
      <c r="G47" s="601" t="s">
        <v>82</v>
      </c>
    </row>
    <row r="48" spans="3:14">
      <c r="D48" s="596" t="str">
        <f>C29</f>
        <v>TPMTGSBL5N</v>
      </c>
      <c r="E48" s="600" t="s">
        <v>483</v>
      </c>
      <c r="F48" s="599" t="s">
        <v>81</v>
      </c>
      <c r="G48" s="601" t="s">
        <v>82</v>
      </c>
    </row>
    <row r="49" spans="4:7">
      <c r="D49" s="596" t="str">
        <f>C32</f>
        <v>TPMPGSBL5N</v>
      </c>
      <c r="E49" s="600" t="s">
        <v>484</v>
      </c>
      <c r="F49" s="599" t="s">
        <v>81</v>
      </c>
      <c r="G49" s="601" t="s">
        <v>82</v>
      </c>
    </row>
    <row r="50" spans="4:7">
      <c r="D50" s="596"/>
    </row>
    <row r="51" spans="4:7">
      <c r="D51" s="596"/>
    </row>
    <row r="52" spans="4:7">
      <c r="D52" s="596"/>
    </row>
    <row r="53" spans="4:7">
      <c r="D53" s="596"/>
    </row>
    <row r="54" spans="4:7">
      <c r="D54" s="596"/>
    </row>
    <row r="55" spans="4:7">
      <c r="D55" s="596"/>
    </row>
    <row r="56" spans="4:7">
      <c r="D56" s="596"/>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22"/>
  <sheetViews>
    <sheetView topLeftCell="B1" workbookViewId="0">
      <selection activeCell="S16" sqref="S16"/>
    </sheetView>
  </sheetViews>
  <sheetFormatPr defaultColWidth="8.88671875" defaultRowHeight="13.2"/>
  <cols>
    <col min="1" max="1" width="12.6640625" style="476" bestFit="1" customWidth="1"/>
    <col min="2" max="3" width="11.6640625" style="476" bestFit="1" customWidth="1"/>
    <col min="4" max="4" width="35.88671875" style="476" bestFit="1" customWidth="1"/>
    <col min="5" max="6" width="18" style="476" bestFit="1" customWidth="1"/>
    <col min="7" max="9" width="8.88671875" style="476"/>
    <col min="10" max="10" width="10.5546875" style="476" customWidth="1"/>
    <col min="11" max="11" width="8.5546875" style="476" bestFit="1" customWidth="1"/>
    <col min="12" max="16384" width="8.88671875" style="476"/>
  </cols>
  <sheetData>
    <row r="1" spans="1:19">
      <c r="A1" s="588"/>
      <c r="B1" s="588"/>
    </row>
    <row r="2" spans="1:19">
      <c r="A2" s="588"/>
      <c r="C2" s="560"/>
      <c r="F2" s="561" t="s">
        <v>0</v>
      </c>
      <c r="I2" s="562"/>
    </row>
    <row r="3" spans="1:19" ht="27.6">
      <c r="A3" s="588"/>
      <c r="B3" s="563" t="s">
        <v>1</v>
      </c>
      <c r="C3" s="563" t="s">
        <v>2</v>
      </c>
      <c r="D3" s="563" t="s">
        <v>3</v>
      </c>
      <c r="E3" s="563" t="s">
        <v>28</v>
      </c>
      <c r="F3" s="563" t="s">
        <v>219</v>
      </c>
      <c r="G3" s="563" t="s">
        <v>87</v>
      </c>
      <c r="H3" s="563" t="s">
        <v>231</v>
      </c>
      <c r="I3" s="563" t="s">
        <v>89</v>
      </c>
      <c r="J3" s="564" t="s">
        <v>618</v>
      </c>
      <c r="K3" s="564" t="s">
        <v>10</v>
      </c>
      <c r="L3" s="564" t="s">
        <v>6</v>
      </c>
      <c r="M3" s="564" t="s">
        <v>7</v>
      </c>
      <c r="N3" s="564" t="s">
        <v>897</v>
      </c>
      <c r="O3" s="564" t="s">
        <v>617</v>
      </c>
    </row>
    <row r="4" spans="1:19" ht="41.4" thickBot="1">
      <c r="A4" s="588"/>
      <c r="B4" s="616" t="s">
        <v>11</v>
      </c>
      <c r="C4" s="616"/>
      <c r="D4" s="616"/>
      <c r="E4" s="616"/>
      <c r="F4" s="616" t="s">
        <v>218</v>
      </c>
      <c r="G4" s="616" t="s">
        <v>13</v>
      </c>
      <c r="H4" s="616" t="s">
        <v>223</v>
      </c>
      <c r="I4" s="616" t="s">
        <v>220</v>
      </c>
      <c r="J4" s="616"/>
      <c r="K4" s="616" t="s">
        <v>14</v>
      </c>
      <c r="L4" s="616" t="s">
        <v>83</v>
      </c>
      <c r="M4" s="616" t="s">
        <v>12</v>
      </c>
      <c r="N4" s="616"/>
      <c r="O4" s="616"/>
    </row>
    <row r="5" spans="1:19" ht="14.1" customHeight="1">
      <c r="B5" s="476" t="s">
        <v>941</v>
      </c>
      <c r="C5" s="476" t="s">
        <v>80</v>
      </c>
      <c r="D5" s="579" t="s">
        <v>833</v>
      </c>
      <c r="E5" s="611" t="str">
        <f>'EU Diesel IC-reg.tog'!$D$21</f>
        <v>2015</v>
      </c>
      <c r="F5" s="476" t="str">
        <f>"MKr"&amp;RIGHT('EU Diesel IC-reg.tog'!$H$38,2)</f>
        <v>MKr11</v>
      </c>
      <c r="G5" s="610">
        <v>2012</v>
      </c>
      <c r="H5" s="609"/>
      <c r="I5" s="614">
        <v>2000</v>
      </c>
      <c r="J5" s="612">
        <v>0.5</v>
      </c>
      <c r="K5" s="605">
        <v>8</v>
      </c>
      <c r="L5" s="576">
        <v>2.0000000000000002E-5</v>
      </c>
      <c r="M5" s="608">
        <f>R14</f>
        <v>10</v>
      </c>
      <c r="N5" s="476">
        <v>5</v>
      </c>
      <c r="O5" s="476">
        <v>5</v>
      </c>
    </row>
    <row r="6" spans="1:19" ht="14.1" customHeight="1">
      <c r="A6" s="588"/>
      <c r="D6" s="526" t="s">
        <v>834</v>
      </c>
      <c r="J6" s="612">
        <v>0.35</v>
      </c>
      <c r="N6" s="476">
        <v>5</v>
      </c>
      <c r="O6" s="476">
        <v>5</v>
      </c>
    </row>
    <row r="7" spans="1:19">
      <c r="A7" s="588"/>
      <c r="D7" s="526" t="s">
        <v>835</v>
      </c>
      <c r="E7" s="611"/>
      <c r="G7" s="610"/>
      <c r="H7" s="609"/>
      <c r="I7" s="588"/>
      <c r="J7" s="615">
        <f>(1-J6-J5)</f>
        <v>0.15000000000000002</v>
      </c>
      <c r="K7" s="605"/>
      <c r="L7" s="576"/>
      <c r="M7" s="608"/>
      <c r="O7" s="476">
        <v>5</v>
      </c>
    </row>
    <row r="8" spans="1:19">
      <c r="B8" s="588" t="s">
        <v>845</v>
      </c>
      <c r="C8" s="476" t="s">
        <v>847</v>
      </c>
      <c r="D8" s="579" t="s">
        <v>833</v>
      </c>
      <c r="E8" s="611" t="str">
        <f>'EU Diesel IC-reg.tog'!$D$21</f>
        <v>2015</v>
      </c>
      <c r="F8" s="476" t="str">
        <f>"MKr"&amp;RIGHT('EU Diesel IC-reg.tog'!$H$38,2)</f>
        <v>MKr11</v>
      </c>
      <c r="G8" s="609">
        <v>2012</v>
      </c>
      <c r="H8" s="609"/>
      <c r="I8" s="614">
        <v>1</v>
      </c>
      <c r="J8" s="612">
        <v>0.58284000000000002</v>
      </c>
      <c r="K8" s="605">
        <v>8</v>
      </c>
      <c r="L8" s="576">
        <v>1.0000000000000001E-5</v>
      </c>
      <c r="M8" s="613">
        <f>R11</f>
        <v>5.1851851851851851</v>
      </c>
      <c r="N8" s="476">
        <v>5</v>
      </c>
      <c r="O8" s="476">
        <v>5</v>
      </c>
      <c r="S8" s="579" t="s">
        <v>547</v>
      </c>
    </row>
    <row r="9" spans="1:19">
      <c r="A9" s="588"/>
      <c r="D9" s="526" t="s">
        <v>834</v>
      </c>
      <c r="J9" s="612">
        <v>0.41715999999999998</v>
      </c>
      <c r="O9" s="476">
        <v>5</v>
      </c>
    </row>
    <row r="10" spans="1:19">
      <c r="A10" s="588"/>
      <c r="D10" s="579"/>
      <c r="R10" s="580">
        <f>700/0.135</f>
        <v>5185.1851851851852</v>
      </c>
      <c r="S10" s="579" t="s">
        <v>548</v>
      </c>
    </row>
    <row r="11" spans="1:19">
      <c r="A11" s="588"/>
      <c r="D11" s="579"/>
      <c r="E11" s="611"/>
      <c r="G11" s="610"/>
      <c r="H11" s="609"/>
      <c r="I11" s="588"/>
      <c r="J11" s="605"/>
      <c r="K11" s="576"/>
      <c r="L11" s="608"/>
      <c r="R11" s="580">
        <f>R10/10^3</f>
        <v>5.1851851851851851</v>
      </c>
      <c r="S11" s="476" t="s">
        <v>12</v>
      </c>
    </row>
    <row r="12" spans="1:19">
      <c r="A12" s="588"/>
    </row>
    <row r="13" spans="1:19">
      <c r="A13" s="588"/>
      <c r="R13" s="476">
        <v>10000</v>
      </c>
      <c r="S13" s="579" t="s">
        <v>548</v>
      </c>
    </row>
    <row r="14" spans="1:19">
      <c r="A14" s="588"/>
      <c r="B14" s="595" t="s">
        <v>62</v>
      </c>
      <c r="R14" s="476">
        <f>R13*10^-3</f>
        <v>10</v>
      </c>
      <c r="S14" s="476" t="s">
        <v>12</v>
      </c>
    </row>
    <row r="15" spans="1:19" ht="27.6">
      <c r="A15" s="588"/>
      <c r="B15" s="597" t="s">
        <v>63</v>
      </c>
      <c r="C15" s="597" t="s">
        <v>1</v>
      </c>
      <c r="D15" s="597" t="s">
        <v>64</v>
      </c>
      <c r="E15" s="597" t="s">
        <v>65</v>
      </c>
      <c r="F15" s="597" t="s">
        <v>66</v>
      </c>
      <c r="G15" s="597" t="s">
        <v>67</v>
      </c>
      <c r="H15" s="597" t="s">
        <v>68</v>
      </c>
      <c r="I15" s="597" t="s">
        <v>69</v>
      </c>
    </row>
    <row r="16" spans="1:19" ht="41.4" thickBot="1">
      <c r="A16" s="588"/>
      <c r="B16" s="598" t="s">
        <v>70</v>
      </c>
      <c r="C16" s="598" t="s">
        <v>71</v>
      </c>
      <c r="D16" s="598" t="s">
        <v>72</v>
      </c>
      <c r="E16" s="598" t="s">
        <v>73</v>
      </c>
      <c r="F16" s="598" t="s">
        <v>74</v>
      </c>
      <c r="G16" s="598" t="s">
        <v>75</v>
      </c>
      <c r="H16" s="598" t="s">
        <v>76</v>
      </c>
      <c r="I16" s="598" t="s">
        <v>77</v>
      </c>
    </row>
    <row r="17" spans="1:15">
      <c r="A17" s="588"/>
      <c r="B17" s="599" t="s">
        <v>78</v>
      </c>
      <c r="C17" s="596" t="str">
        <f>B5</f>
        <v>TPBIKELC1N</v>
      </c>
      <c r="D17" s="600" t="s">
        <v>485</v>
      </c>
      <c r="E17" s="599" t="s">
        <v>81</v>
      </c>
      <c r="F17" s="601" t="s">
        <v>82</v>
      </c>
    </row>
    <row r="18" spans="1:15">
      <c r="A18" s="588"/>
      <c r="B18" s="599" t="s">
        <v>78</v>
      </c>
      <c r="C18" s="596" t="str">
        <f>B8</f>
        <v>TPBIKING1N</v>
      </c>
      <c r="D18" s="600" t="s">
        <v>486</v>
      </c>
      <c r="E18" s="599" t="s">
        <v>81</v>
      </c>
      <c r="F18" s="601" t="s">
        <v>82</v>
      </c>
      <c r="G18" s="607"/>
      <c r="I18" s="572"/>
      <c r="J18" s="572"/>
      <c r="K18" s="606"/>
      <c r="L18" s="605"/>
      <c r="M18" s="604"/>
      <c r="N18" s="603"/>
      <c r="O18" s="602"/>
    </row>
    <row r="19" spans="1:15">
      <c r="A19" s="588"/>
      <c r="B19" s="588"/>
      <c r="I19" s="572"/>
    </row>
    <row r="20" spans="1:15">
      <c r="A20" s="588"/>
    </row>
    <row r="21" spans="1:15">
      <c r="A21" s="588"/>
    </row>
    <row r="22" spans="1:15">
      <c r="A22" s="588"/>
    </row>
  </sheetData>
  <pageMargins left="0.7" right="0.7" top="0.75" bottom="0.75" header="0.3" footer="0.3"/>
  <pageSetup paperSize="9" orientation="portrait"/>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6:Q19"/>
  <sheetViews>
    <sheetView topLeftCell="B1" workbookViewId="0">
      <selection activeCell="E13" sqref="E13"/>
    </sheetView>
  </sheetViews>
  <sheetFormatPr defaultColWidth="8.88671875" defaultRowHeight="13.2"/>
  <cols>
    <col min="1" max="1" width="8.88671875" style="476"/>
    <col min="2" max="2" width="10.109375" style="476" customWidth="1"/>
    <col min="3" max="3" width="13.33203125" style="476" bestFit="1" customWidth="1"/>
    <col min="4" max="4" width="12.88671875" style="476" bestFit="1" customWidth="1"/>
    <col min="5" max="5" width="30.44140625" style="476" bestFit="1" customWidth="1"/>
    <col min="6" max="6" width="9.33203125" style="476" bestFit="1" customWidth="1"/>
    <col min="7" max="7" width="8.33203125" style="476" bestFit="1" customWidth="1"/>
    <col min="8" max="11" width="8.88671875" style="476"/>
    <col min="12" max="12" width="6" style="476" bestFit="1" customWidth="1"/>
    <col min="13" max="16384" width="8.88671875" style="476"/>
  </cols>
  <sheetData>
    <row r="6" spans="3:17">
      <c r="D6" s="560"/>
      <c r="G6" s="561" t="s">
        <v>0</v>
      </c>
      <c r="J6" s="562"/>
    </row>
    <row r="7" spans="3:17" ht="27.6">
      <c r="C7" s="563" t="s">
        <v>1</v>
      </c>
      <c r="D7" s="563" t="s">
        <v>2</v>
      </c>
      <c r="E7" s="563" t="s">
        <v>3</v>
      </c>
      <c r="F7" s="563" t="s">
        <v>28</v>
      </c>
      <c r="G7" s="563" t="s">
        <v>219</v>
      </c>
      <c r="H7" s="563" t="s">
        <v>87</v>
      </c>
      <c r="I7" s="563" t="s">
        <v>231</v>
      </c>
      <c r="J7" s="563" t="s">
        <v>497</v>
      </c>
      <c r="K7" s="563" t="s">
        <v>501</v>
      </c>
      <c r="L7" s="563" t="s">
        <v>89</v>
      </c>
      <c r="M7" s="563" t="s">
        <v>543</v>
      </c>
      <c r="N7" s="563" t="s">
        <v>10</v>
      </c>
      <c r="O7" s="564" t="s">
        <v>6</v>
      </c>
      <c r="P7" s="565" t="s">
        <v>7</v>
      </c>
      <c r="Q7" s="564" t="s">
        <v>617</v>
      </c>
    </row>
    <row r="8" spans="3:17" ht="41.4" thickBot="1">
      <c r="C8" s="616" t="s">
        <v>11</v>
      </c>
      <c r="D8" s="616"/>
      <c r="E8" s="616"/>
      <c r="F8" s="616"/>
      <c r="G8" s="616" t="s">
        <v>218</v>
      </c>
      <c r="H8" s="616" t="s">
        <v>13</v>
      </c>
      <c r="I8" s="616" t="s">
        <v>223</v>
      </c>
      <c r="J8" s="616" t="s">
        <v>500</v>
      </c>
      <c r="K8" s="616" t="s">
        <v>502</v>
      </c>
      <c r="L8" s="616" t="s">
        <v>220</v>
      </c>
      <c r="M8" s="616"/>
      <c r="N8" s="616" t="s">
        <v>14</v>
      </c>
      <c r="O8" s="616" t="s">
        <v>83</v>
      </c>
      <c r="P8" s="616" t="s">
        <v>12</v>
      </c>
      <c r="Q8" s="616"/>
    </row>
    <row r="9" spans="3:17">
      <c r="C9" s="476" t="s">
        <v>846</v>
      </c>
      <c r="D9" s="476" t="s">
        <v>847</v>
      </c>
      <c r="E9" s="526" t="s">
        <v>833</v>
      </c>
      <c r="F9" s="611" t="s">
        <v>475</v>
      </c>
      <c r="G9" s="476" t="s">
        <v>476</v>
      </c>
      <c r="H9" s="610">
        <v>2012</v>
      </c>
      <c r="I9" s="609"/>
      <c r="J9" s="476">
        <v>1</v>
      </c>
      <c r="K9" s="580">
        <v>300.84070000000003</v>
      </c>
      <c r="L9" s="588"/>
      <c r="M9" s="476">
        <v>1E-3</v>
      </c>
      <c r="N9" s="605">
        <v>50</v>
      </c>
      <c r="O9" s="603">
        <v>0</v>
      </c>
      <c r="P9" s="476">
        <v>0</v>
      </c>
      <c r="Q9" s="476">
        <v>5</v>
      </c>
    </row>
    <row r="10" spans="3:17">
      <c r="C10" s="617"/>
      <c r="D10" s="588"/>
      <c r="E10" s="526" t="s">
        <v>834</v>
      </c>
      <c r="Q10" s="476">
        <v>5</v>
      </c>
    </row>
    <row r="16" spans="3:17">
      <c r="C16" s="595" t="s">
        <v>62</v>
      </c>
    </row>
    <row r="17" spans="3:10" ht="27.6">
      <c r="C17" s="597" t="s">
        <v>63</v>
      </c>
      <c r="D17" s="597" t="s">
        <v>1</v>
      </c>
      <c r="E17" s="597" t="s">
        <v>64</v>
      </c>
      <c r="F17" s="597" t="s">
        <v>65</v>
      </c>
      <c r="G17" s="597" t="s">
        <v>66</v>
      </c>
      <c r="H17" s="597" t="s">
        <v>67</v>
      </c>
      <c r="I17" s="597" t="s">
        <v>68</v>
      </c>
      <c r="J17" s="597" t="s">
        <v>69</v>
      </c>
    </row>
    <row r="18" spans="3:10" ht="41.4" thickBot="1">
      <c r="C18" s="598" t="s">
        <v>70</v>
      </c>
      <c r="D18" s="598" t="s">
        <v>71</v>
      </c>
      <c r="E18" s="598" t="s">
        <v>72</v>
      </c>
      <c r="F18" s="598" t="s">
        <v>73</v>
      </c>
      <c r="G18" s="598" t="s">
        <v>74</v>
      </c>
      <c r="H18" s="598" t="s">
        <v>75</v>
      </c>
      <c r="I18" s="598" t="s">
        <v>76</v>
      </c>
      <c r="J18" s="598" t="s">
        <v>77</v>
      </c>
    </row>
    <row r="19" spans="3:10">
      <c r="C19" s="599" t="s">
        <v>78</v>
      </c>
      <c r="D19" s="476" t="str">
        <f>C9</f>
        <v>TPWALKXX1N</v>
      </c>
      <c r="E19" s="600" t="s">
        <v>544</v>
      </c>
      <c r="F19" s="599" t="s">
        <v>81</v>
      </c>
      <c r="G19" s="601" t="s">
        <v>82</v>
      </c>
    </row>
  </sheetData>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AA117"/>
  <sheetViews>
    <sheetView zoomScale="80" zoomScaleNormal="80" workbookViewId="0">
      <selection activeCell="N3" sqref="N3:Q3"/>
    </sheetView>
  </sheetViews>
  <sheetFormatPr defaultColWidth="8.88671875" defaultRowHeight="13.2"/>
  <cols>
    <col min="1" max="1" width="18.6640625" style="588" customWidth="1"/>
    <col min="2" max="2" width="15.33203125" style="476" bestFit="1" customWidth="1"/>
    <col min="3" max="3" width="16.88671875" style="476" bestFit="1" customWidth="1"/>
    <col min="4" max="4" width="11.44140625" style="476" customWidth="1"/>
    <col min="5" max="5" width="9.6640625" style="476" bestFit="1" customWidth="1"/>
    <col min="6" max="6" width="10.5546875" style="476" customWidth="1"/>
    <col min="7" max="7" width="16.109375" style="476" customWidth="1"/>
    <col min="8" max="8" width="19" style="476" bestFit="1" customWidth="1"/>
    <col min="9" max="9" width="10.44140625" style="476" customWidth="1"/>
    <col min="10" max="10" width="15.88671875" style="476" customWidth="1"/>
    <col min="11" max="11" width="10.5546875" style="476" bestFit="1" customWidth="1"/>
    <col min="12" max="13" width="11.44140625" style="476" customWidth="1"/>
    <col min="14" max="19" width="8.88671875" style="476"/>
    <col min="20" max="20" width="10.44140625" style="476" customWidth="1"/>
    <col min="21" max="21" width="6" style="476" bestFit="1" customWidth="1"/>
    <col min="22" max="22" width="11.33203125" style="476" bestFit="1" customWidth="1"/>
    <col min="23" max="23" width="16.33203125" style="476" bestFit="1" customWidth="1"/>
    <col min="24" max="24" width="9" style="476" bestFit="1" customWidth="1"/>
    <col min="25" max="25" width="14.88671875" style="476" bestFit="1" customWidth="1"/>
    <col min="26" max="27" width="8.88671875" style="476"/>
    <col min="28" max="28" width="17.109375" style="476" bestFit="1" customWidth="1"/>
    <col min="29" max="29" width="8.88671875" style="476"/>
    <col min="30" max="30" width="16" style="476" bestFit="1" customWidth="1"/>
    <col min="31" max="16384" width="8.88671875" style="476"/>
  </cols>
  <sheetData>
    <row r="2" spans="1:26">
      <c r="C2" s="560"/>
      <c r="F2" s="561" t="s">
        <v>0</v>
      </c>
      <c r="G2" s="476" t="s">
        <v>88</v>
      </c>
      <c r="I2" s="562"/>
    </row>
    <row r="3" spans="1:26" ht="41.4">
      <c r="B3" s="563" t="s">
        <v>1</v>
      </c>
      <c r="C3" s="563" t="s">
        <v>2</v>
      </c>
      <c r="D3" s="563" t="s">
        <v>3</v>
      </c>
      <c r="E3" s="563" t="s">
        <v>28</v>
      </c>
      <c r="F3" s="563" t="s">
        <v>219</v>
      </c>
      <c r="G3" s="563" t="s">
        <v>87</v>
      </c>
      <c r="H3" s="563" t="s">
        <v>231</v>
      </c>
      <c r="I3" s="563" t="s">
        <v>9</v>
      </c>
      <c r="J3" s="563" t="s">
        <v>10</v>
      </c>
      <c r="K3" s="618" t="s">
        <v>6</v>
      </c>
      <c r="L3" s="619" t="s">
        <v>7</v>
      </c>
      <c r="M3" s="619" t="s">
        <v>617</v>
      </c>
      <c r="N3" s="43" t="s">
        <v>1497</v>
      </c>
      <c r="O3" s="43" t="s">
        <v>1498</v>
      </c>
      <c r="P3" s="43" t="s">
        <v>1499</v>
      </c>
      <c r="Q3" s="43" t="s">
        <v>1500</v>
      </c>
      <c r="R3" s="549"/>
      <c r="S3" s="43" t="s">
        <v>1461</v>
      </c>
      <c r="U3" s="476" t="s">
        <v>221</v>
      </c>
      <c r="W3" s="620">
        <v>3</v>
      </c>
    </row>
    <row r="4" spans="1:26" ht="21" thickBot="1">
      <c r="A4" s="476"/>
      <c r="B4" s="616" t="s">
        <v>11</v>
      </c>
      <c r="C4" s="616"/>
      <c r="D4" s="616"/>
      <c r="E4" s="616"/>
      <c r="F4" s="616" t="s">
        <v>218</v>
      </c>
      <c r="G4" s="616" t="s">
        <v>13</v>
      </c>
      <c r="H4" s="616" t="s">
        <v>223</v>
      </c>
      <c r="I4" s="616" t="s">
        <v>220</v>
      </c>
      <c r="J4" s="616" t="s">
        <v>14</v>
      </c>
      <c r="K4" s="616" t="s">
        <v>83</v>
      </c>
      <c r="L4" s="616" t="s">
        <v>12</v>
      </c>
      <c r="M4" s="616" t="s">
        <v>91</v>
      </c>
      <c r="N4" s="949" t="s">
        <v>1460</v>
      </c>
      <c r="O4" s="949" t="s">
        <v>1460</v>
      </c>
      <c r="P4" s="949" t="s">
        <v>1460</v>
      </c>
      <c r="Q4" s="949" t="s">
        <v>1460</v>
      </c>
      <c r="R4" s="549"/>
      <c r="S4" s="549"/>
    </row>
    <row r="5" spans="1:26">
      <c r="B5" s="476" t="s">
        <v>848</v>
      </c>
      <c r="C5" s="574" t="s">
        <v>779</v>
      </c>
      <c r="D5" s="574" t="s">
        <v>833</v>
      </c>
      <c r="E5" s="476">
        <f>'EU Bus Gas'!$D$21</f>
        <v>2015</v>
      </c>
      <c r="F5" s="612" t="str">
        <f>"MKr"&amp;RIGHT('EU Bus El'!$H$38,2)</f>
        <v>MKr15</v>
      </c>
      <c r="G5" s="476">
        <v>2015</v>
      </c>
      <c r="H5" s="567"/>
      <c r="I5" s="612">
        <f>'EU Bus El'!D23/'EU Bus'!D23</f>
        <v>3.4743923611111116</v>
      </c>
      <c r="J5" s="476">
        <f>ROUND('EU Bus El'!$F$27,0)</f>
        <v>6</v>
      </c>
      <c r="K5" s="1160">
        <f>K47/15100*147800</f>
        <v>1.7618543046357616E-2</v>
      </c>
      <c r="L5" s="621">
        <f>'EU Bus El'!$D$38*$V$9</f>
        <v>2552.5532484593959</v>
      </c>
      <c r="M5" s="476">
        <v>5</v>
      </c>
      <c r="N5" s="1530">
        <f t="array" ref="N5">INDEX(EMIS_factors!$G$6:$O$152,MATCH($E5&amp;$S5,EMIS_factors!$E$6:$E$152&amp;EMIS_factors!$D$6:$D$152,0),MATCH(RIGHT(N$3,6),EMIS_factors!$G$4:$O$4,0))</f>
        <v>0</v>
      </c>
      <c r="O5" s="1530">
        <f t="array" ref="O5">INDEX(EMIS_factors!$G$6:$O$152,MATCH($E5&amp;$S5,EMIS_factors!$E$6:$E$152&amp;EMIS_factors!$D$6:$D$152,0),MATCH(RIGHT(O$3,6),EMIS_factors!$G$4:$O$4,0))</f>
        <v>0</v>
      </c>
      <c r="P5" s="1530">
        <f t="array" ref="P5">INDEX(EMIS_factors!$G$6:$O$152,MATCH($E5&amp;$S5,EMIS_factors!$E$6:$E$152&amp;EMIS_factors!$D$6:$D$152,0),MATCH(RIGHT(P$3,6),EMIS_factors!$G$4:$O$4,0))</f>
        <v>0</v>
      </c>
      <c r="Q5" s="1530">
        <f t="array" ref="Q5">INDEX(EMIS_factors!$G$6:$O$152,MATCH($E5&amp;$S5,EMIS_factors!$E$6:$E$152&amp;EMIS_factors!$D$6:$D$152,0),MATCH(RIGHT(Q$3,6),EMIS_factors!$G$4:$O$4,0))</f>
        <v>184.77515886469322</v>
      </c>
      <c r="R5" s="1295"/>
      <c r="S5" s="526" t="s">
        <v>1471</v>
      </c>
    </row>
    <row r="6" spans="1:26">
      <c r="A6" s="476"/>
      <c r="D6" s="481" t="s">
        <v>834</v>
      </c>
      <c r="I6" s="612">
        <f>I5</f>
        <v>3.4743923611111116</v>
      </c>
      <c r="K6" s="959"/>
      <c r="M6" s="476">
        <v>5</v>
      </c>
      <c r="N6" s="1530"/>
      <c r="O6" s="1530"/>
      <c r="P6" s="1530"/>
      <c r="Q6" s="1530"/>
      <c r="R6" s="1295"/>
      <c r="S6" s="526" t="s">
        <v>1471</v>
      </c>
    </row>
    <row r="7" spans="1:26">
      <c r="A7" s="476"/>
      <c r="B7" s="588"/>
      <c r="C7" s="574"/>
      <c r="D7" s="481" t="s">
        <v>835</v>
      </c>
      <c r="F7" s="612"/>
      <c r="H7" s="572"/>
      <c r="I7" s="612">
        <f>I5</f>
        <v>3.4743923611111116</v>
      </c>
      <c r="K7" s="1161"/>
      <c r="L7" s="621"/>
      <c r="M7" s="476">
        <v>5</v>
      </c>
      <c r="N7" s="1530"/>
      <c r="O7" s="1530"/>
      <c r="P7" s="1530"/>
      <c r="Q7" s="1530"/>
      <c r="R7" s="1295"/>
      <c r="S7" s="526" t="s">
        <v>1471</v>
      </c>
    </row>
    <row r="8" spans="1:26">
      <c r="A8" s="476"/>
      <c r="B8" s="588"/>
      <c r="C8" s="574"/>
      <c r="D8" s="481" t="s">
        <v>836</v>
      </c>
      <c r="F8" s="612"/>
      <c r="H8" s="572"/>
      <c r="I8" s="612">
        <f>I5</f>
        <v>3.4743923611111116</v>
      </c>
      <c r="K8" s="1161"/>
      <c r="L8" s="621"/>
      <c r="M8" s="476">
        <v>5</v>
      </c>
      <c r="N8" s="1530"/>
      <c r="O8" s="1530"/>
      <c r="P8" s="1530"/>
      <c r="Q8" s="1530"/>
      <c r="R8" s="1295"/>
      <c r="S8" s="526" t="s">
        <v>1471</v>
      </c>
      <c r="U8" s="1739" t="s">
        <v>84</v>
      </c>
      <c r="V8" s="1740"/>
      <c r="W8" s="1741"/>
      <c r="Z8" s="579" t="s">
        <v>563</v>
      </c>
    </row>
    <row r="9" spans="1:26">
      <c r="A9" s="476"/>
      <c r="D9" s="574" t="s">
        <v>833</v>
      </c>
      <c r="E9" s="476">
        <f>'EU Bus El'!E21</f>
        <v>2020</v>
      </c>
      <c r="F9" s="612" t="str">
        <f>"MKr"&amp;RIGHT('EU Bus El'!$H$38,2)</f>
        <v>MKr15</v>
      </c>
      <c r="H9" s="579"/>
      <c r="I9" s="612">
        <f>'EU Bus El'!E23/'EU Bus'!D23</f>
        <v>3.8467621091369599</v>
      </c>
      <c r="J9" s="476">
        <f>ROUND('EU Bus El'!$F$27,0)</f>
        <v>6</v>
      </c>
      <c r="K9" s="1160">
        <f>K51/15100*147800</f>
        <v>1.7618543046357616E-2</v>
      </c>
      <c r="L9" s="621">
        <f>'EU Bus El'!$E$38*$V$9</f>
        <v>1832.2065113446743</v>
      </c>
      <c r="M9" s="476">
        <v>5</v>
      </c>
      <c r="N9" s="1530">
        <f t="array" ref="N9">INDEX(EMIS_factors!$G$6:$O$152,MATCH($E9&amp;$S9,EMIS_factors!$E$6:$E$152&amp;EMIS_factors!$D$6:$D$152,0),MATCH(RIGHT(N$3,6),EMIS_factors!$G$4:$O$4,0))</f>
        <v>0</v>
      </c>
      <c r="O9" s="1530">
        <f t="array" ref="O9">INDEX(EMIS_factors!$G$6:$O$152,MATCH($E9&amp;$S9,EMIS_factors!$E$6:$E$152&amp;EMIS_factors!$D$6:$D$152,0),MATCH(RIGHT(O$3,6),EMIS_factors!$G$4:$O$4,0))</f>
        <v>0</v>
      </c>
      <c r="P9" s="1530">
        <f t="array" ref="P9">INDEX(EMIS_factors!$G$6:$O$152,MATCH($E9&amp;$S9,EMIS_factors!$E$6:$E$152&amp;EMIS_factors!$D$6:$D$152,0),MATCH(RIGHT(P$3,6),EMIS_factors!$G$4:$O$4,0))</f>
        <v>0</v>
      </c>
      <c r="Q9" s="1530">
        <f t="array" ref="Q9">INDEX(EMIS_factors!$G$6:$O$152,MATCH($E9&amp;$S9,EMIS_factors!$E$6:$E$152&amp;EMIS_factors!$D$6:$D$152,0),MATCH(RIGHT(Q$3,6),EMIS_factors!$G$4:$O$4,0))</f>
        <v>184.99469536935541</v>
      </c>
      <c r="R9" s="1295"/>
      <c r="S9" s="526" t="s">
        <v>1471</v>
      </c>
      <c r="U9" s="623" t="s">
        <v>85</v>
      </c>
      <c r="V9" s="624">
        <f>10^-3</f>
        <v>1E-3</v>
      </c>
      <c r="W9" s="625" t="s">
        <v>12</v>
      </c>
    </row>
    <row r="10" spans="1:26">
      <c r="A10" s="476"/>
      <c r="B10" s="588"/>
      <c r="D10" s="481" t="s">
        <v>834</v>
      </c>
      <c r="F10" s="612"/>
      <c r="H10" s="579"/>
      <c r="I10" s="612">
        <f>I9</f>
        <v>3.8467621091369599</v>
      </c>
      <c r="K10" s="1161"/>
      <c r="L10" s="621"/>
      <c r="M10" s="476">
        <v>5</v>
      </c>
      <c r="N10" s="1530"/>
      <c r="O10" s="1530"/>
      <c r="P10" s="1530"/>
      <c r="Q10" s="1530"/>
      <c r="R10" s="1295"/>
      <c r="S10" s="526" t="s">
        <v>1471</v>
      </c>
    </row>
    <row r="11" spans="1:26">
      <c r="A11" s="476"/>
      <c r="B11" s="588"/>
      <c r="D11" s="481" t="s">
        <v>835</v>
      </c>
      <c r="F11" s="612"/>
      <c r="H11" s="579"/>
      <c r="I11" s="612">
        <f>I9</f>
        <v>3.8467621091369599</v>
      </c>
      <c r="K11" s="1161"/>
      <c r="L11" s="621"/>
      <c r="M11" s="476">
        <v>5</v>
      </c>
      <c r="N11" s="1530"/>
      <c r="O11" s="1530"/>
      <c r="P11" s="1530"/>
      <c r="Q11" s="1530"/>
      <c r="R11" s="1295"/>
      <c r="S11" s="526" t="s">
        <v>1471</v>
      </c>
    </row>
    <row r="12" spans="1:26">
      <c r="A12" s="476"/>
      <c r="B12" s="588"/>
      <c r="D12" s="481" t="s">
        <v>836</v>
      </c>
      <c r="I12" s="612">
        <f>I9</f>
        <v>3.8467621091369599</v>
      </c>
      <c r="K12" s="959"/>
      <c r="M12" s="476">
        <v>5</v>
      </c>
      <c r="N12" s="1530"/>
      <c r="O12" s="1530"/>
      <c r="P12" s="1530"/>
      <c r="Q12" s="1530"/>
      <c r="R12" s="1295"/>
      <c r="S12" s="526" t="s">
        <v>1471</v>
      </c>
    </row>
    <row r="13" spans="1:26">
      <c r="A13" s="476"/>
      <c r="D13" s="574" t="s">
        <v>833</v>
      </c>
      <c r="E13" s="476">
        <v>2035</v>
      </c>
      <c r="F13" s="612" t="str">
        <f>"MKr"&amp;RIGHT('EU Bus El'!$H$38,2)</f>
        <v>MKr15</v>
      </c>
      <c r="H13" s="626"/>
      <c r="I13" s="612">
        <f>'EU Bus El'!F23/'EU Bus'!D23</f>
        <v>3.9001035720240909</v>
      </c>
      <c r="J13" s="476">
        <f>ROUND('EU Bus El'!$F$27,0)</f>
        <v>6</v>
      </c>
      <c r="K13" s="1160">
        <f>K55/15100*108700</f>
        <v>1.2957615894039735E-2</v>
      </c>
      <c r="L13" s="621">
        <f>'EU Bus El'!$F38*$V$9</f>
        <v>1496.6559862866218</v>
      </c>
      <c r="M13" s="476">
        <v>5</v>
      </c>
      <c r="N13" s="1530">
        <f t="array" ref="N13">INDEX(EMIS_factors!$G$6:$O$152,MATCH($E13&amp;$S13,EMIS_factors!$E$6:$E$152&amp;EMIS_factors!$D$6:$D$152,0),MATCH(RIGHT(N$3,6),EMIS_factors!$G$4:$O$4,0))</f>
        <v>0</v>
      </c>
      <c r="O13" s="1530">
        <f t="array" ref="O13">INDEX(EMIS_factors!$G$6:$O$152,MATCH($E13&amp;$S13,EMIS_factors!$E$6:$E$152&amp;EMIS_factors!$D$6:$D$152,0),MATCH(RIGHT(O$3,6),EMIS_factors!$G$4:$O$4,0))</f>
        <v>0</v>
      </c>
      <c r="P13" s="1530">
        <f t="array" ref="P13">INDEX(EMIS_factors!$G$6:$O$152,MATCH($E13&amp;$S13,EMIS_factors!$E$6:$E$152&amp;EMIS_factors!$D$6:$D$152,0),MATCH(RIGHT(P$3,6),EMIS_factors!$G$4:$O$4,0))</f>
        <v>0</v>
      </c>
      <c r="Q13" s="1530">
        <f t="array" ref="Q13">INDEX(EMIS_factors!$G$6:$O$152,MATCH($E13&amp;$S13,EMIS_factors!$E$6:$E$152&amp;EMIS_factors!$D$6:$D$152,0),MATCH(RIGHT(Q$3,6),EMIS_factors!$G$4:$O$4,0))</f>
        <v>184.82536336060386</v>
      </c>
      <c r="R13" s="1295"/>
      <c r="S13" s="526" t="s">
        <v>1471</v>
      </c>
    </row>
    <row r="14" spans="1:26">
      <c r="A14" s="476"/>
      <c r="B14" s="588"/>
      <c r="D14" s="481" t="s">
        <v>834</v>
      </c>
      <c r="I14" s="612">
        <f>I13</f>
        <v>3.9001035720240909</v>
      </c>
      <c r="K14" s="959"/>
      <c r="M14" s="476">
        <v>5</v>
      </c>
      <c r="N14" s="1530"/>
      <c r="O14" s="1530"/>
      <c r="P14" s="1530"/>
      <c r="Q14" s="1530"/>
      <c r="R14" s="1295"/>
      <c r="S14" s="526" t="s">
        <v>1471</v>
      </c>
    </row>
    <row r="15" spans="1:26">
      <c r="A15" s="476"/>
      <c r="B15" s="588"/>
      <c r="D15" s="481" t="s">
        <v>835</v>
      </c>
      <c r="F15" s="612"/>
      <c r="H15" s="626"/>
      <c r="I15" s="612">
        <f>I13</f>
        <v>3.9001035720240909</v>
      </c>
      <c r="K15" s="1161"/>
      <c r="L15" s="621"/>
      <c r="M15" s="476">
        <v>5</v>
      </c>
      <c r="N15" s="1530"/>
      <c r="O15" s="1530"/>
      <c r="P15" s="1530"/>
      <c r="Q15" s="1530"/>
      <c r="R15" s="1295"/>
      <c r="S15" s="526" t="s">
        <v>1471</v>
      </c>
    </row>
    <row r="16" spans="1:26">
      <c r="A16" s="476"/>
      <c r="B16" s="586"/>
      <c r="C16" s="562"/>
      <c r="D16" s="481" t="s">
        <v>836</v>
      </c>
      <c r="E16" s="562"/>
      <c r="F16" s="627"/>
      <c r="G16" s="562"/>
      <c r="H16" s="628"/>
      <c r="I16" s="627">
        <f>I13</f>
        <v>3.9001035720240909</v>
      </c>
      <c r="J16" s="562"/>
      <c r="K16" s="1162"/>
      <c r="L16" s="629"/>
      <c r="M16" s="562">
        <v>5</v>
      </c>
      <c r="N16" s="1530"/>
      <c r="O16" s="1530"/>
      <c r="P16" s="1530"/>
      <c r="Q16" s="1530"/>
      <c r="R16" s="1295"/>
      <c r="S16" s="526" t="s">
        <v>1471</v>
      </c>
    </row>
    <row r="17" spans="1:25">
      <c r="A17" s="476"/>
      <c r="B17" s="476" t="s">
        <v>849</v>
      </c>
      <c r="C17" s="574" t="s">
        <v>779</v>
      </c>
      <c r="D17" s="481" t="s">
        <v>834</v>
      </c>
      <c r="E17" s="476">
        <f>'EU Bus Gas'!$D$21</f>
        <v>2015</v>
      </c>
      <c r="F17" s="612" t="str">
        <f>"MKr"&amp;RIGHT('EU Bus El'!$H$38,2)</f>
        <v>MKr15</v>
      </c>
      <c r="G17" s="476">
        <f>G5</f>
        <v>2015</v>
      </c>
      <c r="H17" s="572"/>
      <c r="I17" s="612">
        <f>I5</f>
        <v>3.4743923611111116</v>
      </c>
      <c r="J17" s="476">
        <f>ROUND('EU Bus El'!$F$27,0)</f>
        <v>6</v>
      </c>
      <c r="K17" s="1160">
        <f>K59/15100*147800</f>
        <v>1.7618543046357616E-2</v>
      </c>
      <c r="L17" s="621">
        <f>L5</f>
        <v>2552.5532484593959</v>
      </c>
      <c r="M17" s="476">
        <v>5</v>
      </c>
      <c r="N17" s="1530">
        <f t="array" ref="N17">INDEX(EMIS_factors!$G$6:$O$152,MATCH($E17&amp;$S17,EMIS_factors!$E$6:$E$152&amp;EMIS_factors!$D$6:$D$152,0),MATCH(RIGHT(N$3,6),EMIS_factors!$G$4:$O$4,0))</f>
        <v>0</v>
      </c>
      <c r="O17" s="1530">
        <f t="array" ref="O17">INDEX(EMIS_factors!$G$6:$O$152,MATCH($E17&amp;$S17,EMIS_factors!$E$6:$E$152&amp;EMIS_factors!$D$6:$D$152,0),MATCH(RIGHT(O$3,6),EMIS_factors!$G$4:$O$4,0))</f>
        <v>0</v>
      </c>
      <c r="P17" s="1530">
        <f t="array" ref="P17">INDEX(EMIS_factors!$G$6:$O$152,MATCH($E17&amp;$S17,EMIS_factors!$E$6:$E$152&amp;EMIS_factors!$D$6:$D$152,0),MATCH(RIGHT(P$3,6),EMIS_factors!$G$4:$O$4,0))</f>
        <v>0</v>
      </c>
      <c r="Q17" s="1530">
        <f t="array" ref="Q17">INDEX(EMIS_factors!$G$6:$O$152,MATCH($E17&amp;$S17,EMIS_factors!$E$6:$E$152&amp;EMIS_factors!$D$6:$D$152,0),MATCH(RIGHT(Q$3,6),EMIS_factors!$G$4:$O$4,0))</f>
        <v>184.77515886469322</v>
      </c>
      <c r="R17" s="1295"/>
      <c r="S17" s="526" t="s">
        <v>1471</v>
      </c>
    </row>
    <row r="18" spans="1:25">
      <c r="A18" s="476"/>
      <c r="B18" s="588"/>
      <c r="C18" s="574"/>
      <c r="D18" s="481" t="s">
        <v>835</v>
      </c>
      <c r="F18" s="612"/>
      <c r="H18" s="572"/>
      <c r="I18" s="612">
        <f>I17</f>
        <v>3.4743923611111116</v>
      </c>
      <c r="K18" s="1161"/>
      <c r="L18" s="621"/>
      <c r="M18" s="476">
        <v>5</v>
      </c>
      <c r="N18" s="1530"/>
      <c r="O18" s="1530"/>
      <c r="P18" s="1530"/>
      <c r="Q18" s="1530"/>
      <c r="R18" s="1295"/>
      <c r="S18" s="526" t="s">
        <v>1471</v>
      </c>
    </row>
    <row r="19" spans="1:25">
      <c r="A19" s="476"/>
      <c r="B19" s="588"/>
      <c r="C19" s="574"/>
      <c r="D19" s="481" t="s">
        <v>836</v>
      </c>
      <c r="F19" s="612"/>
      <c r="H19" s="572"/>
      <c r="I19" s="612">
        <f>I17</f>
        <v>3.4743923611111116</v>
      </c>
      <c r="K19" s="1161"/>
      <c r="L19" s="621"/>
      <c r="M19" s="476">
        <v>5</v>
      </c>
      <c r="N19" s="1530"/>
      <c r="O19" s="1530"/>
      <c r="P19" s="1530"/>
      <c r="Q19" s="1530"/>
      <c r="R19" s="1295"/>
      <c r="S19" s="526" t="s">
        <v>1471</v>
      </c>
    </row>
    <row r="20" spans="1:25">
      <c r="A20" s="476"/>
      <c r="B20" s="588"/>
      <c r="D20" s="481" t="s">
        <v>834</v>
      </c>
      <c r="E20" s="476">
        <f>E9</f>
        <v>2020</v>
      </c>
      <c r="F20" s="612" t="str">
        <f>"MKr"&amp;RIGHT('EU Bus El'!$H$38,2)</f>
        <v>MKr15</v>
      </c>
      <c r="H20" s="579"/>
      <c r="I20" s="612">
        <f>I9</f>
        <v>3.8467621091369599</v>
      </c>
      <c r="J20" s="476">
        <f>ROUND('EU Bus El'!$F$27,0)</f>
        <v>6</v>
      </c>
      <c r="K20" s="1160">
        <f>K62/15100*147800</f>
        <v>1.7618543046357616E-2</v>
      </c>
      <c r="L20" s="621">
        <f>L9</f>
        <v>1832.2065113446743</v>
      </c>
      <c r="M20" s="476">
        <v>5</v>
      </c>
      <c r="N20" s="1530">
        <f t="array" ref="N20">INDEX(EMIS_factors!$G$6:$O$152,MATCH($E20&amp;$S20,EMIS_factors!$E$6:$E$152&amp;EMIS_factors!$D$6:$D$152,0),MATCH(RIGHT(N$3,6),EMIS_factors!$G$4:$O$4,0))</f>
        <v>0</v>
      </c>
      <c r="O20" s="1530">
        <f t="array" ref="O20">INDEX(EMIS_factors!$G$6:$O$152,MATCH($E20&amp;$S20,EMIS_factors!$E$6:$E$152&amp;EMIS_factors!$D$6:$D$152,0),MATCH(RIGHT(O$3,6),EMIS_factors!$G$4:$O$4,0))</f>
        <v>0</v>
      </c>
      <c r="P20" s="1530">
        <f t="array" ref="P20">INDEX(EMIS_factors!$G$6:$O$152,MATCH($E20&amp;$S20,EMIS_factors!$E$6:$E$152&amp;EMIS_factors!$D$6:$D$152,0),MATCH(RIGHT(P$3,6),EMIS_factors!$G$4:$O$4,0))</f>
        <v>0</v>
      </c>
      <c r="Q20" s="1530">
        <f t="array" ref="Q20">INDEX(EMIS_factors!$G$6:$O$152,MATCH($E20&amp;$S20,EMIS_factors!$E$6:$E$152&amp;EMIS_factors!$D$6:$D$152,0),MATCH(RIGHT(Q$3,6),EMIS_factors!$G$4:$O$4,0))</f>
        <v>184.99469536935541</v>
      </c>
      <c r="R20" s="1295"/>
      <c r="S20" s="526" t="s">
        <v>1471</v>
      </c>
    </row>
    <row r="21" spans="1:25">
      <c r="A21" s="476"/>
      <c r="B21" s="588"/>
      <c r="D21" s="481" t="s">
        <v>835</v>
      </c>
      <c r="F21" s="612"/>
      <c r="H21" s="579"/>
      <c r="I21" s="612">
        <f>I20</f>
        <v>3.8467621091369599</v>
      </c>
      <c r="K21" s="1161"/>
      <c r="L21" s="621"/>
      <c r="M21" s="476">
        <v>5</v>
      </c>
      <c r="N21" s="1530"/>
      <c r="O21" s="1530"/>
      <c r="P21" s="1530"/>
      <c r="Q21" s="1530"/>
      <c r="R21" s="1295"/>
      <c r="S21" s="526" t="s">
        <v>1471</v>
      </c>
      <c r="X21" s="579"/>
    </row>
    <row r="22" spans="1:25">
      <c r="A22" s="476"/>
      <c r="B22" s="588"/>
      <c r="D22" s="481" t="s">
        <v>836</v>
      </c>
      <c r="F22" s="612"/>
      <c r="H22" s="579"/>
      <c r="I22" s="612">
        <f>I20</f>
        <v>3.8467621091369599</v>
      </c>
      <c r="K22" s="1161"/>
      <c r="L22" s="621"/>
      <c r="M22" s="476">
        <v>5</v>
      </c>
      <c r="N22" s="1530"/>
      <c r="O22" s="1530"/>
      <c r="P22" s="1530"/>
      <c r="Q22" s="1530"/>
      <c r="R22" s="1295"/>
      <c r="S22" s="526" t="s">
        <v>1471</v>
      </c>
      <c r="X22" s="579"/>
    </row>
    <row r="23" spans="1:25">
      <c r="A23" s="476"/>
      <c r="B23" s="588"/>
      <c r="C23" s="572"/>
      <c r="D23" s="481" t="s">
        <v>834</v>
      </c>
      <c r="E23" s="572">
        <f>E13</f>
        <v>2035</v>
      </c>
      <c r="F23" s="631" t="str">
        <f>"MKr"&amp;RIGHT('EU Bus El'!$H$38,2)</f>
        <v>MKr15</v>
      </c>
      <c r="G23" s="572"/>
      <c r="H23" s="626"/>
      <c r="I23" s="631">
        <f>I13</f>
        <v>3.9001035720240909</v>
      </c>
      <c r="J23" s="572">
        <f>ROUND('EU Bus El'!$F$27,0)</f>
        <v>6</v>
      </c>
      <c r="K23" s="1160">
        <f>K65/15100*108700</f>
        <v>1.2957615894039735E-2</v>
      </c>
      <c r="L23" s="621">
        <f>L13</f>
        <v>1496.6559862866218</v>
      </c>
      <c r="M23" s="476">
        <v>5</v>
      </c>
      <c r="N23" s="1530">
        <f t="array" ref="N23">INDEX(EMIS_factors!$G$6:$O$152,MATCH($E23&amp;$S23,EMIS_factors!$E$6:$E$152&amp;EMIS_factors!$D$6:$D$152,0),MATCH(RIGHT(N$3,6),EMIS_factors!$G$4:$O$4,0))</f>
        <v>0</v>
      </c>
      <c r="O23" s="1530">
        <f t="array" ref="O23">INDEX(EMIS_factors!$G$6:$O$152,MATCH($E23&amp;$S23,EMIS_factors!$E$6:$E$152&amp;EMIS_factors!$D$6:$D$152,0),MATCH(RIGHT(O$3,6),EMIS_factors!$G$4:$O$4,0))</f>
        <v>0</v>
      </c>
      <c r="P23" s="1530">
        <f t="array" ref="P23">INDEX(EMIS_factors!$G$6:$O$152,MATCH($E23&amp;$S23,EMIS_factors!$E$6:$E$152&amp;EMIS_factors!$D$6:$D$152,0),MATCH(RIGHT(P$3,6),EMIS_factors!$G$4:$O$4,0))</f>
        <v>0</v>
      </c>
      <c r="Q23" s="1530">
        <f t="array" ref="Q23">INDEX(EMIS_factors!$G$6:$O$152,MATCH($E23&amp;$S23,EMIS_factors!$E$6:$E$152&amp;EMIS_factors!$D$6:$D$152,0),MATCH(RIGHT(Q$3,6),EMIS_factors!$G$4:$O$4,0))</f>
        <v>184.82536336060386</v>
      </c>
      <c r="R23" s="1295"/>
      <c r="S23" s="526" t="s">
        <v>1471</v>
      </c>
      <c r="X23" s="579"/>
    </row>
    <row r="24" spans="1:25">
      <c r="A24" s="476"/>
      <c r="B24" s="588"/>
      <c r="C24" s="572"/>
      <c r="D24" s="481" t="s">
        <v>835</v>
      </c>
      <c r="E24" s="572"/>
      <c r="F24" s="631"/>
      <c r="H24" s="626"/>
      <c r="I24" s="631">
        <f>I23</f>
        <v>3.9001035720240909</v>
      </c>
      <c r="J24" s="572"/>
      <c r="K24" s="622"/>
      <c r="L24" s="621"/>
      <c r="M24" s="476">
        <v>5</v>
      </c>
      <c r="N24" s="1530"/>
      <c r="O24" s="1530"/>
      <c r="P24" s="1530"/>
      <c r="Q24" s="1530"/>
      <c r="R24" s="1295"/>
      <c r="S24" s="526" t="s">
        <v>1471</v>
      </c>
      <c r="X24" s="579"/>
    </row>
    <row r="25" spans="1:25">
      <c r="A25" s="476"/>
      <c r="B25" s="586"/>
      <c r="C25" s="562"/>
      <c r="D25" s="481" t="s">
        <v>836</v>
      </c>
      <c r="E25" s="562"/>
      <c r="F25" s="627"/>
      <c r="G25" s="562"/>
      <c r="H25" s="628"/>
      <c r="I25" s="627">
        <f>I23</f>
        <v>3.9001035720240909</v>
      </c>
      <c r="J25" s="562"/>
      <c r="K25" s="630"/>
      <c r="L25" s="629"/>
      <c r="M25" s="562">
        <v>5</v>
      </c>
      <c r="N25" s="1530"/>
      <c r="O25" s="1530"/>
      <c r="P25" s="1530"/>
      <c r="Q25" s="1530"/>
      <c r="R25" s="1295"/>
      <c r="S25" s="526" t="s">
        <v>1471</v>
      </c>
      <c r="X25" s="579"/>
    </row>
    <row r="26" spans="1:25">
      <c r="A26" s="476"/>
      <c r="B26" s="588" t="s">
        <v>850</v>
      </c>
      <c r="C26" s="579" t="s">
        <v>224</v>
      </c>
      <c r="D26" s="574" t="s">
        <v>833</v>
      </c>
      <c r="E26" s="476">
        <v>2012</v>
      </c>
      <c r="F26" s="612" t="str">
        <f>"MKr"&amp;RIGHT('EU Bus Hybrid'!$H$38,2)</f>
        <v>MKr11</v>
      </c>
      <c r="G26" s="476">
        <v>2012</v>
      </c>
      <c r="H26" s="580">
        <v>2019</v>
      </c>
      <c r="I26" s="612">
        <f>'EU Bus Hybrid'!D23/'EU Bus'!D23</f>
        <v>1.4294642857142861</v>
      </c>
      <c r="J26" s="476">
        <f>'EU Bus Hybrid'!D27</f>
        <v>6</v>
      </c>
      <c r="K26" s="622">
        <f>'EU Bus Hybrid'!$D$69*$V$9</f>
        <v>1.7099999999999999E-3</v>
      </c>
      <c r="L26" s="621">
        <f>'EU Bus Hybrid'!$D$38*$V$9</f>
        <v>1832.9216972839426</v>
      </c>
      <c r="M26" s="476">
        <v>5</v>
      </c>
      <c r="N26" s="1530">
        <f t="array" ref="N26">INDEX(EMIS_factors!$G$6:$O$152,MATCH($E26&amp;$S26,EMIS_factors!$E$6:$E$152&amp;EMIS_factors!$D$6:$D$152,0),MATCH(RIGHT(N$3,6),EMIS_factors!$G$4:$O$4,0))</f>
        <v>4.7071656603361639E-4</v>
      </c>
      <c r="O26" s="1530">
        <f t="array" ref="O26">INDEX(EMIS_factors!$G$6:$O$152,MATCH($E26&amp;$S26,EMIS_factors!$E$6:$E$152&amp;EMIS_factors!$D$6:$D$152,0),MATCH(RIGHT(O$3,6),EMIS_factors!$G$4:$O$4,0))</f>
        <v>4.1770901589460809</v>
      </c>
      <c r="P26" s="1530">
        <f t="array" ref="P26">INDEX(EMIS_factors!$G$6:$O$152,MATCH($E26&amp;$S26,EMIS_factors!$E$6:$E$152&amp;EMIS_factors!$D$6:$D$152,0),MATCH(RIGHT(P$3,6),EMIS_factors!$G$4:$O$4,0))</f>
        <v>2.9005422258595311E-2</v>
      </c>
      <c r="Q26" s="1530">
        <f t="array" ref="Q26">INDEX(EMIS_factors!$G$6:$O$152,MATCH($E26&amp;$S26,EMIS_factors!$E$6:$E$152&amp;EMIS_factors!$D$6:$D$152,0),MATCH(RIGHT(Q$3,6),EMIS_factors!$G$4:$O$4,0))</f>
        <v>258.00696272180903</v>
      </c>
      <c r="R26" s="1295"/>
      <c r="S26" s="526" t="s">
        <v>1493</v>
      </c>
      <c r="V26" s="976" t="s">
        <v>797</v>
      </c>
      <c r="X26" s="579"/>
    </row>
    <row r="27" spans="1:25">
      <c r="A27" s="476"/>
      <c r="D27" s="481" t="s">
        <v>834</v>
      </c>
      <c r="F27" s="612"/>
      <c r="H27" s="580"/>
      <c r="I27" s="612">
        <f>I26</f>
        <v>1.4294642857142861</v>
      </c>
      <c r="K27" s="622"/>
      <c r="L27" s="621"/>
      <c r="M27" s="476">
        <v>5</v>
      </c>
      <c r="N27" s="1530"/>
      <c r="O27" s="1530"/>
      <c r="P27" s="1530"/>
      <c r="Q27" s="1530"/>
      <c r="R27" s="1295"/>
      <c r="S27" s="526" t="s">
        <v>1493</v>
      </c>
      <c r="V27" s="476" t="s">
        <v>787</v>
      </c>
      <c r="X27" s="579"/>
    </row>
    <row r="28" spans="1:25">
      <c r="A28" s="476"/>
      <c r="B28" s="588"/>
      <c r="C28" s="579"/>
      <c r="D28" s="481" t="s">
        <v>835</v>
      </c>
      <c r="F28" s="612"/>
      <c r="H28" s="580"/>
      <c r="I28" s="612">
        <f>I26</f>
        <v>1.4294642857142861</v>
      </c>
      <c r="K28" s="622"/>
      <c r="L28" s="621"/>
      <c r="M28" s="476">
        <v>5</v>
      </c>
      <c r="N28" s="1530"/>
      <c r="O28" s="1530"/>
      <c r="P28" s="1530"/>
      <c r="Q28" s="1530"/>
      <c r="S28" s="526" t="s">
        <v>1493</v>
      </c>
      <c r="X28" s="579"/>
    </row>
    <row r="29" spans="1:25">
      <c r="A29" s="476"/>
      <c r="B29" s="588"/>
      <c r="C29" s="579"/>
      <c r="D29" s="481" t="s">
        <v>836</v>
      </c>
      <c r="I29" s="612">
        <f>I26</f>
        <v>1.4294642857142861</v>
      </c>
      <c r="M29" s="476">
        <v>5</v>
      </c>
      <c r="N29" s="1530"/>
      <c r="O29" s="1530"/>
      <c r="P29" s="1530"/>
      <c r="Q29" s="1530"/>
      <c r="S29" s="526" t="s">
        <v>1493</v>
      </c>
      <c r="V29" s="972" t="s">
        <v>794</v>
      </c>
      <c r="W29" s="973"/>
      <c r="X29" s="974"/>
      <c r="Y29" s="975"/>
    </row>
    <row r="30" spans="1:25">
      <c r="A30" s="476"/>
      <c r="B30" s="588" t="s">
        <v>851</v>
      </c>
      <c r="C30" s="579" t="s">
        <v>225</v>
      </c>
      <c r="D30" s="574" t="s">
        <v>833</v>
      </c>
      <c r="E30" s="476">
        <f>'EU Bus Hybrid'!E21</f>
        <v>2020</v>
      </c>
      <c r="F30" s="612" t="str">
        <f>"MKr"&amp;RIGHT('EU Bus Hybrid'!$H$38,2)</f>
        <v>MKr11</v>
      </c>
      <c r="G30" s="476">
        <f>'EU Bus Hybrid'!E21</f>
        <v>2020</v>
      </c>
      <c r="H30" s="580">
        <v>2034</v>
      </c>
      <c r="I30" s="612">
        <f>'EU Bus Hybrid'!E23/'EU Bus'!D23</f>
        <v>1.5485863095238099</v>
      </c>
      <c r="J30" s="476">
        <f>'EU Bus Hybrid'!E27</f>
        <v>6</v>
      </c>
      <c r="K30" s="622">
        <f>'EU Bus Hybrid'!$E$69*$V$9</f>
        <v>1.7099999999999999E-3</v>
      </c>
      <c r="L30" s="621">
        <f>'EU Bus Hybrid'!$E$38*$V$9</f>
        <v>1832.9216972839426</v>
      </c>
      <c r="M30" s="476">
        <v>5</v>
      </c>
      <c r="N30" s="1530">
        <f t="array" ref="N30">INDEX(EMIS_factors!$G$6:$O$152,MATCH($E30&amp;$S30,EMIS_factors!$E$6:$E$152&amp;EMIS_factors!$D$6:$D$152,0),MATCH(RIGHT(N$3,6),EMIS_factors!$G$4:$O$4,0))</f>
        <v>4.6394713588873709E-4</v>
      </c>
      <c r="O30" s="1530">
        <f t="array" ref="O30">INDEX(EMIS_factors!$G$6:$O$152,MATCH($E30&amp;$S30,EMIS_factors!$E$6:$E$152&amp;EMIS_factors!$D$6:$D$152,0),MATCH(RIGHT(O$3,6),EMIS_factors!$G$4:$O$4,0))</f>
        <v>1.3239727784724629</v>
      </c>
      <c r="P30" s="1530">
        <f t="array" ref="P30">INDEX(EMIS_factors!$G$6:$O$152,MATCH($E30&amp;$S30,EMIS_factors!$E$6:$E$152&amp;EMIS_factors!$D$6:$D$152,0),MATCH(RIGHT(P$3,6),EMIS_factors!$G$4:$O$4,0))</f>
        <v>4.617798620698871E-3</v>
      </c>
      <c r="Q30" s="1530">
        <f t="array" ref="Q30">INDEX(EMIS_factors!$G$6:$O$152,MATCH($E30&amp;$S30,EMIS_factors!$E$6:$E$152&amp;EMIS_factors!$D$6:$D$152,0),MATCH(RIGHT(Q$3,6),EMIS_factors!$G$4:$O$4,0))</f>
        <v>208.6937191908799</v>
      </c>
      <c r="S30" s="526" t="s">
        <v>1493</v>
      </c>
      <c r="V30" s="966" t="s">
        <v>788</v>
      </c>
      <c r="W30" s="572"/>
      <c r="X30" s="959" t="s">
        <v>602</v>
      </c>
      <c r="Y30" s="965" t="s">
        <v>602</v>
      </c>
    </row>
    <row r="31" spans="1:25">
      <c r="A31" s="476"/>
      <c r="D31" s="481" t="s">
        <v>834</v>
      </c>
      <c r="F31" s="612"/>
      <c r="H31" s="580"/>
      <c r="I31" s="612">
        <f>I30</f>
        <v>1.5485863095238099</v>
      </c>
      <c r="K31" s="622"/>
      <c r="L31" s="621"/>
      <c r="M31" s="476">
        <v>5</v>
      </c>
      <c r="N31" s="1530"/>
      <c r="O31" s="1530"/>
      <c r="P31" s="1530"/>
      <c r="Q31" s="1530"/>
      <c r="S31" s="526" t="s">
        <v>1493</v>
      </c>
      <c r="V31" s="964" t="s">
        <v>789</v>
      </c>
      <c r="W31" s="960">
        <v>0.19341199522670799</v>
      </c>
      <c r="X31" s="961">
        <v>81.353726000650823</v>
      </c>
      <c r="Y31" s="965">
        <f>W31*X31</f>
        <v>15.734786464912787</v>
      </c>
    </row>
    <row r="32" spans="1:25">
      <c r="A32" s="476"/>
      <c r="B32" s="588"/>
      <c r="C32" s="579"/>
      <c r="D32" s="481" t="s">
        <v>835</v>
      </c>
      <c r="F32" s="612"/>
      <c r="H32" s="580"/>
      <c r="I32" s="612">
        <f>I30</f>
        <v>1.5485863095238099</v>
      </c>
      <c r="K32" s="622"/>
      <c r="L32" s="621"/>
      <c r="M32" s="476">
        <v>5</v>
      </c>
      <c r="N32" s="1530"/>
      <c r="O32" s="1530"/>
      <c r="P32" s="1530"/>
      <c r="Q32" s="1530"/>
      <c r="S32" s="526" t="s">
        <v>1493</v>
      </c>
      <c r="V32" s="964" t="s">
        <v>790</v>
      </c>
      <c r="W32" s="960">
        <v>0.55551345643957006</v>
      </c>
      <c r="X32" s="961">
        <v>81.353726000650823</v>
      </c>
      <c r="Y32" s="965">
        <f>W32*X32</f>
        <v>45.193089524859261</v>
      </c>
    </row>
    <row r="33" spans="1:27">
      <c r="A33" s="476"/>
      <c r="B33" s="588"/>
      <c r="C33" s="579"/>
      <c r="D33" s="481" t="s">
        <v>836</v>
      </c>
      <c r="I33" s="612">
        <f>I30</f>
        <v>1.5485863095238099</v>
      </c>
      <c r="M33" s="476">
        <v>5</v>
      </c>
      <c r="N33" s="1530"/>
      <c r="O33" s="1530"/>
      <c r="P33" s="1530"/>
      <c r="Q33" s="1530"/>
      <c r="S33" s="526" t="s">
        <v>1493</v>
      </c>
      <c r="V33" s="964" t="s">
        <v>791</v>
      </c>
      <c r="W33" s="960">
        <v>0.1597159303765317</v>
      </c>
      <c r="X33" s="961">
        <v>102.84891494394734</v>
      </c>
      <c r="Y33" s="965">
        <f>W33*X33</f>
        <v>16.426610138489323</v>
      </c>
    </row>
    <row r="34" spans="1:27">
      <c r="A34" s="476"/>
      <c r="B34" s="588" t="s">
        <v>852</v>
      </c>
      <c r="C34" s="579" t="s">
        <v>226</v>
      </c>
      <c r="D34" s="574" t="s">
        <v>833</v>
      </c>
      <c r="E34" s="476">
        <f>'EU Bus Hybrid'!F21</f>
        <v>2035</v>
      </c>
      <c r="F34" s="612" t="str">
        <f>"MKr"&amp;RIGHT('EU Bus Hybrid'!$H$38,2)</f>
        <v>MKr11</v>
      </c>
      <c r="G34" s="476">
        <f>'EU Bus Hybrid'!F21</f>
        <v>2035</v>
      </c>
      <c r="H34" s="632"/>
      <c r="I34" s="612">
        <f>'EU Bus Hybrid'!F23/'EU Bus'!D23</f>
        <v>1.7868303571428577</v>
      </c>
      <c r="J34" s="476">
        <f>'EU Bus Hybrid'!F27</f>
        <v>6</v>
      </c>
      <c r="K34" s="622">
        <f>'EU Bus Hybrid'!$F$69*$V$9</f>
        <v>1.7099999999999999E-3</v>
      </c>
      <c r="L34" s="621">
        <f>'EU Bus Hybrid'!$F$38*$V$9</f>
        <v>1832.9216972839426</v>
      </c>
      <c r="M34" s="476">
        <v>5</v>
      </c>
      <c r="N34" s="1530">
        <f t="array" ref="N34">INDEX(EMIS_factors!$G$6:$O$152,MATCH($E34&amp;$S34,EMIS_factors!$E$6:$E$152&amp;EMIS_factors!$D$6:$D$152,0),MATCH(RIGHT(N$3,6),EMIS_factors!$G$4:$O$4,0))</f>
        <v>2.3132279186982506E-4</v>
      </c>
      <c r="O34" s="1530">
        <f t="array" ref="O34">INDEX(EMIS_factors!$G$6:$O$152,MATCH($E34&amp;$S34,EMIS_factors!$E$6:$E$152&amp;EMIS_factors!$D$6:$D$152,0),MATCH(RIGHT(O$3,6),EMIS_factors!$G$4:$O$4,0))</f>
        <v>0.31985091271130101</v>
      </c>
      <c r="P34" s="1530">
        <f t="array" ref="P34">INDEX(EMIS_factors!$G$6:$O$152,MATCH($E34&amp;$S34,EMIS_factors!$E$6:$E$152&amp;EMIS_factors!$D$6:$D$152,0),MATCH(RIGHT(P$3,6),EMIS_factors!$G$4:$O$4,0))</f>
        <v>7.3651956403540382E-4</v>
      </c>
      <c r="Q34" s="1530">
        <f t="array" ref="Q34">INDEX(EMIS_factors!$G$6:$O$152,MATCH($E34&amp;$S34,EMIS_factors!$E$6:$E$152&amp;EMIS_factors!$D$6:$D$152,0),MATCH(RIGHT(Q$3,6),EMIS_factors!$G$4:$O$4,0))</f>
        <v>192.98379053841933</v>
      </c>
      <c r="S34" s="526" t="s">
        <v>1493</v>
      </c>
      <c r="V34" s="964" t="s">
        <v>792</v>
      </c>
      <c r="W34" s="960">
        <v>9.1358617957190399E-2</v>
      </c>
      <c r="X34" s="961">
        <v>115.30035743110803</v>
      </c>
      <c r="Y34" s="965">
        <f>W34*X34</f>
        <v>10.533681304876097</v>
      </c>
    </row>
    <row r="35" spans="1:27">
      <c r="A35" s="476"/>
      <c r="D35" s="481" t="s">
        <v>834</v>
      </c>
      <c r="F35" s="612"/>
      <c r="H35" s="632"/>
      <c r="I35" s="612">
        <f>I34</f>
        <v>1.7868303571428577</v>
      </c>
      <c r="K35" s="622"/>
      <c r="L35" s="621"/>
      <c r="M35" s="476">
        <v>5</v>
      </c>
      <c r="N35" s="1530"/>
      <c r="O35" s="1530"/>
      <c r="P35" s="1530"/>
      <c r="Q35" s="1530"/>
      <c r="S35" s="526" t="s">
        <v>1493</v>
      </c>
      <c r="V35" s="968" t="s">
        <v>793</v>
      </c>
      <c r="W35" s="969"/>
      <c r="X35" s="969"/>
      <c r="Y35" s="970">
        <f>SUM(Y31:Y34)</f>
        <v>87.888167433137468</v>
      </c>
      <c r="AA35" s="476">
        <f>1000/Y35</f>
        <v>11.378095928109643</v>
      </c>
    </row>
    <row r="36" spans="1:27">
      <c r="A36" s="476"/>
      <c r="B36" s="588"/>
      <c r="C36" s="579"/>
      <c r="D36" s="481" t="s">
        <v>835</v>
      </c>
      <c r="F36" s="612"/>
      <c r="H36" s="632"/>
      <c r="I36" s="612">
        <f>I34</f>
        <v>1.7868303571428577</v>
      </c>
      <c r="K36" s="622"/>
      <c r="L36" s="621"/>
      <c r="M36" s="476">
        <v>5</v>
      </c>
      <c r="N36" s="1530"/>
      <c r="O36" s="1530"/>
      <c r="P36" s="1530"/>
      <c r="Q36" s="1530"/>
      <c r="S36" s="526" t="s">
        <v>1493</v>
      </c>
      <c r="V36" s="966" t="s">
        <v>795</v>
      </c>
      <c r="W36" s="572"/>
      <c r="X36" s="572"/>
      <c r="Y36" s="967"/>
    </row>
    <row r="37" spans="1:27">
      <c r="A37" s="476"/>
      <c r="B37" s="586"/>
      <c r="C37" s="633"/>
      <c r="D37" s="481" t="s">
        <v>836</v>
      </c>
      <c r="E37" s="562"/>
      <c r="F37" s="562"/>
      <c r="G37" s="562"/>
      <c r="H37" s="562"/>
      <c r="I37" s="627">
        <f>I34</f>
        <v>1.7868303571428577</v>
      </c>
      <c r="J37" s="562"/>
      <c r="K37" s="562"/>
      <c r="L37" s="562"/>
      <c r="M37" s="562">
        <v>5</v>
      </c>
      <c r="N37" s="1530"/>
      <c r="O37" s="1530"/>
      <c r="P37" s="1530"/>
      <c r="Q37" s="1530"/>
      <c r="S37" s="526" t="s">
        <v>1493</v>
      </c>
      <c r="V37" s="971" t="s">
        <v>788</v>
      </c>
      <c r="W37" s="962"/>
      <c r="X37" s="962" t="s">
        <v>602</v>
      </c>
      <c r="Y37" s="963" t="s">
        <v>602</v>
      </c>
    </row>
    <row r="38" spans="1:27">
      <c r="A38" s="476"/>
      <c r="B38" s="588" t="s">
        <v>853</v>
      </c>
      <c r="C38" s="579" t="s">
        <v>224</v>
      </c>
      <c r="D38" s="481" t="s">
        <v>834</v>
      </c>
      <c r="E38" s="476">
        <f t="shared" ref="E38:L38" si="0">E26</f>
        <v>2012</v>
      </c>
      <c r="F38" s="476" t="str">
        <f t="shared" si="0"/>
        <v>MKr11</v>
      </c>
      <c r="G38" s="476">
        <f t="shared" si="0"/>
        <v>2012</v>
      </c>
      <c r="H38" s="476">
        <f t="shared" si="0"/>
        <v>2019</v>
      </c>
      <c r="I38" s="612">
        <f t="shared" si="0"/>
        <v>1.4294642857142861</v>
      </c>
      <c r="J38" s="476">
        <f t="shared" si="0"/>
        <v>6</v>
      </c>
      <c r="K38" s="634">
        <f t="shared" si="0"/>
        <v>1.7099999999999999E-3</v>
      </c>
      <c r="L38" s="580">
        <f t="shared" si="0"/>
        <v>1832.9216972839426</v>
      </c>
      <c r="M38" s="476">
        <v>5</v>
      </c>
      <c r="N38" s="1530">
        <f t="array" ref="N38">INDEX(EMIS_factors!$G$6:$O$152,MATCH($E38&amp;$S38,EMIS_factors!$E$6:$E$152&amp;EMIS_factors!$D$6:$D$152,0),MATCH(RIGHT(N$3,6),EMIS_factors!$G$4:$O$4,0))</f>
        <v>4.7071656603361639E-4</v>
      </c>
      <c r="O38" s="1530">
        <f t="array" ref="O38">INDEX(EMIS_factors!$G$6:$O$152,MATCH($E38&amp;$S38,EMIS_factors!$E$6:$E$152&amp;EMIS_factors!$D$6:$D$152,0),MATCH(RIGHT(O$3,6),EMIS_factors!$G$4:$O$4,0))</f>
        <v>4.1770901589460809</v>
      </c>
      <c r="P38" s="1530">
        <f t="array" ref="P38">INDEX(EMIS_factors!$G$6:$O$152,MATCH($E38&amp;$S38,EMIS_factors!$E$6:$E$152&amp;EMIS_factors!$D$6:$D$152,0),MATCH(RIGHT(P$3,6),EMIS_factors!$G$4:$O$4,0))</f>
        <v>2.9005422258595311E-2</v>
      </c>
      <c r="Q38" s="1530">
        <f t="array" ref="Q38">INDEX(EMIS_factors!$G$6:$O$152,MATCH($E38&amp;$S38,EMIS_factors!$E$6:$E$152&amp;EMIS_factors!$D$6:$D$152,0),MATCH(RIGHT(Q$3,6),EMIS_factors!$G$4:$O$4,0))</f>
        <v>258.00696272180903</v>
      </c>
      <c r="S38" s="526" t="s">
        <v>1493</v>
      </c>
      <c r="V38" s="964" t="s">
        <v>790</v>
      </c>
      <c r="W38" s="960">
        <v>0.10287897819772944</v>
      </c>
      <c r="X38" s="961">
        <v>81.353726000650823</v>
      </c>
      <c r="Y38" s="965">
        <f>X38*W38</f>
        <v>8.3695882035250104</v>
      </c>
    </row>
    <row r="39" spans="1:27">
      <c r="A39" s="476"/>
      <c r="B39" s="588"/>
      <c r="C39" s="579"/>
      <c r="D39" s="481" t="s">
        <v>835</v>
      </c>
      <c r="I39" s="612">
        <f>I38</f>
        <v>1.4294642857142861</v>
      </c>
      <c r="K39" s="634"/>
      <c r="L39" s="580"/>
      <c r="M39" s="476">
        <v>5</v>
      </c>
      <c r="N39" s="641"/>
      <c r="O39" s="641"/>
      <c r="P39" s="641"/>
      <c r="S39" s="526" t="s">
        <v>1493</v>
      </c>
      <c r="V39" s="964" t="s">
        <v>791</v>
      </c>
      <c r="W39" s="960">
        <v>0.10155615809083157</v>
      </c>
      <c r="X39" s="961">
        <v>102.84891494394734</v>
      </c>
      <c r="Y39" s="965">
        <f>X39*W39</f>
        <v>10.444940665518006</v>
      </c>
    </row>
    <row r="40" spans="1:27">
      <c r="A40" s="476"/>
      <c r="B40" s="588"/>
      <c r="C40" s="579"/>
      <c r="D40" s="481" t="s">
        <v>836</v>
      </c>
      <c r="I40" s="612">
        <f>I38</f>
        <v>1.4294642857142861</v>
      </c>
      <c r="K40" s="634"/>
      <c r="L40" s="580"/>
      <c r="M40" s="476">
        <v>5</v>
      </c>
      <c r="N40" s="641"/>
      <c r="O40" s="641"/>
      <c r="P40" s="641"/>
      <c r="S40" s="526" t="s">
        <v>1493</v>
      </c>
      <c r="V40" s="964" t="s">
        <v>792</v>
      </c>
      <c r="W40" s="960">
        <v>0.79556486371143909</v>
      </c>
      <c r="X40" s="961">
        <v>115.30035743110803</v>
      </c>
      <c r="Y40" s="965">
        <f>X40*W40</f>
        <v>91.728913145559673</v>
      </c>
    </row>
    <row r="41" spans="1:27">
      <c r="A41" s="476"/>
      <c r="B41" s="588" t="s">
        <v>854</v>
      </c>
      <c r="C41" s="579" t="s">
        <v>225</v>
      </c>
      <c r="D41" s="481" t="s">
        <v>834</v>
      </c>
      <c r="E41" s="476">
        <f t="shared" ref="E41:L41" si="1">E30</f>
        <v>2020</v>
      </c>
      <c r="F41" s="476" t="str">
        <f t="shared" si="1"/>
        <v>MKr11</v>
      </c>
      <c r="G41" s="476">
        <f t="shared" si="1"/>
        <v>2020</v>
      </c>
      <c r="H41" s="476">
        <f t="shared" si="1"/>
        <v>2034</v>
      </c>
      <c r="I41" s="612">
        <f t="shared" si="1"/>
        <v>1.5485863095238099</v>
      </c>
      <c r="J41" s="476">
        <f t="shared" si="1"/>
        <v>6</v>
      </c>
      <c r="K41" s="634">
        <f t="shared" si="1"/>
        <v>1.7099999999999999E-3</v>
      </c>
      <c r="L41" s="580">
        <f t="shared" si="1"/>
        <v>1832.9216972839426</v>
      </c>
      <c r="M41" s="476">
        <v>5</v>
      </c>
      <c r="N41" s="1530">
        <f t="array" ref="N41">INDEX(EMIS_factors!$G$6:$O$152,MATCH($E41&amp;$S41,EMIS_factors!$E$6:$E$152&amp;EMIS_factors!$D$6:$D$152,0),MATCH(RIGHT(N$3,6),EMIS_factors!$G$4:$O$4,0))</f>
        <v>4.6394713588873709E-4</v>
      </c>
      <c r="O41" s="1530">
        <f t="array" ref="O41">INDEX(EMIS_factors!$G$6:$O$152,MATCH($E41&amp;$S41,EMIS_factors!$E$6:$E$152&amp;EMIS_factors!$D$6:$D$152,0),MATCH(RIGHT(O$3,6),EMIS_factors!$G$4:$O$4,0))</f>
        <v>1.3239727784724629</v>
      </c>
      <c r="P41" s="1530">
        <f t="array" ref="P41">INDEX(EMIS_factors!$G$6:$O$152,MATCH($E41&amp;$S41,EMIS_factors!$E$6:$E$152&amp;EMIS_factors!$D$6:$D$152,0),MATCH(RIGHT(P$3,6),EMIS_factors!$G$4:$O$4,0))</f>
        <v>4.617798620698871E-3</v>
      </c>
      <c r="Q41" s="1530">
        <f t="array" ref="Q41">INDEX(EMIS_factors!$G$6:$O$152,MATCH($E41&amp;$S41,EMIS_factors!$E$6:$E$152&amp;EMIS_factors!$D$6:$D$152,0),MATCH(RIGHT(Q$3,6),EMIS_factors!$G$4:$O$4,0))</f>
        <v>208.6937191908799</v>
      </c>
      <c r="S41" s="526" t="s">
        <v>1493</v>
      </c>
      <c r="V41" s="968" t="s">
        <v>793</v>
      </c>
      <c r="W41" s="969"/>
      <c r="X41" s="969"/>
      <c r="Y41" s="970">
        <f>SUM(Y38:Y40)</f>
        <v>110.54344201460269</v>
      </c>
    </row>
    <row r="42" spans="1:27">
      <c r="A42" s="476"/>
      <c r="B42" s="588"/>
      <c r="C42" s="579"/>
      <c r="D42" s="481" t="s">
        <v>835</v>
      </c>
      <c r="I42" s="612">
        <f>I41</f>
        <v>1.5485863095238099</v>
      </c>
      <c r="K42" s="634"/>
      <c r="L42" s="580"/>
      <c r="M42" s="476">
        <v>5</v>
      </c>
      <c r="N42" s="641"/>
      <c r="O42" s="641"/>
      <c r="P42" s="641"/>
      <c r="S42" s="526" t="s">
        <v>1493</v>
      </c>
    </row>
    <row r="43" spans="1:27">
      <c r="A43" s="476"/>
      <c r="B43" s="588"/>
      <c r="C43" s="579"/>
      <c r="D43" s="481" t="s">
        <v>836</v>
      </c>
      <c r="I43" s="612">
        <f>I41</f>
        <v>1.5485863095238099</v>
      </c>
      <c r="K43" s="634"/>
      <c r="L43" s="580"/>
      <c r="M43" s="476">
        <v>5</v>
      </c>
      <c r="N43" s="641"/>
      <c r="O43" s="641"/>
      <c r="P43" s="641"/>
      <c r="S43" s="526" t="s">
        <v>1493</v>
      </c>
      <c r="V43" s="476" t="s">
        <v>796</v>
      </c>
    </row>
    <row r="44" spans="1:27">
      <c r="A44" s="476"/>
      <c r="B44" s="588" t="s">
        <v>855</v>
      </c>
      <c r="C44" s="579" t="s">
        <v>226</v>
      </c>
      <c r="D44" s="481" t="s">
        <v>834</v>
      </c>
      <c r="E44" s="476">
        <f>E34</f>
        <v>2035</v>
      </c>
      <c r="F44" s="476" t="str">
        <f>F34</f>
        <v>MKr11</v>
      </c>
      <c r="G44" s="476">
        <f>G34</f>
        <v>2035</v>
      </c>
      <c r="H44" s="632"/>
      <c r="I44" s="612">
        <f>I34</f>
        <v>1.7868303571428577</v>
      </c>
      <c r="J44" s="476">
        <f>J34</f>
        <v>6</v>
      </c>
      <c r="K44" s="634">
        <f>K34</f>
        <v>1.7099999999999999E-3</v>
      </c>
      <c r="L44" s="580">
        <f>L34</f>
        <v>1832.9216972839426</v>
      </c>
      <c r="M44" s="476">
        <v>5</v>
      </c>
      <c r="N44" s="1530">
        <f t="array" ref="N44">INDEX(EMIS_factors!$G$6:$O$152,MATCH($E44&amp;$S44,EMIS_factors!$E$6:$E$152&amp;EMIS_factors!$D$6:$D$152,0),MATCH(RIGHT(N$3,6),EMIS_factors!$G$4:$O$4,0))</f>
        <v>2.3132279186982506E-4</v>
      </c>
      <c r="O44" s="1530">
        <f t="array" ref="O44">INDEX(EMIS_factors!$G$6:$O$152,MATCH($E44&amp;$S44,EMIS_factors!$E$6:$E$152&amp;EMIS_factors!$D$6:$D$152,0),MATCH(RIGHT(O$3,6),EMIS_factors!$G$4:$O$4,0))</f>
        <v>0.31985091271130101</v>
      </c>
      <c r="P44" s="1530">
        <f t="array" ref="P44">INDEX(EMIS_factors!$G$6:$O$152,MATCH($E44&amp;$S44,EMIS_factors!$E$6:$E$152&amp;EMIS_factors!$D$6:$D$152,0),MATCH(RIGHT(P$3,6),EMIS_factors!$G$4:$O$4,0))</f>
        <v>7.3651956403540382E-4</v>
      </c>
      <c r="Q44" s="1530">
        <f t="array" ref="Q44">INDEX(EMIS_factors!$G$6:$O$152,MATCH($E44&amp;$S44,EMIS_factors!$E$6:$E$152&amp;EMIS_factors!$D$6:$D$152,0),MATCH(RIGHT(Q$3,6),EMIS_factors!$G$4:$O$4,0))</f>
        <v>192.98379053841933</v>
      </c>
      <c r="S44" s="526" t="s">
        <v>1493</v>
      </c>
    </row>
    <row r="45" spans="1:27">
      <c r="A45" s="476"/>
      <c r="B45" s="588"/>
      <c r="C45" s="579"/>
      <c r="D45" s="481" t="s">
        <v>835</v>
      </c>
      <c r="I45" s="612">
        <f>I44</f>
        <v>1.7868303571428577</v>
      </c>
      <c r="K45" s="634"/>
      <c r="L45" s="580"/>
      <c r="M45" s="476">
        <v>5</v>
      </c>
      <c r="N45" s="641"/>
      <c r="O45" s="641"/>
      <c r="P45" s="641"/>
      <c r="S45" s="526" t="s">
        <v>1493</v>
      </c>
    </row>
    <row r="46" spans="1:27">
      <c r="A46" s="476"/>
      <c r="B46" s="586"/>
      <c r="C46" s="633"/>
      <c r="D46" s="481" t="s">
        <v>836</v>
      </c>
      <c r="E46" s="562"/>
      <c r="F46" s="562"/>
      <c r="G46" s="562"/>
      <c r="H46" s="562"/>
      <c r="I46" s="627">
        <f>I44</f>
        <v>1.7868303571428577</v>
      </c>
      <c r="J46" s="562"/>
      <c r="K46" s="630"/>
      <c r="L46" s="629"/>
      <c r="M46" s="562">
        <v>5</v>
      </c>
      <c r="N46" s="641"/>
      <c r="O46" s="641"/>
      <c r="P46" s="641"/>
      <c r="S46" s="526" t="s">
        <v>1493</v>
      </c>
    </row>
    <row r="47" spans="1:27">
      <c r="A47" s="476"/>
      <c r="B47" s="588" t="s">
        <v>856</v>
      </c>
      <c r="C47" s="573" t="s">
        <v>224</v>
      </c>
      <c r="D47" s="574" t="s">
        <v>833</v>
      </c>
      <c r="E47" s="476">
        <v>2012</v>
      </c>
      <c r="F47" s="476" t="s">
        <v>519</v>
      </c>
      <c r="G47" s="476">
        <v>2012</v>
      </c>
      <c r="H47" s="476">
        <v>2019</v>
      </c>
      <c r="I47" s="612">
        <v>1</v>
      </c>
      <c r="J47" s="476">
        <v>6</v>
      </c>
      <c r="K47" s="622">
        <f>'EU Bus'!$D$69*TRA_Buses!$V$9</f>
        <v>1.8000000000000002E-3</v>
      </c>
      <c r="L47" s="621">
        <v>1332.9216972839426</v>
      </c>
      <c r="M47" s="476">
        <v>5</v>
      </c>
      <c r="N47" s="1530">
        <f t="array" ref="N47">INDEX(EMIS_factors!$G$6:$O$152,MATCH($E47&amp;$S47,EMIS_factors!$E$6:$E$152&amp;EMIS_factors!$D$6:$D$152,0),MATCH(RIGHT(N$3,6),EMIS_factors!$G$4:$O$4,0))</f>
        <v>4.7618444402940867E-4</v>
      </c>
      <c r="O47" s="1530">
        <f t="array" ref="O47">INDEX(EMIS_factors!$G$6:$O$152,MATCH($E47&amp;$S47,EMIS_factors!$E$6:$E$152&amp;EMIS_factors!$D$6:$D$152,0),MATCH(RIGHT(O$3,6),EMIS_factors!$G$4:$O$4,0))</f>
        <v>6.3459365863698389</v>
      </c>
      <c r="P47" s="1530">
        <f t="array" ref="P47">INDEX(EMIS_factors!$G$6:$O$152,MATCH($E47&amp;$S47,EMIS_factors!$E$6:$E$152&amp;EMIS_factors!$D$6:$D$152,0),MATCH(RIGHT(P$3,6),EMIS_factors!$G$4:$O$4,0))</f>
        <v>5.0248286403863689E-2</v>
      </c>
      <c r="Q47" s="1530">
        <f t="array" ref="Q47">INDEX(EMIS_factors!$G$6:$O$152,MATCH($E47&amp;$S47,EMIS_factors!$E$6:$E$152&amp;EMIS_factors!$D$6:$D$152,0),MATCH(RIGHT(Q$3,6),EMIS_factors!$G$4:$O$4,0))</f>
        <v>299.81890927400372</v>
      </c>
      <c r="S47" s="526" t="s">
        <v>1492</v>
      </c>
    </row>
    <row r="48" spans="1:27">
      <c r="A48" s="476"/>
      <c r="D48" s="481" t="s">
        <v>834</v>
      </c>
      <c r="I48" s="612">
        <f>I47</f>
        <v>1</v>
      </c>
      <c r="K48" s="622"/>
      <c r="L48" s="621"/>
      <c r="M48" s="476">
        <v>5</v>
      </c>
      <c r="N48" s="641"/>
      <c r="O48" s="641"/>
      <c r="P48" s="641"/>
      <c r="S48" s="526" t="s">
        <v>1492</v>
      </c>
    </row>
    <row r="49" spans="1:19">
      <c r="A49" s="476"/>
      <c r="B49" s="588"/>
      <c r="C49" s="573"/>
      <c r="D49" s="481" t="s">
        <v>835</v>
      </c>
      <c r="I49" s="612">
        <f>I47</f>
        <v>1</v>
      </c>
      <c r="K49" s="622"/>
      <c r="L49" s="621"/>
      <c r="M49" s="476">
        <v>5</v>
      </c>
      <c r="N49" s="641"/>
      <c r="O49" s="641"/>
      <c r="P49" s="641"/>
      <c r="S49" s="526" t="s">
        <v>1492</v>
      </c>
    </row>
    <row r="50" spans="1:19">
      <c r="A50" s="476"/>
      <c r="B50" s="588"/>
      <c r="C50" s="573"/>
      <c r="D50" s="481" t="s">
        <v>836</v>
      </c>
      <c r="I50" s="612">
        <f>I47</f>
        <v>1</v>
      </c>
      <c r="M50" s="476">
        <v>5</v>
      </c>
      <c r="N50" s="641"/>
      <c r="O50" s="641"/>
      <c r="P50" s="641"/>
      <c r="S50" s="526" t="s">
        <v>1492</v>
      </c>
    </row>
    <row r="51" spans="1:19">
      <c r="A51" s="476"/>
      <c r="B51" s="588" t="s">
        <v>857</v>
      </c>
      <c r="C51" s="573" t="s">
        <v>225</v>
      </c>
      <c r="D51" s="574" t="s">
        <v>833</v>
      </c>
      <c r="E51" s="572">
        <v>2020</v>
      </c>
      <c r="F51" s="572" t="s">
        <v>519</v>
      </c>
      <c r="G51" s="572">
        <v>2020</v>
      </c>
      <c r="H51" s="594">
        <v>2034</v>
      </c>
      <c r="I51" s="631">
        <v>1.0523809523809526</v>
      </c>
      <c r="J51" s="572">
        <v>6</v>
      </c>
      <c r="K51" s="622">
        <f>'EU Bus'!$D$69*TRA_Buses!$V$9</f>
        <v>1.8000000000000002E-3</v>
      </c>
      <c r="L51" s="621">
        <v>1332.9216972839426</v>
      </c>
      <c r="M51" s="476">
        <v>5</v>
      </c>
      <c r="N51" s="1530">
        <f t="array" ref="N51">INDEX(EMIS_factors!$G$6:$O$152,MATCH($E51&amp;$S51,EMIS_factors!$E$6:$E$152&amp;EMIS_factors!$D$6:$D$152,0),MATCH(RIGHT(N$3,6),EMIS_factors!$G$4:$O$4,0))</f>
        <v>4.6524868803782406E-4</v>
      </c>
      <c r="O51" s="1530">
        <f t="array" ref="O51">INDEX(EMIS_factors!$G$6:$O$152,MATCH($E51&amp;$S51,EMIS_factors!$E$6:$E$152&amp;EMIS_factors!$D$6:$D$152,0),MATCH(RIGHT(O$3,6),EMIS_factors!$G$4:$O$4,0))</f>
        <v>2.0082437315223238</v>
      </c>
      <c r="P51" s="1530">
        <f t="array" ref="P51">INDEX(EMIS_factors!$G$6:$O$152,MATCH($E51&amp;$S51,EMIS_factors!$E$6:$E$152&amp;EMIS_factors!$D$6:$D$152,0),MATCH(RIGHT(P$3,6),EMIS_factors!$G$4:$O$4,0))</f>
        <v>7.7625581133269348E-3</v>
      </c>
      <c r="Q51" s="1530">
        <f t="array" ref="Q51">INDEX(EMIS_factors!$G$6:$O$152,MATCH($E51&amp;$S51,EMIS_factors!$E$6:$E$152&amp;EMIS_factors!$D$6:$D$152,0),MATCH(RIGHT(Q$3,6),EMIS_factors!$G$4:$O$4,0))</f>
        <v>216.19501616961438</v>
      </c>
      <c r="S51" s="526" t="s">
        <v>1492</v>
      </c>
    </row>
    <row r="52" spans="1:19">
      <c r="A52" s="476"/>
      <c r="D52" s="481" t="s">
        <v>834</v>
      </c>
      <c r="E52" s="572"/>
      <c r="F52" s="572"/>
      <c r="G52" s="572"/>
      <c r="H52" s="594"/>
      <c r="I52" s="631">
        <f>I51</f>
        <v>1.0523809523809526</v>
      </c>
      <c r="J52" s="572"/>
      <c r="K52" s="622"/>
      <c r="L52" s="621"/>
      <c r="M52" s="476">
        <v>5</v>
      </c>
      <c r="S52" s="526" t="s">
        <v>1492</v>
      </c>
    </row>
    <row r="53" spans="1:19">
      <c r="A53" s="476"/>
      <c r="B53" s="588"/>
      <c r="C53" s="573"/>
      <c r="D53" s="481" t="s">
        <v>835</v>
      </c>
      <c r="E53" s="572"/>
      <c r="F53" s="572"/>
      <c r="G53" s="572"/>
      <c r="H53" s="594"/>
      <c r="I53" s="631">
        <f>I52</f>
        <v>1.0523809523809526</v>
      </c>
      <c r="J53" s="572"/>
      <c r="K53" s="622"/>
      <c r="L53" s="621"/>
      <c r="M53" s="476">
        <v>5</v>
      </c>
      <c r="S53" s="526" t="s">
        <v>1492</v>
      </c>
    </row>
    <row r="54" spans="1:19">
      <c r="A54" s="476"/>
      <c r="B54" s="588"/>
      <c r="C54" s="573"/>
      <c r="D54" s="481" t="s">
        <v>836</v>
      </c>
      <c r="I54" s="612">
        <f>I51</f>
        <v>1.0523809523809526</v>
      </c>
      <c r="M54" s="476">
        <v>5</v>
      </c>
      <c r="S54" s="526" t="s">
        <v>1492</v>
      </c>
    </row>
    <row r="55" spans="1:19">
      <c r="A55" s="476"/>
      <c r="B55" s="588" t="s">
        <v>858</v>
      </c>
      <c r="C55" s="573" t="s">
        <v>226</v>
      </c>
      <c r="D55" s="574" t="s">
        <v>833</v>
      </c>
      <c r="E55" s="572">
        <v>2035</v>
      </c>
      <c r="F55" s="572" t="s">
        <v>519</v>
      </c>
      <c r="G55" s="572">
        <v>2035</v>
      </c>
      <c r="H55" s="572"/>
      <c r="I55" s="631">
        <v>1.1142857142857143</v>
      </c>
      <c r="J55" s="572">
        <v>6</v>
      </c>
      <c r="K55" s="622">
        <f>'EU Bus'!$D$69*TRA_Buses!$V$9</f>
        <v>1.8000000000000002E-3</v>
      </c>
      <c r="L55" s="621">
        <v>1332.9216972839426</v>
      </c>
      <c r="M55" s="476">
        <v>5</v>
      </c>
      <c r="N55" s="1530">
        <f t="array" ref="N55">INDEX(EMIS_factors!$G$6:$O$152,MATCH($E55&amp;$S55,EMIS_factors!$E$6:$E$152&amp;EMIS_factors!$D$6:$D$152,0),MATCH(RIGHT(N$3,6),EMIS_factors!$G$4:$O$4,0))</f>
        <v>4.6264558373965012E-4</v>
      </c>
      <c r="O55" s="1530">
        <f t="array" ref="O55">INDEX(EMIS_factors!$G$6:$O$152,MATCH($E55&amp;$S55,EMIS_factors!$E$6:$E$152&amp;EMIS_factors!$D$6:$D$152,0),MATCH(RIGHT(O$3,6),EMIS_factors!$G$4:$O$4,0))</f>
        <v>0.63970182542260201</v>
      </c>
      <c r="P55" s="1530">
        <f t="array" ref="P55">INDEX(EMIS_factors!$G$6:$O$152,MATCH($E55&amp;$S55,EMIS_factors!$E$6:$E$152&amp;EMIS_factors!$D$6:$D$152,0),MATCH(RIGHT(P$3,6),EMIS_factors!$G$4:$O$4,0))</f>
        <v>1.4730391280708076E-3</v>
      </c>
      <c r="Q55" s="1530">
        <f t="array" ref="Q55">INDEX(EMIS_factors!$G$6:$O$152,MATCH($E55&amp;$S55,EMIS_factors!$E$6:$E$152&amp;EMIS_factors!$D$6:$D$152,0),MATCH(RIGHT(Q$3,6),EMIS_factors!$G$4:$O$4,0))</f>
        <v>201.19242221214546</v>
      </c>
      <c r="S55" s="526" t="s">
        <v>1492</v>
      </c>
    </row>
    <row r="56" spans="1:19">
      <c r="A56" s="476"/>
      <c r="D56" s="481" t="s">
        <v>834</v>
      </c>
      <c r="E56" s="572"/>
      <c r="F56" s="572"/>
      <c r="G56" s="572"/>
      <c r="H56" s="572"/>
      <c r="I56" s="631">
        <f>I55</f>
        <v>1.1142857142857143</v>
      </c>
      <c r="J56" s="572"/>
      <c r="K56" s="622"/>
      <c r="L56" s="621"/>
      <c r="M56" s="476">
        <v>5</v>
      </c>
      <c r="S56" s="526" t="s">
        <v>1492</v>
      </c>
    </row>
    <row r="57" spans="1:19">
      <c r="A57" s="476"/>
      <c r="B57" s="588"/>
      <c r="C57" s="573"/>
      <c r="D57" s="481" t="s">
        <v>835</v>
      </c>
      <c r="E57" s="572"/>
      <c r="F57" s="572"/>
      <c r="G57" s="572"/>
      <c r="H57" s="572"/>
      <c r="I57" s="631">
        <f>I55</f>
        <v>1.1142857142857143</v>
      </c>
      <c r="J57" s="572"/>
      <c r="K57" s="622"/>
      <c r="L57" s="621"/>
      <c r="M57" s="476">
        <v>5</v>
      </c>
      <c r="S57" s="526" t="s">
        <v>1492</v>
      </c>
    </row>
    <row r="58" spans="1:19">
      <c r="A58" s="476"/>
      <c r="B58" s="586"/>
      <c r="C58" s="635"/>
      <c r="D58" s="481" t="s">
        <v>836</v>
      </c>
      <c r="E58" s="562"/>
      <c r="F58" s="562"/>
      <c r="G58" s="562"/>
      <c r="H58" s="562"/>
      <c r="I58" s="627">
        <f>I55</f>
        <v>1.1142857142857143</v>
      </c>
      <c r="J58" s="562"/>
      <c r="K58" s="562"/>
      <c r="L58" s="562"/>
      <c r="M58" s="562">
        <v>5</v>
      </c>
      <c r="S58" s="526" t="s">
        <v>1492</v>
      </c>
    </row>
    <row r="59" spans="1:19">
      <c r="A59" s="476"/>
      <c r="B59" s="588" t="s">
        <v>859</v>
      </c>
      <c r="C59" s="573" t="s">
        <v>224</v>
      </c>
      <c r="D59" s="481" t="s">
        <v>834</v>
      </c>
      <c r="E59" s="572">
        <v>2012</v>
      </c>
      <c r="F59" s="572" t="s">
        <v>519</v>
      </c>
      <c r="G59" s="572">
        <v>2012</v>
      </c>
      <c r="H59" s="572">
        <v>2019</v>
      </c>
      <c r="I59" s="631">
        <v>1</v>
      </c>
      <c r="J59" s="572">
        <v>6</v>
      </c>
      <c r="K59" s="622">
        <f>'EU Bus'!$D$69*TRA_Buses!$V$9</f>
        <v>1.8000000000000002E-3</v>
      </c>
      <c r="L59" s="621">
        <v>1332.9216972839426</v>
      </c>
      <c r="M59" s="476">
        <v>5</v>
      </c>
      <c r="N59" s="1530">
        <f t="array" ref="N59">INDEX(EMIS_factors!$G$6:$O$152,MATCH($E59&amp;$S59,EMIS_factors!$E$6:$E$152&amp;EMIS_factors!$D$6:$D$152,0),MATCH(RIGHT(N$3,6),EMIS_factors!$G$4:$O$4,0))</f>
        <v>4.7618444402940867E-4</v>
      </c>
      <c r="O59" s="1530">
        <f t="array" ref="O59">INDEX(EMIS_factors!$G$6:$O$152,MATCH($E59&amp;$S59,EMIS_factors!$E$6:$E$152&amp;EMIS_factors!$D$6:$D$152,0),MATCH(RIGHT(O$3,6),EMIS_factors!$G$4:$O$4,0))</f>
        <v>6.3459365863698389</v>
      </c>
      <c r="P59" s="1530">
        <f t="array" ref="P59">INDEX(EMIS_factors!$G$6:$O$152,MATCH($E59&amp;$S59,EMIS_factors!$E$6:$E$152&amp;EMIS_factors!$D$6:$D$152,0),MATCH(RIGHT(P$3,6),EMIS_factors!$G$4:$O$4,0))</f>
        <v>5.0248286403863689E-2</v>
      </c>
      <c r="Q59" s="1530">
        <f t="array" ref="Q59">INDEX(EMIS_factors!$G$6:$O$152,MATCH($E59&amp;$S59,EMIS_factors!$E$6:$E$152&amp;EMIS_factors!$D$6:$D$152,0),MATCH(RIGHT(Q$3,6),EMIS_factors!$G$4:$O$4,0))</f>
        <v>299.81890927400372</v>
      </c>
      <c r="S59" s="526" t="s">
        <v>1492</v>
      </c>
    </row>
    <row r="60" spans="1:19">
      <c r="A60" s="476"/>
      <c r="B60" s="588"/>
      <c r="C60" s="573"/>
      <c r="D60" s="481" t="s">
        <v>835</v>
      </c>
      <c r="E60" s="572"/>
      <c r="F60" s="572"/>
      <c r="G60" s="572"/>
      <c r="H60" s="572"/>
      <c r="I60" s="631">
        <v>1</v>
      </c>
      <c r="J60" s="572"/>
      <c r="K60" s="622"/>
      <c r="L60" s="621"/>
      <c r="M60" s="476">
        <v>5</v>
      </c>
      <c r="S60" s="526" t="s">
        <v>1492</v>
      </c>
    </row>
    <row r="61" spans="1:19">
      <c r="A61" s="476"/>
      <c r="B61" s="588"/>
      <c r="C61" s="573"/>
      <c r="D61" s="481" t="s">
        <v>836</v>
      </c>
      <c r="E61" s="572"/>
      <c r="F61" s="572"/>
      <c r="G61" s="572"/>
      <c r="H61" s="572"/>
      <c r="I61" s="631">
        <v>1</v>
      </c>
      <c r="J61" s="572"/>
      <c r="K61" s="622"/>
      <c r="L61" s="621"/>
      <c r="M61" s="476">
        <v>5</v>
      </c>
      <c r="S61" s="526" t="s">
        <v>1492</v>
      </c>
    </row>
    <row r="62" spans="1:19">
      <c r="A62" s="476"/>
      <c r="B62" s="588" t="s">
        <v>860</v>
      </c>
      <c r="C62" s="573" t="s">
        <v>225</v>
      </c>
      <c r="D62" s="481" t="s">
        <v>834</v>
      </c>
      <c r="E62" s="572">
        <v>2020</v>
      </c>
      <c r="F62" s="572" t="s">
        <v>519</v>
      </c>
      <c r="G62" s="572">
        <v>2020</v>
      </c>
      <c r="H62" s="594">
        <v>2034</v>
      </c>
      <c r="I62" s="631">
        <v>1.0523809523809526</v>
      </c>
      <c r="J62" s="572">
        <v>6</v>
      </c>
      <c r="K62" s="622">
        <f>'EU Bus'!$D$69*TRA_Buses!$V$9</f>
        <v>1.8000000000000002E-3</v>
      </c>
      <c r="L62" s="621">
        <v>1332.9216972839426</v>
      </c>
      <c r="M62" s="476">
        <v>5</v>
      </c>
      <c r="N62" s="1530">
        <f t="array" ref="N62">INDEX(EMIS_factors!$G$6:$O$152,MATCH($E62&amp;$S62,EMIS_factors!$E$6:$E$152&amp;EMIS_factors!$D$6:$D$152,0),MATCH(RIGHT(N$3,6),EMIS_factors!$G$4:$O$4,0))</f>
        <v>4.6524868803782406E-4</v>
      </c>
      <c r="O62" s="1530">
        <f t="array" ref="O62">INDEX(EMIS_factors!$G$6:$O$152,MATCH($E62&amp;$S62,EMIS_factors!$E$6:$E$152&amp;EMIS_factors!$D$6:$D$152,0),MATCH(RIGHT(O$3,6),EMIS_factors!$G$4:$O$4,0))</f>
        <v>2.0082437315223238</v>
      </c>
      <c r="P62" s="1530">
        <f t="array" ref="P62">INDEX(EMIS_factors!$G$6:$O$152,MATCH($E62&amp;$S62,EMIS_factors!$E$6:$E$152&amp;EMIS_factors!$D$6:$D$152,0),MATCH(RIGHT(P$3,6),EMIS_factors!$G$4:$O$4,0))</f>
        <v>7.7625581133269348E-3</v>
      </c>
      <c r="Q62" s="1530">
        <f t="array" ref="Q62">INDEX(EMIS_factors!$G$6:$O$152,MATCH($E62&amp;$S62,EMIS_factors!$E$6:$E$152&amp;EMIS_factors!$D$6:$D$152,0),MATCH(RIGHT(Q$3,6),EMIS_factors!$G$4:$O$4,0))</f>
        <v>216.19501616961438</v>
      </c>
      <c r="S62" s="526" t="s">
        <v>1492</v>
      </c>
    </row>
    <row r="63" spans="1:19">
      <c r="A63" s="476"/>
      <c r="B63" s="588"/>
      <c r="C63" s="573"/>
      <c r="D63" s="481" t="s">
        <v>835</v>
      </c>
      <c r="E63" s="572"/>
      <c r="F63" s="572"/>
      <c r="G63" s="572"/>
      <c r="H63" s="594"/>
      <c r="I63" s="631">
        <v>1.0523809523809526</v>
      </c>
      <c r="J63" s="572"/>
      <c r="K63" s="622"/>
      <c r="L63" s="621"/>
      <c r="M63" s="476">
        <v>5</v>
      </c>
      <c r="S63" s="526" t="s">
        <v>1492</v>
      </c>
    </row>
    <row r="64" spans="1:19">
      <c r="A64" s="476"/>
      <c r="B64" s="588"/>
      <c r="C64" s="573"/>
      <c r="D64" s="481" t="s">
        <v>836</v>
      </c>
      <c r="E64" s="572"/>
      <c r="F64" s="572"/>
      <c r="G64" s="572"/>
      <c r="H64" s="594"/>
      <c r="I64" s="631">
        <v>1.0523809523809526</v>
      </c>
      <c r="J64" s="572"/>
      <c r="K64" s="622"/>
      <c r="L64" s="621"/>
      <c r="M64" s="476">
        <v>5</v>
      </c>
      <c r="S64" s="526" t="s">
        <v>1492</v>
      </c>
    </row>
    <row r="65" spans="1:20">
      <c r="A65" s="476"/>
      <c r="B65" s="588" t="s">
        <v>861</v>
      </c>
      <c r="C65" s="573" t="s">
        <v>226</v>
      </c>
      <c r="D65" s="481" t="s">
        <v>834</v>
      </c>
      <c r="E65" s="572">
        <v>2035</v>
      </c>
      <c r="F65" s="594" t="s">
        <v>519</v>
      </c>
      <c r="G65" s="572">
        <v>2035</v>
      </c>
      <c r="H65" s="572"/>
      <c r="I65" s="631">
        <v>1.1142857142857143</v>
      </c>
      <c r="J65" s="572">
        <v>6</v>
      </c>
      <c r="K65" s="622">
        <f>'EU Bus'!$D$69*TRA_Buses!$V$9</f>
        <v>1.8000000000000002E-3</v>
      </c>
      <c r="L65" s="621">
        <v>1332.9216972839426</v>
      </c>
      <c r="M65" s="476">
        <v>5</v>
      </c>
      <c r="N65" s="1530">
        <f t="array" ref="N65">INDEX(EMIS_factors!$G$6:$O$152,MATCH($E65&amp;$S65,EMIS_factors!$E$6:$E$152&amp;EMIS_factors!$D$6:$D$152,0),MATCH(RIGHT(N$3,6),EMIS_factors!$G$4:$O$4,0))</f>
        <v>4.6264558373965012E-4</v>
      </c>
      <c r="O65" s="1530">
        <f t="array" ref="O65">INDEX(EMIS_factors!$G$6:$O$152,MATCH($E65&amp;$S65,EMIS_factors!$E$6:$E$152&amp;EMIS_factors!$D$6:$D$152,0),MATCH(RIGHT(O$3,6),EMIS_factors!$G$4:$O$4,0))</f>
        <v>0.63970182542260201</v>
      </c>
      <c r="P65" s="1530">
        <f t="array" ref="P65">INDEX(EMIS_factors!$G$6:$O$152,MATCH($E65&amp;$S65,EMIS_factors!$E$6:$E$152&amp;EMIS_factors!$D$6:$D$152,0),MATCH(RIGHT(P$3,6),EMIS_factors!$G$4:$O$4,0))</f>
        <v>1.4730391280708076E-3</v>
      </c>
      <c r="Q65" s="1530">
        <f t="array" ref="Q65">INDEX(EMIS_factors!$G$6:$O$152,MATCH($E65&amp;$S65,EMIS_factors!$E$6:$E$152&amp;EMIS_factors!$D$6:$D$152,0),MATCH(RIGHT(Q$3,6),EMIS_factors!$G$4:$O$4,0))</f>
        <v>201.19242221214546</v>
      </c>
      <c r="S65" s="526" t="s">
        <v>1492</v>
      </c>
    </row>
    <row r="66" spans="1:20">
      <c r="A66" s="476"/>
      <c r="B66" s="572"/>
      <c r="C66" s="573"/>
      <c r="D66" s="481" t="s">
        <v>835</v>
      </c>
      <c r="E66" s="572"/>
      <c r="F66" s="594"/>
      <c r="G66" s="572"/>
      <c r="H66" s="572"/>
      <c r="I66" s="631">
        <v>1.1142857142857143</v>
      </c>
      <c r="J66" s="572"/>
      <c r="K66" s="622"/>
      <c r="L66" s="621"/>
      <c r="M66" s="572">
        <v>5</v>
      </c>
      <c r="S66" s="526" t="s">
        <v>1492</v>
      </c>
    </row>
    <row r="67" spans="1:20">
      <c r="B67" s="562"/>
      <c r="C67" s="635"/>
      <c r="D67" s="481" t="s">
        <v>836</v>
      </c>
      <c r="E67" s="562"/>
      <c r="F67" s="633"/>
      <c r="G67" s="562"/>
      <c r="H67" s="562"/>
      <c r="I67" s="627">
        <v>1.1142857142857143</v>
      </c>
      <c r="J67" s="562"/>
      <c r="K67" s="630"/>
      <c r="L67" s="629"/>
      <c r="M67" s="562">
        <v>5</v>
      </c>
      <c r="S67" s="526" t="s">
        <v>1492</v>
      </c>
    </row>
    <row r="68" spans="1:20">
      <c r="B68" s="588" t="s">
        <v>862</v>
      </c>
      <c r="C68" s="574" t="s">
        <v>520</v>
      </c>
      <c r="D68" s="574" t="s">
        <v>833</v>
      </c>
      <c r="E68" s="572">
        <v>2012</v>
      </c>
      <c r="F68" s="572" t="s">
        <v>519</v>
      </c>
      <c r="G68" s="572">
        <v>2012</v>
      </c>
      <c r="H68" s="572">
        <v>2019</v>
      </c>
      <c r="I68" s="631">
        <v>0.75430277628899789</v>
      </c>
      <c r="J68" s="572">
        <v>6</v>
      </c>
      <c r="K68" s="622">
        <f>'EU Bus Gas'!$D$70*TRA_Buses!$V$9</f>
        <v>1.8500000000000001E-3</v>
      </c>
      <c r="L68" s="621">
        <v>1504.7804222459822</v>
      </c>
      <c r="M68" s="476">
        <v>5</v>
      </c>
      <c r="N68" s="1530">
        <f t="array" ref="N68">INDEX(EMIS_factors!$G$6:$O$152,MATCH($E68&amp;$S68,EMIS_factors!$E$6:$E$152&amp;EMIS_factors!$D$6:$D$152,0),MATCH(RIGHT(N$3,6),EMIS_factors!$G$4:$O$4,0))</f>
        <v>0</v>
      </c>
      <c r="O68" s="1530">
        <f t="array" ref="O68">INDEX(EMIS_factors!$G$6:$O$152,MATCH($E68&amp;$S68,EMIS_factors!$E$6:$E$152&amp;EMIS_factors!$D$6:$D$152,0),MATCH(RIGHT(O$3,6),EMIS_factors!$G$4:$O$4,0))</f>
        <v>6.3459365863698389</v>
      </c>
      <c r="P68" s="1530">
        <f t="array" ref="P68">INDEX(EMIS_factors!$G$6:$O$152,MATCH($E68&amp;$S68,EMIS_factors!$E$6:$E$152&amp;EMIS_factors!$D$6:$D$152,0),MATCH(RIGHT(P$3,6),EMIS_factors!$G$4:$O$4,0))</f>
        <v>5.0248286403863689E-2</v>
      </c>
      <c r="Q68" s="1530">
        <f t="array" ref="Q68">INDEX(EMIS_factors!$G$6:$O$152,MATCH($E68&amp;$S68,EMIS_factors!$E$6:$E$152&amp;EMIS_factors!$D$6:$D$152,0),MATCH(RIGHT(Q$3,6),EMIS_factors!$G$4:$O$4,0))</f>
        <v>184.77515886469322</v>
      </c>
      <c r="S68" s="526" t="s">
        <v>1494</v>
      </c>
    </row>
    <row r="69" spans="1:20">
      <c r="D69" s="481" t="s">
        <v>834</v>
      </c>
      <c r="I69" s="612">
        <f>I68</f>
        <v>0.75430277628899789</v>
      </c>
      <c r="K69" s="622"/>
      <c r="L69" s="621"/>
      <c r="M69" s="476">
        <v>5</v>
      </c>
      <c r="N69" s="641"/>
      <c r="O69" s="641"/>
      <c r="P69" s="641"/>
      <c r="S69" s="526" t="s">
        <v>1494</v>
      </c>
    </row>
    <row r="70" spans="1:20">
      <c r="B70" s="574"/>
      <c r="C70" s="574"/>
      <c r="D70" s="481" t="s">
        <v>835</v>
      </c>
      <c r="I70" s="612">
        <f>I68</f>
        <v>0.75430277628899789</v>
      </c>
      <c r="K70" s="622"/>
      <c r="L70" s="621"/>
      <c r="M70" s="476">
        <v>5</v>
      </c>
      <c r="N70" s="641"/>
      <c r="O70" s="641"/>
      <c r="P70" s="641"/>
      <c r="S70" s="526" t="s">
        <v>1494</v>
      </c>
    </row>
    <row r="71" spans="1:20">
      <c r="B71" s="574"/>
      <c r="C71" s="574"/>
      <c r="D71" s="481" t="s">
        <v>836</v>
      </c>
      <c r="I71" s="612">
        <f>I68</f>
        <v>0.75430277628899789</v>
      </c>
      <c r="M71" s="476">
        <v>5</v>
      </c>
      <c r="N71" s="641"/>
      <c r="O71" s="641"/>
      <c r="P71" s="641"/>
      <c r="S71" s="526" t="s">
        <v>1494</v>
      </c>
    </row>
    <row r="72" spans="1:20">
      <c r="B72" s="588" t="s">
        <v>863</v>
      </c>
      <c r="C72" s="574" t="s">
        <v>521</v>
      </c>
      <c r="D72" s="574" t="s">
        <v>833</v>
      </c>
      <c r="E72" s="476">
        <v>2020</v>
      </c>
      <c r="F72" s="476" t="s">
        <v>519</v>
      </c>
      <c r="G72" s="476">
        <v>2020</v>
      </c>
      <c r="H72" s="579">
        <v>2034</v>
      </c>
      <c r="I72" s="612">
        <v>0.83332894450589323</v>
      </c>
      <c r="J72" s="476">
        <v>6</v>
      </c>
      <c r="K72" s="622">
        <f>'EU Bus Gas'!$D$70*TRA_Buses!$V$9</f>
        <v>1.8500000000000001E-3</v>
      </c>
      <c r="L72" s="621">
        <v>1504.7804222459822</v>
      </c>
      <c r="M72" s="476">
        <v>5</v>
      </c>
      <c r="N72" s="1530">
        <f t="array" ref="N72">INDEX(EMIS_factors!$G$6:$O$152,MATCH($E72&amp;$S72,EMIS_factors!$E$6:$E$152&amp;EMIS_factors!$D$6:$D$152,0),MATCH(RIGHT(N$3,6),EMIS_factors!$G$4:$O$4,0))</f>
        <v>0</v>
      </c>
      <c r="O72" s="1530">
        <f t="array" ref="O72">INDEX(EMIS_factors!$G$6:$O$152,MATCH($E72&amp;$S72,EMIS_factors!$E$6:$E$152&amp;EMIS_factors!$D$6:$D$152,0),MATCH(RIGHT(O$3,6),EMIS_factors!$G$4:$O$4,0))</f>
        <v>2.0082437315223238</v>
      </c>
      <c r="P72" s="1530">
        <f t="array" ref="P72">INDEX(EMIS_factors!$G$6:$O$152,MATCH($E72&amp;$S72,EMIS_factors!$E$6:$E$152&amp;EMIS_factors!$D$6:$D$152,0),MATCH(RIGHT(P$3,6),EMIS_factors!$G$4:$O$4,0))</f>
        <v>7.7625581133269348E-3</v>
      </c>
      <c r="Q72" s="1530">
        <f t="array" ref="Q72">INDEX(EMIS_factors!$G$6:$O$152,MATCH($E72&amp;$S72,EMIS_factors!$E$6:$E$152&amp;EMIS_factors!$D$6:$D$152,0),MATCH(RIGHT(Q$3,6),EMIS_factors!$G$4:$O$4,0))</f>
        <v>184.99469536935541</v>
      </c>
      <c r="S72" s="526" t="s">
        <v>1494</v>
      </c>
    </row>
    <row r="73" spans="1:20">
      <c r="D73" s="481" t="s">
        <v>834</v>
      </c>
      <c r="H73" s="579"/>
      <c r="I73" s="612">
        <f>I72</f>
        <v>0.83332894450589323</v>
      </c>
      <c r="K73" s="622"/>
      <c r="L73" s="621"/>
      <c r="M73" s="476">
        <v>5</v>
      </c>
      <c r="S73" s="526" t="s">
        <v>1494</v>
      </c>
    </row>
    <row r="74" spans="1:20">
      <c r="B74" s="574"/>
      <c r="C74" s="574"/>
      <c r="D74" s="481" t="s">
        <v>835</v>
      </c>
      <c r="H74" s="579"/>
      <c r="I74" s="612">
        <f>I72</f>
        <v>0.83332894450589323</v>
      </c>
      <c r="K74" s="622"/>
      <c r="L74" s="621"/>
      <c r="M74" s="476">
        <v>5</v>
      </c>
      <c r="S74" s="526" t="s">
        <v>1494</v>
      </c>
    </row>
    <row r="75" spans="1:20">
      <c r="B75" s="574"/>
      <c r="C75" s="574"/>
      <c r="D75" s="481" t="s">
        <v>836</v>
      </c>
      <c r="I75" s="612">
        <f>I72</f>
        <v>0.83332894450589323</v>
      </c>
      <c r="M75" s="476">
        <v>5</v>
      </c>
      <c r="S75" s="526" t="s">
        <v>1494</v>
      </c>
    </row>
    <row r="76" spans="1:20">
      <c r="B76" s="588" t="s">
        <v>864</v>
      </c>
      <c r="C76" s="574" t="s">
        <v>522</v>
      </c>
      <c r="D76" s="574" t="s">
        <v>833</v>
      </c>
      <c r="E76" s="476">
        <v>2035</v>
      </c>
      <c r="F76" s="476" t="s">
        <v>519</v>
      </c>
      <c r="G76" s="476">
        <v>2035</v>
      </c>
      <c r="I76" s="612">
        <v>0.92857142857142883</v>
      </c>
      <c r="J76" s="476">
        <v>6</v>
      </c>
      <c r="K76" s="622">
        <f>'EU Bus Gas'!$D$70*TRA_Buses!$V$9</f>
        <v>1.8500000000000001E-3</v>
      </c>
      <c r="L76" s="621">
        <v>1504.7804222459822</v>
      </c>
      <c r="M76" s="476">
        <v>5</v>
      </c>
      <c r="N76" s="1530">
        <f t="array" ref="N76">INDEX(EMIS_factors!$G$6:$O$152,MATCH($E76&amp;$S76,EMIS_factors!$E$6:$E$152&amp;EMIS_factors!$D$6:$D$152,0),MATCH(RIGHT(N$3,6),EMIS_factors!$G$4:$O$4,0))</f>
        <v>0</v>
      </c>
      <c r="O76" s="1530">
        <f t="array" ref="O76">INDEX(EMIS_factors!$G$6:$O$152,MATCH($E76&amp;$S76,EMIS_factors!$E$6:$E$152&amp;EMIS_factors!$D$6:$D$152,0),MATCH(RIGHT(O$3,6),EMIS_factors!$G$4:$O$4,0))</f>
        <v>0.63970182542260201</v>
      </c>
      <c r="P76" s="1530">
        <f t="array" ref="P76">INDEX(EMIS_factors!$G$6:$O$152,MATCH($E76&amp;$S76,EMIS_factors!$E$6:$E$152&amp;EMIS_factors!$D$6:$D$152,0),MATCH(RIGHT(P$3,6),EMIS_factors!$G$4:$O$4,0))</f>
        <v>1.4730391280708076E-3</v>
      </c>
      <c r="Q76" s="1530">
        <f t="array" ref="Q76">INDEX(EMIS_factors!$G$6:$O$152,MATCH($E76&amp;$S76,EMIS_factors!$E$6:$E$152&amp;EMIS_factors!$D$6:$D$152,0),MATCH(RIGHT(Q$3,6),EMIS_factors!$G$4:$O$4,0))</f>
        <v>184.82536336060386</v>
      </c>
      <c r="S76" s="526" t="s">
        <v>1494</v>
      </c>
    </row>
    <row r="77" spans="1:20">
      <c r="D77" s="481" t="s">
        <v>834</v>
      </c>
      <c r="E77" s="572"/>
      <c r="F77" s="572"/>
      <c r="G77" s="572"/>
      <c r="H77" s="572"/>
      <c r="I77" s="631">
        <f>I76</f>
        <v>0.92857142857142883</v>
      </c>
      <c r="J77" s="572"/>
      <c r="K77" s="622"/>
      <c r="L77" s="621"/>
      <c r="M77" s="476">
        <v>5</v>
      </c>
      <c r="S77" s="526" t="s">
        <v>1494</v>
      </c>
      <c r="T77" s="572"/>
    </row>
    <row r="78" spans="1:20">
      <c r="B78" s="574"/>
      <c r="C78" s="574"/>
      <c r="D78" s="481" t="s">
        <v>835</v>
      </c>
      <c r="E78" s="572"/>
      <c r="F78" s="572"/>
      <c r="G78" s="572"/>
      <c r="H78" s="572"/>
      <c r="I78" s="631">
        <f>I76</f>
        <v>0.92857142857142883</v>
      </c>
      <c r="J78" s="572"/>
      <c r="K78" s="622"/>
      <c r="L78" s="621"/>
      <c r="M78" s="476">
        <v>5</v>
      </c>
      <c r="S78" s="526" t="s">
        <v>1494</v>
      </c>
      <c r="T78" s="572"/>
    </row>
    <row r="79" spans="1:20">
      <c r="B79" s="581"/>
      <c r="C79" s="581"/>
      <c r="D79" s="481" t="s">
        <v>836</v>
      </c>
      <c r="E79" s="562"/>
      <c r="F79" s="562"/>
      <c r="G79" s="562"/>
      <c r="H79" s="562"/>
      <c r="I79" s="627">
        <f>I76</f>
        <v>0.92857142857142883</v>
      </c>
      <c r="J79" s="562"/>
      <c r="K79" s="562"/>
      <c r="L79" s="562"/>
      <c r="M79" s="562">
        <v>5</v>
      </c>
      <c r="S79" s="526" t="s">
        <v>1494</v>
      </c>
      <c r="T79" s="572"/>
    </row>
    <row r="80" spans="1:20">
      <c r="B80" s="588" t="s">
        <v>865</v>
      </c>
      <c r="C80" s="574" t="s">
        <v>520</v>
      </c>
      <c r="D80" s="481" t="s">
        <v>834</v>
      </c>
      <c r="E80" s="572">
        <v>2012</v>
      </c>
      <c r="F80" s="572" t="s">
        <v>519</v>
      </c>
      <c r="G80" s="572">
        <v>2012</v>
      </c>
      <c r="H80" s="572">
        <v>2019</v>
      </c>
      <c r="I80" s="631">
        <v>0.75430277628899789</v>
      </c>
      <c r="J80" s="572">
        <v>6</v>
      </c>
      <c r="K80" s="622">
        <f>'EU Bus Gas'!$D$70*TRA_Buses!$V$9</f>
        <v>1.8500000000000001E-3</v>
      </c>
      <c r="L80" s="621">
        <f>L68*1.1</f>
        <v>1655.2584644705805</v>
      </c>
      <c r="M80" s="476">
        <v>5</v>
      </c>
      <c r="N80" s="1530">
        <f t="array" ref="N80">INDEX(EMIS_factors!$G$6:$O$152,MATCH($E80&amp;$S80,EMIS_factors!$E$6:$E$152&amp;EMIS_factors!$D$6:$D$152,0),MATCH(RIGHT(N$3,6),EMIS_factors!$G$4:$O$4,0))</f>
        <v>0</v>
      </c>
      <c r="O80" s="1530">
        <f t="array" ref="O80">INDEX(EMIS_factors!$G$6:$O$152,MATCH($E80&amp;$S80,EMIS_factors!$E$6:$E$152&amp;EMIS_factors!$D$6:$D$152,0),MATCH(RIGHT(O$3,6),EMIS_factors!$G$4:$O$4,0))</f>
        <v>6.3459365863698389</v>
      </c>
      <c r="P80" s="1530">
        <f t="array" ref="P80">INDEX(EMIS_factors!$G$6:$O$152,MATCH($E80&amp;$S80,EMIS_factors!$E$6:$E$152&amp;EMIS_factors!$D$6:$D$152,0),MATCH(RIGHT(P$3,6),EMIS_factors!$G$4:$O$4,0))</f>
        <v>5.0248286403863689E-2</v>
      </c>
      <c r="Q80" s="1530">
        <f t="array" ref="Q80">INDEX(EMIS_factors!$G$6:$O$152,MATCH($E80&amp;$S80,EMIS_factors!$E$6:$E$152&amp;EMIS_factors!$D$6:$D$152,0),MATCH(RIGHT(Q$3,6),EMIS_factors!$G$4:$O$4,0))</f>
        <v>184.77515886469322</v>
      </c>
      <c r="S80" s="526" t="s">
        <v>1494</v>
      </c>
      <c r="T80" s="572"/>
    </row>
    <row r="81" spans="2:21">
      <c r="B81" s="574"/>
      <c r="C81" s="574"/>
      <c r="D81" s="481" t="s">
        <v>835</v>
      </c>
      <c r="E81" s="572"/>
      <c r="F81" s="572"/>
      <c r="G81" s="572"/>
      <c r="H81" s="572"/>
      <c r="I81" s="631">
        <f>I80</f>
        <v>0.75430277628899789</v>
      </c>
      <c r="J81" s="572"/>
      <c r="K81" s="622"/>
      <c r="L81" s="621"/>
      <c r="M81" s="476">
        <v>5</v>
      </c>
      <c r="S81" s="526" t="s">
        <v>1494</v>
      </c>
    </row>
    <row r="82" spans="2:21">
      <c r="B82" s="574"/>
      <c r="C82" s="574"/>
      <c r="D82" s="481" t="s">
        <v>836</v>
      </c>
      <c r="E82" s="572"/>
      <c r="F82" s="572"/>
      <c r="G82" s="572"/>
      <c r="H82" s="572"/>
      <c r="I82" s="631">
        <f>I80</f>
        <v>0.75430277628899789</v>
      </c>
      <c r="J82" s="572"/>
      <c r="K82" s="622"/>
      <c r="L82" s="621"/>
      <c r="M82" s="476">
        <v>5</v>
      </c>
      <c r="S82" s="526" t="s">
        <v>1494</v>
      </c>
    </row>
    <row r="83" spans="2:21">
      <c r="B83" s="588" t="s">
        <v>866</v>
      </c>
      <c r="C83" s="574" t="s">
        <v>521</v>
      </c>
      <c r="D83" s="481" t="s">
        <v>834</v>
      </c>
      <c r="E83" s="476">
        <v>2020</v>
      </c>
      <c r="F83" s="476" t="s">
        <v>519</v>
      </c>
      <c r="G83" s="476">
        <v>2020</v>
      </c>
      <c r="H83" s="579">
        <v>2034</v>
      </c>
      <c r="I83" s="612">
        <v>0.83332894450589323</v>
      </c>
      <c r="J83" s="476">
        <v>6</v>
      </c>
      <c r="K83" s="622">
        <f>'EU Bus Gas'!$D$70*TRA_Buses!$V$9</f>
        <v>1.8500000000000001E-3</v>
      </c>
      <c r="L83" s="621">
        <f>L72*1.1</f>
        <v>1655.2584644705805</v>
      </c>
      <c r="M83" s="476">
        <v>5</v>
      </c>
      <c r="N83" s="1530">
        <f t="array" ref="N83">INDEX(EMIS_factors!$G$6:$O$152,MATCH($E83&amp;$S83,EMIS_factors!$E$6:$E$152&amp;EMIS_factors!$D$6:$D$152,0),MATCH(RIGHT(N$3,6),EMIS_factors!$G$4:$O$4,0))</f>
        <v>0</v>
      </c>
      <c r="O83" s="1530">
        <f t="array" ref="O83">INDEX(EMIS_factors!$G$6:$O$152,MATCH($E83&amp;$S83,EMIS_factors!$E$6:$E$152&amp;EMIS_factors!$D$6:$D$152,0),MATCH(RIGHT(O$3,6),EMIS_factors!$G$4:$O$4,0))</f>
        <v>2.0082437315223238</v>
      </c>
      <c r="P83" s="1530">
        <f t="array" ref="P83">INDEX(EMIS_factors!$G$6:$O$152,MATCH($E83&amp;$S83,EMIS_factors!$E$6:$E$152&amp;EMIS_factors!$D$6:$D$152,0),MATCH(RIGHT(P$3,6),EMIS_factors!$G$4:$O$4,0))</f>
        <v>7.7625581133269348E-3</v>
      </c>
      <c r="Q83" s="1530">
        <f t="array" ref="Q83">INDEX(EMIS_factors!$G$6:$O$152,MATCH($E83&amp;$S83,EMIS_factors!$E$6:$E$152&amp;EMIS_factors!$D$6:$D$152,0),MATCH(RIGHT(Q$3,6),EMIS_factors!$G$4:$O$4,0))</f>
        <v>184.99469536935541</v>
      </c>
      <c r="S83" s="526" t="s">
        <v>1494</v>
      </c>
    </row>
    <row r="84" spans="2:21">
      <c r="B84" s="574"/>
      <c r="C84" s="574"/>
      <c r="D84" s="481" t="s">
        <v>835</v>
      </c>
      <c r="H84" s="579"/>
      <c r="I84" s="612">
        <f>I83</f>
        <v>0.83332894450589323</v>
      </c>
      <c r="K84" s="622"/>
      <c r="L84" s="621"/>
      <c r="M84" s="476">
        <v>5</v>
      </c>
      <c r="S84" s="526" t="s">
        <v>1494</v>
      </c>
    </row>
    <row r="85" spans="2:21">
      <c r="B85" s="574"/>
      <c r="C85" s="574"/>
      <c r="D85" s="481" t="s">
        <v>836</v>
      </c>
      <c r="H85" s="579"/>
      <c r="I85" s="612">
        <f>I83</f>
        <v>0.83332894450589323</v>
      </c>
      <c r="K85" s="622"/>
      <c r="L85" s="621"/>
      <c r="M85" s="476">
        <v>5</v>
      </c>
      <c r="S85" s="526" t="s">
        <v>1494</v>
      </c>
    </row>
    <row r="86" spans="2:21">
      <c r="B86" s="588" t="s">
        <v>867</v>
      </c>
      <c r="C86" s="574" t="s">
        <v>522</v>
      </c>
      <c r="D86" s="481" t="s">
        <v>834</v>
      </c>
      <c r="E86" s="476">
        <v>2035</v>
      </c>
      <c r="F86" s="476" t="s">
        <v>519</v>
      </c>
      <c r="G86" s="476">
        <v>2035</v>
      </c>
      <c r="I86" s="612">
        <v>0.92857142857142883</v>
      </c>
      <c r="J86" s="572">
        <v>6</v>
      </c>
      <c r="K86" s="622">
        <f>'EU Bus Gas'!$D$70*TRA_Buses!$V$9</f>
        <v>1.8500000000000001E-3</v>
      </c>
      <c r="L86" s="621">
        <f>L76*1.1</f>
        <v>1655.2584644705805</v>
      </c>
      <c r="M86" s="476">
        <v>5</v>
      </c>
      <c r="N86" s="1530">
        <f t="array" ref="N86">INDEX(EMIS_factors!$G$6:$O$152,MATCH($E86&amp;$S86,EMIS_factors!$E$6:$E$152&amp;EMIS_factors!$D$6:$D$152,0),MATCH(RIGHT(N$3,6),EMIS_factors!$G$4:$O$4,0))</f>
        <v>0</v>
      </c>
      <c r="O86" s="1530">
        <f t="array" ref="O86">INDEX(EMIS_factors!$G$6:$O$152,MATCH($E86&amp;$S86,EMIS_factors!$E$6:$E$152&amp;EMIS_factors!$D$6:$D$152,0),MATCH(RIGHT(O$3,6),EMIS_factors!$G$4:$O$4,0))</f>
        <v>0.63970182542260201</v>
      </c>
      <c r="P86" s="1530">
        <f t="array" ref="P86">INDEX(EMIS_factors!$G$6:$O$152,MATCH($E86&amp;$S86,EMIS_factors!$E$6:$E$152&amp;EMIS_factors!$D$6:$D$152,0),MATCH(RIGHT(P$3,6),EMIS_factors!$G$4:$O$4,0))</f>
        <v>1.4730391280708076E-3</v>
      </c>
      <c r="Q86" s="1530">
        <f t="array" ref="Q86">INDEX(EMIS_factors!$G$6:$O$152,MATCH($E86&amp;$S86,EMIS_factors!$E$6:$E$152&amp;EMIS_factors!$D$6:$D$152,0),MATCH(RIGHT(Q$3,6),EMIS_factors!$G$4:$O$4,0))</f>
        <v>184.82536336060386</v>
      </c>
      <c r="S86" s="526" t="s">
        <v>1494</v>
      </c>
    </row>
    <row r="87" spans="2:21">
      <c r="B87" s="572"/>
      <c r="C87" s="579"/>
      <c r="D87" s="481" t="s">
        <v>835</v>
      </c>
      <c r="I87" s="612">
        <f>I86</f>
        <v>0.92857142857142883</v>
      </c>
      <c r="K87" s="622"/>
      <c r="L87" s="580"/>
      <c r="M87" s="476">
        <v>5</v>
      </c>
      <c r="S87" s="526" t="s">
        <v>1494</v>
      </c>
    </row>
    <row r="88" spans="2:21">
      <c r="B88" s="572"/>
      <c r="C88" s="579"/>
      <c r="D88" s="481" t="s">
        <v>836</v>
      </c>
      <c r="I88" s="612">
        <f>I86</f>
        <v>0.92857142857142883</v>
      </c>
      <c r="K88" s="621"/>
      <c r="L88" s="580"/>
      <c r="M88" s="476">
        <v>5</v>
      </c>
      <c r="S88" s="526" t="s">
        <v>1494</v>
      </c>
    </row>
    <row r="89" spans="2:21">
      <c r="B89" s="572"/>
      <c r="C89" s="573"/>
      <c r="D89" s="574"/>
      <c r="E89" s="572"/>
      <c r="F89" s="594"/>
      <c r="G89" s="572"/>
      <c r="H89" s="572"/>
      <c r="I89" s="631"/>
      <c r="J89" s="572"/>
      <c r="K89" s="636"/>
      <c r="L89" s="621"/>
    </row>
    <row r="90" spans="2:21">
      <c r="B90" s="572"/>
      <c r="C90" s="573"/>
      <c r="D90" s="574"/>
      <c r="E90" s="572"/>
      <c r="F90" s="594"/>
      <c r="G90" s="572"/>
      <c r="H90" s="572"/>
      <c r="I90" s="631"/>
      <c r="J90" s="572"/>
      <c r="K90" s="636"/>
      <c r="L90" s="621"/>
      <c r="U90" s="636"/>
    </row>
    <row r="91" spans="2:21">
      <c r="B91" s="572"/>
      <c r="C91" s="579"/>
      <c r="D91" s="574"/>
      <c r="I91" s="612"/>
      <c r="K91" s="637"/>
      <c r="L91" s="580"/>
    </row>
    <row r="92" spans="2:21">
      <c r="B92" s="572"/>
      <c r="C92" s="594"/>
      <c r="D92" s="572"/>
      <c r="E92" s="572"/>
      <c r="F92" s="572"/>
      <c r="G92" s="572"/>
      <c r="H92" s="631"/>
      <c r="I92" s="572"/>
      <c r="J92" s="626"/>
      <c r="K92" s="572"/>
      <c r="L92" s="621"/>
      <c r="M92" s="621"/>
    </row>
    <row r="93" spans="2:21">
      <c r="C93" s="579"/>
      <c r="E93" s="572"/>
      <c r="H93" s="612"/>
    </row>
    <row r="94" spans="2:21">
      <c r="D94" s="579"/>
      <c r="K94" s="637"/>
    </row>
    <row r="95" spans="2:21">
      <c r="B95" s="595" t="s">
        <v>62</v>
      </c>
      <c r="C95" s="595"/>
      <c r="D95" s="596"/>
      <c r="E95" s="596"/>
      <c r="F95" s="596"/>
      <c r="G95" s="596"/>
      <c r="H95" s="596"/>
      <c r="I95" s="596"/>
      <c r="K95" s="637"/>
    </row>
    <row r="96" spans="2:21" ht="13.8">
      <c r="B96" s="597" t="s">
        <v>63</v>
      </c>
      <c r="C96" s="597" t="s">
        <v>1</v>
      </c>
      <c r="D96" s="597" t="s">
        <v>64</v>
      </c>
      <c r="E96" s="597" t="s">
        <v>65</v>
      </c>
      <c r="F96" s="597" t="s">
        <v>66</v>
      </c>
      <c r="G96" s="597" t="s">
        <v>67</v>
      </c>
      <c r="H96" s="597" t="s">
        <v>68</v>
      </c>
      <c r="I96" s="597" t="s">
        <v>69</v>
      </c>
      <c r="K96" s="637"/>
    </row>
    <row r="97" spans="2:11" ht="21" thickBot="1">
      <c r="B97" s="598" t="s">
        <v>70</v>
      </c>
      <c r="C97" s="598" t="s">
        <v>71</v>
      </c>
      <c r="D97" s="598" t="s">
        <v>72</v>
      </c>
      <c r="E97" s="598" t="s">
        <v>73</v>
      </c>
      <c r="F97" s="598" t="s">
        <v>74</v>
      </c>
      <c r="G97" s="598" t="s">
        <v>75</v>
      </c>
      <c r="H97" s="598" t="s">
        <v>76</v>
      </c>
      <c r="I97" s="598" t="s">
        <v>77</v>
      </c>
      <c r="K97" s="637"/>
    </row>
    <row r="98" spans="2:11">
      <c r="B98" s="599" t="s">
        <v>78</v>
      </c>
      <c r="C98" s="585" t="str">
        <f>B5</f>
        <v>TPBUELCX1N</v>
      </c>
      <c r="D98" s="600" t="s">
        <v>511</v>
      </c>
      <c r="E98" s="599" t="s">
        <v>81</v>
      </c>
      <c r="F98" s="601" t="s">
        <v>82</v>
      </c>
      <c r="I98" s="601" t="s">
        <v>79</v>
      </c>
    </row>
    <row r="99" spans="2:11">
      <c r="C99" s="638" t="str">
        <f>B17</f>
        <v>TPCOELCX1N</v>
      </c>
      <c r="D99" s="600" t="s">
        <v>512</v>
      </c>
      <c r="E99" s="599" t="s">
        <v>81</v>
      </c>
      <c r="F99" s="601" t="s">
        <v>82</v>
      </c>
      <c r="I99" s="601" t="s">
        <v>79</v>
      </c>
    </row>
    <row r="100" spans="2:11">
      <c r="C100" s="572" t="str">
        <f>B26</f>
        <v>TPBUDSBL2H</v>
      </c>
      <c r="D100" s="600" t="s">
        <v>513</v>
      </c>
      <c r="E100" s="599" t="s">
        <v>81</v>
      </c>
      <c r="F100" s="601" t="s">
        <v>82</v>
      </c>
    </row>
    <row r="101" spans="2:11">
      <c r="C101" s="572" t="str">
        <f>B30</f>
        <v>TPBUDSBL3H</v>
      </c>
      <c r="D101" s="600" t="s">
        <v>514</v>
      </c>
      <c r="E101" s="599" t="s">
        <v>81</v>
      </c>
      <c r="F101" s="601" t="s">
        <v>82</v>
      </c>
    </row>
    <row r="102" spans="2:11">
      <c r="C102" s="572" t="str">
        <f>B34</f>
        <v>TPBUDSBL4H</v>
      </c>
      <c r="D102" s="600" t="s">
        <v>515</v>
      </c>
      <c r="E102" s="599" t="s">
        <v>81</v>
      </c>
      <c r="F102" s="601" t="s">
        <v>82</v>
      </c>
    </row>
    <row r="103" spans="2:11">
      <c r="C103" s="572" t="str">
        <f>B38</f>
        <v>TPCODSBL2H</v>
      </c>
      <c r="D103" s="600" t="s">
        <v>516</v>
      </c>
      <c r="E103" s="599" t="s">
        <v>81</v>
      </c>
      <c r="F103" s="601" t="s">
        <v>82</v>
      </c>
    </row>
    <row r="104" spans="2:11">
      <c r="C104" s="572" t="str">
        <f>B41</f>
        <v>TPCODSBL3H</v>
      </c>
      <c r="D104" s="600" t="s">
        <v>517</v>
      </c>
      <c r="E104" s="599" t="s">
        <v>81</v>
      </c>
      <c r="F104" s="601" t="s">
        <v>82</v>
      </c>
    </row>
    <row r="105" spans="2:11">
      <c r="C105" s="572" t="str">
        <f t="shared" ref="C105" si="2">B44</f>
        <v>TPCODSBL4H</v>
      </c>
      <c r="D105" s="600" t="s">
        <v>518</v>
      </c>
      <c r="E105" s="599" t="s">
        <v>81</v>
      </c>
      <c r="F105" s="601" t="s">
        <v>82</v>
      </c>
    </row>
    <row r="106" spans="2:11">
      <c r="C106" s="588" t="str">
        <f>B47</f>
        <v>TPBUDSBL2N</v>
      </c>
      <c r="D106" s="600" t="s">
        <v>523</v>
      </c>
      <c r="E106" s="599" t="s">
        <v>81</v>
      </c>
      <c r="F106" s="601" t="s">
        <v>82</v>
      </c>
    </row>
    <row r="107" spans="2:11">
      <c r="C107" s="588" t="str">
        <f>B51</f>
        <v>TPBUDSBL3N</v>
      </c>
      <c r="D107" s="600" t="s">
        <v>524</v>
      </c>
      <c r="E107" s="599" t="s">
        <v>81</v>
      </c>
      <c r="F107" s="601" t="s">
        <v>82</v>
      </c>
    </row>
    <row r="108" spans="2:11">
      <c r="C108" s="588" t="str">
        <f>B55</f>
        <v>TPBUDSBL4N</v>
      </c>
      <c r="D108" s="600" t="s">
        <v>525</v>
      </c>
      <c r="E108" s="599" t="s">
        <v>81</v>
      </c>
      <c r="F108" s="601" t="s">
        <v>82</v>
      </c>
    </row>
    <row r="109" spans="2:11">
      <c r="C109" s="588" t="str">
        <f>B59</f>
        <v>TPCODSBL2N</v>
      </c>
      <c r="D109" s="600" t="s">
        <v>526</v>
      </c>
      <c r="E109" s="599" t="s">
        <v>81</v>
      </c>
      <c r="F109" s="601" t="s">
        <v>82</v>
      </c>
    </row>
    <row r="110" spans="2:11">
      <c r="C110" s="588" t="str">
        <f>B62</f>
        <v>TPCODSBL3N</v>
      </c>
      <c r="D110" s="600" t="s">
        <v>527</v>
      </c>
      <c r="E110" s="599" t="s">
        <v>81</v>
      </c>
      <c r="F110" s="601" t="s">
        <v>82</v>
      </c>
    </row>
    <row r="111" spans="2:11">
      <c r="C111" s="588" t="str">
        <f>B65</f>
        <v>TPCODSBL4N</v>
      </c>
      <c r="D111" s="600" t="s">
        <v>528</v>
      </c>
      <c r="E111" s="599" t="s">
        <v>81</v>
      </c>
      <c r="F111" s="601" t="s">
        <v>82</v>
      </c>
    </row>
    <row r="112" spans="2:11">
      <c r="C112" s="572" t="str">
        <f>B68</f>
        <v>TPBUNGBL2N</v>
      </c>
      <c r="D112" s="600" t="s">
        <v>529</v>
      </c>
      <c r="E112" s="599" t="s">
        <v>81</v>
      </c>
      <c r="F112" s="601" t="s">
        <v>82</v>
      </c>
    </row>
    <row r="113" spans="3:6">
      <c r="C113" s="572" t="str">
        <f>B72</f>
        <v>TPBUNGBL3N</v>
      </c>
      <c r="D113" s="600" t="s">
        <v>530</v>
      </c>
      <c r="E113" s="599" t="s">
        <v>81</v>
      </c>
      <c r="F113" s="601" t="s">
        <v>82</v>
      </c>
    </row>
    <row r="114" spans="3:6">
      <c r="C114" s="572" t="str">
        <f>B76</f>
        <v>TPBUNGBL4N</v>
      </c>
      <c r="D114" s="600" t="s">
        <v>531</v>
      </c>
      <c r="E114" s="599" t="s">
        <v>81</v>
      </c>
      <c r="F114" s="601" t="s">
        <v>82</v>
      </c>
    </row>
    <row r="115" spans="3:6">
      <c r="C115" s="572" t="str">
        <f>B80</f>
        <v>TPCONGBL2N</v>
      </c>
      <c r="D115" s="600" t="s">
        <v>532</v>
      </c>
      <c r="E115" s="599" t="s">
        <v>81</v>
      </c>
      <c r="F115" s="601" t="s">
        <v>82</v>
      </c>
    </row>
    <row r="116" spans="3:6">
      <c r="C116" s="572" t="str">
        <f>B83</f>
        <v>TPCONGBL3N</v>
      </c>
      <c r="D116" s="600" t="s">
        <v>533</v>
      </c>
      <c r="E116" s="599" t="s">
        <v>81</v>
      </c>
      <c r="F116" s="601" t="s">
        <v>82</v>
      </c>
    </row>
    <row r="117" spans="3:6">
      <c r="C117" s="572" t="str">
        <f>B86</f>
        <v>TPCONGBL4N</v>
      </c>
      <c r="D117" s="600" t="s">
        <v>534</v>
      </c>
      <c r="E117" s="599" t="s">
        <v>81</v>
      </c>
      <c r="F117" s="601" t="s">
        <v>82</v>
      </c>
    </row>
  </sheetData>
  <mergeCells count="1">
    <mergeCell ref="U8:W8"/>
  </mergeCells>
  <pageMargins left="0.7" right="0.7" top="0.75" bottom="0.75" header="0.3" footer="0.3"/>
  <pageSetup paperSize="9" orientation="portrait" verticalDpi="0"/>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tabColor rgb="FF002060"/>
  </sheetPr>
  <dimension ref="A1:Y122"/>
  <sheetViews>
    <sheetView zoomScale="80" zoomScaleNormal="80" workbookViewId="0">
      <selection activeCell="H28" sqref="H28"/>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7" width="9.109375" style="264"/>
    <col min="18" max="18" width="11.88671875" style="264" customWidth="1"/>
    <col min="19" max="16384" width="9.109375" style="264"/>
  </cols>
  <sheetData>
    <row r="1" spans="1:19" s="60" customFormat="1" ht="21">
      <c r="B1" s="60" t="s">
        <v>154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155</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232</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133</v>
      </c>
      <c r="D23" s="271">
        <f>D71</f>
        <v>0.1199250468457214</v>
      </c>
      <c r="E23" s="270">
        <f>E71</f>
        <v>0.12987012987012986</v>
      </c>
      <c r="F23" s="270">
        <f>F71</f>
        <v>0.15020080321285142</v>
      </c>
      <c r="G23" s="270">
        <f>G71</f>
        <v>0.17019319227230914</v>
      </c>
      <c r="H23" s="145"/>
      <c r="I23" s="184"/>
      <c r="J23" s="72"/>
      <c r="K23" s="241"/>
      <c r="L23" s="63"/>
      <c r="M23" s="63"/>
      <c r="N23" s="63"/>
      <c r="O23" s="63"/>
      <c r="P23" s="63"/>
      <c r="Q23" s="63"/>
    </row>
    <row r="24" spans="1:17">
      <c r="A24" s="63"/>
      <c r="B24" s="143" t="s">
        <v>103</v>
      </c>
      <c r="C24" s="116" t="s">
        <v>133</v>
      </c>
      <c r="D24" s="142">
        <f>D23</f>
        <v>0.1199250468457214</v>
      </c>
      <c r="E24" s="141">
        <f>E23</f>
        <v>0.12987012987012986</v>
      </c>
      <c r="F24" s="141">
        <f>F23</f>
        <v>0.15020080321285142</v>
      </c>
      <c r="G24" s="141">
        <f>G23</f>
        <v>0.17019319227230914</v>
      </c>
      <c r="H24" s="145"/>
      <c r="I24" s="184"/>
      <c r="J24" s="72"/>
      <c r="K24" s="241"/>
      <c r="L24" s="63"/>
      <c r="M24" s="63"/>
      <c r="N24" s="63"/>
      <c r="O24" s="63"/>
      <c r="P24" s="63"/>
      <c r="Q24" s="63"/>
    </row>
    <row r="25" spans="1:17">
      <c r="A25" s="63"/>
      <c r="B25" s="143" t="s">
        <v>104</v>
      </c>
      <c r="C25" s="116" t="s">
        <v>105</v>
      </c>
      <c r="D25" s="142">
        <f>D75</f>
        <v>16.010000000000002</v>
      </c>
      <c r="E25" s="141">
        <f>E75</f>
        <v>14.63</v>
      </c>
      <c r="F25" s="141">
        <f>F75</f>
        <v>12.45</v>
      </c>
      <c r="G25" s="141">
        <f>G75</f>
        <v>10.87</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1384169.5414063041</v>
      </c>
      <c r="E31" s="134">
        <v>1384169.5414063041</v>
      </c>
      <c r="F31" s="134">
        <v>1384169.5414063041</v>
      </c>
      <c r="G31" s="134">
        <v>1384169.5414063041</v>
      </c>
      <c r="H31" s="133">
        <v>2015</v>
      </c>
      <c r="I31" s="77"/>
      <c r="J31" s="72"/>
    </row>
    <row r="32" spans="1:17" s="63" customFormat="1">
      <c r="B32" s="76" t="s">
        <v>16</v>
      </c>
      <c r="C32" s="116" t="s">
        <v>17</v>
      </c>
      <c r="D32" s="134">
        <v>3093.4575364520883</v>
      </c>
      <c r="E32" s="134">
        <v>3126.0202473621098</v>
      </c>
      <c r="F32" s="134">
        <v>3176.1703048064219</v>
      </c>
      <c r="G32" s="134">
        <v>3210.5072810745992</v>
      </c>
      <c r="H32" s="133">
        <v>2015</v>
      </c>
      <c r="I32" s="77"/>
      <c r="J32" s="72"/>
    </row>
    <row r="33" spans="1:17" s="63" customFormat="1">
      <c r="B33" s="127" t="s">
        <v>18</v>
      </c>
      <c r="C33" s="116" t="s">
        <v>17</v>
      </c>
      <c r="D33" s="134">
        <v>2119.9127680590059</v>
      </c>
      <c r="E33" s="134">
        <v>2142.2276393017319</v>
      </c>
      <c r="F33" s="134">
        <v>2176.594927632776</v>
      </c>
      <c r="G33" s="134">
        <v>2200.1256836071843</v>
      </c>
      <c r="H33" s="133">
        <v>2015</v>
      </c>
      <c r="I33" s="77"/>
      <c r="J33" s="72"/>
    </row>
    <row r="34" spans="1:17" s="63" customFormat="1">
      <c r="B34" s="127" t="s">
        <v>19</v>
      </c>
      <c r="C34" s="116" t="s">
        <v>17</v>
      </c>
      <c r="D34" s="134">
        <v>973.54476839308234</v>
      </c>
      <c r="E34" s="134">
        <v>983.7926080603778</v>
      </c>
      <c r="F34" s="134">
        <v>999.57537717364585</v>
      </c>
      <c r="G34" s="134">
        <v>1010.381597467415</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v>1332921.6972839427</v>
      </c>
      <c r="E38" s="326">
        <v>1332921.6972839427</v>
      </c>
      <c r="F38" s="326">
        <v>1332921.6972839427</v>
      </c>
      <c r="G38" s="326">
        <v>1332921.6972839427</v>
      </c>
      <c r="H38" s="128">
        <v>2013</v>
      </c>
      <c r="I38" s="97" t="s">
        <v>605</v>
      </c>
      <c r="J38" s="117"/>
      <c r="K38" s="241"/>
      <c r="L38" s="63"/>
      <c r="M38" s="63"/>
      <c r="N38" s="63"/>
      <c r="O38" s="63"/>
      <c r="P38" s="63"/>
      <c r="Q38" s="63"/>
    </row>
    <row r="39" spans="1:17">
      <c r="A39" s="63"/>
      <c r="B39" s="76" t="s">
        <v>16</v>
      </c>
      <c r="C39" s="116" t="s">
        <v>17</v>
      </c>
      <c r="D39" s="254">
        <f>+SUM(D40:D43)</f>
        <v>2978.9245801307316</v>
      </c>
      <c r="E39" s="255">
        <f>+SUM(E40:E43)</f>
        <v>3010.2816809742126</v>
      </c>
      <c r="F39" s="255">
        <f>+SUM(F40:F43)</f>
        <v>3058.5749699737989</v>
      </c>
      <c r="G39" s="255">
        <f>+SUM(G40:G43)</f>
        <v>3091.6406453248669</v>
      </c>
      <c r="H39" s="128">
        <v>2013</v>
      </c>
      <c r="I39" s="184"/>
      <c r="J39" s="72"/>
      <c r="K39" s="241"/>
      <c r="L39" s="63"/>
      <c r="M39" s="63"/>
      <c r="N39" s="63"/>
      <c r="O39" s="63"/>
      <c r="P39" s="63"/>
      <c r="Q39" s="63"/>
    </row>
    <row r="40" spans="1:17">
      <c r="A40" s="63"/>
      <c r="B40" s="127" t="s">
        <v>18</v>
      </c>
      <c r="C40" s="116" t="s">
        <v>17</v>
      </c>
      <c r="D40" s="254">
        <v>2041.4245801307313</v>
      </c>
      <c r="E40" s="255">
        <v>2062.9132599215809</v>
      </c>
      <c r="F40" s="255">
        <v>2096.0081250540129</v>
      </c>
      <c r="G40" s="255">
        <v>2118.667672351894</v>
      </c>
      <c r="H40" s="128">
        <v>2013</v>
      </c>
      <c r="I40" s="184"/>
      <c r="J40" s="72"/>
      <c r="K40" s="241"/>
      <c r="L40" s="63"/>
      <c r="M40" s="63"/>
      <c r="N40" s="63"/>
      <c r="O40" s="63"/>
      <c r="P40" s="63"/>
      <c r="Q40" s="63"/>
    </row>
    <row r="41" spans="1:17">
      <c r="A41" s="63"/>
      <c r="B41" s="127" t="s">
        <v>19</v>
      </c>
      <c r="C41" s="116" t="s">
        <v>17</v>
      </c>
      <c r="D41" s="254">
        <f>(D68*D69)/D28</f>
        <v>937.50000000000011</v>
      </c>
      <c r="E41" s="255">
        <f>(E68*E69)/E28</f>
        <v>947.36842105263156</v>
      </c>
      <c r="F41" s="255">
        <f>(F68*F69)/F28</f>
        <v>962.56684491978604</v>
      </c>
      <c r="G41" s="255">
        <f>(G68*G69)/G28</f>
        <v>972.97297297297291</v>
      </c>
      <c r="H41" s="128">
        <v>2013</v>
      </c>
      <c r="I41" s="184"/>
      <c r="J41" s="117" t="s">
        <v>156</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5">
        <v>0</v>
      </c>
      <c r="F43" s="255">
        <v>0</v>
      </c>
      <c r="G43" s="255">
        <v>0</v>
      </c>
      <c r="H43" s="128">
        <v>2013</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134</v>
      </c>
      <c r="D47" s="252"/>
      <c r="E47" s="119"/>
      <c r="F47" s="119"/>
      <c r="G47" s="119"/>
      <c r="H47" s="124"/>
      <c r="I47" s="184"/>
      <c r="J47" s="117" t="s">
        <v>115</v>
      </c>
      <c r="K47" s="241"/>
      <c r="L47" s="63"/>
      <c r="M47" s="63"/>
      <c r="N47" s="63"/>
      <c r="O47" s="63"/>
      <c r="P47" s="63"/>
      <c r="Q47" s="63"/>
    </row>
    <row r="48" spans="1:17">
      <c r="A48" s="63"/>
      <c r="B48" s="76" t="s">
        <v>21</v>
      </c>
      <c r="C48" s="116" t="s">
        <v>134</v>
      </c>
      <c r="D48" s="122">
        <f t="shared" ref="D48:G52" si="0">D78/D$75</f>
        <v>3.6492051807463747E-4</v>
      </c>
      <c r="E48" s="122">
        <f t="shared" si="0"/>
        <v>1.3657553703384776E-4</v>
      </c>
      <c r="F48" s="122">
        <f t="shared" si="0"/>
        <v>1.3657553703384776E-4</v>
      </c>
      <c r="G48" s="122">
        <f t="shared" si="0"/>
        <v>1.3657553703384776E-4</v>
      </c>
      <c r="H48" s="118"/>
      <c r="I48" s="184"/>
      <c r="J48" s="72"/>
      <c r="K48" s="241"/>
      <c r="L48" s="63"/>
      <c r="M48" s="63"/>
      <c r="N48" s="63"/>
      <c r="O48" s="63"/>
      <c r="P48" s="63"/>
      <c r="Q48" s="63"/>
    </row>
    <row r="49" spans="1:17">
      <c r="A49" s="63"/>
      <c r="B49" s="76" t="s">
        <v>22</v>
      </c>
      <c r="C49" s="116" t="s">
        <v>134</v>
      </c>
      <c r="D49" s="122">
        <f t="shared" si="0"/>
        <v>2.8831426319335706E-3</v>
      </c>
      <c r="E49" s="122">
        <f t="shared" si="0"/>
        <v>3.8168443449451881E-3</v>
      </c>
      <c r="F49" s="122">
        <f t="shared" si="0"/>
        <v>3.8168443449451881E-3</v>
      </c>
      <c r="G49" s="122">
        <f t="shared" si="0"/>
        <v>3.8168443449451885E-3</v>
      </c>
      <c r="H49" s="96"/>
      <c r="I49" s="184"/>
      <c r="J49" s="72"/>
      <c r="K49" s="241"/>
      <c r="L49" s="63"/>
      <c r="M49" s="63"/>
      <c r="N49" s="63"/>
      <c r="O49" s="63"/>
      <c r="P49" s="63"/>
      <c r="Q49" s="63"/>
    </row>
    <row r="50" spans="1:17">
      <c r="A50" s="63"/>
      <c r="B50" s="76" t="s">
        <v>23</v>
      </c>
      <c r="C50" s="116" t="s">
        <v>134</v>
      </c>
      <c r="D50" s="122">
        <f t="shared" si="0"/>
        <v>4.6837408023728803E-4</v>
      </c>
      <c r="E50" s="122">
        <f t="shared" si="0"/>
        <v>4.6837408023728798E-4</v>
      </c>
      <c r="F50" s="122">
        <f t="shared" si="0"/>
        <v>4.6837408023728798E-4</v>
      </c>
      <c r="G50" s="122">
        <f t="shared" si="0"/>
        <v>4.6837408023728798E-4</v>
      </c>
      <c r="H50" s="123"/>
      <c r="I50" s="184"/>
      <c r="J50" s="72"/>
      <c r="K50" s="241"/>
      <c r="L50" s="63"/>
      <c r="M50" s="63"/>
      <c r="N50" s="63"/>
      <c r="O50" s="63"/>
      <c r="P50" s="63"/>
      <c r="Q50" s="63"/>
    </row>
    <row r="51" spans="1:17">
      <c r="A51" s="63"/>
      <c r="B51" s="76" t="s">
        <v>116</v>
      </c>
      <c r="C51" s="116" t="s">
        <v>134</v>
      </c>
      <c r="D51" s="122">
        <f t="shared" si="0"/>
        <v>0.42120742294108487</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134</v>
      </c>
      <c r="D52" s="122">
        <f t="shared" si="0"/>
        <v>3.2868980174215008E-3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134</v>
      </c>
      <c r="D55" s="252"/>
      <c r="E55" s="119"/>
      <c r="F55" s="119"/>
      <c r="G55" s="119"/>
      <c r="H55" s="194"/>
      <c r="I55" s="184"/>
      <c r="J55" s="117" t="s">
        <v>115</v>
      </c>
      <c r="K55" s="241"/>
      <c r="L55" s="63"/>
      <c r="M55" s="63"/>
      <c r="N55" s="63"/>
      <c r="O55" s="63"/>
      <c r="P55" s="63"/>
      <c r="Q55" s="63"/>
    </row>
    <row r="56" spans="1:17">
      <c r="A56" s="63"/>
      <c r="B56" s="76" t="s">
        <v>21</v>
      </c>
      <c r="C56" s="116" t="s">
        <v>134</v>
      </c>
      <c r="D56" s="115">
        <f t="shared" ref="D56:G60" si="1">D48</f>
        <v>3.6492051807463747E-4</v>
      </c>
      <c r="E56" s="115">
        <f t="shared" si="1"/>
        <v>1.3657553703384776E-4</v>
      </c>
      <c r="F56" s="115">
        <f t="shared" si="1"/>
        <v>1.3657553703384776E-4</v>
      </c>
      <c r="G56" s="115">
        <f t="shared" si="1"/>
        <v>1.3657553703384776E-4</v>
      </c>
      <c r="H56" s="194"/>
      <c r="I56" s="184"/>
      <c r="J56" s="72"/>
      <c r="K56" s="241"/>
      <c r="L56" s="63"/>
      <c r="M56" s="63"/>
      <c r="N56" s="63"/>
      <c r="O56" s="63"/>
      <c r="P56" s="63"/>
      <c r="Q56" s="63"/>
    </row>
    <row r="57" spans="1:17">
      <c r="A57" s="63"/>
      <c r="B57" s="76" t="s">
        <v>22</v>
      </c>
      <c r="C57" s="116" t="s">
        <v>134</v>
      </c>
      <c r="D57" s="115">
        <f t="shared" si="1"/>
        <v>2.8831426319335706E-3</v>
      </c>
      <c r="E57" s="115">
        <f t="shared" si="1"/>
        <v>3.8168443449451881E-3</v>
      </c>
      <c r="F57" s="115">
        <f t="shared" si="1"/>
        <v>3.8168443449451881E-3</v>
      </c>
      <c r="G57" s="115">
        <f t="shared" si="1"/>
        <v>3.8168443449451885E-3</v>
      </c>
      <c r="H57" s="194"/>
      <c r="I57" s="184"/>
      <c r="J57" s="72"/>
      <c r="K57" s="241"/>
      <c r="L57" s="63"/>
      <c r="M57" s="63"/>
      <c r="N57" s="63"/>
      <c r="O57" s="63"/>
      <c r="P57" s="63"/>
      <c r="Q57" s="63"/>
    </row>
    <row r="58" spans="1:17">
      <c r="A58" s="63"/>
      <c r="B58" s="76" t="s">
        <v>23</v>
      </c>
      <c r="C58" s="116" t="s">
        <v>134</v>
      </c>
      <c r="D58" s="115">
        <f t="shared" si="1"/>
        <v>4.6837408023728803E-4</v>
      </c>
      <c r="E58" s="115">
        <f t="shared" si="1"/>
        <v>4.6837408023728798E-4</v>
      </c>
      <c r="F58" s="115">
        <f t="shared" si="1"/>
        <v>4.6837408023728798E-4</v>
      </c>
      <c r="G58" s="115">
        <f t="shared" si="1"/>
        <v>4.6837408023728798E-4</v>
      </c>
      <c r="H58" s="194"/>
      <c r="I58" s="184"/>
      <c r="J58" s="72"/>
      <c r="K58" s="241"/>
      <c r="L58" s="63"/>
      <c r="M58" s="63"/>
      <c r="N58" s="63"/>
      <c r="O58" s="63"/>
      <c r="P58" s="63"/>
      <c r="Q58" s="63"/>
    </row>
    <row r="59" spans="1:17">
      <c r="A59" s="63"/>
      <c r="B59" s="76" t="s">
        <v>116</v>
      </c>
      <c r="C59" s="116" t="s">
        <v>134</v>
      </c>
      <c r="D59" s="115">
        <f t="shared" si="1"/>
        <v>0.42120742294108487</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134</v>
      </c>
      <c r="D60" s="115">
        <f t="shared" si="1"/>
        <v>3.2868980174215008E-3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25" ht="14.4" thickBot="1">
      <c r="A65" s="63"/>
      <c r="B65" s="86"/>
      <c r="C65" s="108"/>
      <c r="D65" s="83"/>
      <c r="E65" s="83"/>
      <c r="F65" s="83"/>
      <c r="G65" s="83"/>
      <c r="H65" s="83"/>
      <c r="I65" s="83"/>
      <c r="J65" s="81"/>
      <c r="K65" s="241"/>
      <c r="L65" s="63"/>
      <c r="M65" s="63"/>
      <c r="N65" s="63"/>
      <c r="O65" s="63"/>
      <c r="P65" s="63"/>
      <c r="Q65" s="63"/>
      <c r="T65" s="319" t="s">
        <v>157</v>
      </c>
    </row>
    <row r="66" spans="1:25">
      <c r="A66" s="63"/>
      <c r="B66" s="107"/>
      <c r="C66" s="106" t="s">
        <v>99</v>
      </c>
      <c r="D66" s="105">
        <v>2015</v>
      </c>
      <c r="E66" s="104">
        <v>2020</v>
      </c>
      <c r="F66" s="104">
        <v>2035</v>
      </c>
      <c r="G66" s="104">
        <v>2050</v>
      </c>
      <c r="H66" s="104"/>
      <c r="I66" s="150"/>
      <c r="J66" s="102"/>
      <c r="K66" s="241"/>
      <c r="L66" s="63"/>
      <c r="M66" s="63"/>
      <c r="N66" s="63"/>
      <c r="O66" s="63"/>
      <c r="P66" s="63"/>
      <c r="Q66" s="63"/>
      <c r="T66" s="332">
        <v>2015</v>
      </c>
      <c r="U66" s="331"/>
      <c r="V66" s="330" t="s">
        <v>29</v>
      </c>
      <c r="W66" s="328" t="s">
        <v>158</v>
      </c>
      <c r="X66" s="328" t="s">
        <v>159</v>
      </c>
    </row>
    <row r="67" spans="1:25">
      <c r="A67" s="63"/>
      <c r="B67" s="76" t="s">
        <v>25</v>
      </c>
      <c r="C67" s="93" t="s">
        <v>152</v>
      </c>
      <c r="D67" s="251">
        <v>1.92</v>
      </c>
      <c r="E67" s="251">
        <v>1.9</v>
      </c>
      <c r="F67" s="251">
        <v>1.87</v>
      </c>
      <c r="G67" s="251">
        <v>1.85</v>
      </c>
      <c r="H67" s="251"/>
      <c r="I67" s="75" t="s">
        <v>603</v>
      </c>
      <c r="J67" s="72"/>
      <c r="K67" s="241"/>
      <c r="L67" s="63"/>
      <c r="M67" s="63"/>
      <c r="N67" s="63"/>
      <c r="O67" s="63"/>
      <c r="P67" s="63"/>
      <c r="Q67" s="63"/>
      <c r="T67" s="76" t="s">
        <v>160</v>
      </c>
      <c r="U67" s="93"/>
      <c r="V67" s="321">
        <f>'EU Bus'!$D38</f>
        <v>1332921.6972839427</v>
      </c>
      <c r="W67" s="321">
        <f>'EU Bus Gas'!$D38</f>
        <v>1504780.4222459821</v>
      </c>
      <c r="X67" s="327">
        <v>900000</v>
      </c>
    </row>
    <row r="68" spans="1:25">
      <c r="A68" s="63"/>
      <c r="B68" s="76" t="s">
        <v>121</v>
      </c>
      <c r="C68" s="93" t="s">
        <v>122</v>
      </c>
      <c r="D68" s="250">
        <v>67000</v>
      </c>
      <c r="E68" s="250">
        <v>67000</v>
      </c>
      <c r="F68" s="250">
        <v>67000</v>
      </c>
      <c r="G68" s="250">
        <v>67000</v>
      </c>
      <c r="H68" s="250"/>
      <c r="I68" s="97" t="s">
        <v>605</v>
      </c>
      <c r="J68" s="117"/>
      <c r="K68" s="241"/>
      <c r="L68" s="63"/>
      <c r="M68" s="63"/>
      <c r="N68" s="63"/>
      <c r="O68" s="63"/>
      <c r="P68" s="63"/>
      <c r="Q68" s="63"/>
      <c r="T68" s="76" t="s">
        <v>121</v>
      </c>
      <c r="U68" s="93" t="s">
        <v>122</v>
      </c>
      <c r="V68" s="326">
        <f>'EU Bus'!$D68</f>
        <v>67000</v>
      </c>
      <c r="W68" s="326">
        <f>'EU Bus Gas'!$D69</f>
        <v>67000</v>
      </c>
      <c r="X68" s="326">
        <f>'EU Bus Hybrid'!$D68</f>
        <v>67000</v>
      </c>
      <c r="Y68" s="265" t="s">
        <v>161</v>
      </c>
    </row>
    <row r="69" spans="1:25">
      <c r="A69" s="63"/>
      <c r="B69" s="76" t="s">
        <v>124</v>
      </c>
      <c r="C69" s="199" t="s">
        <v>36</v>
      </c>
      <c r="D69" s="268">
        <f>120600/D68</f>
        <v>1.8</v>
      </c>
      <c r="E69" s="268">
        <f>120600/E68</f>
        <v>1.8</v>
      </c>
      <c r="F69" s="268">
        <f>120600/F68</f>
        <v>1.8</v>
      </c>
      <c r="G69" s="268">
        <f>120600/G68</f>
        <v>1.8</v>
      </c>
      <c r="H69" s="268"/>
      <c r="I69" s="97" t="s">
        <v>605</v>
      </c>
      <c r="J69" s="336"/>
      <c r="K69" s="241"/>
      <c r="L69" s="63"/>
      <c r="M69" s="63"/>
      <c r="N69" s="63"/>
      <c r="O69" s="63"/>
      <c r="P69" s="63"/>
      <c r="Q69" s="63"/>
      <c r="T69" s="163" t="s">
        <v>162</v>
      </c>
      <c r="U69" s="199" t="s">
        <v>36</v>
      </c>
      <c r="V69" s="325">
        <f>'EU Bus'!$D69</f>
        <v>1.8</v>
      </c>
      <c r="W69" s="325">
        <f>'EU Bus Gas'!$D70</f>
        <v>1.85</v>
      </c>
      <c r="X69" s="325">
        <f>'EU Bus Hybrid'!$D69</f>
        <v>1.71</v>
      </c>
    </row>
    <row r="70" spans="1:25">
      <c r="A70" s="63"/>
      <c r="B70" s="163" t="s">
        <v>163</v>
      </c>
      <c r="C70" s="199" t="s">
        <v>164</v>
      </c>
      <c r="D70" s="263">
        <v>2.2403497813866333</v>
      </c>
      <c r="E70" s="263">
        <v>2.4516746411483252</v>
      </c>
      <c r="F70" s="263">
        <v>2.8809638554216872</v>
      </c>
      <c r="G70" s="263">
        <v>3.2997240110395589</v>
      </c>
      <c r="H70" s="247"/>
      <c r="I70" s="97"/>
      <c r="J70" s="117"/>
      <c r="K70" s="241"/>
      <c r="L70" s="63"/>
      <c r="M70" s="65"/>
      <c r="N70" s="185"/>
      <c r="O70" s="185"/>
      <c r="P70" s="63"/>
      <c r="Q70" s="63"/>
      <c r="T70" s="163" t="s">
        <v>162</v>
      </c>
      <c r="U70" s="199" t="s">
        <v>143</v>
      </c>
      <c r="V70" s="323">
        <f>V69*V68</f>
        <v>120600</v>
      </c>
      <c r="W70" s="323">
        <f>W69*W68</f>
        <v>123950</v>
      </c>
      <c r="X70" s="323">
        <f>X69*X68</f>
        <v>114570</v>
      </c>
    </row>
    <row r="71" spans="1:25">
      <c r="A71" s="63"/>
      <c r="B71" s="163" t="s">
        <v>165</v>
      </c>
      <c r="C71" s="199" t="s">
        <v>26</v>
      </c>
      <c r="D71" s="335">
        <f>D67/D75</f>
        <v>0.1199250468457214</v>
      </c>
      <c r="E71" s="335">
        <f>E67/E75</f>
        <v>0.12987012987012986</v>
      </c>
      <c r="F71" s="335">
        <f>F67/F75</f>
        <v>0.15020080321285142</v>
      </c>
      <c r="G71" s="335">
        <f>G67/G75</f>
        <v>0.17019319227230914</v>
      </c>
      <c r="H71" s="335"/>
      <c r="I71" s="75" t="s">
        <v>603</v>
      </c>
      <c r="J71" s="117"/>
      <c r="K71" s="241"/>
      <c r="L71" s="63"/>
      <c r="M71" s="63"/>
      <c r="N71" s="63"/>
      <c r="O71" s="63"/>
      <c r="P71" s="63"/>
      <c r="Q71" s="63"/>
      <c r="T71" s="163" t="s">
        <v>163</v>
      </c>
      <c r="U71" s="199" t="s">
        <v>164</v>
      </c>
      <c r="V71" s="324">
        <f>'EU Bus'!$D70</f>
        <v>2.2403497813866333</v>
      </c>
      <c r="W71" s="324">
        <f>'EU Bus Gas'!$D71</f>
        <v>2.0713910761154857</v>
      </c>
      <c r="X71" s="324">
        <f>'EU Bus Hybrid'!$D70</f>
        <v>3.2025000000000006</v>
      </c>
    </row>
    <row r="72" spans="1:25" ht="14.4" thickBot="1">
      <c r="A72" s="63"/>
      <c r="B72" s="245"/>
      <c r="C72" s="244"/>
      <c r="D72" s="334"/>
      <c r="E72" s="334"/>
      <c r="F72" s="334"/>
      <c r="G72" s="334"/>
      <c r="H72" s="334"/>
      <c r="I72" s="70"/>
      <c r="J72" s="333"/>
      <c r="K72" s="241"/>
      <c r="L72" s="63"/>
      <c r="M72" s="63"/>
      <c r="N72" s="63"/>
      <c r="O72" s="63"/>
      <c r="P72" s="63"/>
      <c r="Q72" s="63"/>
      <c r="T72" s="163" t="s">
        <v>166</v>
      </c>
      <c r="U72" s="199" t="s">
        <v>167</v>
      </c>
      <c r="V72" s="321" t="e">
        <f>'EU Bus'!#REF!</f>
        <v>#REF!</v>
      </c>
      <c r="W72" s="321" t="e">
        <f>'EU Bus Gas'!#REF!</f>
        <v>#REF!</v>
      </c>
      <c r="X72" s="321" t="e">
        <f>'EU Bus Hybrid'!#REF!</f>
        <v>#REF!</v>
      </c>
    </row>
    <row r="73" spans="1:25" ht="14.4" thickBot="1">
      <c r="A73" s="63"/>
      <c r="B73" s="63"/>
      <c r="C73" s="63"/>
      <c r="D73" s="189"/>
      <c r="E73" s="189"/>
      <c r="F73" s="189"/>
      <c r="G73" s="189"/>
      <c r="H73" s="189"/>
      <c r="I73" s="63"/>
      <c r="J73" s="63"/>
      <c r="K73" s="241"/>
      <c r="L73" s="63"/>
      <c r="M73" s="63"/>
      <c r="N73" s="63"/>
      <c r="O73" s="63"/>
      <c r="P73" s="63"/>
      <c r="Q73" s="63"/>
      <c r="T73" s="245" t="s">
        <v>168</v>
      </c>
      <c r="U73" s="244" t="s">
        <v>169</v>
      </c>
      <c r="V73" s="320">
        <f>'EU Bus'!$D72</f>
        <v>0</v>
      </c>
      <c r="W73" s="320">
        <f>'EU Bus Gas'!$D73</f>
        <v>0</v>
      </c>
      <c r="X73" s="320">
        <f>'EU Bus Hybrid'!$D72</f>
        <v>5</v>
      </c>
    </row>
    <row r="74" spans="1:25" ht="16.2" thickBot="1">
      <c r="A74" s="63"/>
      <c r="B74" s="87" t="s">
        <v>126</v>
      </c>
      <c r="C74" s="63"/>
      <c r="D74" s="63"/>
      <c r="E74" s="63"/>
      <c r="F74" s="63"/>
      <c r="G74" s="63"/>
      <c r="I74" s="63"/>
      <c r="J74" s="63"/>
      <c r="K74" s="241"/>
      <c r="L74" s="63"/>
      <c r="M74" s="63"/>
      <c r="N74" s="63"/>
      <c r="O74" s="63"/>
      <c r="P74" s="63"/>
      <c r="Q74" s="63"/>
    </row>
    <row r="75" spans="1:25" ht="14.4" thickBot="1">
      <c r="A75" s="63"/>
      <c r="B75" s="86" t="s">
        <v>150</v>
      </c>
      <c r="C75" s="83"/>
      <c r="D75" s="180">
        <v>16.010000000000002</v>
      </c>
      <c r="E75" s="180">
        <v>14.63</v>
      </c>
      <c r="F75" s="180">
        <v>12.45</v>
      </c>
      <c r="G75" s="180">
        <v>10.87</v>
      </c>
      <c r="H75" s="180"/>
      <c r="I75" s="83" t="s">
        <v>603</v>
      </c>
      <c r="J75" s="81"/>
      <c r="K75" s="241"/>
      <c r="L75" s="63"/>
      <c r="M75" s="63"/>
      <c r="N75" s="63"/>
      <c r="O75" s="63"/>
      <c r="P75" s="63"/>
      <c r="Q75" s="63"/>
      <c r="T75" s="319" t="s">
        <v>157</v>
      </c>
    </row>
    <row r="76" spans="1:25">
      <c r="A76" s="63"/>
      <c r="B76" s="76"/>
      <c r="C76" s="75"/>
      <c r="D76" s="242"/>
      <c r="E76" s="242"/>
      <c r="F76" s="242"/>
      <c r="G76" s="242"/>
      <c r="H76" s="242"/>
      <c r="I76" s="75"/>
      <c r="J76" s="72"/>
      <c r="K76" s="241"/>
      <c r="L76" s="63"/>
      <c r="M76" s="63"/>
      <c r="N76" s="63"/>
      <c r="O76" s="63"/>
      <c r="P76" s="63"/>
      <c r="Q76" s="63"/>
      <c r="T76" s="332">
        <v>2020</v>
      </c>
      <c r="U76" s="331"/>
      <c r="V76" s="330" t="s">
        <v>29</v>
      </c>
      <c r="W76" s="329" t="s">
        <v>158</v>
      </c>
      <c r="X76" s="328" t="s">
        <v>159</v>
      </c>
    </row>
    <row r="77" spans="1:25">
      <c r="A77" s="63"/>
      <c r="B77" s="76" t="s">
        <v>20</v>
      </c>
      <c r="C77" s="75" t="s">
        <v>27</v>
      </c>
      <c r="D77" s="323"/>
      <c r="E77" s="323"/>
      <c r="F77" s="323"/>
      <c r="G77" s="323"/>
      <c r="H77" s="323"/>
      <c r="I77" s="75"/>
      <c r="J77" s="72"/>
      <c r="K77" s="241"/>
      <c r="L77" s="63"/>
      <c r="M77" s="63"/>
      <c r="N77" s="63"/>
      <c r="O77" s="63"/>
      <c r="P77" s="63"/>
      <c r="Q77" s="63"/>
      <c r="T77" s="76" t="s">
        <v>160</v>
      </c>
      <c r="U77" s="93"/>
      <c r="V77" s="321">
        <f>'EU Bus'!$E38</f>
        <v>1332921.6972839427</v>
      </c>
      <c r="W77" s="321">
        <f>'EU Bus Gas'!$E38</f>
        <v>1504780.4222459821</v>
      </c>
      <c r="X77" s="327">
        <v>900000</v>
      </c>
    </row>
    <row r="78" spans="1:25">
      <c r="A78" s="63"/>
      <c r="B78" s="76" t="s">
        <v>21</v>
      </c>
      <c r="C78" s="75" t="s">
        <v>27</v>
      </c>
      <c r="D78" s="323">
        <f t="shared" ref="D78:G82" si="2">D88/1000*D$75</f>
        <v>5.8423774943749465E-3</v>
      </c>
      <c r="E78" s="323">
        <f t="shared" si="2"/>
        <v>1.9981001068051928E-3</v>
      </c>
      <c r="F78" s="323">
        <f t="shared" si="2"/>
        <v>1.7003654360714044E-3</v>
      </c>
      <c r="G78" s="323">
        <f t="shared" si="2"/>
        <v>1.4845760875579249E-3</v>
      </c>
      <c r="H78" s="323"/>
      <c r="I78" s="75"/>
      <c r="J78" s="72"/>
      <c r="K78" s="241"/>
      <c r="L78" s="63"/>
      <c r="M78" s="63"/>
      <c r="N78" s="63"/>
      <c r="O78" s="63"/>
      <c r="P78" s="63"/>
      <c r="Q78" s="63"/>
      <c r="T78" s="76" t="s">
        <v>121</v>
      </c>
      <c r="U78" s="93" t="s">
        <v>122</v>
      </c>
      <c r="V78" s="326">
        <f>'EU Bus'!$E68</f>
        <v>67000</v>
      </c>
      <c r="W78" s="326">
        <f>'EU Bus Gas'!$E69</f>
        <v>67000</v>
      </c>
      <c r="X78" s="326">
        <f>'EU Bus Hybrid'!$E68</f>
        <v>67000</v>
      </c>
    </row>
    <row r="79" spans="1:25">
      <c r="A79" s="63"/>
      <c r="B79" s="76" t="s">
        <v>22</v>
      </c>
      <c r="C79" s="75" t="s">
        <v>27</v>
      </c>
      <c r="D79" s="323">
        <f t="shared" si="2"/>
        <v>4.615911353725647E-2</v>
      </c>
      <c r="E79" s="323">
        <f t="shared" si="2"/>
        <v>5.5840432766548105E-2</v>
      </c>
      <c r="F79" s="323">
        <f t="shared" si="2"/>
        <v>4.7519712094567589E-2</v>
      </c>
      <c r="G79" s="323">
        <f t="shared" si="2"/>
        <v>4.1489098029554194E-2</v>
      </c>
      <c r="H79" s="323"/>
      <c r="I79" s="75"/>
      <c r="J79" s="72"/>
      <c r="K79" s="241"/>
      <c r="L79" s="63"/>
      <c r="M79" s="63"/>
      <c r="N79" s="63"/>
      <c r="O79" s="63"/>
      <c r="P79" s="63"/>
      <c r="Q79" s="63"/>
      <c r="T79" s="163" t="s">
        <v>162</v>
      </c>
      <c r="U79" s="199" t="s">
        <v>36</v>
      </c>
      <c r="V79" s="325">
        <f>'EU Bus'!$E69</f>
        <v>1.8</v>
      </c>
      <c r="W79" s="325">
        <f>'EU Bus Gas'!$E70</f>
        <v>1.85</v>
      </c>
      <c r="X79" s="325">
        <f>'EU Bus Hybrid'!$E69</f>
        <v>1.71</v>
      </c>
    </row>
    <row r="80" spans="1:25">
      <c r="A80" s="63"/>
      <c r="B80" s="76" t="s">
        <v>23</v>
      </c>
      <c r="C80" s="75" t="s">
        <v>27</v>
      </c>
      <c r="D80" s="323">
        <f t="shared" si="2"/>
        <v>7.498669024598982E-3</v>
      </c>
      <c r="E80" s="323">
        <f t="shared" si="2"/>
        <v>6.8523127938715234E-3</v>
      </c>
      <c r="F80" s="323">
        <f t="shared" si="2"/>
        <v>5.8312572989542349E-3</v>
      </c>
      <c r="G80" s="323">
        <f t="shared" si="2"/>
        <v>5.0912262521793199E-3</v>
      </c>
      <c r="H80" s="323"/>
      <c r="I80" s="75"/>
      <c r="J80" s="117"/>
      <c r="K80" s="266"/>
      <c r="L80" s="63"/>
      <c r="M80" s="63"/>
      <c r="N80" s="63"/>
      <c r="O80" s="63"/>
      <c r="P80" s="63"/>
      <c r="Q80" s="63"/>
      <c r="T80" s="163" t="s">
        <v>162</v>
      </c>
      <c r="U80" s="199" t="s">
        <v>143</v>
      </c>
      <c r="V80" s="323">
        <f>V79*V78</f>
        <v>120600</v>
      </c>
      <c r="W80" s="323">
        <f>W79*W78</f>
        <v>123950</v>
      </c>
      <c r="X80" s="323">
        <f>X79*X78</f>
        <v>114570</v>
      </c>
    </row>
    <row r="81" spans="1:24">
      <c r="A81" s="63"/>
      <c r="B81" s="163" t="s">
        <v>37</v>
      </c>
      <c r="C81" s="75" t="s">
        <v>27</v>
      </c>
      <c r="D81" s="323">
        <f t="shared" si="2"/>
        <v>6.7435308412867698</v>
      </c>
      <c r="E81" s="323">
        <f t="shared" si="2"/>
        <v>0.62782579757685264</v>
      </c>
      <c r="F81" s="323">
        <f t="shared" si="2"/>
        <v>0.53427417497141583</v>
      </c>
      <c r="G81" s="323">
        <f t="shared" si="2"/>
        <v>0.46647070537664981</v>
      </c>
      <c r="H81" s="323"/>
      <c r="I81" s="75"/>
      <c r="J81" s="117"/>
      <c r="K81" s="241"/>
      <c r="L81" s="63"/>
      <c r="M81" s="63"/>
      <c r="N81" s="63"/>
      <c r="O81" s="63"/>
      <c r="P81" s="63"/>
      <c r="Q81" s="63"/>
      <c r="T81" s="163" t="s">
        <v>163</v>
      </c>
      <c r="U81" s="199" t="s">
        <v>164</v>
      </c>
      <c r="V81" s="324">
        <f>'EU Bus'!$E70</f>
        <v>2.4516746411483252</v>
      </c>
      <c r="W81" s="324">
        <f>'EU Bus Gas'!$E71</f>
        <v>2.3699699699699703</v>
      </c>
      <c r="X81" s="324">
        <f>'EU Bus Hybrid'!$E70</f>
        <v>3.5058947368421056</v>
      </c>
    </row>
    <row r="82" spans="1:24">
      <c r="A82" s="63"/>
      <c r="B82" s="76" t="s">
        <v>24</v>
      </c>
      <c r="C82" s="75" t="s">
        <v>27</v>
      </c>
      <c r="D82" s="323">
        <f t="shared" si="2"/>
        <v>5.262323725891823E-2</v>
      </c>
      <c r="E82" s="323">
        <f t="shared" si="2"/>
        <v>7.1918638531181418E-3</v>
      </c>
      <c r="F82" s="323">
        <f t="shared" si="2"/>
        <v>6.1202122331729912E-3</v>
      </c>
      <c r="G82" s="323">
        <f t="shared" si="2"/>
        <v>5.343510600368708E-3</v>
      </c>
      <c r="H82" s="323"/>
      <c r="I82" s="75"/>
      <c r="J82" s="117"/>
      <c r="K82" s="266"/>
      <c r="L82" s="63"/>
      <c r="M82" s="63"/>
      <c r="N82" s="63"/>
      <c r="O82" s="63"/>
      <c r="P82" s="63"/>
      <c r="Q82" s="63"/>
      <c r="T82" s="163" t="s">
        <v>165</v>
      </c>
      <c r="U82" s="199" t="s">
        <v>26</v>
      </c>
      <c r="V82" s="322">
        <f>'EU Bus'!$E71</f>
        <v>0.12987012987012986</v>
      </c>
      <c r="W82" s="322">
        <f>'EU Bus Gas'!$E72</f>
        <v>0.11411411411411412</v>
      </c>
      <c r="X82" s="322">
        <f>'EU Bus Hybrid'!$E71</f>
        <v>0.18571428571428572</v>
      </c>
    </row>
    <row r="83" spans="1:24" ht="14.4" thickBot="1">
      <c r="A83" s="63"/>
      <c r="B83" s="71"/>
      <c r="C83" s="70"/>
      <c r="D83" s="239"/>
      <c r="E83" s="239"/>
      <c r="F83" s="239"/>
      <c r="G83" s="239"/>
      <c r="H83" s="239"/>
      <c r="I83" s="70"/>
      <c r="J83" s="88"/>
      <c r="K83" s="63"/>
      <c r="L83" s="63"/>
      <c r="M83" s="63"/>
      <c r="N83" s="63"/>
      <c r="O83" s="63"/>
      <c r="P83" s="63"/>
      <c r="Q83" s="63"/>
      <c r="T83" s="163" t="s">
        <v>170</v>
      </c>
      <c r="U83" s="199" t="s">
        <v>171</v>
      </c>
      <c r="V83" s="321" t="e">
        <f>'EU Bus'!#REF!</f>
        <v>#REF!</v>
      </c>
      <c r="W83" s="321" t="e">
        <f>'EU Bus Gas'!#REF!</f>
        <v>#REF!</v>
      </c>
      <c r="X83" s="321" t="e">
        <f>'EU Bus Hybrid'!#REF!</f>
        <v>#REF!</v>
      </c>
    </row>
    <row r="84" spans="1:24">
      <c r="A84" s="63"/>
      <c r="B84" s="63"/>
      <c r="C84" s="63"/>
      <c r="D84" s="63"/>
      <c r="E84" s="63"/>
      <c r="F84" s="63"/>
      <c r="G84" s="63"/>
      <c r="I84" s="63"/>
      <c r="J84" s="63"/>
      <c r="K84" s="63"/>
      <c r="L84" s="63"/>
      <c r="M84" s="63"/>
      <c r="N84" s="63"/>
      <c r="O84" s="63"/>
      <c r="P84" s="63"/>
      <c r="Q84" s="63"/>
      <c r="T84" s="163" t="s">
        <v>166</v>
      </c>
      <c r="U84" s="199" t="s">
        <v>167</v>
      </c>
      <c r="V84" s="321" t="e">
        <f>'EU Bus'!#REF!</f>
        <v>#REF!</v>
      </c>
      <c r="W84" s="321" t="e">
        <f>'EU Bus Gas'!#REF!</f>
        <v>#REF!</v>
      </c>
      <c r="X84" s="321" t="e">
        <f>'EU Bus Hybrid'!#REF!</f>
        <v>#REF!</v>
      </c>
    </row>
    <row r="85" spans="1:24" ht="14.4" thickBot="1">
      <c r="A85" s="63"/>
      <c r="B85" s="152" t="s">
        <v>172</v>
      </c>
      <c r="C85" s="63"/>
      <c r="D85" s="63"/>
      <c r="E85" s="63"/>
      <c r="F85" s="63"/>
      <c r="G85" s="63"/>
      <c r="I85" s="63"/>
      <c r="J85" s="63"/>
      <c r="K85" s="63"/>
      <c r="L85" s="63"/>
      <c r="M85" s="63"/>
      <c r="N85" s="63"/>
      <c r="O85" s="63"/>
      <c r="P85" s="63"/>
      <c r="Q85" s="63"/>
      <c r="T85" s="245" t="s">
        <v>168</v>
      </c>
      <c r="U85" s="244" t="s">
        <v>169</v>
      </c>
      <c r="V85" s="320">
        <f>'EU Bus'!$E72</f>
        <v>0</v>
      </c>
      <c r="W85" s="320">
        <f>'EU Bus Gas'!$E73</f>
        <v>0</v>
      </c>
      <c r="X85" s="320">
        <f>'EU Bus Hybrid'!$E72</f>
        <v>5</v>
      </c>
    </row>
    <row r="86" spans="1:24">
      <c r="A86" s="63"/>
      <c r="B86" s="86"/>
      <c r="C86" s="83"/>
      <c r="D86" s="238">
        <v>2015</v>
      </c>
      <c r="E86" s="238">
        <v>2020</v>
      </c>
      <c r="F86" s="238">
        <v>2035</v>
      </c>
      <c r="G86" s="238">
        <v>2050</v>
      </c>
      <c r="H86" s="238"/>
      <c r="I86" s="63"/>
      <c r="J86" s="63"/>
      <c r="K86" s="63"/>
      <c r="L86" s="63"/>
      <c r="M86" s="63"/>
      <c r="N86" s="63"/>
      <c r="O86" s="63"/>
      <c r="P86" s="63"/>
      <c r="Q86" s="63"/>
    </row>
    <row r="87" spans="1:24">
      <c r="A87" s="63"/>
      <c r="B87" s="237" t="s">
        <v>20</v>
      </c>
      <c r="C87" s="133" t="s">
        <v>173</v>
      </c>
      <c r="D87" s="235"/>
      <c r="E87" s="235"/>
      <c r="F87" s="235"/>
      <c r="G87" s="235"/>
      <c r="H87" s="235"/>
      <c r="I87" s="63"/>
      <c r="J87" s="63"/>
      <c r="K87" s="63"/>
      <c r="L87" s="63"/>
      <c r="M87" s="63"/>
      <c r="N87" s="63"/>
      <c r="O87" s="63"/>
      <c r="P87" s="63"/>
      <c r="Q87" s="63"/>
      <c r="T87" s="319"/>
    </row>
    <row r="88" spans="1:24">
      <c r="A88" s="63"/>
      <c r="B88" s="237" t="s">
        <v>21</v>
      </c>
      <c r="C88" s="75" t="s">
        <v>173</v>
      </c>
      <c r="D88" s="236">
        <f>'EU Bus'!D106</f>
        <v>0.36492051807463749</v>
      </c>
      <c r="E88" s="236">
        <f>'EU Bus'!E106</f>
        <v>0.13657553703384775</v>
      </c>
      <c r="F88" s="236">
        <f>'EU Bus'!F106</f>
        <v>0.13657553703384775</v>
      </c>
      <c r="G88" s="236">
        <f>F88</f>
        <v>0.13657553703384775</v>
      </c>
      <c r="H88" s="236"/>
      <c r="I88" s="63"/>
      <c r="J88" s="63"/>
      <c r="K88" s="63"/>
      <c r="L88" s="63"/>
      <c r="M88" s="63"/>
      <c r="N88" s="63"/>
      <c r="O88" s="63"/>
      <c r="P88" s="63"/>
      <c r="Q88" s="63"/>
      <c r="T88" s="265"/>
    </row>
    <row r="89" spans="1:24">
      <c r="A89" s="63"/>
      <c r="B89" s="237" t="s">
        <v>22</v>
      </c>
      <c r="C89" s="75" t="s">
        <v>173</v>
      </c>
      <c r="D89" s="236">
        <f>'EU Bus'!D107</f>
        <v>2.8831426319335707</v>
      </c>
      <c r="E89" s="236">
        <f>'EU Bus'!E107</f>
        <v>3.8168443449451881</v>
      </c>
      <c r="F89" s="236">
        <f>'EU Bus'!F107</f>
        <v>3.8168443449451881</v>
      </c>
      <c r="G89" s="236">
        <f>F89</f>
        <v>3.8168443449451881</v>
      </c>
      <c r="H89" s="236"/>
      <c r="I89" s="63"/>
      <c r="J89" s="63"/>
      <c r="K89" s="63"/>
      <c r="L89" s="63"/>
      <c r="M89" s="63"/>
      <c r="N89" s="63"/>
      <c r="O89" s="63"/>
      <c r="P89" s="63"/>
      <c r="Q89" s="63"/>
      <c r="T89" s="265"/>
    </row>
    <row r="90" spans="1:24">
      <c r="A90" s="63"/>
      <c r="B90" s="237" t="s">
        <v>23</v>
      </c>
      <c r="C90" s="75" t="s">
        <v>173</v>
      </c>
      <c r="D90" s="236">
        <f>'EU Bus'!D108</f>
        <v>0.46837408023728805</v>
      </c>
      <c r="E90" s="236">
        <f>'EU Bus'!E108</f>
        <v>0.46837408023728799</v>
      </c>
      <c r="F90" s="236">
        <f>'EU Bus'!F108</f>
        <v>0.46837408023728799</v>
      </c>
      <c r="G90" s="236">
        <f>F90</f>
        <v>0.46837408023728799</v>
      </c>
      <c r="H90" s="236"/>
      <c r="I90" s="63"/>
      <c r="J90" s="63"/>
      <c r="K90" s="63"/>
      <c r="L90" s="63"/>
      <c r="M90" s="63"/>
      <c r="N90" s="63"/>
      <c r="O90" s="63"/>
      <c r="P90" s="63"/>
      <c r="Q90" s="63"/>
      <c r="T90" s="265"/>
    </row>
    <row r="91" spans="1:24">
      <c r="A91" s="63"/>
      <c r="B91" s="131" t="s">
        <v>37</v>
      </c>
      <c r="C91" s="75" t="s">
        <v>173</v>
      </c>
      <c r="D91" s="235">
        <f>'EU Bus'!D109</f>
        <v>421.20742294108487</v>
      </c>
      <c r="E91" s="235">
        <f>'EU Bus'!E109</f>
        <v>42.913588351117738</v>
      </c>
      <c r="F91" s="235">
        <f>'EU Bus'!F109</f>
        <v>42.913588351117738</v>
      </c>
      <c r="G91" s="235">
        <f>F91</f>
        <v>42.913588351117738</v>
      </c>
      <c r="H91" s="235"/>
      <c r="I91" s="63"/>
      <c r="J91" s="63"/>
      <c r="K91" s="63"/>
      <c r="L91" s="63"/>
      <c r="M91" s="63"/>
      <c r="N91" s="63"/>
      <c r="O91" s="63"/>
      <c r="P91" s="63"/>
      <c r="Q91" s="63"/>
      <c r="T91" s="265"/>
    </row>
    <row r="92" spans="1:24" ht="14.4" thickBot="1">
      <c r="A92" s="63"/>
      <c r="B92" s="234" t="s">
        <v>24</v>
      </c>
      <c r="C92" s="70" t="s">
        <v>173</v>
      </c>
      <c r="D92" s="233">
        <f>'EU Bus'!D110</f>
        <v>3.2868980174215006</v>
      </c>
      <c r="E92" s="233">
        <f>'EU Bus'!E110</f>
        <v>0.49158331190144505</v>
      </c>
      <c r="F92" s="233">
        <f>'EU Bus'!F110</f>
        <v>0.49158331190144505</v>
      </c>
      <c r="G92" s="233">
        <f>F92</f>
        <v>0.49158331190144505</v>
      </c>
      <c r="H92" s="233"/>
      <c r="I92" s="63"/>
      <c r="J92" s="63"/>
      <c r="K92" s="63"/>
      <c r="L92" s="63"/>
      <c r="M92" s="63"/>
      <c r="N92" s="63"/>
      <c r="O92" s="63"/>
      <c r="P92" s="63"/>
      <c r="Q92" s="63"/>
      <c r="T92" s="265"/>
    </row>
    <row r="93" spans="1:24">
      <c r="A93" s="63"/>
      <c r="B93" s="63"/>
      <c r="C93" s="63"/>
      <c r="D93" s="63"/>
      <c r="E93" s="63"/>
      <c r="F93" s="63"/>
      <c r="G93" s="63"/>
      <c r="I93" s="63"/>
      <c r="J93" s="63"/>
      <c r="K93" s="63"/>
      <c r="L93" s="63"/>
      <c r="M93" s="63"/>
      <c r="N93" s="63"/>
      <c r="O93" s="63"/>
      <c r="P93" s="63"/>
      <c r="Q93" s="63"/>
      <c r="T93" s="265"/>
    </row>
    <row r="94" spans="1:24">
      <c r="A94" s="63"/>
      <c r="B94" s="303"/>
      <c r="C94" s="303"/>
      <c r="D94" s="303"/>
      <c r="E94" s="303"/>
      <c r="F94" s="303"/>
      <c r="G94" s="63"/>
      <c r="I94" s="63"/>
      <c r="J94" s="63"/>
      <c r="K94" s="63"/>
      <c r="L94" s="63"/>
      <c r="M94" s="63"/>
      <c r="N94" s="63"/>
      <c r="O94" s="63"/>
      <c r="P94" s="63"/>
      <c r="Q94" s="63"/>
    </row>
    <row r="95" spans="1:24">
      <c r="A95" s="63"/>
      <c r="B95" s="318" t="s">
        <v>296</v>
      </c>
      <c r="C95" s="303"/>
      <c r="D95" s="303"/>
      <c r="E95" s="303"/>
      <c r="F95" s="303"/>
      <c r="G95" s="63"/>
      <c r="H95" s="66"/>
      <c r="I95" s="63"/>
      <c r="J95" s="63"/>
      <c r="K95" s="63"/>
      <c r="L95" s="63"/>
      <c r="M95" s="63"/>
      <c r="N95" s="63"/>
      <c r="O95" s="63"/>
      <c r="P95" s="63"/>
      <c r="Q95" s="63"/>
    </row>
    <row r="96" spans="1:24">
      <c r="A96" s="63"/>
      <c r="B96" s="315"/>
      <c r="C96" s="315"/>
      <c r="D96" s="317">
        <v>2015</v>
      </c>
      <c r="E96" s="317">
        <v>2020</v>
      </c>
      <c r="F96" s="317">
        <v>2035</v>
      </c>
      <c r="G96" s="63"/>
      <c r="H96" s="66"/>
      <c r="I96" s="63"/>
      <c r="J96" s="63"/>
      <c r="K96" s="63"/>
      <c r="L96" s="63"/>
      <c r="M96" s="63"/>
      <c r="N96" s="63"/>
      <c r="O96" s="63"/>
      <c r="P96" s="63"/>
      <c r="Q96" s="63"/>
    </row>
    <row r="97" spans="1:17">
      <c r="A97" s="63"/>
      <c r="B97" s="306"/>
      <c r="C97" s="306"/>
      <c r="D97" s="316" t="s">
        <v>270</v>
      </c>
      <c r="E97" s="316" t="s">
        <v>240</v>
      </c>
      <c r="F97" s="316" t="s">
        <v>240</v>
      </c>
      <c r="G97" s="63"/>
      <c r="H97" s="66"/>
      <c r="I97" s="63"/>
      <c r="J97" s="63"/>
      <c r="K97" s="63"/>
      <c r="L97" s="63"/>
      <c r="M97" s="63"/>
      <c r="N97" s="63"/>
      <c r="O97" s="63"/>
      <c r="P97" s="63"/>
      <c r="Q97" s="63"/>
    </row>
    <row r="98" spans="1:17">
      <c r="A98" s="63"/>
      <c r="B98" s="315" t="s">
        <v>269</v>
      </c>
      <c r="C98" s="315" t="s">
        <v>152</v>
      </c>
      <c r="D98" s="314">
        <v>10.405312476643097</v>
      </c>
      <c r="E98" s="314">
        <v>7.8598961049407992</v>
      </c>
      <c r="F98" s="314">
        <v>7.8598961049407992</v>
      </c>
      <c r="G98" s="63"/>
      <c r="H98" s="66"/>
      <c r="I98" s="63"/>
      <c r="J98" s="63"/>
      <c r="K98" s="63"/>
      <c r="L98" s="63"/>
      <c r="M98" s="63"/>
      <c r="N98" s="63"/>
      <c r="O98" s="63"/>
      <c r="P98" s="63"/>
      <c r="Q98" s="63"/>
    </row>
    <row r="99" spans="1:17">
      <c r="A99" s="63"/>
      <c r="B99" s="308" t="s">
        <v>20</v>
      </c>
      <c r="C99" s="308" t="s">
        <v>27</v>
      </c>
      <c r="D99" s="313">
        <v>769.99312327158918</v>
      </c>
      <c r="E99" s="313">
        <v>581.63231176561919</v>
      </c>
      <c r="F99" s="313">
        <v>581.63231176561919</v>
      </c>
      <c r="G99" s="63"/>
      <c r="H99" s="66"/>
      <c r="I99" s="63"/>
      <c r="J99" s="63"/>
      <c r="K99" s="63"/>
      <c r="L99" s="63"/>
      <c r="M99" s="63"/>
      <c r="N99" s="63"/>
      <c r="O99" s="63"/>
      <c r="P99" s="63"/>
      <c r="Q99" s="63"/>
    </row>
    <row r="100" spans="1:17">
      <c r="A100" s="63"/>
      <c r="B100" s="308" t="s">
        <v>21</v>
      </c>
      <c r="C100" s="308" t="s">
        <v>27</v>
      </c>
      <c r="D100" s="312">
        <v>3.7971120197050883E-3</v>
      </c>
      <c r="E100" s="312">
        <v>1.0734695315625378E-3</v>
      </c>
      <c r="F100" s="312">
        <v>1.0734695315625378E-3</v>
      </c>
      <c r="G100" s="63"/>
      <c r="I100" s="63"/>
      <c r="J100" s="63"/>
      <c r="K100" s="63"/>
      <c r="L100" s="63"/>
      <c r="M100" s="63"/>
      <c r="N100" s="63"/>
      <c r="O100" s="63"/>
      <c r="P100" s="63"/>
      <c r="Q100" s="63"/>
    </row>
    <row r="101" spans="1:17">
      <c r="A101" s="63"/>
      <c r="B101" s="308" t="s">
        <v>22</v>
      </c>
      <c r="C101" s="308" t="s">
        <v>27</v>
      </c>
      <c r="D101" s="312">
        <v>0.03</v>
      </c>
      <c r="E101" s="312">
        <v>0.03</v>
      </c>
      <c r="F101" s="312">
        <v>0.03</v>
      </c>
      <c r="G101" s="63"/>
      <c r="I101" s="63"/>
      <c r="J101" s="63"/>
      <c r="K101" s="63"/>
      <c r="L101" s="63"/>
      <c r="M101" s="63"/>
      <c r="N101" s="63"/>
      <c r="O101" s="63"/>
      <c r="P101" s="63"/>
      <c r="Q101" s="63"/>
    </row>
    <row r="102" spans="1:17">
      <c r="A102" s="63"/>
      <c r="B102" s="308" t="s">
        <v>23</v>
      </c>
      <c r="C102" s="308" t="s">
        <v>27</v>
      </c>
      <c r="D102" s="312">
        <v>4.8735786608292879E-3</v>
      </c>
      <c r="E102" s="312">
        <v>3.6813716089122896E-3</v>
      </c>
      <c r="F102" s="312">
        <v>3.6813716089122896E-3</v>
      </c>
      <c r="G102" s="63"/>
      <c r="I102" s="63"/>
      <c r="J102" s="63"/>
      <c r="K102" s="63"/>
      <c r="L102" s="63"/>
      <c r="M102" s="63"/>
      <c r="N102" s="63"/>
      <c r="O102" s="63"/>
      <c r="P102" s="63"/>
      <c r="Q102" s="63"/>
    </row>
    <row r="103" spans="1:17">
      <c r="A103" s="63"/>
      <c r="B103" s="308" t="s">
        <v>37</v>
      </c>
      <c r="C103" s="308" t="s">
        <v>27</v>
      </c>
      <c r="D103" s="312">
        <v>4.3827948531835563</v>
      </c>
      <c r="E103" s="312">
        <v>0.33729634592998314</v>
      </c>
      <c r="F103" s="312">
        <v>0.33729634592998314</v>
      </c>
      <c r="G103" s="63"/>
      <c r="I103" s="63"/>
      <c r="J103" s="63"/>
      <c r="K103" s="63"/>
      <c r="L103" s="63"/>
      <c r="M103" s="63"/>
      <c r="N103" s="63"/>
      <c r="O103" s="63"/>
      <c r="P103" s="63"/>
      <c r="Q103" s="63"/>
    </row>
    <row r="104" spans="1:17">
      <c r="A104" s="63"/>
      <c r="B104" s="306" t="s">
        <v>268</v>
      </c>
      <c r="C104" s="306" t="s">
        <v>27</v>
      </c>
      <c r="D104" s="311">
        <v>3.42012009501294E-2</v>
      </c>
      <c r="E104" s="311">
        <v>3.863793758468066E-3</v>
      </c>
      <c r="F104" s="311">
        <v>3.863793758468066E-3</v>
      </c>
      <c r="G104" s="63"/>
      <c r="I104" s="63"/>
      <c r="J104" s="63"/>
      <c r="K104" s="63"/>
      <c r="L104" s="63"/>
      <c r="M104" s="63"/>
      <c r="N104" s="63"/>
      <c r="O104" s="63"/>
      <c r="P104" s="63"/>
      <c r="Q104" s="63"/>
    </row>
    <row r="105" spans="1:17">
      <c r="A105" s="63"/>
      <c r="B105" s="308" t="s">
        <v>20</v>
      </c>
      <c r="C105" s="308" t="s">
        <v>173</v>
      </c>
      <c r="D105" s="310">
        <f t="shared" ref="D105:F110" si="3">1000*D99/D$98</f>
        <v>74000</v>
      </c>
      <c r="E105" s="310">
        <f t="shared" si="3"/>
        <v>74000.000000000015</v>
      </c>
      <c r="F105" s="310">
        <f t="shared" si="3"/>
        <v>74000.000000000015</v>
      </c>
      <c r="G105" s="63"/>
      <c r="I105" s="63"/>
      <c r="J105" s="63"/>
      <c r="K105" s="63"/>
      <c r="L105" s="63"/>
      <c r="M105" s="63"/>
      <c r="N105" s="63"/>
      <c r="O105" s="63"/>
      <c r="P105" s="63"/>
      <c r="Q105" s="63"/>
    </row>
    <row r="106" spans="1:17">
      <c r="A106" s="63"/>
      <c r="B106" s="308" t="s">
        <v>21</v>
      </c>
      <c r="C106" s="308" t="s">
        <v>173</v>
      </c>
      <c r="D106" s="309">
        <f t="shared" si="3"/>
        <v>0.36492051807463749</v>
      </c>
      <c r="E106" s="309">
        <f t="shared" si="3"/>
        <v>0.13657553703384775</v>
      </c>
      <c r="F106" s="309">
        <f t="shared" si="3"/>
        <v>0.13657553703384775</v>
      </c>
      <c r="G106" s="63"/>
      <c r="I106" s="63"/>
      <c r="J106" s="63"/>
      <c r="K106" s="63"/>
      <c r="L106" s="63"/>
      <c r="M106" s="63"/>
      <c r="N106" s="63"/>
      <c r="O106" s="63"/>
      <c r="P106" s="63"/>
      <c r="Q106" s="63"/>
    </row>
    <row r="107" spans="1:17">
      <c r="A107" s="63"/>
      <c r="B107" s="308" t="s">
        <v>22</v>
      </c>
      <c r="C107" s="308" t="s">
        <v>173</v>
      </c>
      <c r="D107" s="309">
        <f t="shared" si="3"/>
        <v>2.8831426319335707</v>
      </c>
      <c r="E107" s="309">
        <f t="shared" si="3"/>
        <v>3.8168443449451881</v>
      </c>
      <c r="F107" s="309">
        <f t="shared" si="3"/>
        <v>3.8168443449451881</v>
      </c>
      <c r="G107" s="63"/>
      <c r="I107" s="63"/>
      <c r="J107" s="63"/>
      <c r="K107" s="63"/>
      <c r="L107" s="63"/>
      <c r="M107" s="63"/>
      <c r="N107" s="63"/>
      <c r="O107" s="63"/>
      <c r="P107" s="63"/>
      <c r="Q107" s="63"/>
    </row>
    <row r="108" spans="1:17">
      <c r="A108" s="63"/>
      <c r="B108" s="308" t="s">
        <v>23</v>
      </c>
      <c r="C108" s="308" t="s">
        <v>173</v>
      </c>
      <c r="D108" s="309">
        <f t="shared" si="3"/>
        <v>0.46837408023728805</v>
      </c>
      <c r="E108" s="309">
        <f t="shared" si="3"/>
        <v>0.46837408023728799</v>
      </c>
      <c r="F108" s="309">
        <f t="shared" si="3"/>
        <v>0.46837408023728799</v>
      </c>
      <c r="G108" s="63"/>
      <c r="I108" s="63"/>
      <c r="J108" s="63"/>
      <c r="K108" s="63"/>
      <c r="L108" s="63"/>
      <c r="M108" s="63"/>
      <c r="N108" s="63"/>
      <c r="O108" s="63"/>
      <c r="P108" s="63"/>
      <c r="Q108" s="63"/>
    </row>
    <row r="109" spans="1:17">
      <c r="A109" s="63"/>
      <c r="B109" s="308" t="s">
        <v>37</v>
      </c>
      <c r="C109" s="308" t="s">
        <v>173</v>
      </c>
      <c r="D109" s="307">
        <f t="shared" si="3"/>
        <v>421.20742294108487</v>
      </c>
      <c r="E109" s="307">
        <f t="shared" si="3"/>
        <v>42.913588351117738</v>
      </c>
      <c r="F109" s="307">
        <f t="shared" si="3"/>
        <v>42.913588351117738</v>
      </c>
      <c r="G109" s="63"/>
      <c r="I109" s="63"/>
      <c r="J109" s="63"/>
      <c r="K109" s="63"/>
      <c r="L109" s="63"/>
      <c r="M109" s="63"/>
      <c r="N109" s="63"/>
      <c r="O109" s="63"/>
      <c r="P109" s="63"/>
      <c r="Q109" s="63"/>
    </row>
    <row r="110" spans="1:17">
      <c r="A110" s="63"/>
      <c r="B110" s="306" t="s">
        <v>268</v>
      </c>
      <c r="C110" s="306" t="s">
        <v>173</v>
      </c>
      <c r="D110" s="305">
        <f t="shared" si="3"/>
        <v>3.2868980174215006</v>
      </c>
      <c r="E110" s="305">
        <f t="shared" si="3"/>
        <v>0.49158331190144505</v>
      </c>
      <c r="F110" s="305">
        <f t="shared" si="3"/>
        <v>0.49158331190144505</v>
      </c>
      <c r="G110" s="63"/>
      <c r="I110" s="63"/>
      <c r="J110" s="63"/>
      <c r="K110" s="63"/>
      <c r="L110" s="63"/>
      <c r="M110" s="63"/>
      <c r="N110" s="63"/>
      <c r="O110" s="63"/>
      <c r="P110" s="63"/>
      <c r="Q110" s="63"/>
    </row>
    <row r="111" spans="1:17">
      <c r="A111" s="63"/>
      <c r="B111" s="304" t="s">
        <v>267</v>
      </c>
      <c r="C111" s="303"/>
      <c r="D111" s="303"/>
      <c r="E111" s="303"/>
      <c r="F111" s="30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B122" s="63"/>
      <c r="C122" s="63"/>
      <c r="D122" s="63"/>
      <c r="E122"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C00-000000000000}">
          <x14:formula1>
            <xm:f>'C:\Users\B003920\Desktop\[Kopi af alternativ_drivmiddelmodel_3.0_2.xlsm]Sheet1'!#REF!</xm:f>
          </x14:formula1>
          <xm:sqref>C9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tabColor rgb="FF002060"/>
  </sheetPr>
  <dimension ref="A1:S123"/>
  <sheetViews>
    <sheetView zoomScale="80" zoomScaleNormal="80" workbookViewId="0">
      <selection activeCell="D38" sqref="D38"/>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6384" width="9.109375" style="264"/>
  </cols>
  <sheetData>
    <row r="1" spans="1:19" s="60" customFormat="1" ht="21">
      <c r="B1" s="60" t="s">
        <v>35</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298</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236</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174</v>
      </c>
      <c r="D23" s="271">
        <f>D72</f>
        <v>0.10078740157480315</v>
      </c>
      <c r="E23" s="270">
        <f>E72</f>
        <v>0.11411411411411412</v>
      </c>
      <c r="F23" s="270">
        <f>F72</f>
        <v>0.14039039039039039</v>
      </c>
      <c r="G23" s="270">
        <f>G72</f>
        <v>0.16444444444444445</v>
      </c>
      <c r="H23" s="145"/>
      <c r="I23" s="184"/>
      <c r="J23" s="72"/>
      <c r="K23" s="241"/>
      <c r="L23" s="63"/>
      <c r="M23" s="63"/>
      <c r="N23" s="63"/>
      <c r="O23" s="63"/>
      <c r="P23" s="63"/>
      <c r="Q23" s="63"/>
    </row>
    <row r="24" spans="1:17">
      <c r="A24" s="63"/>
      <c r="B24" s="143" t="s">
        <v>103</v>
      </c>
      <c r="C24" s="116" t="s">
        <v>174</v>
      </c>
      <c r="D24" s="142">
        <f>D23</f>
        <v>0.10078740157480315</v>
      </c>
      <c r="E24" s="141">
        <f>E23</f>
        <v>0.11411411411411412</v>
      </c>
      <c r="F24" s="141">
        <f>F23</f>
        <v>0.14039039039039039</v>
      </c>
      <c r="G24" s="141">
        <f>G23</f>
        <v>0.16444444444444445</v>
      </c>
      <c r="H24" s="145"/>
      <c r="I24" s="184"/>
      <c r="J24" s="72"/>
      <c r="K24" s="241"/>
      <c r="L24" s="63"/>
      <c r="M24" s="63"/>
      <c r="N24" s="63"/>
      <c r="O24" s="63"/>
      <c r="P24" s="63"/>
      <c r="Q24" s="63"/>
    </row>
    <row r="25" spans="1:17">
      <c r="A25" s="63"/>
      <c r="B25" s="143" t="s">
        <v>104</v>
      </c>
      <c r="C25" s="116" t="s">
        <v>105</v>
      </c>
      <c r="D25" s="142">
        <f>D76</f>
        <v>19.05</v>
      </c>
      <c r="E25" s="141">
        <f>E76</f>
        <v>16.649999999999999</v>
      </c>
      <c r="F25" s="141">
        <f>F76</f>
        <v>13.32</v>
      </c>
      <c r="G25" s="141">
        <f>G76</f>
        <v>11.25</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+D67*D69/1000</f>
        <v>128.63999999999999</v>
      </c>
      <c r="E28" s="137">
        <f>+E67*E69/1000</f>
        <v>127.3</v>
      </c>
      <c r="F28" s="137">
        <f>+F67*F69/1000</f>
        <v>125.29</v>
      </c>
      <c r="G28" s="137">
        <f>+G67*G69/1000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1562635.8481684364</v>
      </c>
      <c r="E31" s="134">
        <v>1562635.8481684364</v>
      </c>
      <c r="F31" s="134">
        <v>1562635.8481684364</v>
      </c>
      <c r="G31" s="134">
        <v>1562635.8481684364</v>
      </c>
      <c r="H31" s="133">
        <v>2015</v>
      </c>
      <c r="I31" s="77"/>
      <c r="J31" s="72"/>
    </row>
    <row r="32" spans="1:17" s="63" customFormat="1">
      <c r="B32" s="76" t="s">
        <v>16</v>
      </c>
      <c r="C32" s="116" t="s">
        <v>17</v>
      </c>
      <c r="D32" s="134">
        <v>3393.828959599186</v>
      </c>
      <c r="E32" s="134">
        <v>3429.5534749633885</v>
      </c>
      <c r="F32" s="134">
        <v>3484.5730494280419</v>
      </c>
      <c r="G32" s="134">
        <v>3522.2441094218584</v>
      </c>
      <c r="H32" s="133">
        <v>2015</v>
      </c>
      <c r="I32" s="77"/>
      <c r="J32" s="72"/>
    </row>
    <row r="33" spans="1:17" s="63" customFormat="1">
      <c r="B33" s="127" t="s">
        <v>18</v>
      </c>
      <c r="C33" s="116" t="s">
        <v>17</v>
      </c>
      <c r="D33" s="134">
        <v>2393.2412809729631</v>
      </c>
      <c r="E33" s="134">
        <v>2418.4332944568891</v>
      </c>
      <c r="F33" s="134">
        <v>2457.2316895551276</v>
      </c>
      <c r="G33" s="134">
        <v>2483.7963564692373</v>
      </c>
      <c r="H33" s="133">
        <v>2015</v>
      </c>
      <c r="I33" s="77"/>
      <c r="J33" s="72"/>
    </row>
    <row r="34" spans="1:17" s="63" customFormat="1">
      <c r="B34" s="127" t="s">
        <v>19</v>
      </c>
      <c r="C34" s="116" t="s">
        <v>17</v>
      </c>
      <c r="D34" s="134">
        <v>1000.5876786262235</v>
      </c>
      <c r="E34" s="134">
        <v>1011.1201805064995</v>
      </c>
      <c r="F34" s="134">
        <v>1027.3413598729137</v>
      </c>
      <c r="G34" s="134">
        <v>1038.4477529526209</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v>1504780.4222459821</v>
      </c>
      <c r="E38" s="326">
        <v>1504780.4222459821</v>
      </c>
      <c r="F38" s="326">
        <v>1504780.4222459821</v>
      </c>
      <c r="G38" s="326">
        <v>1504780.4222459821</v>
      </c>
      <c r="H38" s="128">
        <v>2013</v>
      </c>
      <c r="I38" s="97" t="s">
        <v>605</v>
      </c>
      <c r="J38" s="336"/>
      <c r="K38" s="241"/>
      <c r="L38" s="63"/>
      <c r="M38" s="63"/>
      <c r="N38" s="63"/>
      <c r="O38" s="63"/>
      <c r="P38" s="63"/>
      <c r="Q38" s="63"/>
    </row>
    <row r="39" spans="1:17">
      <c r="A39" s="63"/>
      <c r="B39" s="76" t="s">
        <v>16</v>
      </c>
      <c r="C39" s="116" t="s">
        <v>17</v>
      </c>
      <c r="D39" s="254">
        <f>+SUM(D40:D43)</f>
        <v>3268.1749755339197</v>
      </c>
      <c r="E39" s="255">
        <f>+SUM(E40:E43)</f>
        <v>3302.5768173816455</v>
      </c>
      <c r="F39" s="255">
        <f>+SUM(F40:F43)</f>
        <v>3355.5593331685168</v>
      </c>
      <c r="G39" s="255">
        <f>+SUM(G40:G43)</f>
        <v>3391.8356502838519</v>
      </c>
      <c r="H39" s="128">
        <v>2013</v>
      </c>
      <c r="I39" s="184"/>
      <c r="J39" s="72"/>
      <c r="K39" s="241"/>
      <c r="L39" s="63"/>
      <c r="M39" s="63"/>
      <c r="N39" s="63"/>
      <c r="O39" s="63"/>
      <c r="P39" s="63"/>
      <c r="Q39" s="63"/>
    </row>
    <row r="40" spans="1:17">
      <c r="A40" s="63"/>
      <c r="B40" s="127" t="s">
        <v>18</v>
      </c>
      <c r="C40" s="116" t="s">
        <v>17</v>
      </c>
      <c r="D40" s="254">
        <v>2304.6333088672532</v>
      </c>
      <c r="E40" s="255">
        <v>2328.8926068553296</v>
      </c>
      <c r="F40" s="255">
        <v>2366.254520334292</v>
      </c>
      <c r="G40" s="255">
        <v>2391.8356502838519</v>
      </c>
      <c r="H40" s="128">
        <v>2013</v>
      </c>
      <c r="I40" s="184"/>
      <c r="J40" s="72"/>
      <c r="K40" s="241"/>
      <c r="L40" s="63"/>
      <c r="M40" s="63"/>
      <c r="N40" s="63"/>
      <c r="O40" s="63"/>
      <c r="P40" s="63"/>
      <c r="Q40" s="63"/>
    </row>
    <row r="41" spans="1:17">
      <c r="A41" s="63"/>
      <c r="B41" s="127" t="s">
        <v>19</v>
      </c>
      <c r="C41" s="116" t="s">
        <v>17</v>
      </c>
      <c r="D41" s="254">
        <f>(D69*D70)/D28</f>
        <v>963.54166666666674</v>
      </c>
      <c r="E41" s="255">
        <f>(E69*E70)/E28</f>
        <v>973.68421052631584</v>
      </c>
      <c r="F41" s="255">
        <f>(F69*F70)/F28</f>
        <v>989.30481283422455</v>
      </c>
      <c r="G41" s="255">
        <f>(G69*G70)/G28</f>
        <v>1000</v>
      </c>
      <c r="H41" s="128">
        <v>2013</v>
      </c>
      <c r="I41" s="184"/>
      <c r="J41" s="117" t="s">
        <v>156</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3">
        <v>0</v>
      </c>
      <c r="F43" s="253">
        <v>0</v>
      </c>
      <c r="G43" s="253">
        <v>0</v>
      </c>
      <c r="H43" s="128">
        <v>2013</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175</v>
      </c>
      <c r="D47" s="252"/>
      <c r="E47" s="119"/>
      <c r="F47" s="119"/>
      <c r="G47" s="119"/>
      <c r="H47" s="124"/>
      <c r="I47" s="184"/>
      <c r="J47" s="117" t="s">
        <v>115</v>
      </c>
      <c r="K47" s="241"/>
      <c r="L47" s="63"/>
      <c r="M47" s="63"/>
      <c r="N47" s="63"/>
      <c r="O47" s="63"/>
      <c r="P47" s="63"/>
      <c r="Q47" s="63"/>
    </row>
    <row r="48" spans="1:17">
      <c r="A48" s="63"/>
      <c r="B48" s="76" t="s">
        <v>21</v>
      </c>
      <c r="C48" s="116" t="s">
        <v>175</v>
      </c>
      <c r="D48" s="122">
        <f t="shared" ref="D48:G52" si="0">D79/D$76</f>
        <v>3.079615048118985E-2</v>
      </c>
      <c r="E48" s="122">
        <f t="shared" si="0"/>
        <v>1.5849182515849183E-2</v>
      </c>
      <c r="F48" s="122">
        <f t="shared" si="0"/>
        <v>1.9498665331998667E-2</v>
      </c>
      <c r="G48" s="122">
        <f t="shared" si="0"/>
        <v>2.2839506172839509E-2</v>
      </c>
      <c r="H48" s="118"/>
      <c r="I48" s="184"/>
      <c r="J48" s="72"/>
      <c r="K48" s="241"/>
      <c r="L48" s="63"/>
      <c r="M48" s="63"/>
      <c r="N48" s="63"/>
      <c r="O48" s="63"/>
      <c r="P48" s="63"/>
      <c r="Q48" s="63"/>
    </row>
    <row r="49" spans="1:17">
      <c r="A49" s="63"/>
      <c r="B49" s="76" t="s">
        <v>22</v>
      </c>
      <c r="C49" s="116" t="s">
        <v>175</v>
      </c>
      <c r="D49" s="122">
        <f t="shared" si="0"/>
        <v>2.8831426319335706E-3</v>
      </c>
      <c r="E49" s="122">
        <f t="shared" si="0"/>
        <v>3.8168443449451881E-3</v>
      </c>
      <c r="F49" s="122">
        <f t="shared" si="0"/>
        <v>3.8168443449451881E-3</v>
      </c>
      <c r="G49" s="122">
        <f t="shared" si="0"/>
        <v>3.8168443449451881E-3</v>
      </c>
      <c r="H49" s="96"/>
      <c r="I49" s="184"/>
      <c r="J49" s="72"/>
      <c r="K49" s="241"/>
      <c r="L49" s="63"/>
      <c r="M49" s="63"/>
      <c r="N49" s="63"/>
      <c r="O49" s="63"/>
      <c r="P49" s="63"/>
      <c r="Q49" s="63"/>
    </row>
    <row r="50" spans="1:17">
      <c r="A50" s="63"/>
      <c r="B50" s="76" t="s">
        <v>23</v>
      </c>
      <c r="C50" s="116" t="s">
        <v>175</v>
      </c>
      <c r="D50" s="122">
        <f t="shared" si="0"/>
        <v>4.6837408023728808E-4</v>
      </c>
      <c r="E50" s="122">
        <f t="shared" si="0"/>
        <v>4.6837408023728798E-4</v>
      </c>
      <c r="F50" s="122">
        <f t="shared" si="0"/>
        <v>4.6837408023728798E-4</v>
      </c>
      <c r="G50" s="122">
        <f t="shared" si="0"/>
        <v>4.6837408023728798E-4</v>
      </c>
      <c r="H50" s="123"/>
      <c r="I50" s="184"/>
      <c r="J50" s="72"/>
      <c r="K50" s="241"/>
      <c r="L50" s="63"/>
      <c r="M50" s="63"/>
      <c r="N50" s="63"/>
      <c r="O50" s="63"/>
      <c r="P50" s="63"/>
      <c r="Q50" s="63"/>
    </row>
    <row r="51" spans="1:17">
      <c r="A51" s="63"/>
      <c r="B51" s="76" t="s">
        <v>116</v>
      </c>
      <c r="C51" s="116" t="s">
        <v>175</v>
      </c>
      <c r="D51" s="122">
        <f t="shared" si="0"/>
        <v>0.42120742294108487</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175</v>
      </c>
      <c r="D52" s="122">
        <f t="shared" si="0"/>
        <v>3.2868980174215012E-3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175</v>
      </c>
      <c r="D55" s="252"/>
      <c r="E55" s="119"/>
      <c r="F55" s="119"/>
      <c r="G55" s="119"/>
      <c r="H55" s="194"/>
      <c r="I55" s="184"/>
      <c r="J55" s="117" t="s">
        <v>115</v>
      </c>
      <c r="K55" s="241"/>
      <c r="L55" s="63"/>
      <c r="M55" s="63"/>
      <c r="N55" s="63"/>
      <c r="O55" s="63"/>
      <c r="P55" s="63"/>
      <c r="Q55" s="63"/>
    </row>
    <row r="56" spans="1:17">
      <c r="A56" s="63"/>
      <c r="B56" s="76" t="s">
        <v>21</v>
      </c>
      <c r="C56" s="116" t="s">
        <v>175</v>
      </c>
      <c r="D56" s="115">
        <f t="shared" ref="D56:G60" si="1">D48</f>
        <v>3.079615048118985E-2</v>
      </c>
      <c r="E56" s="115">
        <f t="shared" si="1"/>
        <v>1.5849182515849183E-2</v>
      </c>
      <c r="F56" s="115">
        <f t="shared" si="1"/>
        <v>1.9498665331998667E-2</v>
      </c>
      <c r="G56" s="115">
        <f t="shared" si="1"/>
        <v>2.2839506172839509E-2</v>
      </c>
      <c r="H56" s="194"/>
      <c r="I56" s="184"/>
      <c r="J56" s="72"/>
      <c r="K56" s="241"/>
      <c r="L56" s="63"/>
      <c r="M56" s="63"/>
      <c r="N56" s="63"/>
      <c r="O56" s="63"/>
      <c r="P56" s="63"/>
      <c r="Q56" s="63"/>
    </row>
    <row r="57" spans="1:17">
      <c r="A57" s="63"/>
      <c r="B57" s="76" t="s">
        <v>22</v>
      </c>
      <c r="C57" s="116" t="s">
        <v>175</v>
      </c>
      <c r="D57" s="115">
        <f t="shared" si="1"/>
        <v>2.8831426319335706E-3</v>
      </c>
      <c r="E57" s="115">
        <f t="shared" si="1"/>
        <v>3.8168443449451881E-3</v>
      </c>
      <c r="F57" s="115">
        <f t="shared" si="1"/>
        <v>3.8168443449451881E-3</v>
      </c>
      <c r="G57" s="115">
        <f t="shared" si="1"/>
        <v>3.8168443449451881E-3</v>
      </c>
      <c r="H57" s="194"/>
      <c r="I57" s="184"/>
      <c r="J57" s="72"/>
      <c r="K57" s="241"/>
      <c r="L57" s="63"/>
      <c r="M57" s="63"/>
      <c r="N57" s="63"/>
      <c r="O57" s="63"/>
      <c r="P57" s="63"/>
      <c r="Q57" s="63"/>
    </row>
    <row r="58" spans="1:17">
      <c r="A58" s="63"/>
      <c r="B58" s="76" t="s">
        <v>23</v>
      </c>
      <c r="C58" s="116" t="s">
        <v>175</v>
      </c>
      <c r="D58" s="115">
        <f t="shared" si="1"/>
        <v>4.6837408023728808E-4</v>
      </c>
      <c r="E58" s="115">
        <f t="shared" si="1"/>
        <v>4.6837408023728798E-4</v>
      </c>
      <c r="F58" s="115">
        <f t="shared" si="1"/>
        <v>4.6837408023728798E-4</v>
      </c>
      <c r="G58" s="115">
        <f t="shared" si="1"/>
        <v>4.6837408023728798E-4</v>
      </c>
      <c r="H58" s="194"/>
      <c r="I58" s="184"/>
      <c r="J58" s="72"/>
      <c r="K58" s="241"/>
      <c r="L58" s="63"/>
      <c r="M58" s="63"/>
      <c r="N58" s="63"/>
      <c r="O58" s="63"/>
      <c r="P58" s="63"/>
      <c r="Q58" s="63"/>
    </row>
    <row r="59" spans="1:17">
      <c r="A59" s="63"/>
      <c r="B59" s="76" t="s">
        <v>116</v>
      </c>
      <c r="C59" s="116" t="s">
        <v>175</v>
      </c>
      <c r="D59" s="115">
        <f t="shared" si="1"/>
        <v>0.42120742294108487</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175</v>
      </c>
      <c r="D60" s="115">
        <f t="shared" si="1"/>
        <v>3.2868980174215012E-3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50"/>
      <c r="J66" s="102"/>
      <c r="K66" s="241"/>
      <c r="L66" s="63"/>
      <c r="M66" s="63"/>
      <c r="N66" s="63"/>
      <c r="O66" s="63"/>
      <c r="P66" s="63"/>
      <c r="Q66" s="63"/>
    </row>
    <row r="67" spans="1:17">
      <c r="A67" s="63"/>
      <c r="B67" s="76" t="s">
        <v>25</v>
      </c>
      <c r="C67" s="93" t="s">
        <v>152</v>
      </c>
      <c r="D67" s="251">
        <v>1.92</v>
      </c>
      <c r="E67" s="251">
        <v>1.9</v>
      </c>
      <c r="F67" s="251">
        <v>1.87</v>
      </c>
      <c r="G67" s="251">
        <v>1.85</v>
      </c>
      <c r="H67" s="251"/>
      <c r="I67" s="75" t="s">
        <v>603</v>
      </c>
      <c r="J67" s="72"/>
      <c r="K67" s="241"/>
      <c r="L67" s="63"/>
      <c r="M67" s="63"/>
      <c r="N67" s="63"/>
      <c r="O67" s="63"/>
      <c r="P67" s="63"/>
      <c r="Q67" s="63"/>
    </row>
    <row r="68" spans="1:17">
      <c r="A68" s="63"/>
      <c r="B68" s="76" t="s">
        <v>176</v>
      </c>
      <c r="C68" s="93" t="s">
        <v>26</v>
      </c>
      <c r="D68" s="300">
        <f>D76/'EU Bus'!D75-1</f>
        <v>0.18988132417239223</v>
      </c>
      <c r="E68" s="300">
        <f>(D68+F68)/2</f>
        <v>0.18994066208619612</v>
      </c>
      <c r="F68" s="300">
        <v>0.19</v>
      </c>
      <c r="G68" s="300">
        <v>0.19</v>
      </c>
      <c r="H68" s="246"/>
      <c r="I68" s="75" t="s">
        <v>177</v>
      </c>
      <c r="J68" s="117"/>
      <c r="K68" s="241"/>
      <c r="L68" s="63"/>
      <c r="M68" s="63"/>
      <c r="N68" s="63"/>
      <c r="O68" s="63"/>
      <c r="P68" s="63"/>
      <c r="Q68" s="63"/>
    </row>
    <row r="69" spans="1:17">
      <c r="A69" s="63"/>
      <c r="B69" s="76" t="s">
        <v>121</v>
      </c>
      <c r="C69" s="93" t="s">
        <v>122</v>
      </c>
      <c r="D69" s="250">
        <v>67000</v>
      </c>
      <c r="E69" s="250">
        <v>67000</v>
      </c>
      <c r="F69" s="250">
        <v>67000</v>
      </c>
      <c r="G69" s="250">
        <v>67000</v>
      </c>
      <c r="H69" s="250"/>
      <c r="I69" s="75" t="s">
        <v>605</v>
      </c>
      <c r="J69" s="117"/>
      <c r="K69" s="241"/>
      <c r="L69" s="63"/>
      <c r="M69" s="63"/>
      <c r="N69" s="63"/>
      <c r="O69" s="63"/>
      <c r="P69" s="63"/>
      <c r="Q69" s="63"/>
    </row>
    <row r="70" spans="1:17">
      <c r="A70" s="63"/>
      <c r="B70" s="76" t="s">
        <v>124</v>
      </c>
      <c r="C70" s="199" t="s">
        <v>36</v>
      </c>
      <c r="D70" s="268">
        <f>123950/D69</f>
        <v>1.85</v>
      </c>
      <c r="E70" s="268">
        <f>123950/E69</f>
        <v>1.85</v>
      </c>
      <c r="F70" s="268">
        <f>123950/F69</f>
        <v>1.85</v>
      </c>
      <c r="G70" s="268">
        <f>123950/G69</f>
        <v>1.85</v>
      </c>
      <c r="H70" s="268"/>
      <c r="I70" s="75" t="s">
        <v>605</v>
      </c>
      <c r="J70" s="336"/>
      <c r="K70" s="241"/>
      <c r="L70" s="63"/>
      <c r="M70" s="63"/>
      <c r="N70" s="63"/>
      <c r="O70" s="63"/>
      <c r="P70" s="63"/>
      <c r="Q70" s="63"/>
    </row>
    <row r="71" spans="1:17">
      <c r="A71" s="63"/>
      <c r="B71" s="163" t="s">
        <v>163</v>
      </c>
      <c r="C71" s="199" t="s">
        <v>178</v>
      </c>
      <c r="D71" s="341">
        <v>2.0713910761154857</v>
      </c>
      <c r="E71" s="341">
        <v>2.3699699699699703</v>
      </c>
      <c r="F71" s="341">
        <v>2.9624624624624625</v>
      </c>
      <c r="G71" s="341">
        <v>3.5075555555555558</v>
      </c>
      <c r="H71" s="341"/>
      <c r="I71" s="75" t="s">
        <v>297</v>
      </c>
      <c r="J71" s="117"/>
      <c r="K71" s="241"/>
      <c r="L71" s="63"/>
      <c r="M71" s="65"/>
      <c r="N71" s="185"/>
      <c r="O71" s="185"/>
      <c r="P71" s="63"/>
      <c r="Q71" s="63"/>
    </row>
    <row r="72" spans="1:17">
      <c r="A72" s="63"/>
      <c r="B72" s="163" t="s">
        <v>165</v>
      </c>
      <c r="C72" s="199" t="s">
        <v>26</v>
      </c>
      <c r="D72" s="340">
        <f>D67/D76</f>
        <v>0.10078740157480315</v>
      </c>
      <c r="E72" s="340">
        <f>E67/E76</f>
        <v>0.11411411411411412</v>
      </c>
      <c r="F72" s="340">
        <f>F67/F76</f>
        <v>0.14039039039039039</v>
      </c>
      <c r="G72" s="340">
        <f>G67/G76</f>
        <v>0.16444444444444445</v>
      </c>
      <c r="H72" s="299"/>
      <c r="I72" s="75"/>
      <c r="J72" s="117"/>
      <c r="K72" s="241"/>
      <c r="L72" s="63"/>
      <c r="M72" s="63"/>
      <c r="N72" s="63"/>
      <c r="O72" s="63"/>
      <c r="P72" s="63"/>
      <c r="Q72" s="63"/>
    </row>
    <row r="73" spans="1:17" ht="14.4" thickBot="1">
      <c r="A73" s="63"/>
      <c r="B73" s="245"/>
      <c r="C73" s="244"/>
      <c r="D73" s="334"/>
      <c r="E73" s="334"/>
      <c r="F73" s="334"/>
      <c r="G73" s="334"/>
      <c r="H73" s="334"/>
      <c r="I73" s="334"/>
      <c r="J73" s="68"/>
      <c r="K73" s="241"/>
      <c r="L73" s="63"/>
      <c r="M73" s="63"/>
      <c r="N73" s="63"/>
      <c r="O73" s="63"/>
      <c r="P73" s="63"/>
      <c r="Q73" s="63"/>
    </row>
    <row r="74" spans="1:17">
      <c r="A74" s="63"/>
      <c r="B74" s="63"/>
      <c r="C74" s="63"/>
      <c r="D74" s="189"/>
      <c r="E74" s="189"/>
      <c r="F74" s="189"/>
      <c r="G74" s="189"/>
      <c r="H74" s="189"/>
      <c r="I74" s="189"/>
      <c r="J74" s="63"/>
      <c r="K74" s="241"/>
      <c r="L74" s="63"/>
      <c r="M74" s="63"/>
      <c r="N74" s="63"/>
      <c r="O74" s="63"/>
      <c r="P74" s="63"/>
      <c r="Q74" s="63"/>
    </row>
    <row r="75" spans="1:17" ht="16.2" thickBot="1">
      <c r="A75" s="63"/>
      <c r="B75" s="87" t="s">
        <v>126</v>
      </c>
      <c r="C75" s="63"/>
      <c r="D75" s="63"/>
      <c r="E75" s="63"/>
      <c r="F75" s="185"/>
      <c r="G75" s="63"/>
      <c r="I75" s="63"/>
      <c r="J75" s="63"/>
      <c r="K75" s="241"/>
      <c r="L75" s="63"/>
      <c r="M75" s="63"/>
      <c r="N75" s="63"/>
      <c r="O75" s="63"/>
      <c r="P75" s="63"/>
      <c r="Q75" s="63"/>
    </row>
    <row r="76" spans="1:17">
      <c r="A76" s="63"/>
      <c r="B76" s="86" t="s">
        <v>150</v>
      </c>
      <c r="C76" s="83"/>
      <c r="D76" s="180">
        <v>19.05</v>
      </c>
      <c r="E76" s="180">
        <v>16.649999999999999</v>
      </c>
      <c r="F76" s="180">
        <v>13.32</v>
      </c>
      <c r="G76" s="180">
        <v>11.25</v>
      </c>
      <c r="H76" s="180"/>
      <c r="I76" s="180" t="s">
        <v>603</v>
      </c>
      <c r="J76" s="81"/>
      <c r="K76" s="241"/>
      <c r="L76" s="63"/>
      <c r="M76" s="63"/>
      <c r="N76" s="63"/>
      <c r="O76" s="63"/>
      <c r="P76" s="63"/>
      <c r="Q76" s="63"/>
    </row>
    <row r="77" spans="1:17">
      <c r="A77" s="63"/>
      <c r="B77" s="76"/>
      <c r="C77" s="75"/>
      <c r="D77" s="242"/>
      <c r="E77" s="242"/>
      <c r="F77" s="242"/>
      <c r="G77" s="242"/>
      <c r="H77" s="242"/>
      <c r="I77" s="75"/>
      <c r="J77" s="72"/>
      <c r="K77" s="241"/>
      <c r="L77" s="63"/>
      <c r="M77" s="63"/>
      <c r="N77" s="63"/>
      <c r="O77" s="63"/>
      <c r="P77" s="63"/>
      <c r="Q77" s="63"/>
    </row>
    <row r="78" spans="1:17">
      <c r="A78" s="63"/>
      <c r="B78" s="76" t="s">
        <v>20</v>
      </c>
      <c r="C78" s="75" t="s">
        <v>27</v>
      </c>
      <c r="D78" s="323"/>
      <c r="E78" s="323"/>
      <c r="F78" s="323"/>
      <c r="G78" s="323"/>
      <c r="H78" s="323"/>
      <c r="I78" s="75"/>
      <c r="J78" s="72"/>
      <c r="K78" s="241"/>
      <c r="L78" s="63"/>
      <c r="M78" s="63"/>
      <c r="N78" s="63"/>
      <c r="O78" s="63"/>
      <c r="P78" s="63"/>
      <c r="Q78" s="63"/>
    </row>
    <row r="79" spans="1:17">
      <c r="A79" s="63"/>
      <c r="B79" s="76" t="s">
        <v>21</v>
      </c>
      <c r="C79" s="75" t="s">
        <v>27</v>
      </c>
      <c r="D79" s="339">
        <f>D89/1000*D$67</f>
        <v>0.58666666666666667</v>
      </c>
      <c r="E79" s="339">
        <f>E89/1000*E$67</f>
        <v>0.2638888888888889</v>
      </c>
      <c r="F79" s="339">
        <f>F89/1000*F$67</f>
        <v>0.25972222222222224</v>
      </c>
      <c r="G79" s="339">
        <f>G89/1000*G$67</f>
        <v>0.25694444444444448</v>
      </c>
      <c r="H79" s="339"/>
      <c r="I79" s="75"/>
      <c r="J79" s="72" t="s">
        <v>179</v>
      </c>
      <c r="K79" s="241"/>
      <c r="L79" s="63"/>
      <c r="M79" s="63"/>
      <c r="N79" s="63"/>
      <c r="O79" s="63"/>
      <c r="P79" s="63"/>
      <c r="Q79" s="63"/>
    </row>
    <row r="80" spans="1:17">
      <c r="A80" s="63"/>
      <c r="B80" s="76" t="s">
        <v>22</v>
      </c>
      <c r="C80" s="75" t="s">
        <v>27</v>
      </c>
      <c r="D80" s="323">
        <f t="shared" ref="D80:G83" si="2">D90/1000*D$76</f>
        <v>5.4923867138334519E-2</v>
      </c>
      <c r="E80" s="323">
        <f t="shared" si="2"/>
        <v>6.3550458343337377E-2</v>
      </c>
      <c r="F80" s="323">
        <f t="shared" si="2"/>
        <v>5.0840366674669908E-2</v>
      </c>
      <c r="G80" s="323">
        <f t="shared" si="2"/>
        <v>4.2939498880633364E-2</v>
      </c>
      <c r="H80" s="323"/>
      <c r="I80" s="75"/>
      <c r="J80" s="72"/>
      <c r="K80" s="241"/>
      <c r="L80" s="63"/>
      <c r="M80" s="63"/>
      <c r="N80" s="63"/>
      <c r="O80" s="63"/>
      <c r="P80" s="63"/>
      <c r="Q80" s="63"/>
    </row>
    <row r="81" spans="1:17">
      <c r="A81" s="63"/>
      <c r="B81" s="76" t="s">
        <v>23</v>
      </c>
      <c r="C81" s="75" t="s">
        <v>27</v>
      </c>
      <c r="D81" s="323">
        <f t="shared" si="2"/>
        <v>8.9225262285203381E-3</v>
      </c>
      <c r="E81" s="323">
        <f t="shared" si="2"/>
        <v>7.7984284359508445E-3</v>
      </c>
      <c r="F81" s="323">
        <f t="shared" si="2"/>
        <v>6.2387427487606761E-3</v>
      </c>
      <c r="G81" s="323">
        <f t="shared" si="2"/>
        <v>5.2692084026694898E-3</v>
      </c>
      <c r="H81" s="323"/>
      <c r="I81" s="75"/>
      <c r="J81" s="117"/>
      <c r="K81" s="266"/>
      <c r="L81" s="63"/>
      <c r="M81" s="63"/>
      <c r="N81" s="63"/>
      <c r="O81" s="63"/>
      <c r="P81" s="63"/>
      <c r="Q81" s="63"/>
    </row>
    <row r="82" spans="1:17">
      <c r="A82" s="63"/>
      <c r="B82" s="163" t="s">
        <v>37</v>
      </c>
      <c r="C82" s="75" t="s">
        <v>27</v>
      </c>
      <c r="D82" s="323">
        <f t="shared" si="2"/>
        <v>8.0240014070276668</v>
      </c>
      <c r="E82" s="323">
        <f t="shared" si="2"/>
        <v>0.71451124604611038</v>
      </c>
      <c r="F82" s="323">
        <f t="shared" si="2"/>
        <v>0.57160899683688837</v>
      </c>
      <c r="G82" s="323">
        <f t="shared" si="2"/>
        <v>0.48277786895007457</v>
      </c>
      <c r="H82" s="323"/>
      <c r="I82" s="75"/>
      <c r="J82" s="117"/>
      <c r="K82" s="241"/>
      <c r="L82" s="63"/>
      <c r="M82" s="63"/>
      <c r="N82" s="63"/>
      <c r="O82" s="63"/>
      <c r="P82" s="63"/>
      <c r="Q82" s="63"/>
    </row>
    <row r="83" spans="1:17">
      <c r="A83" s="63"/>
      <c r="B83" s="76" t="s">
        <v>24</v>
      </c>
      <c r="C83" s="75" t="s">
        <v>27</v>
      </c>
      <c r="D83" s="323">
        <f t="shared" si="2"/>
        <v>6.2615407231879597E-2</v>
      </c>
      <c r="E83" s="323">
        <f t="shared" si="2"/>
        <v>8.1848621431590603E-3</v>
      </c>
      <c r="F83" s="323">
        <f t="shared" si="2"/>
        <v>6.5478897145272484E-3</v>
      </c>
      <c r="G83" s="323">
        <f t="shared" si="2"/>
        <v>5.5303122588912573E-3</v>
      </c>
      <c r="H83" s="323"/>
      <c r="I83" s="75"/>
      <c r="J83" s="117"/>
      <c r="K83" s="266"/>
      <c r="L83" s="63"/>
      <c r="M83" s="63"/>
      <c r="N83" s="63"/>
      <c r="O83" s="63"/>
      <c r="P83" s="63"/>
      <c r="Q83" s="63"/>
    </row>
    <row r="84" spans="1:17" ht="14.4" thickBot="1">
      <c r="A84" s="63"/>
      <c r="B84" s="71"/>
      <c r="C84" s="70"/>
      <c r="D84" s="239"/>
      <c r="E84" s="239"/>
      <c r="F84" s="239"/>
      <c r="G84" s="239"/>
      <c r="H84" s="239"/>
      <c r="I84" s="70"/>
      <c r="J84" s="88"/>
      <c r="K84" s="63"/>
      <c r="L84" s="63"/>
      <c r="M84" s="63"/>
      <c r="N84" s="63"/>
      <c r="O84" s="63"/>
      <c r="P84" s="63"/>
      <c r="Q84" s="63"/>
    </row>
    <row r="85" spans="1:17">
      <c r="A85" s="63"/>
      <c r="B85" s="63"/>
      <c r="C85" s="63"/>
      <c r="D85" s="63"/>
      <c r="E85" s="63"/>
      <c r="F85" s="63"/>
      <c r="G85" s="63"/>
      <c r="I85" s="63"/>
      <c r="J85" s="63"/>
      <c r="K85" s="63"/>
      <c r="L85" s="63"/>
      <c r="M85" s="63"/>
      <c r="N85" s="63"/>
      <c r="O85" s="63"/>
      <c r="P85" s="63"/>
      <c r="Q85" s="63"/>
    </row>
    <row r="86" spans="1:17" ht="14.4" thickBot="1">
      <c r="A86" s="63"/>
      <c r="B86" s="152" t="s">
        <v>172</v>
      </c>
      <c r="C86" s="63"/>
      <c r="D86" s="63"/>
      <c r="E86" s="63"/>
      <c r="F86" s="63"/>
      <c r="G86" s="63"/>
      <c r="I86" s="63"/>
      <c r="J86" s="63"/>
      <c r="K86" s="63"/>
      <c r="L86" s="63"/>
      <c r="M86" s="63"/>
      <c r="N86" s="63"/>
      <c r="O86" s="63"/>
      <c r="P86" s="63"/>
      <c r="Q86" s="63"/>
    </row>
    <row r="87" spans="1:17">
      <c r="A87" s="63"/>
      <c r="B87" s="86"/>
      <c r="C87" s="83"/>
      <c r="D87" s="238">
        <v>2015</v>
      </c>
      <c r="E87" s="238">
        <v>2020</v>
      </c>
      <c r="F87" s="238">
        <v>2035</v>
      </c>
      <c r="G87" s="238"/>
      <c r="H87" s="238"/>
      <c r="I87" s="83"/>
      <c r="J87" s="81"/>
      <c r="K87" s="63"/>
      <c r="L87" s="63"/>
      <c r="M87" s="63"/>
      <c r="N87" s="63"/>
      <c r="O87" s="63"/>
      <c r="P87" s="63"/>
      <c r="Q87" s="63"/>
    </row>
    <row r="88" spans="1:17">
      <c r="A88" s="63"/>
      <c r="B88" s="237" t="s">
        <v>20</v>
      </c>
      <c r="C88" s="133" t="s">
        <v>173</v>
      </c>
      <c r="D88" s="235"/>
      <c r="E88" s="235"/>
      <c r="F88" s="235"/>
      <c r="G88" s="235"/>
      <c r="H88" s="235"/>
      <c r="I88" s="75"/>
      <c r="J88" s="72"/>
      <c r="K88" s="63"/>
      <c r="L88" s="63"/>
      <c r="M88" s="63"/>
      <c r="N88" s="63"/>
      <c r="O88" s="63"/>
      <c r="P88" s="63"/>
      <c r="Q88" s="63"/>
    </row>
    <row r="89" spans="1:17">
      <c r="A89" s="63"/>
      <c r="B89" s="237" t="s">
        <v>21</v>
      </c>
      <c r="C89" s="75" t="s">
        <v>173</v>
      </c>
      <c r="D89" s="295">
        <f>'EU Lastbil Gas'!D89</f>
        <v>305.5555555555556</v>
      </c>
      <c r="E89" s="295">
        <f>'EU Lastbil Gas'!E89</f>
        <v>138.88888888888889</v>
      </c>
      <c r="F89" s="295">
        <f>'EU Lastbil Gas'!F89</f>
        <v>138.88888888888889</v>
      </c>
      <c r="G89" s="295">
        <f>'EU Lastbil Gas'!G89</f>
        <v>138.88888888888889</v>
      </c>
      <c r="H89" s="295"/>
      <c r="I89" s="75" t="s">
        <v>606</v>
      </c>
      <c r="J89" s="117" t="s">
        <v>180</v>
      </c>
      <c r="K89" s="63"/>
      <c r="L89" s="63"/>
      <c r="M89" s="63"/>
      <c r="N89" s="63"/>
      <c r="O89" s="63"/>
      <c r="P89" s="63"/>
      <c r="Q89" s="63"/>
    </row>
    <row r="90" spans="1:17">
      <c r="A90" s="63"/>
      <c r="B90" s="237" t="s">
        <v>22</v>
      </c>
      <c r="C90" s="75" t="s">
        <v>173</v>
      </c>
      <c r="D90" s="236">
        <f>'EU Bus'!D89</f>
        <v>2.8831426319335707</v>
      </c>
      <c r="E90" s="236">
        <f>'EU Bus'!E89</f>
        <v>3.8168443449451881</v>
      </c>
      <c r="F90" s="236">
        <f>'EU Bus'!F89</f>
        <v>3.8168443449451881</v>
      </c>
      <c r="G90" s="236">
        <f>'EU Bus'!G89</f>
        <v>3.8168443449451881</v>
      </c>
      <c r="H90" s="236"/>
      <c r="I90" s="75"/>
      <c r="J90" s="72"/>
      <c r="K90" s="63"/>
      <c r="L90" s="63"/>
      <c r="M90" s="63"/>
      <c r="N90" s="63"/>
      <c r="O90" s="63"/>
      <c r="P90" s="63"/>
      <c r="Q90" s="63"/>
    </row>
    <row r="91" spans="1:17">
      <c r="A91" s="63"/>
      <c r="B91" s="237" t="s">
        <v>23</v>
      </c>
      <c r="C91" s="75" t="s">
        <v>173</v>
      </c>
      <c r="D91" s="236">
        <f>'EU Bus'!D90</f>
        <v>0.46837408023728805</v>
      </c>
      <c r="E91" s="236">
        <f>'EU Bus'!E90</f>
        <v>0.46837408023728799</v>
      </c>
      <c r="F91" s="236">
        <f>'EU Bus'!F90</f>
        <v>0.46837408023728799</v>
      </c>
      <c r="G91" s="236">
        <f>'EU Bus'!G90</f>
        <v>0.46837408023728799</v>
      </c>
      <c r="H91" s="236"/>
      <c r="I91" s="75"/>
      <c r="J91" s="72" t="s">
        <v>181</v>
      </c>
      <c r="K91" s="63"/>
      <c r="L91" s="63"/>
      <c r="M91" s="63"/>
      <c r="N91" s="63"/>
      <c r="O91" s="63"/>
      <c r="P91" s="63"/>
      <c r="Q91" s="63"/>
    </row>
    <row r="92" spans="1:17">
      <c r="A92" s="63"/>
      <c r="B92" s="131" t="s">
        <v>37</v>
      </c>
      <c r="C92" s="75" t="s">
        <v>173</v>
      </c>
      <c r="D92" s="235">
        <f>'EU Bus'!D91</f>
        <v>421.20742294108487</v>
      </c>
      <c r="E92" s="235">
        <f>'EU Bus'!E91</f>
        <v>42.913588351117738</v>
      </c>
      <c r="F92" s="235">
        <f>'EU Bus'!F91</f>
        <v>42.913588351117738</v>
      </c>
      <c r="G92" s="235">
        <f>'EU Bus'!G91</f>
        <v>42.913588351117738</v>
      </c>
      <c r="H92" s="235"/>
      <c r="I92" s="75"/>
      <c r="J92" s="72"/>
      <c r="K92" s="63"/>
      <c r="L92" s="63"/>
      <c r="M92" s="63"/>
      <c r="N92" s="63"/>
      <c r="O92" s="63"/>
      <c r="P92" s="63"/>
      <c r="Q92" s="63"/>
    </row>
    <row r="93" spans="1:17" ht="14.4" thickBot="1">
      <c r="A93" s="63"/>
      <c r="B93" s="234" t="s">
        <v>24</v>
      </c>
      <c r="C93" s="70" t="s">
        <v>173</v>
      </c>
      <c r="D93" s="233">
        <f>'EU Bus'!D92</f>
        <v>3.2868980174215006</v>
      </c>
      <c r="E93" s="233">
        <f>'EU Bus'!E92</f>
        <v>0.49158331190144505</v>
      </c>
      <c r="F93" s="233">
        <f>'EU Bus'!F92</f>
        <v>0.49158331190144505</v>
      </c>
      <c r="G93" s="233">
        <f>'EU Bus'!G92</f>
        <v>0.49158331190144505</v>
      </c>
      <c r="H93" s="233"/>
      <c r="I93" s="70"/>
      <c r="J93" s="88"/>
      <c r="K93" s="63"/>
      <c r="L93" s="63"/>
      <c r="M93" s="63"/>
      <c r="N93" s="63"/>
      <c r="O93" s="63"/>
      <c r="P93" s="63"/>
      <c r="Q93" s="63"/>
    </row>
    <row r="94" spans="1:17">
      <c r="A94" s="63"/>
      <c r="B94" s="63"/>
      <c r="C94" s="63"/>
      <c r="D94" s="63"/>
      <c r="E94" s="63"/>
      <c r="F94" s="63"/>
      <c r="G94" s="63"/>
      <c r="I94" s="63"/>
      <c r="J94" s="63"/>
      <c r="K94" s="63"/>
      <c r="L94" s="63"/>
      <c r="M94" s="63"/>
      <c r="N94" s="63"/>
      <c r="O94" s="63"/>
      <c r="P94" s="63"/>
      <c r="Q94" s="63"/>
    </row>
    <row r="95" spans="1:17">
      <c r="A95" s="63"/>
      <c r="B95" s="63"/>
      <c r="C95" s="63"/>
      <c r="D95" s="63"/>
      <c r="E95" s="63"/>
      <c r="F95" s="63"/>
      <c r="G95" s="63"/>
      <c r="H95" s="66"/>
      <c r="I95" s="63"/>
      <c r="J95" s="63"/>
      <c r="K95" s="63"/>
      <c r="L95" s="63"/>
      <c r="M95" s="63"/>
      <c r="N95" s="63"/>
      <c r="O95" s="63"/>
      <c r="P95" s="63"/>
      <c r="Q95" s="63"/>
    </row>
    <row r="96" spans="1:17">
      <c r="A96" s="63"/>
      <c r="B96" s="63"/>
      <c r="C96" s="63"/>
      <c r="D96" s="63"/>
      <c r="E96" s="63"/>
      <c r="F96" s="63"/>
      <c r="G96" s="63"/>
      <c r="H96" s="66"/>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A122" s="63"/>
      <c r="B122" s="63"/>
      <c r="C122" s="63"/>
      <c r="D122" s="63"/>
      <c r="E122" s="63"/>
      <c r="F122" s="63"/>
      <c r="G122" s="63"/>
      <c r="I122" s="63"/>
      <c r="J122" s="63"/>
      <c r="K122" s="63"/>
      <c r="L122" s="63"/>
      <c r="M122" s="63"/>
      <c r="N122" s="63"/>
      <c r="O122" s="63"/>
      <c r="P122" s="63"/>
      <c r="Q122" s="63"/>
    </row>
    <row r="123" spans="1:17">
      <c r="B123" s="63"/>
      <c r="C123" s="63"/>
      <c r="D123" s="63"/>
      <c r="E123"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'C:\Users\B003920\Desktop\[Kopi af alternativ_drivmiddelmodel_3.0_2.xlsm]Sheet1'!#REF!</xm:f>
          </x14:formula1>
          <xm:sqref>C9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4">
    <tabColor rgb="FF002060"/>
  </sheetPr>
  <dimension ref="A1:T122"/>
  <sheetViews>
    <sheetView topLeftCell="A10" zoomScale="80" zoomScaleNormal="80" workbookViewId="0">
      <selection activeCell="G41" sqref="G41"/>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7" width="9.109375" style="264"/>
    <col min="18" max="18" width="14.5546875" style="264" customWidth="1"/>
    <col min="19" max="16384" width="9.109375" style="264"/>
  </cols>
  <sheetData>
    <row r="1" spans="1:19" s="60" customFormat="1" ht="21">
      <c r="B1" s="60" t="s">
        <v>154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304</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303</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2030</v>
      </c>
      <c r="G21" s="104">
        <v>2045</v>
      </c>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139</v>
      </c>
      <c r="D23" s="271">
        <f>D70</f>
        <v>0.41666666666666663</v>
      </c>
      <c r="E23" s="270">
        <f>E70</f>
        <v>0.46132312614259596</v>
      </c>
      <c r="F23" s="270">
        <f>F70</f>
        <v>0.46772010357815447</v>
      </c>
      <c r="G23" s="270">
        <f>G70</f>
        <v>0.46800595238095233</v>
      </c>
      <c r="H23" s="145"/>
      <c r="I23" s="184"/>
      <c r="J23" s="72"/>
      <c r="K23" s="241"/>
      <c r="L23" s="63"/>
      <c r="M23" s="63"/>
      <c r="N23" s="63"/>
      <c r="O23" s="63"/>
      <c r="P23" s="63"/>
      <c r="Q23" s="63"/>
    </row>
    <row r="24" spans="1:17">
      <c r="A24" s="63"/>
      <c r="B24" s="143" t="s">
        <v>103</v>
      </c>
      <c r="C24" s="116" t="s">
        <v>139</v>
      </c>
      <c r="D24" s="142">
        <f>D23</f>
        <v>0.41666666666666663</v>
      </c>
      <c r="E24" s="141">
        <f>E23</f>
        <v>0.46132312614259596</v>
      </c>
      <c r="F24" s="141">
        <f>F23</f>
        <v>0.46772010357815447</v>
      </c>
      <c r="G24" s="141">
        <f>G23</f>
        <v>0.46800595238095233</v>
      </c>
      <c r="H24" s="145"/>
      <c r="I24" s="184"/>
      <c r="J24" s="72"/>
      <c r="K24" s="241"/>
      <c r="L24" s="63"/>
      <c r="M24" s="63"/>
      <c r="N24" s="63"/>
      <c r="O24" s="63"/>
      <c r="P24" s="63"/>
      <c r="Q24" s="63"/>
    </row>
    <row r="25" spans="1:17">
      <c r="A25" s="63"/>
      <c r="B25" s="143" t="s">
        <v>104</v>
      </c>
      <c r="C25" s="116" t="s">
        <v>105</v>
      </c>
      <c r="D25" s="142">
        <f>D75</f>
        <v>4.6080000000000005</v>
      </c>
      <c r="E25" s="142">
        <f>E75</f>
        <v>4.1185882352941174</v>
      </c>
      <c r="F25" s="142">
        <f>F75</f>
        <v>3.9981176470588236</v>
      </c>
      <c r="G25" s="142">
        <f>G75</f>
        <v>3.9529411764705888</v>
      </c>
      <c r="H25" s="140"/>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2776135.3810090115</v>
      </c>
      <c r="E31" s="134">
        <v>2484019.9600777444</v>
      </c>
      <c r="F31" s="134">
        <v>1607673.6972839427</v>
      </c>
      <c r="G31" s="134">
        <v>1564743.6972839427</v>
      </c>
      <c r="H31" s="133">
        <v>2015</v>
      </c>
      <c r="I31" s="77"/>
      <c r="J31" s="72"/>
    </row>
    <row r="32" spans="1:17" s="63" customFormat="1">
      <c r="B32" s="76" t="s">
        <v>16</v>
      </c>
      <c r="C32" s="116" t="s">
        <v>17</v>
      </c>
      <c r="D32" s="134">
        <v>5579.8908885067503</v>
      </c>
      <c r="E32" s="134">
        <v>5186.5304263133403</v>
      </c>
      <c r="F32" s="134">
        <v>3891.6896910066857</v>
      </c>
      <c r="G32" s="134">
        <v>3865.5251430436247</v>
      </c>
      <c r="H32" s="133">
        <v>2015</v>
      </c>
      <c r="I32" s="77"/>
      <c r="J32" s="72"/>
    </row>
    <row r="33" spans="1:17" s="63" customFormat="1">
      <c r="B33" s="127" t="s">
        <v>18</v>
      </c>
      <c r="C33" s="116" t="s">
        <v>17</v>
      </c>
      <c r="D33" s="134">
        <v>4251.7658885067503</v>
      </c>
      <c r="E33" s="134">
        <v>3844.4251631554453</v>
      </c>
      <c r="F33" s="134">
        <v>2528.0533273703222</v>
      </c>
      <c r="G33" s="134">
        <v>2487.1467646652463</v>
      </c>
      <c r="H33" s="133">
        <v>2015</v>
      </c>
      <c r="I33" s="77"/>
      <c r="J33" s="72"/>
    </row>
    <row r="34" spans="1:17" s="63" customFormat="1">
      <c r="B34" s="127" t="s">
        <v>19</v>
      </c>
      <c r="C34" s="116" t="s">
        <v>17</v>
      </c>
      <c r="D34" s="134">
        <v>1328.1250000000002</v>
      </c>
      <c r="E34" s="134">
        <v>1342.1052631578948</v>
      </c>
      <c r="F34" s="134">
        <v>1363.6363636363635</v>
      </c>
      <c r="G34" s="134">
        <v>1378.3783783783783</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f>'EU Bus'!D38*'Cars INVCOST'!E88/'Cars INVCOST'!E28</f>
        <v>2552553.248459396</v>
      </c>
      <c r="E38" s="326">
        <f>'EU Bus'!E38*'Cars INVCOST'!G88/'Cars INVCOST'!G28</f>
        <v>1832206.5113446743</v>
      </c>
      <c r="F38" s="326">
        <f>'EU Bus'!F38*'Cars INVCOST'!M88/'Cars INVCOST'!M28</f>
        <v>1496655.9862866218</v>
      </c>
      <c r="G38" s="326">
        <f>'EU Bus'!G38*'Cars INVCOST'!P88/'Cars INVCOST'!P28</f>
        <v>1465594.0908065005</v>
      </c>
      <c r="H38" s="128">
        <v>2015</v>
      </c>
      <c r="I38" s="97" t="s">
        <v>950</v>
      </c>
      <c r="J38" s="97" t="s">
        <v>950</v>
      </c>
      <c r="K38" s="241"/>
      <c r="L38" s="63"/>
      <c r="M38" s="63"/>
      <c r="N38" s="63"/>
      <c r="O38" s="63"/>
      <c r="P38" s="63"/>
      <c r="Q38" s="63"/>
    </row>
    <row r="39" spans="1:17">
      <c r="A39" s="63"/>
      <c r="B39" s="76" t="s">
        <v>16</v>
      </c>
      <c r="C39" s="116" t="s">
        <v>17</v>
      </c>
      <c r="D39" s="254">
        <f>+SUM(D40:D43)</f>
        <v>5579.8908885067503</v>
      </c>
      <c r="E39" s="255">
        <f>+SUM(E40:E43)</f>
        <v>5186.5304263133403</v>
      </c>
      <c r="F39" s="255">
        <f>+SUM(F40:F43)</f>
        <v>3891.6896910066857</v>
      </c>
      <c r="G39" s="255">
        <f>+SUM(G40:G43)</f>
        <v>3865.5251430436247</v>
      </c>
      <c r="H39" s="128">
        <v>2015</v>
      </c>
      <c r="I39" s="184"/>
      <c r="J39" s="72"/>
      <c r="K39" s="241"/>
      <c r="L39" s="63"/>
      <c r="M39" s="63"/>
      <c r="N39" s="63"/>
      <c r="O39" s="63"/>
      <c r="P39" s="63"/>
      <c r="Q39" s="63"/>
    </row>
    <row r="40" spans="1:17">
      <c r="A40" s="63"/>
      <c r="B40" s="127" t="s">
        <v>18</v>
      </c>
      <c r="C40" s="116" t="s">
        <v>17</v>
      </c>
      <c r="D40" s="254">
        <v>4251.7658885067503</v>
      </c>
      <c r="E40" s="255">
        <v>3844.4251631554453</v>
      </c>
      <c r="F40" s="255">
        <v>2528.0533273703222</v>
      </c>
      <c r="G40" s="255">
        <v>2487.1467646652463</v>
      </c>
      <c r="H40" s="128">
        <v>2015</v>
      </c>
      <c r="I40" s="184"/>
      <c r="J40" s="72"/>
      <c r="K40" s="241"/>
      <c r="L40" s="63"/>
      <c r="M40" s="63"/>
      <c r="N40" s="63"/>
      <c r="O40" s="63"/>
      <c r="P40" s="63"/>
      <c r="Q40" s="63"/>
    </row>
    <row r="41" spans="1:17">
      <c r="A41" s="63"/>
      <c r="B41" s="127" t="s">
        <v>19</v>
      </c>
      <c r="C41" s="116" t="s">
        <v>17</v>
      </c>
      <c r="D41" s="254">
        <f>(D68*D69)/D28</f>
        <v>1328.1250000000002</v>
      </c>
      <c r="E41" s="255">
        <f>(E68*E69)/E28</f>
        <v>1342.1052631578948</v>
      </c>
      <c r="F41" s="255">
        <f>(F68*F69)/F28</f>
        <v>1363.6363636363635</v>
      </c>
      <c r="G41" s="255">
        <f>(G68*G69)/G28</f>
        <v>1378.3783783783783</v>
      </c>
      <c r="H41" s="128">
        <v>2015</v>
      </c>
      <c r="I41" s="97" t="s">
        <v>302</v>
      </c>
      <c r="J41" s="117" t="s">
        <v>301</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5">
        <v>0</v>
      </c>
      <c r="F43" s="255">
        <v>0</v>
      </c>
      <c r="G43" s="255">
        <v>0</v>
      </c>
      <c r="H43" s="128">
        <v>2015</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140</v>
      </c>
      <c r="D47" s="252"/>
      <c r="E47" s="119"/>
      <c r="F47" s="119"/>
      <c r="G47" s="119"/>
      <c r="H47" s="124"/>
      <c r="I47" s="184"/>
      <c r="J47" s="117" t="s">
        <v>115</v>
      </c>
      <c r="K47" s="241"/>
      <c r="L47" s="63"/>
      <c r="M47" s="63"/>
      <c r="N47" s="63"/>
      <c r="O47" s="63"/>
      <c r="P47" s="63"/>
      <c r="Q47" s="63"/>
    </row>
    <row r="48" spans="1:17">
      <c r="A48" s="63"/>
      <c r="B48" s="76" t="s">
        <v>21</v>
      </c>
      <c r="C48" s="116" t="s">
        <v>140</v>
      </c>
      <c r="D48" s="122">
        <v>0</v>
      </c>
      <c r="E48" s="122">
        <v>0</v>
      </c>
      <c r="F48" s="122">
        <v>0</v>
      </c>
      <c r="G48" s="122">
        <v>0</v>
      </c>
      <c r="H48" s="118"/>
      <c r="I48" s="184"/>
      <c r="J48" s="72"/>
      <c r="K48" s="241"/>
      <c r="L48" s="63"/>
      <c r="M48" s="63"/>
      <c r="N48" s="63"/>
      <c r="O48" s="63"/>
      <c r="P48" s="63"/>
      <c r="Q48" s="63"/>
    </row>
    <row r="49" spans="1:17">
      <c r="A49" s="63"/>
      <c r="B49" s="76" t="s">
        <v>22</v>
      </c>
      <c r="C49" s="116" t="s">
        <v>140</v>
      </c>
      <c r="D49" s="122">
        <v>0</v>
      </c>
      <c r="E49" s="122">
        <v>0</v>
      </c>
      <c r="F49" s="122">
        <v>0</v>
      </c>
      <c r="G49" s="122">
        <v>0</v>
      </c>
      <c r="H49" s="96"/>
      <c r="I49" s="184"/>
      <c r="J49" s="72"/>
      <c r="K49" s="241"/>
      <c r="L49" s="63"/>
      <c r="M49" s="63"/>
      <c r="N49" s="63"/>
      <c r="O49" s="63"/>
      <c r="P49" s="63"/>
      <c r="Q49" s="63"/>
    </row>
    <row r="50" spans="1:17">
      <c r="A50" s="63"/>
      <c r="B50" s="76" t="s">
        <v>23</v>
      </c>
      <c r="C50" s="116" t="s">
        <v>140</v>
      </c>
      <c r="D50" s="122">
        <v>0</v>
      </c>
      <c r="E50" s="122">
        <v>0</v>
      </c>
      <c r="F50" s="122">
        <v>0</v>
      </c>
      <c r="G50" s="122">
        <v>0</v>
      </c>
      <c r="H50" s="123"/>
      <c r="I50" s="184"/>
      <c r="J50" s="72"/>
      <c r="K50" s="241"/>
      <c r="L50" s="63"/>
      <c r="M50" s="63"/>
      <c r="N50" s="63"/>
      <c r="O50" s="63"/>
      <c r="P50" s="63"/>
      <c r="Q50" s="63"/>
    </row>
    <row r="51" spans="1:17">
      <c r="A51" s="63"/>
      <c r="B51" s="76" t="s">
        <v>116</v>
      </c>
      <c r="C51" s="116" t="s">
        <v>140</v>
      </c>
      <c r="D51" s="122">
        <v>0</v>
      </c>
      <c r="E51" s="122">
        <v>0</v>
      </c>
      <c r="F51" s="122">
        <v>0</v>
      </c>
      <c r="G51" s="122">
        <v>0</v>
      </c>
      <c r="H51" s="96"/>
      <c r="I51" s="184"/>
      <c r="J51" s="72"/>
      <c r="K51" s="241"/>
      <c r="L51" s="63"/>
      <c r="M51" s="63"/>
      <c r="N51" s="63"/>
      <c r="O51" s="63"/>
      <c r="P51" s="63"/>
      <c r="Q51" s="63"/>
    </row>
    <row r="52" spans="1:17">
      <c r="A52" s="63"/>
      <c r="B52" s="76" t="s">
        <v>24</v>
      </c>
      <c r="C52" s="116" t="s">
        <v>140</v>
      </c>
      <c r="D52" s="122">
        <v>0</v>
      </c>
      <c r="E52" s="122">
        <v>0</v>
      </c>
      <c r="F52" s="122">
        <v>0</v>
      </c>
      <c r="G52" s="122">
        <v>0</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140</v>
      </c>
      <c r="D55" s="252"/>
      <c r="E55" s="119"/>
      <c r="F55" s="119"/>
      <c r="G55" s="119"/>
      <c r="H55" s="194"/>
      <c r="I55" s="184"/>
      <c r="J55" s="117" t="s">
        <v>115</v>
      </c>
      <c r="K55" s="241"/>
      <c r="L55" s="63"/>
      <c r="M55" s="63"/>
      <c r="N55" s="63"/>
      <c r="O55" s="63"/>
      <c r="P55" s="63"/>
      <c r="Q55" s="63"/>
    </row>
    <row r="56" spans="1:17">
      <c r="A56" s="63"/>
      <c r="B56" s="76" t="s">
        <v>21</v>
      </c>
      <c r="C56" s="116" t="s">
        <v>140</v>
      </c>
      <c r="D56" s="115">
        <f t="shared" ref="D56:G60" si="0">D48</f>
        <v>0</v>
      </c>
      <c r="E56" s="115">
        <f t="shared" si="0"/>
        <v>0</v>
      </c>
      <c r="F56" s="115">
        <f t="shared" si="0"/>
        <v>0</v>
      </c>
      <c r="G56" s="115">
        <f t="shared" si="0"/>
        <v>0</v>
      </c>
      <c r="H56" s="194"/>
      <c r="I56" s="184"/>
      <c r="J56" s="72"/>
      <c r="K56" s="241"/>
      <c r="L56" s="63"/>
      <c r="M56" s="63"/>
      <c r="N56" s="63"/>
      <c r="O56" s="63"/>
      <c r="P56" s="63"/>
      <c r="Q56" s="63"/>
    </row>
    <row r="57" spans="1:17">
      <c r="A57" s="63"/>
      <c r="B57" s="76" t="s">
        <v>22</v>
      </c>
      <c r="C57" s="116" t="s">
        <v>140</v>
      </c>
      <c r="D57" s="115">
        <f t="shared" si="0"/>
        <v>0</v>
      </c>
      <c r="E57" s="115">
        <f t="shared" si="0"/>
        <v>0</v>
      </c>
      <c r="F57" s="115">
        <f t="shared" si="0"/>
        <v>0</v>
      </c>
      <c r="G57" s="115">
        <f t="shared" si="0"/>
        <v>0</v>
      </c>
      <c r="H57" s="194"/>
      <c r="I57" s="184"/>
      <c r="J57" s="72"/>
      <c r="K57" s="241"/>
      <c r="L57" s="63"/>
      <c r="M57" s="63"/>
      <c r="N57" s="63"/>
      <c r="O57" s="63"/>
      <c r="P57" s="63"/>
      <c r="Q57" s="63"/>
    </row>
    <row r="58" spans="1:17">
      <c r="A58" s="63"/>
      <c r="B58" s="76" t="s">
        <v>23</v>
      </c>
      <c r="C58" s="116" t="s">
        <v>140</v>
      </c>
      <c r="D58" s="115">
        <f t="shared" si="0"/>
        <v>0</v>
      </c>
      <c r="E58" s="115">
        <f t="shared" si="0"/>
        <v>0</v>
      </c>
      <c r="F58" s="115">
        <f t="shared" si="0"/>
        <v>0</v>
      </c>
      <c r="G58" s="115">
        <f t="shared" si="0"/>
        <v>0</v>
      </c>
      <c r="H58" s="194"/>
      <c r="I58" s="184"/>
      <c r="J58" s="72"/>
      <c r="K58" s="241"/>
      <c r="L58" s="63"/>
      <c r="M58" s="63"/>
      <c r="N58" s="63"/>
      <c r="O58" s="63"/>
      <c r="P58" s="63"/>
      <c r="Q58" s="63"/>
    </row>
    <row r="59" spans="1:17">
      <c r="A59" s="63"/>
      <c r="B59" s="76" t="s">
        <v>116</v>
      </c>
      <c r="C59" s="116" t="s">
        <v>140</v>
      </c>
      <c r="D59" s="115">
        <f t="shared" si="0"/>
        <v>0</v>
      </c>
      <c r="E59" s="115">
        <f t="shared" si="0"/>
        <v>0</v>
      </c>
      <c r="F59" s="115">
        <f t="shared" si="0"/>
        <v>0</v>
      </c>
      <c r="G59" s="115">
        <f t="shared" si="0"/>
        <v>0</v>
      </c>
      <c r="H59" s="194"/>
      <c r="I59" s="184"/>
      <c r="J59" s="72"/>
      <c r="K59" s="241"/>
      <c r="L59" s="63"/>
      <c r="M59" s="63"/>
      <c r="N59" s="63"/>
      <c r="O59" s="63"/>
      <c r="P59" s="63"/>
      <c r="Q59" s="63"/>
    </row>
    <row r="60" spans="1:17">
      <c r="A60" s="63"/>
      <c r="B60" s="76" t="s">
        <v>24</v>
      </c>
      <c r="C60" s="116" t="s">
        <v>140</v>
      </c>
      <c r="D60" s="115">
        <f t="shared" si="0"/>
        <v>0</v>
      </c>
      <c r="E60" s="115">
        <f t="shared" si="0"/>
        <v>0</v>
      </c>
      <c r="F60" s="115">
        <f t="shared" si="0"/>
        <v>0</v>
      </c>
      <c r="G60" s="115">
        <f t="shared" si="0"/>
        <v>0</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04"/>
      <c r="J66" s="102"/>
      <c r="K66" s="241"/>
      <c r="L66" s="63"/>
      <c r="M66" s="63"/>
      <c r="N66" s="63"/>
      <c r="O66" s="63"/>
      <c r="P66" s="63"/>
      <c r="Q66" s="63"/>
    </row>
    <row r="67" spans="1:17">
      <c r="A67" s="63"/>
      <c r="B67" s="76" t="s">
        <v>25</v>
      </c>
      <c r="C67" s="93" t="s">
        <v>152</v>
      </c>
      <c r="D67" s="251">
        <v>1.92</v>
      </c>
      <c r="E67" s="251">
        <v>1.9</v>
      </c>
      <c r="F67" s="251">
        <v>1.87</v>
      </c>
      <c r="G67" s="251">
        <v>1.85</v>
      </c>
      <c r="H67" s="251"/>
      <c r="I67" s="251" t="s">
        <v>300</v>
      </c>
      <c r="J67" s="72"/>
      <c r="K67" s="241"/>
      <c r="L67" s="63"/>
      <c r="M67" s="63"/>
      <c r="N67" s="63"/>
      <c r="O67" s="63"/>
      <c r="P67" s="63"/>
      <c r="Q67" s="63"/>
    </row>
    <row r="68" spans="1:17">
      <c r="A68" s="63"/>
      <c r="B68" s="76" t="s">
        <v>121</v>
      </c>
      <c r="C68" s="93" t="s">
        <v>122</v>
      </c>
      <c r="D68" s="250">
        <v>67000</v>
      </c>
      <c r="E68" s="250">
        <v>67000</v>
      </c>
      <c r="F68" s="250">
        <v>67000</v>
      </c>
      <c r="G68" s="250">
        <v>67000</v>
      </c>
      <c r="H68" s="250"/>
      <c r="I68" s="97" t="s">
        <v>605</v>
      </c>
      <c r="J68" s="117"/>
      <c r="K68" s="241"/>
      <c r="L68" s="63"/>
      <c r="M68" s="63"/>
      <c r="N68" s="63"/>
      <c r="O68" s="63"/>
      <c r="P68" s="63"/>
      <c r="Q68" s="63"/>
    </row>
    <row r="69" spans="1:17">
      <c r="A69" s="63"/>
      <c r="B69" s="76" t="s">
        <v>124</v>
      </c>
      <c r="C69" s="199" t="s">
        <v>36</v>
      </c>
      <c r="D69" s="268">
        <v>2.5499999999999998</v>
      </c>
      <c r="E69" s="268">
        <v>2.5499999999999998</v>
      </c>
      <c r="F69" s="268">
        <v>2.5499999999999998</v>
      </c>
      <c r="G69" s="268">
        <v>2.5499999999999998</v>
      </c>
      <c r="H69" s="268"/>
      <c r="I69" s="97" t="s">
        <v>302</v>
      </c>
      <c r="J69" s="336"/>
      <c r="K69" s="241"/>
      <c r="L69" s="63"/>
      <c r="M69" s="63"/>
      <c r="N69" s="63"/>
      <c r="O69" s="63"/>
      <c r="P69" s="63"/>
      <c r="Q69" s="63"/>
    </row>
    <row r="70" spans="1:17">
      <c r="A70" s="63"/>
      <c r="B70" s="163" t="s">
        <v>165</v>
      </c>
      <c r="C70" s="199" t="s">
        <v>26</v>
      </c>
      <c r="D70" s="335">
        <f>D67/D75</f>
        <v>0.41666666666666663</v>
      </c>
      <c r="E70" s="335">
        <f>E67/E75</f>
        <v>0.46132312614259596</v>
      </c>
      <c r="F70" s="335">
        <f>F67/F75</f>
        <v>0.46772010357815447</v>
      </c>
      <c r="G70" s="335">
        <f>G67/G75</f>
        <v>0.46800595238095233</v>
      </c>
      <c r="H70" s="335"/>
      <c r="I70" s="75"/>
      <c r="J70" s="117"/>
      <c r="K70" s="241"/>
      <c r="L70" s="63"/>
      <c r="M70" s="63"/>
      <c r="N70" s="63"/>
      <c r="O70" s="63"/>
      <c r="P70" s="63"/>
      <c r="Q70" s="63"/>
    </row>
    <row r="71" spans="1:17">
      <c r="A71" s="63"/>
      <c r="B71" s="163" t="s">
        <v>146</v>
      </c>
      <c r="C71" s="199" t="s">
        <v>147</v>
      </c>
      <c r="D71" s="324">
        <v>324</v>
      </c>
      <c r="E71" s="324">
        <v>324</v>
      </c>
      <c r="F71" s="324">
        <v>324</v>
      </c>
      <c r="G71" s="324">
        <v>324</v>
      </c>
      <c r="H71" s="324"/>
      <c r="I71" s="75"/>
      <c r="J71" s="342"/>
      <c r="K71" s="241"/>
      <c r="L71" s="63"/>
      <c r="M71" s="63"/>
      <c r="N71" s="63"/>
      <c r="O71" s="63"/>
      <c r="P71" s="63"/>
      <c r="Q71" s="63"/>
    </row>
    <row r="72" spans="1:17" ht="14.4" thickBot="1">
      <c r="A72" s="63"/>
      <c r="B72" s="76" t="s">
        <v>238</v>
      </c>
      <c r="C72" s="93" t="s">
        <v>237</v>
      </c>
      <c r="D72" s="334">
        <v>6</v>
      </c>
      <c r="E72" s="334">
        <v>6</v>
      </c>
      <c r="F72" s="334">
        <v>6</v>
      </c>
      <c r="G72" s="334">
        <v>6</v>
      </c>
      <c r="H72" s="334"/>
      <c r="I72" s="70"/>
      <c r="J72" s="88"/>
      <c r="K72" s="241"/>
      <c r="L72" s="63"/>
      <c r="M72" s="63"/>
      <c r="N72" s="63"/>
      <c r="O72" s="63"/>
      <c r="P72" s="63"/>
      <c r="Q72" s="63"/>
    </row>
    <row r="73" spans="1:17">
      <c r="A73" s="63"/>
      <c r="B73" s="63"/>
      <c r="C73" s="63"/>
      <c r="D73" s="189"/>
      <c r="E73" s="189"/>
      <c r="F73" s="189"/>
      <c r="G73" s="189"/>
      <c r="H73" s="189"/>
      <c r="I73" s="63"/>
      <c r="J73" s="63"/>
      <c r="K73" s="241"/>
      <c r="L73" s="63"/>
      <c r="M73" s="63"/>
      <c r="N73" s="63"/>
      <c r="O73" s="63"/>
      <c r="P73" s="63"/>
      <c r="Q73" s="63"/>
    </row>
    <row r="74" spans="1:17" ht="16.2" thickBot="1">
      <c r="A74" s="63"/>
      <c r="B74" s="87" t="s">
        <v>126</v>
      </c>
      <c r="C74" s="63"/>
      <c r="D74" s="63"/>
      <c r="E74" s="63"/>
      <c r="F74" s="63"/>
      <c r="G74" s="63"/>
      <c r="I74" s="63"/>
      <c r="J74" s="63"/>
      <c r="K74" s="241"/>
      <c r="L74" s="63"/>
      <c r="M74" s="63"/>
      <c r="N74" s="63"/>
      <c r="O74" s="63"/>
      <c r="P74" s="63"/>
      <c r="Q74" s="63"/>
    </row>
    <row r="75" spans="1:17" ht="14.4" thickBot="1">
      <c r="A75" s="63"/>
      <c r="B75" s="86" t="s">
        <v>150</v>
      </c>
      <c r="C75" s="83"/>
      <c r="D75" s="180">
        <v>4.6080000000000005</v>
      </c>
      <c r="E75" s="180">
        <v>4.1185882352941174</v>
      </c>
      <c r="F75" s="180">
        <v>3.9981176470588236</v>
      </c>
      <c r="G75" s="180">
        <v>3.9529411764705888</v>
      </c>
      <c r="H75" s="180"/>
      <c r="I75" s="180" t="s">
        <v>302</v>
      </c>
      <c r="J75" s="81" t="s">
        <v>299</v>
      </c>
      <c r="K75" s="241"/>
      <c r="L75" s="63"/>
      <c r="M75" s="63"/>
      <c r="N75" s="63"/>
      <c r="O75" s="63"/>
      <c r="P75" s="63"/>
      <c r="Q75" s="63"/>
    </row>
    <row r="76" spans="1:17">
      <c r="A76" s="63"/>
      <c r="B76" s="76"/>
      <c r="C76" s="75"/>
      <c r="D76" s="180"/>
      <c r="E76" s="180"/>
      <c r="F76" s="180"/>
      <c r="G76" s="180"/>
      <c r="H76" s="242"/>
      <c r="I76" s="75"/>
      <c r="J76" s="72"/>
      <c r="K76" s="241"/>
      <c r="L76" s="63"/>
      <c r="M76" s="63"/>
      <c r="N76" s="63"/>
      <c r="O76" s="63"/>
      <c r="P76" s="63"/>
      <c r="Q76" s="63"/>
    </row>
    <row r="77" spans="1:17">
      <c r="A77" s="63"/>
      <c r="B77" s="76" t="s">
        <v>20</v>
      </c>
      <c r="C77" s="75" t="s">
        <v>27</v>
      </c>
      <c r="D77" s="323"/>
      <c r="E77" s="323"/>
      <c r="F77" s="323"/>
      <c r="G77" s="323"/>
      <c r="H77" s="323"/>
      <c r="I77" s="75"/>
      <c r="J77" s="72"/>
      <c r="K77" s="241"/>
      <c r="L77" s="63"/>
      <c r="M77" s="63"/>
      <c r="N77" s="63"/>
      <c r="O77" s="63"/>
      <c r="P77" s="63"/>
      <c r="Q77" s="63"/>
    </row>
    <row r="78" spans="1:17">
      <c r="A78" s="63"/>
      <c r="B78" s="76" t="s">
        <v>21</v>
      </c>
      <c r="C78" s="75" t="s">
        <v>27</v>
      </c>
      <c r="D78" s="323">
        <v>0</v>
      </c>
      <c r="E78" s="323">
        <v>0</v>
      </c>
      <c r="F78" s="323">
        <v>0</v>
      </c>
      <c r="G78" s="323">
        <v>0</v>
      </c>
      <c r="H78" s="323"/>
      <c r="I78" s="75"/>
      <c r="J78" s="72"/>
      <c r="K78" s="241"/>
      <c r="L78" s="63"/>
      <c r="M78" s="63"/>
      <c r="N78" s="63"/>
      <c r="O78" s="63"/>
      <c r="P78" s="63"/>
      <c r="Q78" s="63"/>
    </row>
    <row r="79" spans="1:17">
      <c r="A79" s="63"/>
      <c r="B79" s="76" t="s">
        <v>22</v>
      </c>
      <c r="C79" s="75" t="s">
        <v>27</v>
      </c>
      <c r="D79" s="323">
        <v>0</v>
      </c>
      <c r="E79" s="323">
        <v>0</v>
      </c>
      <c r="F79" s="323">
        <v>0</v>
      </c>
      <c r="G79" s="323">
        <v>0</v>
      </c>
      <c r="H79" s="323"/>
      <c r="I79" s="75"/>
      <c r="J79" s="72"/>
      <c r="K79" s="241"/>
      <c r="L79" s="63"/>
      <c r="M79" s="63"/>
      <c r="N79" s="63"/>
      <c r="O79" s="63"/>
      <c r="P79" s="63"/>
      <c r="Q79" s="63"/>
    </row>
    <row r="80" spans="1:17">
      <c r="A80" s="63"/>
      <c r="B80" s="76" t="s">
        <v>23</v>
      </c>
      <c r="C80" s="75" t="s">
        <v>27</v>
      </c>
      <c r="D80" s="323">
        <v>0</v>
      </c>
      <c r="E80" s="323">
        <v>0</v>
      </c>
      <c r="F80" s="323">
        <v>0</v>
      </c>
      <c r="G80" s="323">
        <v>0</v>
      </c>
      <c r="H80" s="323"/>
      <c r="I80" s="75"/>
      <c r="J80" s="117"/>
      <c r="K80" s="266"/>
      <c r="L80" s="63"/>
      <c r="M80" s="63"/>
      <c r="N80" s="63"/>
      <c r="O80" s="63"/>
      <c r="P80" s="63"/>
      <c r="Q80" s="63"/>
    </row>
    <row r="81" spans="1:20">
      <c r="A81" s="63"/>
      <c r="B81" s="163" t="s">
        <v>37</v>
      </c>
      <c r="C81" s="75" t="s">
        <v>27</v>
      </c>
      <c r="D81" s="323">
        <v>0</v>
      </c>
      <c r="E81" s="323">
        <v>0</v>
      </c>
      <c r="F81" s="323">
        <v>0</v>
      </c>
      <c r="G81" s="323">
        <v>0</v>
      </c>
      <c r="H81" s="323"/>
      <c r="I81" s="75"/>
      <c r="J81" s="117"/>
      <c r="K81" s="241"/>
      <c r="L81" s="63"/>
      <c r="M81" s="63"/>
      <c r="N81" s="63"/>
      <c r="O81" s="63"/>
      <c r="P81" s="63"/>
      <c r="Q81" s="63"/>
    </row>
    <row r="82" spans="1:20">
      <c r="A82" s="63"/>
      <c r="B82" s="76" t="s">
        <v>24</v>
      </c>
      <c r="C82" s="75" t="s">
        <v>27</v>
      </c>
      <c r="D82" s="323">
        <v>0</v>
      </c>
      <c r="E82" s="323">
        <v>0</v>
      </c>
      <c r="F82" s="323">
        <v>0</v>
      </c>
      <c r="G82" s="323">
        <v>0</v>
      </c>
      <c r="H82" s="323"/>
      <c r="I82" s="75"/>
      <c r="J82" s="117"/>
      <c r="K82" s="266"/>
      <c r="L82" s="63"/>
      <c r="M82" s="63"/>
      <c r="N82" s="63"/>
      <c r="O82" s="63"/>
      <c r="P82" s="63"/>
      <c r="Q82" s="63"/>
    </row>
    <row r="83" spans="1:20" ht="14.4" thickBot="1">
      <c r="A83" s="63"/>
      <c r="B83" s="71"/>
      <c r="C83" s="70"/>
      <c r="D83" s="239"/>
      <c r="E83" s="239"/>
      <c r="F83" s="239"/>
      <c r="G83" s="239"/>
      <c r="H83" s="239"/>
      <c r="I83" s="70"/>
      <c r="J83" s="88"/>
      <c r="K83" s="63"/>
      <c r="L83" s="63"/>
      <c r="M83" s="63"/>
      <c r="N83" s="63"/>
      <c r="O83" s="63"/>
      <c r="P83" s="63"/>
      <c r="Q83" s="63"/>
    </row>
    <row r="84" spans="1:20">
      <c r="A84" s="63"/>
      <c r="B84" s="63"/>
      <c r="C84" s="63"/>
      <c r="D84" s="63"/>
      <c r="E84" s="63"/>
      <c r="F84" s="63"/>
      <c r="G84" s="63"/>
      <c r="I84" s="63"/>
      <c r="J84" s="63"/>
      <c r="K84" s="63"/>
      <c r="L84" s="63"/>
      <c r="M84" s="63"/>
      <c r="N84" s="63"/>
      <c r="O84" s="63"/>
      <c r="P84" s="63"/>
      <c r="Q84" s="63"/>
    </row>
    <row r="85" spans="1:20">
      <c r="A85" s="63"/>
      <c r="B85" s="63"/>
      <c r="C85" s="63"/>
      <c r="D85" s="63"/>
      <c r="E85" s="63"/>
      <c r="F85" s="63"/>
      <c r="G85" s="63"/>
      <c r="I85" s="63"/>
      <c r="J85" s="63"/>
      <c r="K85" s="63"/>
      <c r="L85" s="63"/>
      <c r="M85" s="63"/>
      <c r="N85" s="63"/>
      <c r="O85" s="63"/>
      <c r="P85" s="63"/>
      <c r="Q85" s="63"/>
    </row>
    <row r="86" spans="1:20">
      <c r="A86" s="63"/>
      <c r="B86" s="63"/>
      <c r="C86" s="63"/>
      <c r="D86" s="63"/>
      <c r="E86" s="63"/>
      <c r="F86" s="63"/>
      <c r="G86" s="63"/>
      <c r="I86" s="63"/>
      <c r="J86" s="63"/>
      <c r="K86" s="63"/>
      <c r="L86" s="63"/>
      <c r="M86" s="63"/>
      <c r="N86" s="63"/>
      <c r="O86" s="63"/>
      <c r="P86" s="63"/>
      <c r="Q86" s="63"/>
    </row>
    <row r="87" spans="1:20">
      <c r="A87" s="63"/>
      <c r="B87" s="63"/>
      <c r="C87" s="63"/>
      <c r="D87" s="63"/>
      <c r="E87" s="63"/>
      <c r="F87" s="63"/>
      <c r="G87" s="63"/>
      <c r="I87" s="63"/>
      <c r="J87" s="63"/>
      <c r="K87" s="63"/>
      <c r="L87" s="63"/>
      <c r="M87" s="63"/>
      <c r="N87" s="63"/>
      <c r="O87" s="63"/>
      <c r="P87" s="63"/>
      <c r="Q87" s="63"/>
    </row>
    <row r="88" spans="1:20">
      <c r="A88" s="63"/>
      <c r="B88" s="63"/>
      <c r="C88" s="63"/>
      <c r="D88" s="63"/>
      <c r="E88" s="63"/>
      <c r="F88" s="63"/>
      <c r="G88" s="63"/>
      <c r="I88" s="63"/>
      <c r="J88" s="63"/>
      <c r="K88" s="63"/>
      <c r="L88" s="63"/>
      <c r="M88" s="63"/>
      <c r="N88" s="63"/>
      <c r="O88" s="63"/>
      <c r="P88" s="63"/>
      <c r="Q88" s="63"/>
    </row>
    <row r="89" spans="1:20">
      <c r="A89" s="63"/>
      <c r="B89" s="63"/>
      <c r="C89" s="63"/>
      <c r="D89" s="63"/>
      <c r="E89" s="63"/>
      <c r="F89" s="63"/>
      <c r="G89" s="63"/>
      <c r="I89" s="63"/>
      <c r="J89" s="63"/>
      <c r="K89" s="63"/>
      <c r="L89" s="63"/>
      <c r="M89" s="63"/>
      <c r="N89" s="63"/>
      <c r="O89" s="63"/>
      <c r="P89" s="63"/>
      <c r="Q89" s="63"/>
    </row>
    <row r="90" spans="1:20">
      <c r="A90" s="63"/>
      <c r="B90" s="63"/>
      <c r="C90" s="63"/>
      <c r="D90" s="63"/>
      <c r="E90" s="63"/>
      <c r="F90" s="63"/>
      <c r="G90" s="63"/>
      <c r="I90" s="63"/>
      <c r="J90" s="63"/>
      <c r="K90" s="63"/>
      <c r="L90" s="63"/>
      <c r="M90" s="63"/>
      <c r="N90" s="63"/>
      <c r="O90" s="63"/>
      <c r="P90" s="63"/>
      <c r="Q90" s="63"/>
    </row>
    <row r="91" spans="1:20">
      <c r="A91" s="63"/>
      <c r="B91" s="63"/>
      <c r="C91" s="63"/>
      <c r="D91" s="63"/>
      <c r="E91" s="63"/>
      <c r="F91" s="63"/>
      <c r="G91" s="63"/>
      <c r="I91" s="63"/>
      <c r="J91" s="63"/>
      <c r="K91" s="63"/>
      <c r="L91" s="63"/>
      <c r="M91" s="63"/>
      <c r="N91" s="63"/>
      <c r="O91" s="63"/>
      <c r="P91" s="63"/>
      <c r="Q91" s="63"/>
    </row>
    <row r="92" spans="1:20">
      <c r="A92" s="63"/>
      <c r="B92" s="63"/>
      <c r="C92" s="63"/>
      <c r="D92" s="63"/>
      <c r="E92" s="63"/>
      <c r="F92" s="63"/>
      <c r="G92" s="63"/>
      <c r="I92" s="63"/>
      <c r="J92" s="63"/>
      <c r="K92" s="63"/>
      <c r="L92" s="63"/>
      <c r="M92" s="63"/>
      <c r="N92" s="63"/>
      <c r="O92" s="63"/>
      <c r="P92" s="63"/>
      <c r="Q92" s="63"/>
      <c r="T92" s="265"/>
    </row>
    <row r="93" spans="1:20">
      <c r="A93" s="63"/>
      <c r="B93" s="63"/>
      <c r="C93" s="63"/>
      <c r="D93" s="63"/>
      <c r="E93" s="63"/>
      <c r="F93" s="63"/>
      <c r="G93" s="63"/>
      <c r="I93" s="63"/>
      <c r="J93" s="63"/>
      <c r="K93" s="63"/>
      <c r="L93" s="63"/>
      <c r="M93" s="63"/>
      <c r="N93" s="63"/>
      <c r="O93" s="63"/>
      <c r="P93" s="63"/>
      <c r="Q93" s="63"/>
      <c r="T93" s="265"/>
    </row>
    <row r="94" spans="1:20">
      <c r="A94" s="63"/>
      <c r="B94" s="63"/>
      <c r="C94" s="63"/>
      <c r="D94" s="63"/>
      <c r="E94" s="63"/>
      <c r="F94" s="63"/>
      <c r="G94" s="63"/>
      <c r="I94" s="63"/>
      <c r="J94" s="63"/>
      <c r="K94" s="63"/>
      <c r="L94" s="63"/>
      <c r="M94" s="63"/>
      <c r="N94" s="63"/>
      <c r="O94" s="63"/>
      <c r="P94" s="63"/>
      <c r="Q94" s="63"/>
    </row>
    <row r="95" spans="1:20">
      <c r="A95" s="63"/>
      <c r="B95" s="63"/>
      <c r="C95" s="63"/>
      <c r="D95" s="63"/>
      <c r="E95" s="63"/>
      <c r="F95" s="63"/>
      <c r="G95" s="63"/>
      <c r="I95" s="63"/>
      <c r="J95" s="63"/>
      <c r="K95" s="63"/>
      <c r="L95" s="63"/>
      <c r="M95" s="63"/>
      <c r="N95" s="63"/>
      <c r="O95" s="63"/>
      <c r="P95" s="63"/>
      <c r="Q95" s="63"/>
    </row>
    <row r="96" spans="1:20">
      <c r="A96" s="63"/>
      <c r="B96" s="63"/>
      <c r="C96" s="63"/>
      <c r="D96" s="63"/>
      <c r="E96" s="63"/>
      <c r="F96" s="63"/>
      <c r="G96" s="63"/>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B122" s="63"/>
      <c r="C122" s="63"/>
      <c r="D122" s="63"/>
      <c r="E122"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'C:\Users\B003920\Desktop\[Kopi af alternativ_drivmiddelmodel_3.0_2.xlsm]Sheet1'!#REF!</xm:f>
          </x14:formula1>
          <xm:sqref>C9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tabColor rgb="FF002060"/>
  </sheetPr>
  <dimension ref="A1:S123"/>
  <sheetViews>
    <sheetView topLeftCell="A25" zoomScale="80" zoomScaleNormal="80" workbookViewId="0">
      <selection activeCell="I52" sqref="I52"/>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29.33203125" style="264" customWidth="1"/>
    <col min="10" max="10" width="37.44140625" style="264" customWidth="1"/>
    <col min="11" max="16384" width="9.109375" style="264"/>
  </cols>
  <sheetData>
    <row r="1" spans="1:19" s="60" customFormat="1" ht="21">
      <c r="B1" s="60" t="s">
        <v>311</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310</v>
      </c>
      <c r="C6" s="75"/>
      <c r="D6" s="75"/>
      <c r="E6" s="75"/>
      <c r="F6" s="75"/>
      <c r="G6" s="75"/>
      <c r="H6" s="75"/>
      <c r="I6" s="75"/>
      <c r="J6" s="75"/>
      <c r="K6" s="75"/>
      <c r="L6" s="75"/>
      <c r="M6" s="75"/>
      <c r="N6" s="75"/>
      <c r="O6" s="72"/>
      <c r="P6" s="63"/>
      <c r="Q6" s="63"/>
    </row>
    <row r="7" spans="1:19">
      <c r="A7" s="63"/>
      <c r="B7" s="131" t="s">
        <v>309</v>
      </c>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236</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v>2050</v>
      </c>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133</v>
      </c>
      <c r="D23" s="271">
        <f>D71</f>
        <v>0.17142857142857143</v>
      </c>
      <c r="E23" s="270">
        <f>E71</f>
        <v>0.18571428571428572</v>
      </c>
      <c r="F23" s="270">
        <f>F71</f>
        <v>0.2142857142857143</v>
      </c>
      <c r="G23" s="270">
        <f>G71</f>
        <v>0.24285714285714288</v>
      </c>
      <c r="H23" s="145"/>
      <c r="I23" s="184"/>
      <c r="J23" s="72"/>
      <c r="K23" s="241"/>
      <c r="L23" s="63"/>
      <c r="M23" s="63"/>
      <c r="N23" s="63"/>
      <c r="O23" s="63"/>
      <c r="P23" s="63"/>
      <c r="Q23" s="63"/>
    </row>
    <row r="24" spans="1:17">
      <c r="A24" s="63"/>
      <c r="B24" s="143" t="s">
        <v>103</v>
      </c>
      <c r="C24" s="116" t="s">
        <v>133</v>
      </c>
      <c r="D24" s="142">
        <f>D23</f>
        <v>0.17142857142857143</v>
      </c>
      <c r="E24" s="141">
        <f>E23</f>
        <v>0.18571428571428572</v>
      </c>
      <c r="F24" s="141">
        <f>F23</f>
        <v>0.2142857142857143</v>
      </c>
      <c r="G24" s="141">
        <f>G23</f>
        <v>0.24285714285714288</v>
      </c>
      <c r="H24" s="145"/>
      <c r="I24" s="184"/>
      <c r="J24" s="72"/>
      <c r="K24" s="241"/>
      <c r="L24" s="63"/>
      <c r="M24" s="63"/>
      <c r="N24" s="63"/>
      <c r="O24" s="63"/>
      <c r="P24" s="63"/>
      <c r="Q24" s="63"/>
    </row>
    <row r="25" spans="1:17">
      <c r="A25" s="63"/>
      <c r="B25" s="143" t="s">
        <v>104</v>
      </c>
      <c r="C25" s="116" t="s">
        <v>105</v>
      </c>
      <c r="D25" s="142">
        <f>D76</f>
        <v>11.2</v>
      </c>
      <c r="E25" s="141">
        <f>E76</f>
        <v>10.23076923076923</v>
      </c>
      <c r="F25" s="141">
        <f>F76</f>
        <v>8.7266666666666666</v>
      </c>
      <c r="G25" s="141">
        <f>G76</f>
        <v>7.617647058823529</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1951075.3654441405</v>
      </c>
      <c r="E31" s="134">
        <v>1951075.3654441405</v>
      </c>
      <c r="F31" s="134">
        <v>1951075.3654441405</v>
      </c>
      <c r="G31" s="134">
        <v>1951075.3654441405</v>
      </c>
      <c r="H31" s="133">
        <v>2015</v>
      </c>
      <c r="I31" s="77"/>
      <c r="J31" s="72"/>
    </row>
    <row r="32" spans="1:17" s="63" customFormat="1">
      <c r="B32" s="76" t="s">
        <v>16</v>
      </c>
      <c r="C32" s="116" t="s">
        <v>17</v>
      </c>
      <c r="D32" s="134">
        <v>3936.1888354162893</v>
      </c>
      <c r="E32" s="134">
        <v>3977.6224021048815</v>
      </c>
      <c r="F32" s="134">
        <v>4041.4345262028205</v>
      </c>
      <c r="G32" s="134">
        <v>4085.1257102698778</v>
      </c>
      <c r="H32" s="133">
        <v>2015</v>
      </c>
      <c r="I32" s="77"/>
      <c r="J32" s="72"/>
    </row>
    <row r="33" spans="1:17" s="63" customFormat="1">
      <c r="B33" s="127" t="s">
        <v>18</v>
      </c>
      <c r="C33" s="116" t="s">
        <v>17</v>
      </c>
      <c r="D33" s="134">
        <v>2988.1524299748517</v>
      </c>
      <c r="E33" s="134">
        <v>3019.6066660798501</v>
      </c>
      <c r="F33" s="134">
        <v>3068.0495537709703</v>
      </c>
      <c r="G33" s="134">
        <v>3101.2176570549809</v>
      </c>
      <c r="H33" s="133">
        <v>2015</v>
      </c>
      <c r="I33" s="77"/>
      <c r="J33" s="72"/>
    </row>
    <row r="34" spans="1:17" s="63" customFormat="1">
      <c r="B34" s="127" t="s">
        <v>19</v>
      </c>
      <c r="C34" s="116" t="s">
        <v>17</v>
      </c>
      <c r="D34" s="134">
        <v>948.03640544143752</v>
      </c>
      <c r="E34" s="134">
        <v>958.01573602503152</v>
      </c>
      <c r="F34" s="134">
        <v>973.38497243185009</v>
      </c>
      <c r="G34" s="134">
        <v>983.90805321489711</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f>'EU Bus'!D38+500000</f>
        <v>1832921.6972839427</v>
      </c>
      <c r="E38" s="326">
        <f>'EU Bus'!E38+500000</f>
        <v>1832921.6972839427</v>
      </c>
      <c r="F38" s="326">
        <f>'EU Bus'!F38+500000</f>
        <v>1832921.6972839427</v>
      </c>
      <c r="G38" s="326">
        <f>'EU Bus'!G38+500000</f>
        <v>1832921.6972839427</v>
      </c>
      <c r="H38" s="128">
        <v>2011</v>
      </c>
      <c r="I38" s="97" t="s">
        <v>607</v>
      </c>
      <c r="J38" s="117"/>
      <c r="K38" s="241"/>
      <c r="L38" s="63"/>
      <c r="M38" s="63"/>
      <c r="N38" s="63"/>
      <c r="O38" s="63"/>
      <c r="P38" s="63"/>
      <c r="Q38" s="63"/>
    </row>
    <row r="39" spans="1:17">
      <c r="A39" s="63"/>
      <c r="B39" s="76" t="s">
        <v>16</v>
      </c>
      <c r="C39" s="116" t="s">
        <v>17</v>
      </c>
      <c r="D39" s="254">
        <f>+SUM(D40:D43)</f>
        <v>3697.8202117779183</v>
      </c>
      <c r="E39" s="255">
        <f>+SUM(E40:E43)</f>
        <v>3736.7446350597911</v>
      </c>
      <c r="F39" s="255">
        <f>+SUM(F40:F43)</f>
        <v>3796.6924099537982</v>
      </c>
      <c r="G39" s="255">
        <f>+SUM(G40:G43)</f>
        <v>3837.7377333046497</v>
      </c>
      <c r="H39" s="128">
        <v>2011</v>
      </c>
      <c r="I39" s="184"/>
      <c r="J39" s="72"/>
      <c r="K39" s="241"/>
      <c r="L39" s="63"/>
      <c r="M39" s="63"/>
      <c r="N39" s="63"/>
      <c r="O39" s="63"/>
      <c r="P39" s="63"/>
      <c r="Q39" s="63"/>
    </row>
    <row r="40" spans="1:17">
      <c r="A40" s="63"/>
      <c r="B40" s="127" t="s">
        <v>18</v>
      </c>
      <c r="C40" s="116" t="s">
        <v>17</v>
      </c>
      <c r="D40" s="254">
        <v>2807.1952117779183</v>
      </c>
      <c r="E40" s="255">
        <v>2836.7446350597911</v>
      </c>
      <c r="F40" s="255">
        <v>2882.2539072800014</v>
      </c>
      <c r="G40" s="255">
        <v>2913.4134089803256</v>
      </c>
      <c r="H40" s="128">
        <v>2011</v>
      </c>
      <c r="I40" s="184"/>
      <c r="J40" s="72"/>
      <c r="K40" s="241"/>
      <c r="L40" s="63"/>
      <c r="M40" s="63"/>
      <c r="N40" s="63"/>
      <c r="O40" s="63"/>
      <c r="P40" s="63"/>
      <c r="Q40" s="63"/>
    </row>
    <row r="41" spans="1:17">
      <c r="A41" s="63"/>
      <c r="B41" s="127" t="s">
        <v>19</v>
      </c>
      <c r="C41" s="116" t="s">
        <v>17</v>
      </c>
      <c r="D41" s="254">
        <f>(D68*D69)/D28</f>
        <v>890.62500000000011</v>
      </c>
      <c r="E41" s="255">
        <f>(E68*E69)/E28</f>
        <v>900</v>
      </c>
      <c r="F41" s="255">
        <f>(F68*F69)/F28</f>
        <v>914.43850267379673</v>
      </c>
      <c r="G41" s="255">
        <f>(G68*G69)/G28</f>
        <v>924.32432432432427</v>
      </c>
      <c r="H41" s="128">
        <v>2011</v>
      </c>
      <c r="I41" s="184"/>
      <c r="J41" s="117" t="s">
        <v>308</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3">
        <v>0</v>
      </c>
      <c r="F43" s="253">
        <v>0</v>
      </c>
      <c r="G43" s="253">
        <v>0</v>
      </c>
      <c r="H43" s="128">
        <v>2011</v>
      </c>
      <c r="I43" s="184"/>
      <c r="J43" s="117" t="s">
        <v>307</v>
      </c>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134</v>
      </c>
      <c r="D47" s="252"/>
      <c r="E47" s="119"/>
      <c r="F47" s="119"/>
      <c r="G47" s="119"/>
      <c r="H47" s="124"/>
      <c r="I47" s="184"/>
      <c r="J47" s="117" t="s">
        <v>115</v>
      </c>
      <c r="K47" s="241"/>
      <c r="L47" s="63"/>
      <c r="M47" s="63"/>
      <c r="N47" s="63"/>
      <c r="O47" s="63"/>
      <c r="P47" s="63"/>
      <c r="Q47" s="63"/>
    </row>
    <row r="48" spans="1:17">
      <c r="A48" s="63"/>
      <c r="B48" s="76" t="s">
        <v>21</v>
      </c>
      <c r="C48" s="116" t="s">
        <v>134</v>
      </c>
      <c r="D48" s="122">
        <f t="shared" ref="D48:G52" si="0">D79/D$76</f>
        <v>3.6492051807463747E-4</v>
      </c>
      <c r="E48" s="122">
        <f t="shared" si="0"/>
        <v>1.3657553703384776E-4</v>
      </c>
      <c r="F48" s="122">
        <f t="shared" si="0"/>
        <v>1.3657553703384776E-4</v>
      </c>
      <c r="G48" s="122">
        <f t="shared" si="0"/>
        <v>1.3657553703384776E-4</v>
      </c>
      <c r="H48" s="118"/>
      <c r="I48" s="184"/>
      <c r="J48" s="72"/>
      <c r="K48" s="241"/>
      <c r="L48" s="63"/>
      <c r="M48" s="63"/>
      <c r="N48" s="63"/>
      <c r="O48" s="63"/>
      <c r="P48" s="63"/>
      <c r="Q48" s="63"/>
    </row>
    <row r="49" spans="1:17">
      <c r="A49" s="63"/>
      <c r="B49" s="76" t="s">
        <v>22</v>
      </c>
      <c r="C49" s="116" t="s">
        <v>134</v>
      </c>
      <c r="D49" s="122">
        <f t="shared" si="0"/>
        <v>2.883142631933571E-3</v>
      </c>
      <c r="E49" s="122">
        <f t="shared" si="0"/>
        <v>3.8168443449451885E-3</v>
      </c>
      <c r="F49" s="122">
        <f t="shared" si="0"/>
        <v>3.8168443449451881E-3</v>
      </c>
      <c r="G49" s="122">
        <f t="shared" si="0"/>
        <v>3.8168443449451881E-3</v>
      </c>
      <c r="H49" s="96"/>
      <c r="I49" s="184"/>
      <c r="J49" s="72"/>
      <c r="K49" s="241"/>
      <c r="L49" s="63"/>
      <c r="M49" s="63"/>
      <c r="N49" s="63"/>
      <c r="O49" s="63"/>
      <c r="P49" s="63"/>
      <c r="Q49" s="63"/>
    </row>
    <row r="50" spans="1:17">
      <c r="A50" s="63"/>
      <c r="B50" s="76" t="s">
        <v>23</v>
      </c>
      <c r="C50" s="116" t="s">
        <v>134</v>
      </c>
      <c r="D50" s="122">
        <f t="shared" si="0"/>
        <v>4.6837408023728803E-4</v>
      </c>
      <c r="E50" s="122">
        <f t="shared" si="0"/>
        <v>4.6837408023728798E-4</v>
      </c>
      <c r="F50" s="122">
        <f t="shared" si="0"/>
        <v>4.6837408023728803E-4</v>
      </c>
      <c r="G50" s="122">
        <f t="shared" si="0"/>
        <v>4.6837408023728798E-4</v>
      </c>
      <c r="H50" s="123"/>
      <c r="I50" s="184"/>
      <c r="J50" s="72"/>
      <c r="K50" s="241"/>
      <c r="L50" s="63"/>
      <c r="M50" s="63"/>
      <c r="N50" s="63"/>
      <c r="O50" s="63"/>
      <c r="P50" s="63"/>
      <c r="Q50" s="63"/>
    </row>
    <row r="51" spans="1:17">
      <c r="A51" s="63"/>
      <c r="B51" s="76" t="s">
        <v>116</v>
      </c>
      <c r="C51" s="116" t="s">
        <v>134</v>
      </c>
      <c r="D51" s="122">
        <f t="shared" si="0"/>
        <v>0.42120742294108493</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134</v>
      </c>
      <c r="D52" s="122">
        <f t="shared" si="0"/>
        <v>3.2868980174215008E-3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134</v>
      </c>
      <c r="D55" s="252"/>
      <c r="E55" s="119"/>
      <c r="F55" s="119"/>
      <c r="G55" s="119"/>
      <c r="H55" s="194"/>
      <c r="I55" s="184"/>
      <c r="J55" s="117" t="s">
        <v>115</v>
      </c>
      <c r="K55" s="241"/>
      <c r="L55" s="63"/>
      <c r="M55" s="63"/>
      <c r="N55" s="63"/>
      <c r="O55" s="63"/>
      <c r="P55" s="63"/>
      <c r="Q55" s="63"/>
    </row>
    <row r="56" spans="1:17">
      <c r="A56" s="63"/>
      <c r="B56" s="76" t="s">
        <v>21</v>
      </c>
      <c r="C56" s="116" t="s">
        <v>134</v>
      </c>
      <c r="D56" s="115">
        <f t="shared" ref="D56:G60" si="1">D48</f>
        <v>3.6492051807463747E-4</v>
      </c>
      <c r="E56" s="115">
        <f t="shared" si="1"/>
        <v>1.3657553703384776E-4</v>
      </c>
      <c r="F56" s="115">
        <f t="shared" si="1"/>
        <v>1.3657553703384776E-4</v>
      </c>
      <c r="G56" s="115">
        <f t="shared" si="1"/>
        <v>1.3657553703384776E-4</v>
      </c>
      <c r="H56" s="194"/>
      <c r="I56" s="184"/>
      <c r="J56" s="72"/>
      <c r="K56" s="241"/>
      <c r="L56" s="63"/>
      <c r="M56" s="63"/>
      <c r="N56" s="63"/>
      <c r="O56" s="63"/>
      <c r="P56" s="63"/>
      <c r="Q56" s="63"/>
    </row>
    <row r="57" spans="1:17">
      <c r="A57" s="63"/>
      <c r="B57" s="76" t="s">
        <v>22</v>
      </c>
      <c r="C57" s="116" t="s">
        <v>134</v>
      </c>
      <c r="D57" s="115">
        <f t="shared" si="1"/>
        <v>2.883142631933571E-3</v>
      </c>
      <c r="E57" s="115">
        <f t="shared" si="1"/>
        <v>3.8168443449451885E-3</v>
      </c>
      <c r="F57" s="115">
        <f t="shared" si="1"/>
        <v>3.8168443449451881E-3</v>
      </c>
      <c r="G57" s="115">
        <f t="shared" si="1"/>
        <v>3.8168443449451881E-3</v>
      </c>
      <c r="H57" s="194"/>
      <c r="I57" s="184"/>
      <c r="J57" s="72"/>
      <c r="K57" s="241"/>
      <c r="L57" s="63"/>
      <c r="M57" s="63"/>
      <c r="N57" s="63"/>
      <c r="O57" s="63"/>
      <c r="P57" s="63"/>
      <c r="Q57" s="63"/>
    </row>
    <row r="58" spans="1:17">
      <c r="A58" s="63"/>
      <c r="B58" s="76" t="s">
        <v>23</v>
      </c>
      <c r="C58" s="116" t="s">
        <v>134</v>
      </c>
      <c r="D58" s="115">
        <f t="shared" si="1"/>
        <v>4.6837408023728803E-4</v>
      </c>
      <c r="E58" s="115">
        <f t="shared" si="1"/>
        <v>4.6837408023728798E-4</v>
      </c>
      <c r="F58" s="115">
        <f t="shared" si="1"/>
        <v>4.6837408023728803E-4</v>
      </c>
      <c r="G58" s="115">
        <f t="shared" si="1"/>
        <v>4.6837408023728798E-4</v>
      </c>
      <c r="H58" s="194"/>
      <c r="I58" s="184"/>
      <c r="J58" s="72"/>
      <c r="K58" s="241"/>
      <c r="L58" s="63"/>
      <c r="M58" s="63"/>
      <c r="N58" s="63"/>
      <c r="O58" s="63"/>
      <c r="P58" s="63"/>
      <c r="Q58" s="63"/>
    </row>
    <row r="59" spans="1:17">
      <c r="A59" s="63"/>
      <c r="B59" s="76" t="s">
        <v>116</v>
      </c>
      <c r="C59" s="116" t="s">
        <v>134</v>
      </c>
      <c r="D59" s="115">
        <f t="shared" si="1"/>
        <v>0.42120742294108493</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134</v>
      </c>
      <c r="D60" s="115">
        <f t="shared" si="1"/>
        <v>3.2868980174215008E-3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50"/>
      <c r="J66" s="102"/>
      <c r="K66" s="241"/>
      <c r="L66" s="63"/>
      <c r="M66" s="63"/>
      <c r="N66" s="63"/>
      <c r="O66" s="63"/>
      <c r="P66" s="63"/>
      <c r="Q66" s="63"/>
    </row>
    <row r="67" spans="1:17">
      <c r="A67" s="63"/>
      <c r="B67" s="76" t="s">
        <v>25</v>
      </c>
      <c r="C67" s="93" t="s">
        <v>152</v>
      </c>
      <c r="D67" s="251">
        <v>1.92</v>
      </c>
      <c r="E67" s="251">
        <v>1.9</v>
      </c>
      <c r="F67" s="251">
        <v>1.87</v>
      </c>
      <c r="G67" s="251">
        <v>1.85</v>
      </c>
      <c r="H67" s="251"/>
      <c r="I67" s="75"/>
      <c r="J67" s="72"/>
      <c r="K67" s="241"/>
      <c r="L67" s="63"/>
      <c r="M67" s="63"/>
      <c r="N67" s="63"/>
      <c r="O67" s="63"/>
      <c r="P67" s="63"/>
      <c r="Q67" s="63"/>
    </row>
    <row r="68" spans="1:17">
      <c r="A68" s="63"/>
      <c r="B68" s="76" t="s">
        <v>121</v>
      </c>
      <c r="C68" s="93" t="s">
        <v>122</v>
      </c>
      <c r="D68" s="250">
        <v>67000</v>
      </c>
      <c r="E68" s="250">
        <v>67000</v>
      </c>
      <c r="F68" s="250">
        <v>67000</v>
      </c>
      <c r="G68" s="250">
        <v>67000</v>
      </c>
      <c r="H68" s="250"/>
      <c r="I68" s="97" t="s">
        <v>605</v>
      </c>
      <c r="J68" s="117"/>
      <c r="K68" s="241"/>
      <c r="L68" s="63"/>
      <c r="M68" s="63"/>
      <c r="N68" s="63"/>
      <c r="O68" s="63"/>
      <c r="P68" s="63"/>
      <c r="Q68" s="63"/>
    </row>
    <row r="69" spans="1:17">
      <c r="A69" s="63"/>
      <c r="B69" s="76" t="s">
        <v>124</v>
      </c>
      <c r="C69" s="199" t="s">
        <v>36</v>
      </c>
      <c r="D69" s="268">
        <f>'EU Bus'!D69*95%</f>
        <v>1.71</v>
      </c>
      <c r="E69" s="268">
        <f>'EU Bus'!E69*95%</f>
        <v>1.71</v>
      </c>
      <c r="F69" s="268">
        <f>'EU Bus'!F69*95%</f>
        <v>1.71</v>
      </c>
      <c r="G69" s="268">
        <f>'EU Bus'!G69*95%</f>
        <v>1.71</v>
      </c>
      <c r="H69" s="268"/>
      <c r="I69" s="97" t="s">
        <v>607</v>
      </c>
      <c r="J69" s="345" t="s">
        <v>306</v>
      </c>
      <c r="K69" s="241"/>
      <c r="L69" s="63"/>
      <c r="M69" s="63"/>
      <c r="N69" s="63"/>
      <c r="O69" s="63"/>
      <c r="P69" s="63"/>
      <c r="Q69" s="63"/>
    </row>
    <row r="70" spans="1:17">
      <c r="A70" s="63"/>
      <c r="B70" s="163" t="s">
        <v>163</v>
      </c>
      <c r="C70" s="199" t="s">
        <v>164</v>
      </c>
      <c r="D70" s="344">
        <v>3.2025000000000006</v>
      </c>
      <c r="E70" s="344">
        <v>3.5058947368421056</v>
      </c>
      <c r="F70" s="344">
        <v>4.1101604278074868</v>
      </c>
      <c r="G70" s="344">
        <v>4.7085405405405414</v>
      </c>
      <c r="H70" s="344"/>
      <c r="I70" s="75"/>
      <c r="J70" s="117"/>
      <c r="K70" s="241"/>
      <c r="L70" s="63"/>
      <c r="M70" s="65"/>
      <c r="N70" s="185">
        <f>42/37</f>
        <v>1.1351351351351351</v>
      </c>
      <c r="O70" s="185"/>
      <c r="P70" s="63"/>
      <c r="Q70" s="63"/>
    </row>
    <row r="71" spans="1:17">
      <c r="A71" s="63"/>
      <c r="B71" s="163" t="s">
        <v>165</v>
      </c>
      <c r="C71" s="199" t="s">
        <v>26</v>
      </c>
      <c r="D71" s="343">
        <v>0.17142857142857143</v>
      </c>
      <c r="E71" s="343">
        <v>0.18571428571428572</v>
      </c>
      <c r="F71" s="343">
        <v>0.2142857142857143</v>
      </c>
      <c r="G71" s="343">
        <v>0.24285714285714288</v>
      </c>
      <c r="H71" s="299"/>
      <c r="I71" s="75" t="s">
        <v>603</v>
      </c>
      <c r="J71" s="117"/>
      <c r="K71" s="241"/>
      <c r="L71" s="63"/>
      <c r="M71" s="63"/>
      <c r="N71" s="63"/>
      <c r="O71" s="63"/>
      <c r="P71" s="63"/>
      <c r="Q71" s="63"/>
    </row>
    <row r="72" spans="1:17">
      <c r="A72" s="63"/>
      <c r="B72" s="163" t="s">
        <v>146</v>
      </c>
      <c r="C72" s="199" t="s">
        <v>147</v>
      </c>
      <c r="D72" s="343">
        <v>5</v>
      </c>
      <c r="E72" s="343">
        <v>5</v>
      </c>
      <c r="F72" s="343">
        <v>5</v>
      </c>
      <c r="G72" s="343">
        <v>5</v>
      </c>
      <c r="H72" s="324"/>
      <c r="I72" s="75"/>
      <c r="J72" s="117"/>
      <c r="K72" s="241"/>
      <c r="L72" s="63"/>
      <c r="M72" s="63"/>
      <c r="N72" s="63"/>
      <c r="O72" s="63"/>
      <c r="P72" s="63"/>
      <c r="Q72" s="63"/>
    </row>
    <row r="73" spans="1:17" ht="14.4" thickBot="1">
      <c r="A73" s="63"/>
      <c r="B73" s="76" t="s">
        <v>305</v>
      </c>
      <c r="C73" s="93" t="s">
        <v>237</v>
      </c>
      <c r="D73" s="334">
        <v>6</v>
      </c>
      <c r="E73" s="334">
        <v>6</v>
      </c>
      <c r="F73" s="334">
        <v>6</v>
      </c>
      <c r="G73" s="334">
        <v>6</v>
      </c>
      <c r="H73" s="334"/>
      <c r="I73" s="70"/>
      <c r="J73" s="109"/>
      <c r="K73" s="241"/>
      <c r="L73" s="63"/>
      <c r="M73" s="63"/>
      <c r="N73" s="63"/>
      <c r="O73" s="63"/>
      <c r="P73" s="63"/>
      <c r="Q73" s="63"/>
    </row>
    <row r="74" spans="1:17">
      <c r="A74" s="63"/>
      <c r="B74" s="63"/>
      <c r="C74" s="63"/>
      <c r="D74" s="189"/>
      <c r="E74" s="189"/>
      <c r="F74" s="189"/>
      <c r="G74" s="189"/>
      <c r="H74" s="189"/>
      <c r="I74" s="63"/>
      <c r="J74" s="63"/>
      <c r="K74" s="241"/>
      <c r="L74" s="63"/>
      <c r="M74" s="63"/>
      <c r="N74" s="63"/>
      <c r="O74" s="63"/>
      <c r="P74" s="63"/>
      <c r="Q74" s="63"/>
    </row>
    <row r="75" spans="1:17" ht="16.2" thickBot="1">
      <c r="A75" s="63"/>
      <c r="B75" s="87" t="s">
        <v>126</v>
      </c>
      <c r="C75" s="63"/>
      <c r="D75" s="63"/>
      <c r="E75" s="63"/>
      <c r="F75" s="63"/>
      <c r="G75" s="63"/>
      <c r="I75" s="63"/>
      <c r="J75" s="63"/>
      <c r="K75" s="241"/>
      <c r="L75" s="63"/>
      <c r="M75" s="63"/>
      <c r="N75" s="63"/>
      <c r="O75" s="63"/>
      <c r="P75" s="63"/>
      <c r="Q75" s="63"/>
    </row>
    <row r="76" spans="1:17">
      <c r="A76" s="63"/>
      <c r="B76" s="86" t="s">
        <v>150</v>
      </c>
      <c r="C76" s="83"/>
      <c r="D76" s="180">
        <f>D67/D71</f>
        <v>11.2</v>
      </c>
      <c r="E76" s="180">
        <f>E67/E71</f>
        <v>10.23076923076923</v>
      </c>
      <c r="F76" s="180">
        <f>F67/F71</f>
        <v>8.7266666666666666</v>
      </c>
      <c r="G76" s="180">
        <f>G67/G71</f>
        <v>7.617647058823529</v>
      </c>
      <c r="H76" s="180"/>
      <c r="I76" s="180" t="s">
        <v>603</v>
      </c>
      <c r="J76" s="81"/>
      <c r="K76" s="241"/>
      <c r="L76" s="63"/>
      <c r="M76" s="63"/>
      <c r="N76" s="63"/>
      <c r="O76" s="63"/>
      <c r="P76" s="63"/>
      <c r="Q76" s="63"/>
    </row>
    <row r="77" spans="1:17">
      <c r="A77" s="63"/>
      <c r="B77" s="76"/>
      <c r="C77" s="75"/>
      <c r="D77" s="242"/>
      <c r="E77" s="242"/>
      <c r="F77" s="242"/>
      <c r="G77" s="242"/>
      <c r="H77" s="242"/>
      <c r="I77" s="75"/>
      <c r="J77" s="72"/>
      <c r="K77" s="241"/>
      <c r="L77" s="63"/>
      <c r="M77" s="63"/>
      <c r="N77" s="63"/>
      <c r="O77" s="63"/>
      <c r="P77" s="63"/>
      <c r="Q77" s="63"/>
    </row>
    <row r="78" spans="1:17">
      <c r="A78" s="63"/>
      <c r="B78" s="76" t="s">
        <v>20</v>
      </c>
      <c r="C78" s="75" t="s">
        <v>27</v>
      </c>
      <c r="D78" s="323"/>
      <c r="E78" s="323"/>
      <c r="F78" s="323"/>
      <c r="G78" s="323"/>
      <c r="H78" s="323"/>
      <c r="I78" s="75"/>
      <c r="J78" s="72"/>
      <c r="K78" s="241"/>
      <c r="L78" s="63"/>
      <c r="M78" s="63"/>
      <c r="N78" s="63"/>
      <c r="O78" s="63"/>
      <c r="P78" s="63"/>
      <c r="Q78" s="63"/>
    </row>
    <row r="79" spans="1:17">
      <c r="A79" s="63"/>
      <c r="B79" s="76" t="s">
        <v>21</v>
      </c>
      <c r="C79" s="75" t="s">
        <v>27</v>
      </c>
      <c r="D79" s="323">
        <f t="shared" ref="D79:G83" si="2">D89/1000*D$76</f>
        <v>4.0871098024359391E-3</v>
      </c>
      <c r="E79" s="323">
        <f t="shared" si="2"/>
        <v>1.397272801961673E-3</v>
      </c>
      <c r="F79" s="323">
        <f t="shared" si="2"/>
        <v>1.191849186515378E-3</v>
      </c>
      <c r="G79" s="323">
        <f t="shared" si="2"/>
        <v>1.0403842379931344E-3</v>
      </c>
      <c r="H79" s="323"/>
      <c r="I79" s="75"/>
      <c r="J79" s="72"/>
      <c r="K79" s="241"/>
      <c r="L79" s="63"/>
      <c r="M79" s="63"/>
      <c r="N79" s="63"/>
      <c r="O79" s="63"/>
      <c r="P79" s="63"/>
      <c r="Q79" s="63"/>
    </row>
    <row r="80" spans="1:17">
      <c r="A80" s="63"/>
      <c r="B80" s="76" t="s">
        <v>22</v>
      </c>
      <c r="C80" s="75" t="s">
        <v>27</v>
      </c>
      <c r="D80" s="323">
        <f t="shared" si="2"/>
        <v>3.2291197477655992E-2</v>
      </c>
      <c r="E80" s="323">
        <f t="shared" si="2"/>
        <v>3.904925368290077E-2</v>
      </c>
      <c r="F80" s="323">
        <f t="shared" si="2"/>
        <v>3.330832831688834E-2</v>
      </c>
      <c r="G80" s="323">
        <f t="shared" si="2"/>
        <v>2.907537309825893E-2</v>
      </c>
      <c r="H80" s="323"/>
      <c r="I80" s="75"/>
      <c r="J80" s="72"/>
      <c r="K80" s="241"/>
      <c r="L80" s="63"/>
      <c r="M80" s="63"/>
      <c r="N80" s="63"/>
      <c r="O80" s="63"/>
      <c r="P80" s="63"/>
      <c r="Q80" s="63"/>
    </row>
    <row r="81" spans="1:17">
      <c r="A81" s="63"/>
      <c r="B81" s="76" t="s">
        <v>23</v>
      </c>
      <c r="C81" s="75" t="s">
        <v>27</v>
      </c>
      <c r="D81" s="323">
        <f t="shared" si="2"/>
        <v>5.2457896986576255E-3</v>
      </c>
      <c r="E81" s="323">
        <f t="shared" si="2"/>
        <v>4.7918271285814842E-3</v>
      </c>
      <c r="F81" s="323">
        <f t="shared" si="2"/>
        <v>4.0873444735374E-3</v>
      </c>
      <c r="G81" s="323">
        <f t="shared" si="2"/>
        <v>3.5679084347487525E-3</v>
      </c>
      <c r="H81" s="323"/>
      <c r="I81" s="75"/>
      <c r="J81" s="117"/>
      <c r="K81" s="266"/>
      <c r="L81" s="63"/>
      <c r="M81" s="63"/>
      <c r="N81" s="63"/>
      <c r="O81" s="63"/>
      <c r="P81" s="63"/>
      <c r="Q81" s="63"/>
    </row>
    <row r="82" spans="1:17">
      <c r="A82" s="63"/>
      <c r="B82" s="163" t="s">
        <v>37</v>
      </c>
      <c r="C82" s="75" t="s">
        <v>27</v>
      </c>
      <c r="D82" s="323">
        <f t="shared" si="2"/>
        <v>4.7175231369401507</v>
      </c>
      <c r="E82" s="323">
        <f t="shared" si="2"/>
        <v>0.43903901928451222</v>
      </c>
      <c r="F82" s="323">
        <f t="shared" si="2"/>
        <v>0.37449258101075417</v>
      </c>
      <c r="G82" s="323">
        <f t="shared" si="2"/>
        <v>0.32690057008645573</v>
      </c>
      <c r="H82" s="323"/>
      <c r="I82" s="75"/>
      <c r="J82" s="117"/>
      <c r="K82" s="241"/>
      <c r="L82" s="63"/>
      <c r="M82" s="63"/>
      <c r="N82" s="63"/>
      <c r="O82" s="63"/>
      <c r="P82" s="63"/>
      <c r="Q82" s="63"/>
    </row>
    <row r="83" spans="1:17">
      <c r="A83" s="63"/>
      <c r="B83" s="76" t="s">
        <v>24</v>
      </c>
      <c r="C83" s="75" t="s">
        <v>27</v>
      </c>
      <c r="D83" s="323">
        <f t="shared" si="2"/>
        <v>3.6813257795120805E-2</v>
      </c>
      <c r="E83" s="323">
        <f t="shared" si="2"/>
        <v>5.0292754217609375E-3</v>
      </c>
      <c r="F83" s="323">
        <f t="shared" si="2"/>
        <v>4.2898837018599438E-3</v>
      </c>
      <c r="G83" s="323">
        <f t="shared" si="2"/>
        <v>3.7447081700727725E-3</v>
      </c>
      <c r="H83" s="323"/>
      <c r="I83" s="75"/>
      <c r="J83" s="117"/>
      <c r="K83" s="266"/>
      <c r="L83" s="63"/>
      <c r="M83" s="63"/>
      <c r="N83" s="63"/>
      <c r="O83" s="63"/>
      <c r="P83" s="63"/>
      <c r="Q83" s="63"/>
    </row>
    <row r="84" spans="1:17" ht="14.4" thickBot="1">
      <c r="A84" s="63"/>
      <c r="B84" s="71"/>
      <c r="C84" s="70"/>
      <c r="D84" s="239"/>
      <c r="E84" s="239"/>
      <c r="F84" s="239"/>
      <c r="G84" s="239"/>
      <c r="H84" s="239"/>
      <c r="I84" s="70"/>
      <c r="J84" s="88"/>
      <c r="K84" s="63"/>
      <c r="L84" s="63"/>
      <c r="M84" s="63"/>
      <c r="N84" s="63"/>
      <c r="O84" s="63"/>
      <c r="P84" s="63"/>
      <c r="Q84" s="63"/>
    </row>
    <row r="85" spans="1:17">
      <c r="A85" s="63"/>
      <c r="B85" s="63"/>
      <c r="C85" s="63"/>
      <c r="D85" s="63"/>
      <c r="E85" s="63"/>
      <c r="F85" s="63"/>
      <c r="G85" s="63"/>
      <c r="I85" s="63"/>
      <c r="J85" s="63"/>
      <c r="K85" s="63"/>
      <c r="L85" s="63"/>
      <c r="M85" s="63"/>
      <c r="N85" s="63"/>
      <c r="O85" s="63"/>
      <c r="P85" s="63"/>
      <c r="Q85" s="63"/>
    </row>
    <row r="86" spans="1:17" ht="14.4" thickBot="1">
      <c r="A86" s="63"/>
      <c r="B86" s="152" t="s">
        <v>172</v>
      </c>
      <c r="C86" s="63"/>
      <c r="D86" s="63"/>
      <c r="E86" s="63"/>
      <c r="F86" s="63"/>
      <c r="G86" s="63"/>
      <c r="I86" s="63"/>
      <c r="J86" s="63"/>
      <c r="K86" s="63"/>
      <c r="L86" s="63"/>
      <c r="M86" s="63"/>
      <c r="N86" s="63"/>
      <c r="O86" s="63"/>
      <c r="P86" s="63"/>
      <c r="Q86" s="63"/>
    </row>
    <row r="87" spans="1:17">
      <c r="A87" s="63"/>
      <c r="B87" s="86"/>
      <c r="C87" s="83"/>
      <c r="D87" s="238">
        <v>2015</v>
      </c>
      <c r="E87" s="238">
        <v>2020</v>
      </c>
      <c r="F87" s="238">
        <v>2035</v>
      </c>
      <c r="G87" s="238"/>
      <c r="H87" s="238"/>
      <c r="I87" s="63"/>
      <c r="J87" s="63"/>
      <c r="K87" s="63"/>
      <c r="L87" s="63"/>
      <c r="M87" s="63"/>
      <c r="N87" s="63"/>
      <c r="O87" s="63"/>
      <c r="P87" s="63"/>
      <c r="Q87" s="63"/>
    </row>
    <row r="88" spans="1:17">
      <c r="A88" s="63"/>
      <c r="B88" s="237" t="s">
        <v>20</v>
      </c>
      <c r="C88" s="133" t="s">
        <v>173</v>
      </c>
      <c r="D88" s="235"/>
      <c r="E88" s="235"/>
      <c r="F88" s="235"/>
      <c r="G88" s="235"/>
      <c r="H88" s="235"/>
      <c r="I88" s="63"/>
      <c r="J88" s="63"/>
      <c r="K88" s="63"/>
      <c r="L88" s="63"/>
      <c r="M88" s="63"/>
      <c r="N88" s="63"/>
      <c r="O88" s="63"/>
      <c r="P88" s="63"/>
      <c r="Q88" s="63"/>
    </row>
    <row r="89" spans="1:17">
      <c r="A89" s="63"/>
      <c r="B89" s="237" t="s">
        <v>21</v>
      </c>
      <c r="C89" s="75" t="s">
        <v>173</v>
      </c>
      <c r="D89" s="236">
        <f>'EU Bus'!D106</f>
        <v>0.36492051807463749</v>
      </c>
      <c r="E89" s="236">
        <f>'EU Bus'!E106</f>
        <v>0.13657553703384775</v>
      </c>
      <c r="F89" s="236">
        <f>'EU Bus'!F106</f>
        <v>0.13657553703384775</v>
      </c>
      <c r="G89" s="236">
        <f>F89</f>
        <v>0.13657553703384775</v>
      </c>
      <c r="H89" s="236"/>
      <c r="I89" s="63"/>
      <c r="J89" s="63"/>
      <c r="K89" s="63"/>
      <c r="L89" s="63"/>
      <c r="M89" s="63"/>
      <c r="N89" s="63"/>
      <c r="O89" s="63"/>
      <c r="P89" s="63"/>
      <c r="Q89" s="63"/>
    </row>
    <row r="90" spans="1:17">
      <c r="A90" s="63"/>
      <c r="B90" s="237" t="s">
        <v>22</v>
      </c>
      <c r="C90" s="75" t="s">
        <v>173</v>
      </c>
      <c r="D90" s="236">
        <f>'EU Bus'!D107</f>
        <v>2.8831426319335707</v>
      </c>
      <c r="E90" s="236">
        <f>'EU Bus'!E107</f>
        <v>3.8168443449451881</v>
      </c>
      <c r="F90" s="236">
        <f>'EU Bus'!F107</f>
        <v>3.8168443449451881</v>
      </c>
      <c r="G90" s="236">
        <f>F90</f>
        <v>3.8168443449451881</v>
      </c>
      <c r="H90" s="236"/>
      <c r="I90" s="63"/>
      <c r="J90" s="63"/>
      <c r="K90" s="63"/>
      <c r="L90" s="63"/>
      <c r="M90" s="63"/>
      <c r="N90" s="63"/>
      <c r="O90" s="63"/>
      <c r="P90" s="63"/>
      <c r="Q90" s="63"/>
    </row>
    <row r="91" spans="1:17">
      <c r="A91" s="63"/>
      <c r="B91" s="237" t="s">
        <v>23</v>
      </c>
      <c r="C91" s="75" t="s">
        <v>173</v>
      </c>
      <c r="D91" s="236">
        <f>'EU Bus'!D108</f>
        <v>0.46837408023728805</v>
      </c>
      <c r="E91" s="236">
        <f>'EU Bus'!E108</f>
        <v>0.46837408023728799</v>
      </c>
      <c r="F91" s="236">
        <f>'EU Bus'!F108</f>
        <v>0.46837408023728799</v>
      </c>
      <c r="G91" s="236">
        <f>F91</f>
        <v>0.46837408023728799</v>
      </c>
      <c r="H91" s="236"/>
      <c r="I91" s="63"/>
      <c r="J91" s="63"/>
      <c r="K91" s="63"/>
      <c r="L91" s="63"/>
      <c r="M91" s="63"/>
      <c r="N91" s="63"/>
      <c r="O91" s="63"/>
      <c r="P91" s="63"/>
      <c r="Q91" s="63"/>
    </row>
    <row r="92" spans="1:17">
      <c r="A92" s="63"/>
      <c r="B92" s="131" t="s">
        <v>37</v>
      </c>
      <c r="C92" s="75" t="s">
        <v>173</v>
      </c>
      <c r="D92" s="235">
        <f>'EU Bus'!D109</f>
        <v>421.20742294108487</v>
      </c>
      <c r="E92" s="235">
        <f>'EU Bus'!E109</f>
        <v>42.913588351117738</v>
      </c>
      <c r="F92" s="235">
        <f>'EU Bus'!F109</f>
        <v>42.913588351117738</v>
      </c>
      <c r="G92" s="235">
        <f>F92</f>
        <v>42.913588351117738</v>
      </c>
      <c r="H92" s="235"/>
      <c r="I92" s="63"/>
      <c r="J92" s="63"/>
      <c r="K92" s="63"/>
      <c r="L92" s="63"/>
      <c r="M92" s="63"/>
      <c r="N92" s="63"/>
      <c r="O92" s="63"/>
      <c r="P92" s="63"/>
      <c r="Q92" s="63"/>
    </row>
    <row r="93" spans="1:17" ht="14.4" thickBot="1">
      <c r="A93" s="63"/>
      <c r="B93" s="234" t="s">
        <v>24</v>
      </c>
      <c r="C93" s="70" t="s">
        <v>173</v>
      </c>
      <c r="D93" s="233">
        <f>'EU Bus'!D110</f>
        <v>3.2868980174215006</v>
      </c>
      <c r="E93" s="233">
        <f>'EU Bus'!E110</f>
        <v>0.49158331190144505</v>
      </c>
      <c r="F93" s="233">
        <f>'EU Bus'!F110</f>
        <v>0.49158331190144505</v>
      </c>
      <c r="G93" s="233">
        <f>F93</f>
        <v>0.49158331190144505</v>
      </c>
      <c r="H93" s="233"/>
      <c r="I93" s="63"/>
      <c r="J93" s="63"/>
      <c r="K93" s="63"/>
      <c r="L93" s="63"/>
      <c r="M93" s="63"/>
      <c r="N93" s="63"/>
      <c r="O93" s="63"/>
      <c r="P93" s="63"/>
      <c r="Q93" s="63"/>
    </row>
    <row r="94" spans="1:17">
      <c r="A94" s="63"/>
      <c r="B94" s="63"/>
      <c r="C94" s="63"/>
      <c r="D94" s="63"/>
      <c r="E94" s="63"/>
      <c r="F94" s="63"/>
      <c r="G94" s="63"/>
      <c r="I94" s="63"/>
      <c r="J94" s="63"/>
      <c r="K94" s="63"/>
      <c r="L94" s="63"/>
      <c r="M94" s="63"/>
      <c r="N94" s="63"/>
      <c r="O94" s="63"/>
      <c r="P94" s="63"/>
      <c r="Q94" s="63"/>
    </row>
    <row r="95" spans="1:17">
      <c r="A95" s="63"/>
      <c r="B95" s="63"/>
      <c r="C95" s="63"/>
      <c r="D95" s="63"/>
      <c r="E95" s="63"/>
      <c r="F95" s="63"/>
      <c r="G95" s="63"/>
      <c r="I95" s="63"/>
      <c r="J95" s="63"/>
      <c r="K95" s="63"/>
      <c r="L95" s="63"/>
      <c r="M95" s="63"/>
      <c r="N95" s="63"/>
      <c r="O95" s="63"/>
      <c r="P95" s="63"/>
      <c r="Q95" s="63"/>
    </row>
    <row r="96" spans="1:17">
      <c r="A96" s="63"/>
      <c r="B96" s="63"/>
      <c r="C96" s="63"/>
      <c r="D96" s="63"/>
      <c r="E96" s="63"/>
      <c r="F96" s="63"/>
      <c r="G96" s="63"/>
      <c r="H96" s="66"/>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H100" s="66"/>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A122" s="63"/>
      <c r="B122" s="63"/>
      <c r="C122" s="63"/>
      <c r="D122" s="63"/>
      <c r="E122" s="63"/>
      <c r="F122" s="63"/>
      <c r="G122" s="63"/>
      <c r="I122" s="63"/>
      <c r="J122" s="63"/>
      <c r="K122" s="63"/>
      <c r="L122" s="63"/>
      <c r="M122" s="63"/>
      <c r="N122" s="63"/>
      <c r="O122" s="63"/>
      <c r="P122" s="63"/>
      <c r="Q122" s="63"/>
    </row>
    <row r="123" spans="1:17">
      <c r="B123" s="63"/>
      <c r="C123" s="63"/>
      <c r="D123" s="63"/>
      <c r="E123"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'C:\Users\B003920\Desktop\[Kopi af alternativ_drivmiddelmodel_3.0_2.xlsm]Sheet1'!#REF!</xm:f>
          </x14:formula1>
          <xm:sqref>C9</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AG69"/>
  <sheetViews>
    <sheetView topLeftCell="B1" zoomScale="70" zoomScaleNormal="70" workbookViewId="0">
      <selection activeCell="Q4" sqref="Q4:T4"/>
    </sheetView>
  </sheetViews>
  <sheetFormatPr defaultColWidth="8.88671875" defaultRowHeight="13.2"/>
  <cols>
    <col min="1" max="1" width="8.88671875" style="476"/>
    <col min="2" max="2" width="13.33203125" style="476" bestFit="1" customWidth="1"/>
    <col min="3" max="3" width="17.5546875" style="476" bestFit="1" customWidth="1"/>
    <col min="4" max="4" width="63.33203125" style="476" bestFit="1" customWidth="1"/>
    <col min="5" max="5" width="10.6640625" style="476" bestFit="1" customWidth="1"/>
    <col min="6" max="6" width="10.88671875" style="476" customWidth="1"/>
    <col min="7" max="7" width="6.5546875" style="476" bestFit="1" customWidth="1"/>
    <col min="8" max="8" width="8.109375" style="476" bestFit="1" customWidth="1"/>
    <col min="9" max="16384" width="8.88671875" style="476"/>
  </cols>
  <sheetData>
    <row r="3" spans="3:30">
      <c r="H3" s="561" t="s">
        <v>0</v>
      </c>
      <c r="K3" s="562"/>
    </row>
    <row r="4" spans="3:30" ht="41.4">
      <c r="C4" s="563" t="s">
        <v>1</v>
      </c>
      <c r="D4" s="597" t="s">
        <v>8</v>
      </c>
      <c r="E4" s="563" t="s">
        <v>2</v>
      </c>
      <c r="F4" s="563" t="s">
        <v>3</v>
      </c>
      <c r="G4" s="563" t="s">
        <v>28</v>
      </c>
      <c r="H4" s="563" t="s">
        <v>219</v>
      </c>
      <c r="I4" s="563" t="s">
        <v>87</v>
      </c>
      <c r="J4" s="563" t="s">
        <v>231</v>
      </c>
      <c r="K4" s="563" t="s">
        <v>89</v>
      </c>
      <c r="L4" s="563" t="s">
        <v>10</v>
      </c>
      <c r="M4" s="564" t="s">
        <v>6</v>
      </c>
      <c r="N4" s="564" t="s">
        <v>4</v>
      </c>
      <c r="O4" s="563" t="s">
        <v>7</v>
      </c>
      <c r="P4" s="563" t="s">
        <v>617</v>
      </c>
      <c r="Q4" s="43" t="s">
        <v>1497</v>
      </c>
      <c r="R4" s="43" t="s">
        <v>1498</v>
      </c>
      <c r="S4" s="43" t="s">
        <v>1499</v>
      </c>
      <c r="T4" s="43" t="s">
        <v>1500</v>
      </c>
      <c r="U4" s="549"/>
      <c r="V4" s="43" t="s">
        <v>1461</v>
      </c>
      <c r="W4" s="1538"/>
      <c r="X4" s="476" t="s">
        <v>221</v>
      </c>
      <c r="Z4" s="620">
        <v>1</v>
      </c>
    </row>
    <row r="5" spans="3:30" ht="21" thickBot="1">
      <c r="C5" s="616" t="s">
        <v>11</v>
      </c>
      <c r="D5" s="598" t="s">
        <v>72</v>
      </c>
      <c r="E5" s="616"/>
      <c r="F5" s="616"/>
      <c r="G5" s="616"/>
      <c r="H5" s="616" t="s">
        <v>218</v>
      </c>
      <c r="I5" s="616" t="s">
        <v>13</v>
      </c>
      <c r="J5" s="616"/>
      <c r="K5" s="616" t="s">
        <v>220</v>
      </c>
      <c r="L5" s="616" t="s">
        <v>14</v>
      </c>
      <c r="M5" s="616" t="s">
        <v>83</v>
      </c>
      <c r="N5" s="616" t="s">
        <v>12</v>
      </c>
      <c r="O5" s="616" t="s">
        <v>12</v>
      </c>
      <c r="P5" s="616" t="s">
        <v>91</v>
      </c>
      <c r="Q5" s="949" t="s">
        <v>1460</v>
      </c>
      <c r="R5" s="949" t="s">
        <v>1460</v>
      </c>
      <c r="S5" s="949" t="s">
        <v>1460</v>
      </c>
      <c r="T5" s="949" t="s">
        <v>1460</v>
      </c>
      <c r="U5" s="549"/>
      <c r="V5" s="549"/>
      <c r="W5" s="549"/>
    </row>
    <row r="6" spans="3:30">
      <c r="C6" s="476" t="s">
        <v>868</v>
      </c>
      <c r="D6" s="476" t="s">
        <v>535</v>
      </c>
      <c r="E6" s="588" t="s">
        <v>80</v>
      </c>
      <c r="F6" s="481" t="s">
        <v>833</v>
      </c>
      <c r="G6" s="639">
        <v>2012</v>
      </c>
      <c r="H6" s="580" t="str">
        <f>"MKr"&amp;RIGHT('EU Gas Lokaltog'!$H$38,2)</f>
        <v>MKr11</v>
      </c>
      <c r="I6" s="609">
        <v>2012</v>
      </c>
      <c r="J6" s="609"/>
      <c r="K6" s="606">
        <f>$AB$32/('EU El IC-reg.tog'!D26*Z40/Z39)</f>
        <v>3.5954887218045108</v>
      </c>
      <c r="L6" s="594">
        <v>30</v>
      </c>
      <c r="M6" s="640">
        <f>AF20*Y7</f>
        <v>2.9389499999999999E-2</v>
      </c>
      <c r="N6" s="594"/>
      <c r="O6" s="1159">
        <f>'EU Diesel Lokaltog'!$D$38*'EU Diesel Lokaltog'!$D$70*TRA_Train!$Y$7*$O$21/$O$30</f>
        <v>17096.774193548386</v>
      </c>
      <c r="P6" s="641">
        <v>5</v>
      </c>
      <c r="Q6" s="1530">
        <f t="array" ref="Q6">INDEX(EMIS_factors!$G$6:$O$152,MATCH($G6&amp;$V6,EMIS_factors!$E$6:$E$152&amp;EMIS_factors!$D$6:$D$152,0),MATCH(RIGHT(Q$4,6),EMIS_factors!$G$4:$O$4,0))</f>
        <v>0.46838407494145234</v>
      </c>
      <c r="R6" s="1530">
        <f t="array" ref="R6">INDEX(EMIS_factors!$G$6:$O$152,MATCH($G6&amp;$V6,EMIS_factors!$E$6:$E$152&amp;EMIS_factors!$D$6:$D$152,0),MATCH(RIGHT(R$4,6),EMIS_factors!$G$4:$O$4,0))</f>
        <v>798.14040184111514</v>
      </c>
      <c r="S6" s="1530">
        <f t="array" ref="S6">INDEX(EMIS_factors!$G$6:$O$152,MATCH($G6&amp;$V6,EMIS_factors!$E$6:$E$152&amp;EMIS_factors!$D$6:$D$152,0),MATCH(RIGHT(S$4,6),EMIS_factors!$G$4:$O$4,0))</f>
        <v>1.9628285688400839</v>
      </c>
      <c r="T6" s="1530">
        <f t="array" ref="T6">INDEX(EMIS_factors!$G$6:$O$152,MATCH($G6&amp;$V6,EMIS_factors!$E$6:$E$152&amp;EMIS_factors!$D$6:$D$152,0),MATCH(RIGHT(T$4,6),EMIS_factors!$G$4:$O$4,0))</f>
        <v>24.692830572834254</v>
      </c>
      <c r="U6" s="1295"/>
      <c r="V6" s="526" t="s">
        <v>1477</v>
      </c>
      <c r="W6" s="526"/>
      <c r="X6" s="1742" t="s">
        <v>84</v>
      </c>
      <c r="Y6" s="1743"/>
      <c r="Z6" s="1744"/>
    </row>
    <row r="7" spans="3:30">
      <c r="F7" s="481" t="s">
        <v>834</v>
      </c>
      <c r="O7" s="959"/>
      <c r="P7" s="641">
        <v>5</v>
      </c>
      <c r="Q7" s="1530"/>
      <c r="R7" s="1530"/>
      <c r="S7" s="1530"/>
      <c r="T7" s="1530"/>
      <c r="U7" s="1295"/>
      <c r="V7" s="526" t="s">
        <v>1477</v>
      </c>
      <c r="W7" s="526"/>
      <c r="X7" s="623" t="s">
        <v>536</v>
      </c>
      <c r="Y7" s="624">
        <v>1E-3</v>
      </c>
      <c r="Z7" s="642" t="s">
        <v>537</v>
      </c>
    </row>
    <row r="8" spans="3:30">
      <c r="C8" s="572"/>
      <c r="D8" s="600"/>
      <c r="E8" s="590"/>
      <c r="F8" s="481" t="s">
        <v>835</v>
      </c>
      <c r="H8" s="580"/>
      <c r="I8" s="572"/>
      <c r="J8" s="572"/>
      <c r="K8" s="575"/>
      <c r="L8" s="594"/>
      <c r="M8" s="640"/>
      <c r="N8" s="594"/>
      <c r="O8" s="1159"/>
      <c r="P8" s="641">
        <v>5</v>
      </c>
      <c r="Q8" s="1530"/>
      <c r="R8" s="1530"/>
      <c r="S8" s="1530"/>
      <c r="T8" s="1530"/>
      <c r="U8" s="1295"/>
      <c r="V8" s="526" t="s">
        <v>1477</v>
      </c>
      <c r="W8" s="526"/>
    </row>
    <row r="9" spans="3:30">
      <c r="C9" s="572"/>
      <c r="D9" s="600"/>
      <c r="E9" s="590"/>
      <c r="F9" s="481" t="s">
        <v>833</v>
      </c>
      <c r="G9" s="639">
        <v>2020</v>
      </c>
      <c r="H9" s="580" t="str">
        <f>"MKr"&amp;RIGHT('EU El IC-reg.tog'!$H$38,2)</f>
        <v>MKr11</v>
      </c>
      <c r="I9" s="572"/>
      <c r="J9" s="572"/>
      <c r="K9" s="606">
        <f>$AB$32/('EU El IC-reg.tog'!E26*Z40/Z39)</f>
        <v>3.7564807541241154</v>
      </c>
      <c r="L9" s="594">
        <v>30</v>
      </c>
      <c r="M9" s="640">
        <f>M6</f>
        <v>2.9389499999999999E-2</v>
      </c>
      <c r="N9" s="594"/>
      <c r="O9" s="1159">
        <f>'EU Diesel Lokaltog'!$D$38*'EU Diesel Lokaltog'!$D$70*TRA_Train!$Y$7*$O$21/$O$30</f>
        <v>17096.774193548386</v>
      </c>
      <c r="P9" s="641">
        <v>5</v>
      </c>
      <c r="Q9" s="1530">
        <f t="array" ref="Q9">INDEX(EMIS_factors!$G$6:$O$152,MATCH($G9&amp;$V9,EMIS_factors!$E$6:$E$152&amp;EMIS_factors!$D$6:$D$152,0),MATCH(RIGHT(Q$4,6),EMIS_factors!$G$4:$O$4,0))</f>
        <v>0.46838407494145196</v>
      </c>
      <c r="R9" s="1530">
        <f t="array" ref="R9">INDEX(EMIS_factors!$G$6:$O$152,MATCH($G9&amp;$V9,EMIS_factors!$E$6:$E$152&amp;EMIS_factors!$D$6:$D$152,0),MATCH(RIGHT(R$4,6),EMIS_factors!$G$4:$O$4,0))</f>
        <v>411.41501253398201</v>
      </c>
      <c r="S9" s="1530">
        <f t="array" ref="S9">INDEX(EMIS_factors!$G$6:$O$152,MATCH($G9&amp;$V9,EMIS_factors!$E$6:$E$152&amp;EMIS_factors!$D$6:$D$152,0),MATCH(RIGHT(S$4,6),EMIS_factors!$G$4:$O$4,0))</f>
        <v>0.11686473412375831</v>
      </c>
      <c r="T9" s="1530">
        <f t="array" ref="T9">INDEX(EMIS_factors!$G$6:$O$152,MATCH($G9&amp;$V9,EMIS_factors!$E$6:$E$152&amp;EMIS_factors!$D$6:$D$152,0),MATCH(RIGHT(T$4,6),EMIS_factors!$G$4:$O$4,0))</f>
        <v>0.32565030960718155</v>
      </c>
      <c r="U9" s="1295"/>
      <c r="V9" s="526" t="s">
        <v>1477</v>
      </c>
      <c r="W9" s="526"/>
    </row>
    <row r="10" spans="3:30">
      <c r="C10" s="572"/>
      <c r="D10" s="600"/>
      <c r="E10" s="590"/>
      <c r="F10" s="481" t="s">
        <v>834</v>
      </c>
      <c r="O10" s="959"/>
      <c r="P10" s="641">
        <v>5</v>
      </c>
      <c r="Q10" s="1530"/>
      <c r="R10" s="1530"/>
      <c r="S10" s="1530"/>
      <c r="T10" s="1530"/>
      <c r="U10" s="1295"/>
      <c r="V10" s="526" t="s">
        <v>1477</v>
      </c>
      <c r="W10" s="526"/>
    </row>
    <row r="11" spans="3:30">
      <c r="C11" s="572"/>
      <c r="D11" s="600"/>
      <c r="E11" s="590"/>
      <c r="F11" s="481" t="s">
        <v>835</v>
      </c>
      <c r="O11" s="959"/>
      <c r="P11" s="641">
        <v>5</v>
      </c>
      <c r="Q11" s="1530"/>
      <c r="R11" s="1530"/>
      <c r="S11" s="1530"/>
      <c r="T11" s="1530"/>
      <c r="U11" s="1295"/>
      <c r="V11" s="526" t="s">
        <v>1477</v>
      </c>
      <c r="W11" s="526"/>
    </row>
    <row r="12" spans="3:30">
      <c r="C12" s="572"/>
      <c r="D12" s="600"/>
      <c r="E12" s="590"/>
      <c r="F12" s="481" t="s">
        <v>833</v>
      </c>
      <c r="G12" s="639">
        <v>2035</v>
      </c>
      <c r="H12" s="580" t="str">
        <f>"MKr"&amp;RIGHT('EU El IC-reg.tog'!$H$38,2)</f>
        <v>MKr11</v>
      </c>
      <c r="I12" s="572"/>
      <c r="J12" s="572"/>
      <c r="K12" s="606">
        <f>$AB$32/('EU El IC-reg.tog'!F26*Z40/Z39)</f>
        <v>4.5760765550239224</v>
      </c>
      <c r="L12" s="594">
        <v>30</v>
      </c>
      <c r="M12" s="640">
        <f>M6</f>
        <v>2.9389499999999999E-2</v>
      </c>
      <c r="N12" s="594"/>
      <c r="O12" s="1159">
        <f>'EU Diesel Lokaltog'!$D$38*'EU Diesel Lokaltog'!$D$70*TRA_Train!$Y$7*$O$21/$O$30</f>
        <v>17096.774193548386</v>
      </c>
      <c r="P12" s="641">
        <v>5</v>
      </c>
      <c r="Q12" s="1530">
        <f t="array" ref="Q12">INDEX(EMIS_factors!$G$6:$O$152,MATCH($G12&amp;$V12,EMIS_factors!$E$6:$E$152&amp;EMIS_factors!$D$6:$D$152,0),MATCH(RIGHT(Q$4,6),EMIS_factors!$G$4:$O$4,0))</f>
        <v>0.46838407494145196</v>
      </c>
      <c r="R12" s="1530">
        <f t="array" ref="R12">INDEX(EMIS_factors!$G$6:$O$152,MATCH($G12&amp;$V12,EMIS_factors!$E$6:$E$152&amp;EMIS_factors!$D$6:$D$152,0),MATCH(RIGHT(R$4,6),EMIS_factors!$G$4:$O$4,0))</f>
        <v>411.41501253398201</v>
      </c>
      <c r="S12" s="1530">
        <f t="array" ref="S12">INDEX(EMIS_factors!$G$6:$O$152,MATCH($G12&amp;$V12,EMIS_factors!$E$6:$E$152&amp;EMIS_factors!$D$6:$D$152,0),MATCH(RIGHT(S$4,6),EMIS_factors!$G$4:$O$4,0))</f>
        <v>0.11686473412375831</v>
      </c>
      <c r="T12" s="1530">
        <f t="array" ref="T12">INDEX(EMIS_factors!$G$6:$O$152,MATCH($G12&amp;$V12,EMIS_factors!$E$6:$E$152&amp;EMIS_factors!$D$6:$D$152,0),MATCH(RIGHT(T$4,6),EMIS_factors!$G$4:$O$4,0))</f>
        <v>0.32565030960718155</v>
      </c>
      <c r="U12" s="1295"/>
      <c r="V12" s="526" t="s">
        <v>1477</v>
      </c>
      <c r="W12" s="526"/>
    </row>
    <row r="13" spans="3:30">
      <c r="C13" s="572"/>
      <c r="D13" s="600"/>
      <c r="E13" s="590"/>
      <c r="F13" s="481" t="s">
        <v>834</v>
      </c>
      <c r="G13" s="639"/>
      <c r="H13" s="580"/>
      <c r="I13" s="572"/>
      <c r="J13" s="572"/>
      <c r="K13" s="575"/>
      <c r="L13" s="594"/>
      <c r="M13" s="640"/>
      <c r="N13" s="594"/>
      <c r="O13" s="1229"/>
      <c r="P13" s="641">
        <v>5</v>
      </c>
      <c r="Q13" s="1530"/>
      <c r="R13" s="1530"/>
      <c r="S13" s="1530"/>
      <c r="T13" s="1530"/>
      <c r="U13" s="1295"/>
      <c r="V13" s="526" t="s">
        <v>1477</v>
      </c>
      <c r="W13" s="526"/>
    </row>
    <row r="14" spans="3:30">
      <c r="F14" s="481" t="s">
        <v>835</v>
      </c>
      <c r="O14" s="959"/>
      <c r="P14" s="641">
        <v>5</v>
      </c>
      <c r="Q14" s="1530"/>
      <c r="R14" s="1530"/>
      <c r="S14" s="1530"/>
      <c r="T14" s="1530"/>
      <c r="U14" s="1295"/>
      <c r="V14" s="526" t="s">
        <v>1477</v>
      </c>
      <c r="W14" s="526"/>
    </row>
    <row r="15" spans="3:30">
      <c r="C15" s="476" t="s">
        <v>869</v>
      </c>
      <c r="D15" s="476" t="s">
        <v>538</v>
      </c>
      <c r="E15" s="590" t="s">
        <v>80</v>
      </c>
      <c r="F15" s="481" t="s">
        <v>833</v>
      </c>
      <c r="G15" s="639">
        <v>2012</v>
      </c>
      <c r="H15" s="580" t="str">
        <f>"MKr"&amp;RIGHT('EU El IC-reg.tog'!$H$38,2)</f>
        <v>MKr11</v>
      </c>
      <c r="I15" s="572">
        <v>2012</v>
      </c>
      <c r="J15" s="572"/>
      <c r="K15" s="606">
        <f>$AB$31/('EU El IC-reg.tog'!$D$26*$Z$41/$Z$39)</f>
        <v>3.3834586466165413</v>
      </c>
      <c r="L15" s="594">
        <v>30</v>
      </c>
      <c r="M15" s="640">
        <f>AF20*Y7</f>
        <v>2.9389499999999999E-2</v>
      </c>
      <c r="N15" s="594"/>
      <c r="O15" s="1159">
        <f>'EU Diesel Lokaltog'!$D$38*'EU Diesel Lokaltog'!$D$70*TRA_Train!$Y$7*$O$21/$O$30</f>
        <v>17096.774193548386</v>
      </c>
      <c r="P15" s="641">
        <v>5</v>
      </c>
      <c r="Q15" s="1530">
        <f t="array" ref="Q15">INDEX(EMIS_factors!$G$6:$O$152,MATCH($G15&amp;$V15,EMIS_factors!$E$6:$E$152&amp;EMIS_factors!$D$6:$D$152,0),MATCH(RIGHT(Q$4,6),EMIS_factors!$G$4:$O$4,0))</f>
        <v>0.46838407494145234</v>
      </c>
      <c r="R15" s="1530">
        <f t="array" ref="R15">INDEX(EMIS_factors!$G$6:$O$152,MATCH($G15&amp;$V15,EMIS_factors!$E$6:$E$152&amp;EMIS_factors!$D$6:$D$152,0),MATCH(RIGHT(R$4,6),EMIS_factors!$G$4:$O$4,0))</f>
        <v>798.14040184111514</v>
      </c>
      <c r="S15" s="1530">
        <f t="array" ref="S15">INDEX(EMIS_factors!$G$6:$O$152,MATCH($G15&amp;$V15,EMIS_factors!$E$6:$E$152&amp;EMIS_factors!$D$6:$D$152,0),MATCH(RIGHT(S$4,6),EMIS_factors!$G$4:$O$4,0))</f>
        <v>1.9628285688400839</v>
      </c>
      <c r="T15" s="1530">
        <f t="array" ref="T15">INDEX(EMIS_factors!$G$6:$O$152,MATCH($G15&amp;$V15,EMIS_factors!$E$6:$E$152&amp;EMIS_factors!$D$6:$D$152,0),MATCH(RIGHT(T$4,6),EMIS_factors!$G$4:$O$4,0))</f>
        <v>24.692830572834254</v>
      </c>
      <c r="U15" s="1295"/>
      <c r="V15" s="526" t="s">
        <v>1477</v>
      </c>
      <c r="W15" s="526"/>
    </row>
    <row r="16" spans="3:30">
      <c r="C16" s="572"/>
      <c r="D16" s="600"/>
      <c r="E16" s="590"/>
      <c r="F16" s="481" t="s">
        <v>834</v>
      </c>
      <c r="O16" s="959"/>
      <c r="P16" s="641">
        <v>5</v>
      </c>
      <c r="Q16" s="1530"/>
      <c r="R16" s="1530"/>
      <c r="S16" s="1530"/>
      <c r="T16" s="1530"/>
      <c r="U16" s="1295"/>
      <c r="V16" s="526" t="s">
        <v>1477</v>
      </c>
      <c r="W16" s="526"/>
      <c r="AD16" s="579" t="s">
        <v>556</v>
      </c>
    </row>
    <row r="17" spans="3:33">
      <c r="C17" s="572"/>
      <c r="D17" s="600"/>
      <c r="E17" s="590"/>
      <c r="F17" s="481" t="s">
        <v>833</v>
      </c>
      <c r="G17" s="639">
        <v>2020</v>
      </c>
      <c r="H17" s="580" t="str">
        <f>"MKr"&amp;RIGHT('EU El IC-reg.tog'!$H$38,2)</f>
        <v>MKr11</v>
      </c>
      <c r="I17" s="572"/>
      <c r="J17" s="572"/>
      <c r="K17" s="606">
        <f>$AB$31/('EU El IC-reg.tog'!$E$26*$Z$41/$Z$39)</f>
        <v>3.5349567949725054</v>
      </c>
      <c r="L17" s="594"/>
      <c r="M17" s="640">
        <f>M15</f>
        <v>2.9389499999999999E-2</v>
      </c>
      <c r="N17" s="594"/>
      <c r="O17" s="1159">
        <f>'EU Diesel Lokaltog'!$D$38*'EU Diesel Lokaltog'!$D$70*TRA_Train!$Y$7*$O$21/$O$30</f>
        <v>17096.774193548386</v>
      </c>
      <c r="P17" s="641">
        <v>5</v>
      </c>
      <c r="Q17" s="1530">
        <f t="array" ref="Q17">INDEX(EMIS_factors!$G$6:$O$152,MATCH($G17&amp;$V17,EMIS_factors!$E$6:$E$152&amp;EMIS_factors!$D$6:$D$152,0),MATCH(RIGHT(Q$4,6),EMIS_factors!$G$4:$O$4,0))</f>
        <v>0.46838407494145196</v>
      </c>
      <c r="R17" s="1530">
        <f t="array" ref="R17">INDEX(EMIS_factors!$G$6:$O$152,MATCH($G17&amp;$V17,EMIS_factors!$E$6:$E$152&amp;EMIS_factors!$D$6:$D$152,0),MATCH(RIGHT(R$4,6),EMIS_factors!$G$4:$O$4,0))</f>
        <v>411.41501253398201</v>
      </c>
      <c r="S17" s="1530">
        <f t="array" ref="S17">INDEX(EMIS_factors!$G$6:$O$152,MATCH($G17&amp;$V17,EMIS_factors!$E$6:$E$152&amp;EMIS_factors!$D$6:$D$152,0),MATCH(RIGHT(S$4,6),EMIS_factors!$G$4:$O$4,0))</f>
        <v>0.11686473412375831</v>
      </c>
      <c r="T17" s="1530">
        <f t="array" ref="T17">INDEX(EMIS_factors!$G$6:$O$152,MATCH($G17&amp;$V17,EMIS_factors!$E$6:$E$152&amp;EMIS_factors!$D$6:$D$152,0),MATCH(RIGHT(T$4,6),EMIS_factors!$G$4:$O$4,0))</f>
        <v>0.32565030960718155</v>
      </c>
      <c r="U17" s="1295"/>
      <c r="V17" s="526" t="s">
        <v>1477</v>
      </c>
      <c r="W17" s="526"/>
      <c r="AD17" s="579"/>
    </row>
    <row r="18" spans="3:33">
      <c r="C18" s="572"/>
      <c r="D18" s="600"/>
      <c r="E18" s="590"/>
      <c r="F18" s="481" t="s">
        <v>834</v>
      </c>
      <c r="O18" s="959"/>
      <c r="P18" s="641">
        <v>5</v>
      </c>
      <c r="Q18" s="1530"/>
      <c r="R18" s="1530"/>
      <c r="S18" s="1530"/>
      <c r="T18" s="1530"/>
      <c r="U18" s="1295"/>
      <c r="V18" s="526" t="s">
        <v>1477</v>
      </c>
      <c r="W18" s="526"/>
      <c r="AD18" s="643" t="s">
        <v>557</v>
      </c>
    </row>
    <row r="19" spans="3:33">
      <c r="C19" s="572"/>
      <c r="D19" s="600"/>
      <c r="E19" s="590"/>
      <c r="F19" s="481" t="s">
        <v>833</v>
      </c>
      <c r="G19" s="639">
        <v>2035</v>
      </c>
      <c r="H19" s="580" t="str">
        <f>"MKr"&amp;RIGHT('EU El IC-reg.tog'!$H$38,2)</f>
        <v>MKr11</v>
      </c>
      <c r="I19" s="572"/>
      <c r="J19" s="572"/>
      <c r="K19" s="606">
        <f>$AB$31/('EU El IC-reg.tog'!$F$26*$Z$41/$Z$39)</f>
        <v>4.3062200956937797</v>
      </c>
      <c r="L19" s="594"/>
      <c r="M19" s="640">
        <f>M17</f>
        <v>2.9389499999999999E-2</v>
      </c>
      <c r="N19" s="594"/>
      <c r="O19" s="1159">
        <f>'EU Diesel Lokaltog'!$D$38*'EU Diesel Lokaltog'!$D$70*TRA_Train!$Y$7*$O$21/$O$30</f>
        <v>17096.774193548386</v>
      </c>
      <c r="P19" s="641">
        <v>5</v>
      </c>
      <c r="Q19" s="1530">
        <f t="array" ref="Q19">INDEX(EMIS_factors!$G$6:$O$152,MATCH($G19&amp;$V19,EMIS_factors!$E$6:$E$152&amp;EMIS_factors!$D$6:$D$152,0),MATCH(RIGHT(Q$4,6),EMIS_factors!$G$4:$O$4,0))</f>
        <v>0.46838407494145196</v>
      </c>
      <c r="R19" s="1530">
        <f t="array" ref="R19">INDEX(EMIS_factors!$G$6:$O$152,MATCH($G19&amp;$V19,EMIS_factors!$E$6:$E$152&amp;EMIS_factors!$D$6:$D$152,0),MATCH(RIGHT(R$4,6),EMIS_factors!$G$4:$O$4,0))</f>
        <v>411.41501253398201</v>
      </c>
      <c r="S19" s="1530">
        <f t="array" ref="S19">INDEX(EMIS_factors!$G$6:$O$152,MATCH($G19&amp;$V19,EMIS_factors!$E$6:$E$152&amp;EMIS_factors!$D$6:$D$152,0),MATCH(RIGHT(S$4,6),EMIS_factors!$G$4:$O$4,0))</f>
        <v>0.11686473412375831</v>
      </c>
      <c r="T19" s="1530">
        <f t="array" ref="T19">INDEX(EMIS_factors!$G$6:$O$152,MATCH($G19&amp;$V19,EMIS_factors!$E$6:$E$152&amp;EMIS_factors!$D$6:$D$152,0),MATCH(RIGHT(T$4,6),EMIS_factors!$G$4:$O$4,0))</f>
        <v>0.32565030960718155</v>
      </c>
      <c r="U19" s="1295"/>
      <c r="V19" s="526" t="s">
        <v>1477</v>
      </c>
      <c r="W19" s="526"/>
      <c r="AD19" s="579" t="s">
        <v>558</v>
      </c>
    </row>
    <row r="20" spans="3:33">
      <c r="F20" s="481" t="s">
        <v>834</v>
      </c>
      <c r="P20" s="641">
        <v>5</v>
      </c>
      <c r="Q20" s="1530"/>
      <c r="R20" s="1530"/>
      <c r="S20" s="1530"/>
      <c r="T20" s="1530"/>
      <c r="U20" s="1295"/>
      <c r="V20" s="526" t="s">
        <v>1477</v>
      </c>
      <c r="W20" s="526"/>
      <c r="AD20" s="579" t="s">
        <v>559</v>
      </c>
      <c r="AF20" s="476">
        <f>3.11*9.45</f>
        <v>29.389499999999998</v>
      </c>
      <c r="AG20" s="579" t="s">
        <v>560</v>
      </c>
    </row>
    <row r="21" spans="3:33">
      <c r="C21" s="476" t="s">
        <v>870</v>
      </c>
      <c r="D21" s="476" t="s">
        <v>539</v>
      </c>
      <c r="E21" s="590" t="s">
        <v>80</v>
      </c>
      <c r="F21" s="481" t="s">
        <v>834</v>
      </c>
      <c r="G21" s="639">
        <v>2012</v>
      </c>
      <c r="H21" s="580" t="str">
        <f>"MKr"&amp;RIGHT('EU El IC-reg.tog'!$H$38,2)</f>
        <v>MKr11</v>
      </c>
      <c r="I21" s="572">
        <v>2012</v>
      </c>
      <c r="J21" s="572"/>
      <c r="K21" s="606">
        <f>$AB$33/'EU El IC-reg.tog'!D26</f>
        <v>2.9789464095844416</v>
      </c>
      <c r="L21" s="594">
        <v>30</v>
      </c>
      <c r="M21" s="640">
        <f>AF22*Y7</f>
        <v>2.9862E-2</v>
      </c>
      <c r="N21" s="594"/>
      <c r="O21" s="641">
        <f>'EU El IC-reg.tog'!D38*'EU El IC-reg.tog'!D70*TRA_Train!$Y$7</f>
        <v>53000</v>
      </c>
      <c r="P21" s="641">
        <v>5</v>
      </c>
      <c r="Q21" s="1530">
        <f t="array" ref="Q21">INDEX(EMIS_factors!$G$6:$O$152,MATCH($G21&amp;$V21,EMIS_factors!$E$6:$E$152&amp;EMIS_factors!$D$6:$D$152,0),MATCH(RIGHT(Q$4,6),EMIS_factors!$G$4:$O$4,0))</f>
        <v>0.46838407494145234</v>
      </c>
      <c r="R21" s="1530">
        <f t="array" ref="R21">INDEX(EMIS_factors!$G$6:$O$152,MATCH($G21&amp;$V21,EMIS_factors!$E$6:$E$152&amp;EMIS_factors!$D$6:$D$152,0),MATCH(RIGHT(R$4,6),EMIS_factors!$G$4:$O$4,0))</f>
        <v>798.14040184111514</v>
      </c>
      <c r="S21" s="1530">
        <f t="array" ref="S21">INDEX(EMIS_factors!$G$6:$O$152,MATCH($G21&amp;$V21,EMIS_factors!$E$6:$E$152&amp;EMIS_factors!$D$6:$D$152,0),MATCH(RIGHT(S$4,6),EMIS_factors!$G$4:$O$4,0))</f>
        <v>1.9628285688400839</v>
      </c>
      <c r="T21" s="1530">
        <f t="array" ref="T21">INDEX(EMIS_factors!$G$6:$O$152,MATCH($G21&amp;$V21,EMIS_factors!$E$6:$E$152&amp;EMIS_factors!$D$6:$D$152,0),MATCH(RIGHT(T$4,6),EMIS_factors!$G$4:$O$4,0))</f>
        <v>24.692830572834254</v>
      </c>
      <c r="U21" s="1295"/>
      <c r="V21" s="526" t="s">
        <v>1477</v>
      </c>
      <c r="W21" s="526"/>
      <c r="AD21" s="579" t="s">
        <v>561</v>
      </c>
      <c r="AF21" s="476">
        <f>4.28*9.45</f>
        <v>40.445999999999998</v>
      </c>
      <c r="AG21" s="579" t="s">
        <v>560</v>
      </c>
    </row>
    <row r="22" spans="3:33">
      <c r="C22" s="572"/>
      <c r="D22" s="600"/>
      <c r="E22" s="590"/>
      <c r="F22" s="481" t="s">
        <v>835</v>
      </c>
      <c r="I22" s="572"/>
      <c r="J22" s="572"/>
      <c r="K22" s="606"/>
      <c r="L22" s="594"/>
      <c r="M22" s="640"/>
      <c r="N22" s="594"/>
      <c r="O22" s="641"/>
      <c r="P22" s="641">
        <v>5</v>
      </c>
      <c r="Q22" s="1530"/>
      <c r="R22" s="1530"/>
      <c r="S22" s="1530"/>
      <c r="T22" s="1530"/>
      <c r="U22" s="1295"/>
      <c r="V22" s="526" t="s">
        <v>1477</v>
      </c>
      <c r="W22" s="526"/>
      <c r="AD22" s="579" t="s">
        <v>562</v>
      </c>
      <c r="AF22" s="476">
        <f>3.16*9.45</f>
        <v>29.861999999999998</v>
      </c>
      <c r="AG22" s="579" t="s">
        <v>560</v>
      </c>
    </row>
    <row r="23" spans="3:33">
      <c r="C23" s="572"/>
      <c r="D23" s="600"/>
      <c r="E23" s="590"/>
      <c r="F23" s="481" t="s">
        <v>836</v>
      </c>
      <c r="G23" s="639"/>
      <c r="I23" s="572"/>
      <c r="J23" s="572"/>
      <c r="K23" s="606"/>
      <c r="L23" s="594"/>
      <c r="M23" s="640"/>
      <c r="N23" s="594"/>
      <c r="O23" s="641"/>
      <c r="P23" s="641">
        <v>5</v>
      </c>
      <c r="Q23" s="1530"/>
      <c r="R23" s="1530"/>
      <c r="S23" s="1530"/>
      <c r="T23" s="1530"/>
      <c r="U23" s="1295"/>
      <c r="V23" s="526" t="s">
        <v>1477</v>
      </c>
      <c r="W23" s="526"/>
    </row>
    <row r="24" spans="3:33">
      <c r="C24" s="572"/>
      <c r="D24" s="600"/>
      <c r="E24" s="590"/>
      <c r="F24" s="481" t="s">
        <v>834</v>
      </c>
      <c r="G24" s="639">
        <v>2020</v>
      </c>
      <c r="H24" s="580" t="str">
        <f>"MKr"&amp;RIGHT('EU El IC-reg.tog'!$H$38,2)</f>
        <v>MKr11</v>
      </c>
      <c r="I24" s="572"/>
      <c r="J24" s="572"/>
      <c r="K24" s="606">
        <f>$AB$33/'EU El IC-reg.tog'!E26</f>
        <v>3.1123320697150882</v>
      </c>
      <c r="L24" s="594">
        <v>30</v>
      </c>
      <c r="M24" s="640">
        <f>AF22*Y7</f>
        <v>2.9862E-2</v>
      </c>
      <c r="N24" s="594"/>
      <c r="O24" s="641">
        <f>'EU El IC-reg.tog'!D38*'EU El IC-reg.tog'!D70*TRA_Train!$Y$7</f>
        <v>53000</v>
      </c>
      <c r="P24" s="641">
        <v>5</v>
      </c>
      <c r="Q24" s="1530">
        <f t="array" ref="Q24">INDEX(EMIS_factors!$G$6:$O$152,MATCH($G24&amp;$V24,EMIS_factors!$E$6:$E$152&amp;EMIS_factors!$D$6:$D$152,0),MATCH(RIGHT(Q$4,6),EMIS_factors!$G$4:$O$4,0))</f>
        <v>0.46838407494145196</v>
      </c>
      <c r="R24" s="1530">
        <f t="array" ref="R24">INDEX(EMIS_factors!$G$6:$O$152,MATCH($G24&amp;$V24,EMIS_factors!$E$6:$E$152&amp;EMIS_factors!$D$6:$D$152,0),MATCH(RIGHT(R$4,6),EMIS_factors!$G$4:$O$4,0))</f>
        <v>411.41501253398201</v>
      </c>
      <c r="S24" s="1530">
        <f t="array" ref="S24">INDEX(EMIS_factors!$G$6:$O$152,MATCH($G24&amp;$V24,EMIS_factors!$E$6:$E$152&amp;EMIS_factors!$D$6:$D$152,0),MATCH(RIGHT(S$4,6),EMIS_factors!$G$4:$O$4,0))</f>
        <v>0.11686473412375831</v>
      </c>
      <c r="T24" s="1530">
        <f t="array" ref="T24">INDEX(EMIS_factors!$G$6:$O$152,MATCH($G24&amp;$V24,EMIS_factors!$E$6:$E$152&amp;EMIS_factors!$D$6:$D$152,0),MATCH(RIGHT(T$4,6),EMIS_factors!$G$4:$O$4,0))</f>
        <v>0.32565030960718155</v>
      </c>
      <c r="U24" s="1295"/>
      <c r="V24" s="526" t="s">
        <v>1477</v>
      </c>
      <c r="W24" s="526"/>
    </row>
    <row r="25" spans="3:33">
      <c r="C25" s="572"/>
      <c r="D25" s="600"/>
      <c r="E25" s="590"/>
      <c r="F25" s="481" t="s">
        <v>835</v>
      </c>
      <c r="G25" s="639"/>
      <c r="I25" s="572"/>
      <c r="J25" s="572"/>
      <c r="K25" s="606"/>
      <c r="L25" s="594"/>
      <c r="M25" s="640"/>
      <c r="N25" s="594"/>
      <c r="O25" s="641"/>
      <c r="P25" s="641">
        <v>5</v>
      </c>
      <c r="Q25" s="1530"/>
      <c r="R25" s="1530"/>
      <c r="S25" s="1530"/>
      <c r="T25" s="1530"/>
      <c r="U25" s="1295"/>
      <c r="V25" s="526" t="s">
        <v>1477</v>
      </c>
      <c r="W25" s="526"/>
    </row>
    <row r="26" spans="3:33">
      <c r="C26" s="572"/>
      <c r="D26" s="600"/>
      <c r="E26" s="590"/>
      <c r="F26" s="481" t="s">
        <v>836</v>
      </c>
      <c r="G26" s="639"/>
      <c r="I26" s="572"/>
      <c r="J26" s="572"/>
      <c r="K26" s="606"/>
      <c r="L26" s="594"/>
      <c r="M26" s="640"/>
      <c r="N26" s="594"/>
      <c r="O26" s="641"/>
      <c r="P26" s="641">
        <v>5</v>
      </c>
      <c r="Q26" s="1530"/>
      <c r="R26" s="1530"/>
      <c r="S26" s="1530"/>
      <c r="T26" s="1530"/>
      <c r="U26" s="1295"/>
      <c r="V26" s="526" t="s">
        <v>1477</v>
      </c>
      <c r="W26" s="526"/>
    </row>
    <row r="27" spans="3:33">
      <c r="C27" s="572"/>
      <c r="D27" s="600"/>
      <c r="E27" s="590"/>
      <c r="F27" s="481" t="s">
        <v>834</v>
      </c>
      <c r="G27" s="639">
        <v>2035</v>
      </c>
      <c r="H27" s="580" t="str">
        <f>"MKr"&amp;RIGHT('EU El IC-reg.tog'!$H$38,2)</f>
        <v>MKr11</v>
      </c>
      <c r="I27" s="572"/>
      <c r="J27" s="572"/>
      <c r="K27" s="606">
        <f>$AB$33/'EU El IC-reg.tog'!F26</f>
        <v>3.7913863394711074</v>
      </c>
      <c r="L27" s="594">
        <v>30</v>
      </c>
      <c r="M27" s="640">
        <f>AF22*Y7</f>
        <v>2.9862E-2</v>
      </c>
      <c r="N27" s="594"/>
      <c r="O27" s="641">
        <f>'EU El IC-reg.tog'!D38*'EU El IC-reg.tog'!D70*TRA_Train!$Y$7</f>
        <v>53000</v>
      </c>
      <c r="P27" s="641">
        <v>5</v>
      </c>
      <c r="Q27" s="1530">
        <f t="array" ref="Q27">INDEX(EMIS_factors!$G$6:$O$152,MATCH($G27&amp;$V27,EMIS_factors!$E$6:$E$152&amp;EMIS_factors!$D$6:$D$152,0),MATCH(RIGHT(Q$4,6),EMIS_factors!$G$4:$O$4,0))</f>
        <v>0.46838407494145196</v>
      </c>
      <c r="R27" s="1530">
        <f t="array" ref="R27">INDEX(EMIS_factors!$G$6:$O$152,MATCH($G27&amp;$V27,EMIS_factors!$E$6:$E$152&amp;EMIS_factors!$D$6:$D$152,0),MATCH(RIGHT(R$4,6),EMIS_factors!$G$4:$O$4,0))</f>
        <v>411.41501253398201</v>
      </c>
      <c r="S27" s="1530">
        <f t="array" ref="S27">INDEX(EMIS_factors!$G$6:$O$152,MATCH($G27&amp;$V27,EMIS_factors!$E$6:$E$152&amp;EMIS_factors!$D$6:$D$152,0),MATCH(RIGHT(S$4,6),EMIS_factors!$G$4:$O$4,0))</f>
        <v>0.11686473412375831</v>
      </c>
      <c r="T27" s="1530">
        <f t="array" ref="T27">INDEX(EMIS_factors!$G$6:$O$152,MATCH($G27&amp;$V27,EMIS_factors!$E$6:$E$152&amp;EMIS_factors!$D$6:$D$152,0),MATCH(RIGHT(T$4,6),EMIS_factors!$G$4:$O$4,0))</f>
        <v>0.32565030960718155</v>
      </c>
      <c r="U27" s="1295"/>
      <c r="V27" s="526" t="s">
        <v>1477</v>
      </c>
      <c r="W27" s="526"/>
    </row>
    <row r="28" spans="3:33">
      <c r="C28" s="572"/>
      <c r="D28" s="600"/>
      <c r="E28" s="590"/>
      <c r="F28" s="481" t="s">
        <v>835</v>
      </c>
      <c r="G28" s="639"/>
      <c r="I28" s="572"/>
      <c r="J28" s="572"/>
      <c r="K28" s="606"/>
      <c r="L28" s="594"/>
      <c r="M28" s="640"/>
      <c r="N28" s="594"/>
      <c r="O28" s="641"/>
      <c r="P28" s="641">
        <v>5</v>
      </c>
      <c r="Q28" s="1530"/>
      <c r="R28" s="1530"/>
      <c r="S28" s="1530"/>
      <c r="T28" s="1530"/>
      <c r="U28" s="1295"/>
      <c r="V28" s="526" t="s">
        <v>1477</v>
      </c>
      <c r="W28" s="526"/>
    </row>
    <row r="29" spans="3:33">
      <c r="C29" s="572"/>
      <c r="D29" s="600"/>
      <c r="E29" s="590"/>
      <c r="F29" s="481" t="s">
        <v>836</v>
      </c>
      <c r="G29" s="639"/>
      <c r="I29" s="572"/>
      <c r="J29" s="572"/>
      <c r="K29" s="606"/>
      <c r="L29" s="594"/>
      <c r="M29" s="640"/>
      <c r="N29" s="594"/>
      <c r="O29" s="641"/>
      <c r="P29" s="641">
        <v>5</v>
      </c>
      <c r="Q29" s="1530"/>
      <c r="R29" s="1530"/>
      <c r="S29" s="1530"/>
      <c r="T29" s="1530"/>
      <c r="V29" s="526" t="s">
        <v>1477</v>
      </c>
      <c r="Y29" s="476" t="s">
        <v>787</v>
      </c>
      <c r="AA29" s="579"/>
    </row>
    <row r="30" spans="3:33">
      <c r="C30" s="476" t="s">
        <v>871</v>
      </c>
      <c r="D30" s="476" t="s">
        <v>540</v>
      </c>
      <c r="E30" s="588" t="s">
        <v>224</v>
      </c>
      <c r="F30" s="481" t="s">
        <v>834</v>
      </c>
      <c r="G30" s="639">
        <v>2012</v>
      </c>
      <c r="H30" s="580" t="str">
        <f>"MKr"&amp;RIGHT('EU El IC-reg.tog'!$H$38,2)</f>
        <v>MKr11</v>
      </c>
      <c r="I30" s="572">
        <v>2012</v>
      </c>
      <c r="J30" s="572">
        <v>2019</v>
      </c>
      <c r="K30" s="606">
        <f>$AB$34/'EU Diesel IC-reg.tog'!D26</f>
        <v>1.0545316198903123</v>
      </c>
      <c r="L30" s="594">
        <v>30</v>
      </c>
      <c r="M30" s="640">
        <f>AF22*Y7</f>
        <v>2.9862E-2</v>
      </c>
      <c r="N30" s="594"/>
      <c r="O30" s="641">
        <f>'EU Diesel IC-reg.tog'!D38*'EU Diesel IC-reg.tog'!D70*$Y$7</f>
        <v>62000.000000000007</v>
      </c>
      <c r="P30" s="641">
        <v>5</v>
      </c>
      <c r="Q30" s="1530">
        <f t="array" ref="Q30">INDEX(EMIS_factors!$G$6:$O$152,MATCH($G30&amp;$V30,EMIS_factors!$E$6:$E$152&amp;EMIS_factors!$D$6:$D$152,0),MATCH(RIGHT(Q$4,6),EMIS_factors!$G$4:$O$4,0))</f>
        <v>0.46838407494145234</v>
      </c>
      <c r="R30" s="1530">
        <f t="array" ref="R30">INDEX(EMIS_factors!$G$6:$O$152,MATCH($G30&amp;$V30,EMIS_factors!$E$6:$E$152&amp;EMIS_factors!$D$6:$D$152,0),MATCH(RIGHT(R$4,6),EMIS_factors!$G$4:$O$4,0))</f>
        <v>798.14040184111514</v>
      </c>
      <c r="S30" s="1530">
        <f t="array" ref="S30">INDEX(EMIS_factors!$G$6:$O$152,MATCH($G30&amp;$V30,EMIS_factors!$E$6:$E$152&amp;EMIS_factors!$D$6:$D$152,0),MATCH(RIGHT(S$4,6),EMIS_factors!$G$4:$O$4,0))</f>
        <v>1.9628285688400839</v>
      </c>
      <c r="T30" s="1530">
        <f t="array" ref="T30">INDEX(EMIS_factors!$G$6:$O$152,MATCH($G30&amp;$V30,EMIS_factors!$E$6:$E$152&amp;EMIS_factors!$D$6:$D$152,0),MATCH(RIGHT(T$4,6),EMIS_factors!$G$4:$O$4,0))</f>
        <v>24.692830572834254</v>
      </c>
      <c r="V30" s="526" t="s">
        <v>1477</v>
      </c>
      <c r="Y30" s="476" t="s">
        <v>802</v>
      </c>
      <c r="Z30" s="476" t="s">
        <v>677</v>
      </c>
      <c r="AA30" s="476" t="s">
        <v>602</v>
      </c>
      <c r="AB30" s="476" t="s">
        <v>152</v>
      </c>
    </row>
    <row r="31" spans="3:33">
      <c r="E31" s="588"/>
      <c r="F31" s="481" t="s">
        <v>835</v>
      </c>
      <c r="I31" s="572"/>
      <c r="J31" s="572"/>
      <c r="K31" s="606"/>
      <c r="L31" s="594"/>
      <c r="M31" s="640"/>
      <c r="N31" s="594"/>
      <c r="O31" s="641"/>
      <c r="P31" s="641">
        <v>5</v>
      </c>
      <c r="Q31" s="1530"/>
      <c r="R31" s="1530"/>
      <c r="S31" s="1530"/>
      <c r="T31" s="1530"/>
      <c r="V31" s="526" t="s">
        <v>1477</v>
      </c>
      <c r="Y31" s="476" t="s">
        <v>798</v>
      </c>
      <c r="Z31" s="476" t="s">
        <v>800</v>
      </c>
      <c r="AA31" s="977">
        <v>74.074074074074076</v>
      </c>
      <c r="AB31" s="978">
        <f>1000/AA31</f>
        <v>13.5</v>
      </c>
    </row>
    <row r="32" spans="3:33">
      <c r="E32" s="588"/>
      <c r="F32" s="481" t="s">
        <v>836</v>
      </c>
      <c r="G32" s="639"/>
      <c r="I32" s="572"/>
      <c r="J32" s="572"/>
      <c r="K32" s="606"/>
      <c r="L32" s="594"/>
      <c r="M32" s="640"/>
      <c r="N32" s="594"/>
      <c r="O32" s="641"/>
      <c r="P32" s="641">
        <v>5</v>
      </c>
      <c r="Q32" s="1530"/>
      <c r="R32" s="1530"/>
      <c r="S32" s="1530"/>
      <c r="T32" s="1530"/>
      <c r="V32" s="526" t="s">
        <v>1477</v>
      </c>
      <c r="Y32" s="476" t="s">
        <v>799</v>
      </c>
      <c r="Z32" s="476" t="s">
        <v>800</v>
      </c>
      <c r="AA32" s="977">
        <v>34.852920674752546</v>
      </c>
      <c r="AB32" s="978">
        <f t="shared" ref="AB32:AB34" si="0">1000/AA32</f>
        <v>28.691999999999997</v>
      </c>
    </row>
    <row r="33" spans="3:31">
      <c r="C33" s="476" t="s">
        <v>872</v>
      </c>
      <c r="D33" s="476" t="s">
        <v>541</v>
      </c>
      <c r="E33" s="590" t="s">
        <v>225</v>
      </c>
      <c r="F33" s="481" t="s">
        <v>834</v>
      </c>
      <c r="G33" s="639">
        <v>2020</v>
      </c>
      <c r="H33" s="580" t="str">
        <f>"MKr"&amp;RIGHT('EU El IC-reg.tog'!$H$38,2)</f>
        <v>MKr11</v>
      </c>
      <c r="I33" s="572">
        <v>2020</v>
      </c>
      <c r="J33" s="594">
        <v>2034</v>
      </c>
      <c r="K33" s="606">
        <f>$AB$34/'EU Diesel IC-reg.tog'!E26</f>
        <v>1.1462300216199046</v>
      </c>
      <c r="L33" s="594">
        <v>30</v>
      </c>
      <c r="M33" s="640">
        <f>AF22*Y7</f>
        <v>2.9862E-2</v>
      </c>
      <c r="N33" s="594"/>
      <c r="O33" s="641">
        <f>'EU Diesel IC-reg.tog'!D38*'EU Diesel IC-reg.tog'!D70*$Y$7</f>
        <v>62000.000000000007</v>
      </c>
      <c r="P33" s="641">
        <v>5</v>
      </c>
      <c r="Q33" s="1530">
        <f t="array" ref="Q33">INDEX(EMIS_factors!$G$6:$O$152,MATCH($G33&amp;$V33,EMIS_factors!$E$6:$E$152&amp;EMIS_factors!$D$6:$D$152,0),MATCH(RIGHT(Q$4,6),EMIS_factors!$G$4:$O$4,0))</f>
        <v>0.46838407494145196</v>
      </c>
      <c r="R33" s="1530">
        <f t="array" ref="R33">INDEX(EMIS_factors!$G$6:$O$152,MATCH($G33&amp;$V33,EMIS_factors!$E$6:$E$152&amp;EMIS_factors!$D$6:$D$152,0),MATCH(RIGHT(R$4,6),EMIS_factors!$G$4:$O$4,0))</f>
        <v>411.41501253398201</v>
      </c>
      <c r="S33" s="1530">
        <f t="array" ref="S33">INDEX(EMIS_factors!$G$6:$O$152,MATCH($G33&amp;$V33,EMIS_factors!$E$6:$E$152&amp;EMIS_factors!$D$6:$D$152,0),MATCH(RIGHT(S$4,6),EMIS_factors!$G$4:$O$4,0))</f>
        <v>0.11686473412375831</v>
      </c>
      <c r="T33" s="1530">
        <f t="array" ref="T33">INDEX(EMIS_factors!$G$6:$O$152,MATCH($G33&amp;$V33,EMIS_factors!$E$6:$E$152&amp;EMIS_factors!$D$6:$D$152,0),MATCH(RIGHT(T$4,6),EMIS_factors!$G$4:$O$4,0))</f>
        <v>0.32565030960718155</v>
      </c>
      <c r="V33" s="526" t="s">
        <v>1477</v>
      </c>
      <c r="Y33" s="476" t="s">
        <v>801</v>
      </c>
      <c r="Z33" s="476" t="s">
        <v>800</v>
      </c>
      <c r="AA33" s="977">
        <v>23.392972403134614</v>
      </c>
      <c r="AB33" s="978">
        <f t="shared" si="0"/>
        <v>42.747880977536738</v>
      </c>
    </row>
    <row r="34" spans="3:31">
      <c r="E34" s="590"/>
      <c r="F34" s="481" t="s">
        <v>835</v>
      </c>
      <c r="I34" s="572"/>
      <c r="J34" s="572"/>
      <c r="K34" s="606"/>
      <c r="L34" s="594"/>
      <c r="M34" s="640"/>
      <c r="N34" s="594"/>
      <c r="O34" s="641"/>
      <c r="P34" s="641">
        <v>5</v>
      </c>
      <c r="Q34" s="1530"/>
      <c r="R34" s="1530"/>
      <c r="S34" s="1530"/>
      <c r="T34" s="1530"/>
      <c r="V34" s="526" t="s">
        <v>1477</v>
      </c>
      <c r="Y34" s="476" t="s">
        <v>801</v>
      </c>
      <c r="Z34" s="476" t="s">
        <v>29</v>
      </c>
      <c r="AA34" s="977">
        <v>18.503186394715023</v>
      </c>
      <c r="AB34" s="978">
        <f t="shared" si="0"/>
        <v>54.044745519378502</v>
      </c>
    </row>
    <row r="35" spans="3:31">
      <c r="E35" s="590"/>
      <c r="F35" s="481" t="s">
        <v>836</v>
      </c>
      <c r="G35" s="639"/>
      <c r="I35" s="572"/>
      <c r="J35" s="572"/>
      <c r="K35" s="606"/>
      <c r="L35" s="594"/>
      <c r="M35" s="640"/>
      <c r="N35" s="594"/>
      <c r="O35" s="641"/>
      <c r="P35" s="641">
        <v>5</v>
      </c>
      <c r="Q35" s="1530"/>
      <c r="R35" s="1530"/>
      <c r="S35" s="1530"/>
      <c r="T35" s="1530"/>
      <c r="V35" s="526" t="s">
        <v>1477</v>
      </c>
    </row>
    <row r="36" spans="3:31">
      <c r="C36" s="476" t="s">
        <v>873</v>
      </c>
      <c r="D36" s="476" t="s">
        <v>542</v>
      </c>
      <c r="E36" s="574" t="s">
        <v>226</v>
      </c>
      <c r="F36" s="481" t="s">
        <v>834</v>
      </c>
      <c r="G36" s="639">
        <v>2035</v>
      </c>
      <c r="H36" s="580" t="str">
        <f>"MKr"&amp;RIGHT('EU El IC-reg.tog'!$H$38,2)</f>
        <v>MKr11</v>
      </c>
      <c r="I36" s="572">
        <v>2035</v>
      </c>
      <c r="J36" s="572"/>
      <c r="K36" s="606">
        <f>$AB$34/'EU Diesel IC-reg.tog'!F26</f>
        <v>1.2553947855837051</v>
      </c>
      <c r="L36" s="594">
        <v>30</v>
      </c>
      <c r="M36" s="640">
        <f>AF22*Y7</f>
        <v>2.9862E-2</v>
      </c>
      <c r="N36" s="594"/>
      <c r="O36" s="641">
        <f>'EU Diesel IC-reg.tog'!D38*'EU Diesel IC-reg.tog'!D70*$Y$7</f>
        <v>62000.000000000007</v>
      </c>
      <c r="P36" s="641">
        <v>5</v>
      </c>
      <c r="Q36" s="1530">
        <f t="array" ref="Q36">INDEX(EMIS_factors!$G$6:$O$152,MATCH($G36&amp;$V36,EMIS_factors!$E$6:$E$152&amp;EMIS_factors!$D$6:$D$152,0),MATCH(RIGHT(Q$4,6),EMIS_factors!$G$4:$O$4,0))</f>
        <v>0.46838407494145196</v>
      </c>
      <c r="R36" s="1530">
        <f t="array" ref="R36">INDEX(EMIS_factors!$G$6:$O$152,MATCH($G36&amp;$V36,EMIS_factors!$E$6:$E$152&amp;EMIS_factors!$D$6:$D$152,0),MATCH(RIGHT(R$4,6),EMIS_factors!$G$4:$O$4,0))</f>
        <v>411.41501253398201</v>
      </c>
      <c r="S36" s="1530">
        <f t="array" ref="S36">INDEX(EMIS_factors!$G$6:$O$152,MATCH($G36&amp;$V36,EMIS_factors!$E$6:$E$152&amp;EMIS_factors!$D$6:$D$152,0),MATCH(RIGHT(S$4,6),EMIS_factors!$G$4:$O$4,0))</f>
        <v>0.11686473412375831</v>
      </c>
      <c r="T36" s="1530">
        <f t="array" ref="T36">INDEX(EMIS_factors!$G$6:$O$152,MATCH($G36&amp;$V36,EMIS_factors!$E$6:$E$152&amp;EMIS_factors!$D$6:$D$152,0),MATCH(RIGHT(T$4,6),EMIS_factors!$G$4:$O$4,0))</f>
        <v>0.32565030960718155</v>
      </c>
      <c r="V36" s="526" t="s">
        <v>1477</v>
      </c>
      <c r="Y36" s="476" t="s">
        <v>803</v>
      </c>
    </row>
    <row r="37" spans="3:31">
      <c r="C37" s="572"/>
      <c r="D37" s="600"/>
      <c r="E37" s="590"/>
      <c r="F37" s="481" t="s">
        <v>835</v>
      </c>
      <c r="I37" s="572"/>
      <c r="J37" s="572"/>
      <c r="K37" s="606"/>
      <c r="L37" s="594"/>
      <c r="M37" s="644"/>
      <c r="N37" s="594"/>
      <c r="O37" s="641"/>
      <c r="P37" s="641">
        <v>5</v>
      </c>
      <c r="Q37" s="1530"/>
      <c r="R37" s="1530"/>
      <c r="S37" s="1530"/>
      <c r="T37" s="1530"/>
      <c r="V37" s="526" t="s">
        <v>1477</v>
      </c>
      <c r="AE37" s="977"/>
    </row>
    <row r="38" spans="3:31">
      <c r="C38" s="572"/>
      <c r="D38" s="600"/>
      <c r="E38" s="590"/>
      <c r="F38" s="481" t="s">
        <v>836</v>
      </c>
      <c r="G38" s="639"/>
      <c r="I38" s="572"/>
      <c r="J38" s="572"/>
      <c r="K38" s="606"/>
      <c r="L38" s="594">
        <v>30</v>
      </c>
      <c r="M38" s="644"/>
      <c r="N38" s="594"/>
      <c r="O38" s="641"/>
      <c r="P38" s="641">
        <v>5</v>
      </c>
      <c r="Q38" s="1530"/>
      <c r="R38" s="1530"/>
      <c r="S38" s="1530"/>
      <c r="T38" s="1530"/>
      <c r="Y38" s="476" t="s">
        <v>804</v>
      </c>
      <c r="AA38" s="476" t="s">
        <v>806</v>
      </c>
    </row>
    <row r="39" spans="3:31">
      <c r="C39" s="572"/>
      <c r="D39" s="600"/>
      <c r="E39" s="590"/>
      <c r="F39" s="574"/>
      <c r="G39" s="639"/>
      <c r="I39" s="572"/>
      <c r="J39" s="572"/>
      <c r="K39" s="606"/>
      <c r="L39" s="594"/>
      <c r="M39" s="644"/>
      <c r="N39" s="594"/>
      <c r="O39" s="641"/>
      <c r="P39" s="641"/>
      <c r="Q39" s="1530"/>
      <c r="R39" s="1530"/>
      <c r="S39" s="1530"/>
      <c r="T39" s="1530"/>
      <c r="Y39" s="476" t="s">
        <v>801</v>
      </c>
      <c r="Z39" s="476">
        <v>205</v>
      </c>
    </row>
    <row r="40" spans="3:31">
      <c r="C40" s="572"/>
      <c r="D40" s="600"/>
      <c r="E40" s="590"/>
      <c r="F40" s="574"/>
      <c r="G40" s="639"/>
      <c r="I40" s="572"/>
      <c r="J40" s="572"/>
      <c r="K40" s="606"/>
      <c r="L40" s="594"/>
      <c r="M40" s="644"/>
      <c r="N40" s="594"/>
      <c r="O40" s="641"/>
      <c r="P40" s="641"/>
      <c r="Q40" s="641"/>
      <c r="R40" s="641"/>
      <c r="S40" s="641"/>
      <c r="Y40" s="476" t="s">
        <v>805</v>
      </c>
      <c r="Z40" s="476">
        <v>114</v>
      </c>
    </row>
    <row r="41" spans="3:31">
      <c r="H41" s="561" t="s">
        <v>0</v>
      </c>
      <c r="N41" s="562"/>
      <c r="P41" s="641"/>
      <c r="Q41" s="641"/>
      <c r="R41" s="641"/>
      <c r="S41" s="641"/>
      <c r="Y41" s="476" t="s">
        <v>798</v>
      </c>
      <c r="Z41" s="476">
        <f>Z40/2</f>
        <v>57</v>
      </c>
      <c r="AA41" s="476" t="s">
        <v>807</v>
      </c>
    </row>
    <row r="42" spans="3:31" ht="13.8">
      <c r="C42" s="563" t="s">
        <v>1</v>
      </c>
      <c r="D42" s="597" t="s">
        <v>8</v>
      </c>
      <c r="E42" s="563" t="s">
        <v>2</v>
      </c>
      <c r="F42" s="563" t="s">
        <v>3</v>
      </c>
      <c r="G42" s="563" t="s">
        <v>28</v>
      </c>
      <c r="H42" s="563" t="s">
        <v>219</v>
      </c>
      <c r="I42" s="563" t="s">
        <v>87</v>
      </c>
      <c r="J42" s="563" t="s">
        <v>231</v>
      </c>
      <c r="K42" s="563" t="s">
        <v>89</v>
      </c>
      <c r="L42" s="563" t="s">
        <v>10</v>
      </c>
      <c r="M42" s="564" t="s">
        <v>6</v>
      </c>
      <c r="N42" s="563" t="s">
        <v>7</v>
      </c>
      <c r="P42" s="641"/>
      <c r="Q42" s="641"/>
      <c r="R42" s="641"/>
      <c r="S42" s="641"/>
    </row>
    <row r="43" spans="3:31" ht="21" thickBot="1">
      <c r="C43" s="616" t="s">
        <v>11</v>
      </c>
      <c r="D43" s="598" t="s">
        <v>72</v>
      </c>
      <c r="E43" s="616"/>
      <c r="F43" s="616"/>
      <c r="G43" s="616"/>
      <c r="H43" s="616" t="s">
        <v>218</v>
      </c>
      <c r="I43" s="616" t="s">
        <v>13</v>
      </c>
      <c r="J43" s="616"/>
      <c r="K43" s="616" t="s">
        <v>594</v>
      </c>
      <c r="L43" s="616" t="s">
        <v>14</v>
      </c>
      <c r="M43" s="616" t="s">
        <v>83</v>
      </c>
      <c r="N43" s="616" t="s">
        <v>12</v>
      </c>
      <c r="P43" s="641"/>
      <c r="Q43" s="641"/>
      <c r="R43" s="641"/>
      <c r="S43" s="641"/>
    </row>
    <row r="44" spans="3:31">
      <c r="C44" s="1008" t="s">
        <v>875</v>
      </c>
      <c r="D44" s="1009" t="s">
        <v>595</v>
      </c>
      <c r="E44" s="1010" t="s">
        <v>224</v>
      </c>
      <c r="F44" s="1008" t="s">
        <v>874</v>
      </c>
      <c r="G44" s="1011">
        <v>2015</v>
      </c>
      <c r="H44" s="1011" t="s">
        <v>476</v>
      </c>
      <c r="I44" s="1011">
        <v>2012</v>
      </c>
      <c r="J44" s="1011">
        <v>2019</v>
      </c>
      <c r="K44" s="1012">
        <f>K30</f>
        <v>1.0545316198903123</v>
      </c>
      <c r="L44" s="1011">
        <v>30</v>
      </c>
      <c r="M44" s="645">
        <f>M30*0.8</f>
        <v>2.38896E-2</v>
      </c>
      <c r="N44" s="646">
        <f>O30*0.8</f>
        <v>49600.000000000007</v>
      </c>
      <c r="P44" s="641"/>
      <c r="Q44" s="641"/>
      <c r="R44" s="641"/>
      <c r="S44" s="641"/>
    </row>
    <row r="45" spans="3:31">
      <c r="C45" s="1008" t="s">
        <v>876</v>
      </c>
      <c r="D45" s="1009" t="s">
        <v>596</v>
      </c>
      <c r="E45" s="1010" t="s">
        <v>225</v>
      </c>
      <c r="F45" s="1013" t="s">
        <v>874</v>
      </c>
      <c r="G45" s="1013">
        <v>2020</v>
      </c>
      <c r="H45" s="1013" t="s">
        <v>476</v>
      </c>
      <c r="I45" s="1013">
        <v>2020</v>
      </c>
      <c r="J45" s="1013">
        <v>2034</v>
      </c>
      <c r="K45" s="1014">
        <f>K33</f>
        <v>1.1462300216199046</v>
      </c>
      <c r="L45" s="1013">
        <v>30</v>
      </c>
      <c r="M45" s="645">
        <f>M44</f>
        <v>2.38896E-2</v>
      </c>
      <c r="N45" s="646">
        <f>N44</f>
        <v>49600.000000000007</v>
      </c>
      <c r="P45" s="641"/>
      <c r="Q45" s="641"/>
      <c r="R45" s="641"/>
      <c r="S45" s="641"/>
    </row>
    <row r="46" spans="3:31">
      <c r="C46" s="1008" t="s">
        <v>877</v>
      </c>
      <c r="D46" s="1009" t="s">
        <v>597</v>
      </c>
      <c r="E46" s="1010" t="s">
        <v>226</v>
      </c>
      <c r="F46" s="1013" t="s">
        <v>874</v>
      </c>
      <c r="G46" s="1013">
        <v>2015</v>
      </c>
      <c r="H46" s="1013" t="s">
        <v>476</v>
      </c>
      <c r="I46" s="1013">
        <v>2035</v>
      </c>
      <c r="J46" s="1013"/>
      <c r="K46" s="1014">
        <f>K36</f>
        <v>1.2553947855837051</v>
      </c>
      <c r="L46" s="1013">
        <v>30</v>
      </c>
      <c r="M46" s="645">
        <f>M45</f>
        <v>2.38896E-2</v>
      </c>
      <c r="N46" s="646">
        <f>N45</f>
        <v>49600.000000000007</v>
      </c>
      <c r="P46" s="641"/>
      <c r="Q46" s="641"/>
      <c r="R46" s="641"/>
      <c r="S46" s="641"/>
    </row>
    <row r="47" spans="3:31">
      <c r="C47" s="1011" t="s">
        <v>878</v>
      </c>
      <c r="D47" s="1011" t="s">
        <v>598</v>
      </c>
      <c r="E47" s="1011" t="s">
        <v>80</v>
      </c>
      <c r="F47" s="1021" t="s">
        <v>874</v>
      </c>
      <c r="G47" s="1011">
        <v>2015</v>
      </c>
      <c r="H47" s="1011" t="s">
        <v>476</v>
      </c>
      <c r="I47" s="1011">
        <v>2012</v>
      </c>
      <c r="J47" s="1011">
        <v>2019</v>
      </c>
      <c r="K47" s="1012">
        <f>K21</f>
        <v>2.9789464095844416</v>
      </c>
      <c r="L47" s="1011">
        <v>30</v>
      </c>
      <c r="M47" s="647">
        <f>M21*0.8</f>
        <v>2.38896E-2</v>
      </c>
      <c r="N47" s="647">
        <f>O21*0.8</f>
        <v>42400</v>
      </c>
      <c r="P47" s="641"/>
      <c r="Q47" s="641"/>
      <c r="R47" s="641"/>
      <c r="S47" s="641"/>
    </row>
    <row r="48" spans="3:31">
      <c r="C48" s="1013"/>
      <c r="D48" s="1013"/>
      <c r="E48" s="1013"/>
      <c r="F48" s="1008" t="s">
        <v>874</v>
      </c>
      <c r="G48" s="1013">
        <v>2020</v>
      </c>
      <c r="H48" s="1013" t="s">
        <v>476</v>
      </c>
      <c r="I48" s="1013">
        <v>2020</v>
      </c>
      <c r="J48" s="1013">
        <v>2034</v>
      </c>
      <c r="K48" s="1014">
        <f>K24</f>
        <v>3.1123320697150882</v>
      </c>
      <c r="L48" s="1015">
        <v>30</v>
      </c>
      <c r="M48" s="648">
        <f>M47</f>
        <v>2.38896E-2</v>
      </c>
      <c r="N48" s="648">
        <f>N47</f>
        <v>42400</v>
      </c>
      <c r="P48" s="641"/>
      <c r="Q48" s="641"/>
      <c r="R48" s="641"/>
      <c r="S48" s="641"/>
    </row>
    <row r="49" spans="2:19">
      <c r="C49" s="1013"/>
      <c r="D49" s="1013"/>
      <c r="E49" s="1013"/>
      <c r="F49" s="1008" t="s">
        <v>874</v>
      </c>
      <c r="G49" s="1013">
        <v>2035</v>
      </c>
      <c r="H49" s="1013" t="s">
        <v>476</v>
      </c>
      <c r="I49" s="1013">
        <v>2035</v>
      </c>
      <c r="J49" s="1013"/>
      <c r="K49" s="1014">
        <f>K27</f>
        <v>3.7913863394711074</v>
      </c>
      <c r="L49" s="1015">
        <v>30</v>
      </c>
      <c r="M49" s="648">
        <f>M48</f>
        <v>2.38896E-2</v>
      </c>
      <c r="N49" s="648">
        <f>N47</f>
        <v>42400</v>
      </c>
      <c r="P49" s="641"/>
      <c r="Q49" s="641"/>
      <c r="R49" s="641"/>
      <c r="S49" s="641"/>
    </row>
    <row r="50" spans="2:19">
      <c r="P50" s="641"/>
      <c r="Q50" s="641"/>
      <c r="R50" s="641"/>
      <c r="S50" s="641"/>
    </row>
    <row r="51" spans="2:19">
      <c r="P51" s="641"/>
      <c r="Q51" s="641"/>
      <c r="R51" s="641"/>
      <c r="S51" s="641"/>
    </row>
    <row r="52" spans="2:19">
      <c r="P52" s="641"/>
      <c r="Q52" s="602"/>
      <c r="R52" s="602"/>
      <c r="S52" s="602"/>
    </row>
    <row r="53" spans="2:19">
      <c r="C53" s="572"/>
      <c r="D53" s="572"/>
      <c r="K53" s="615"/>
      <c r="L53" s="649"/>
      <c r="M53" s="602"/>
      <c r="N53" s="572"/>
      <c r="O53" s="602"/>
      <c r="P53" s="602"/>
    </row>
    <row r="57" spans="2:19">
      <c r="B57" s="595" t="s">
        <v>62</v>
      </c>
      <c r="C57" s="595"/>
      <c r="D57" s="596"/>
      <c r="E57" s="596"/>
      <c r="F57" s="596"/>
      <c r="G57" s="596"/>
      <c r="H57" s="596"/>
      <c r="I57" s="596"/>
    </row>
    <row r="58" spans="2:19" ht="27.6">
      <c r="B58" s="597" t="s">
        <v>63</v>
      </c>
      <c r="C58" s="597" t="s">
        <v>1</v>
      </c>
      <c r="D58" s="597" t="s">
        <v>64</v>
      </c>
      <c r="E58" s="597" t="s">
        <v>65</v>
      </c>
      <c r="F58" s="597" t="s">
        <v>66</v>
      </c>
      <c r="G58" s="597" t="s">
        <v>67</v>
      </c>
      <c r="H58" s="597" t="s">
        <v>68</v>
      </c>
      <c r="I58" s="597" t="s">
        <v>69</v>
      </c>
    </row>
    <row r="59" spans="2:19" ht="41.4" thickBot="1">
      <c r="B59" s="598" t="s">
        <v>70</v>
      </c>
      <c r="C59" s="598" t="s">
        <v>71</v>
      </c>
      <c r="D59" s="598" t="s">
        <v>72</v>
      </c>
      <c r="E59" s="598" t="s">
        <v>73</v>
      </c>
      <c r="F59" s="598" t="s">
        <v>74</v>
      </c>
      <c r="G59" s="598" t="s">
        <v>75</v>
      </c>
      <c r="H59" s="598" t="s">
        <v>76</v>
      </c>
      <c r="I59" s="598" t="s">
        <v>77</v>
      </c>
    </row>
    <row r="60" spans="2:19">
      <c r="B60" s="599" t="s">
        <v>78</v>
      </c>
      <c r="C60" s="476" t="str">
        <f>C6</f>
        <v>TPRSELCX1N</v>
      </c>
      <c r="D60" s="476" t="s">
        <v>535</v>
      </c>
      <c r="E60" s="599" t="s">
        <v>81</v>
      </c>
      <c r="F60" s="601" t="s">
        <v>82</v>
      </c>
      <c r="G60" s="599"/>
      <c r="H60" s="599"/>
      <c r="I60" s="601" t="s">
        <v>79</v>
      </c>
    </row>
    <row r="61" spans="2:19">
      <c r="B61" s="599"/>
      <c r="C61" s="476" t="str">
        <f>C15</f>
        <v>TPRMELCX1N</v>
      </c>
      <c r="D61" s="476" t="s">
        <v>538</v>
      </c>
      <c r="E61" s="599" t="s">
        <v>81</v>
      </c>
      <c r="F61" s="601" t="s">
        <v>82</v>
      </c>
      <c r="G61" s="599"/>
      <c r="H61" s="599"/>
      <c r="I61" s="601" t="s">
        <v>79</v>
      </c>
    </row>
    <row r="62" spans="2:19">
      <c r="B62" s="599"/>
      <c r="C62" s="476" t="str">
        <f>C21</f>
        <v>TPROELCX1N</v>
      </c>
      <c r="D62" s="476" t="s">
        <v>539</v>
      </c>
      <c r="E62" s="599" t="s">
        <v>81</v>
      </c>
      <c r="F62" s="601" t="s">
        <v>82</v>
      </c>
      <c r="G62" s="599"/>
      <c r="H62" s="599"/>
      <c r="I62" s="601" t="s">
        <v>79</v>
      </c>
    </row>
    <row r="63" spans="2:19">
      <c r="B63" s="650"/>
      <c r="C63" s="476" t="str">
        <f>C30</f>
        <v>TPRODSBL2N</v>
      </c>
      <c r="D63" s="476" t="s">
        <v>540</v>
      </c>
      <c r="E63" s="599" t="s">
        <v>81</v>
      </c>
      <c r="F63" s="601" t="s">
        <v>82</v>
      </c>
      <c r="G63" s="599"/>
      <c r="H63" s="599"/>
      <c r="I63" s="601"/>
    </row>
    <row r="64" spans="2:19">
      <c r="B64" s="650"/>
      <c r="C64" s="476" t="str">
        <f>C33</f>
        <v>TPRODSBL3N</v>
      </c>
      <c r="D64" s="476" t="s">
        <v>541</v>
      </c>
      <c r="E64" s="599" t="s">
        <v>81</v>
      </c>
      <c r="F64" s="601" t="s">
        <v>82</v>
      </c>
      <c r="G64" s="599"/>
      <c r="H64" s="599"/>
      <c r="I64" s="601"/>
    </row>
    <row r="65" spans="2:10">
      <c r="B65" s="650"/>
      <c r="C65" s="476" t="str">
        <f>C36</f>
        <v>TPRODSBL4N</v>
      </c>
      <c r="D65" s="476" t="s">
        <v>542</v>
      </c>
      <c r="E65" s="599" t="s">
        <v>81</v>
      </c>
      <c r="F65" s="601" t="s">
        <v>82</v>
      </c>
      <c r="G65" s="599"/>
      <c r="H65" s="599"/>
      <c r="I65" s="601"/>
    </row>
    <row r="66" spans="2:10">
      <c r="C66" s="596" t="str">
        <f>C44</f>
        <v>TFRLDSBL2N</v>
      </c>
      <c r="D66" s="596" t="s">
        <v>595</v>
      </c>
      <c r="E66" s="651" t="s">
        <v>86</v>
      </c>
      <c r="F66" s="651" t="s">
        <v>82</v>
      </c>
      <c r="G66" s="601"/>
      <c r="H66" s="599"/>
      <c r="I66" s="599"/>
    </row>
    <row r="67" spans="2:10">
      <c r="C67" s="596" t="str">
        <f t="shared" ref="C67:C69" si="1">C45</f>
        <v>TFRLDSBL3N</v>
      </c>
      <c r="D67" s="596" t="s">
        <v>596</v>
      </c>
      <c r="E67" s="651" t="s">
        <v>86</v>
      </c>
      <c r="F67" s="651" t="s">
        <v>82</v>
      </c>
      <c r="G67" s="601"/>
      <c r="H67" s="599"/>
      <c r="I67" s="599"/>
    </row>
    <row r="68" spans="2:10">
      <c r="C68" s="596" t="str">
        <f t="shared" si="1"/>
        <v>TFRLDSBL4N</v>
      </c>
      <c r="D68" s="596" t="s">
        <v>597</v>
      </c>
      <c r="E68" s="651" t="s">
        <v>86</v>
      </c>
      <c r="F68" s="651" t="s">
        <v>82</v>
      </c>
      <c r="G68" s="651"/>
      <c r="H68" s="596"/>
      <c r="I68" s="596"/>
      <c r="J68" s="596"/>
    </row>
    <row r="69" spans="2:10">
      <c r="C69" s="596" t="str">
        <f t="shared" si="1"/>
        <v>TFRLELCX1N</v>
      </c>
      <c r="D69" s="596" t="s">
        <v>598</v>
      </c>
      <c r="E69" s="651" t="s">
        <v>86</v>
      </c>
      <c r="F69" s="651" t="s">
        <v>82</v>
      </c>
      <c r="I69" s="579" t="s">
        <v>79</v>
      </c>
    </row>
  </sheetData>
  <mergeCells count="1">
    <mergeCell ref="X6:Z6"/>
  </mergeCells>
  <conditionalFormatting sqref="N43">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tabColor rgb="FF002060"/>
    <pageSetUpPr fitToPage="1"/>
  </sheetPr>
  <dimension ref="B1:R114"/>
  <sheetViews>
    <sheetView topLeftCell="A16" zoomScale="80" zoomScaleNormal="80" workbookViewId="0">
      <selection activeCell="D38" sqref="D38"/>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5.6640625" style="63" customWidth="1"/>
    <col min="10" max="10" width="48.5546875" style="63" customWidth="1"/>
    <col min="11" max="11" width="10" style="63" bestFit="1" customWidth="1"/>
    <col min="12" max="12" width="15.88671875" style="63" customWidth="1"/>
    <col min="13" max="14" width="9" style="63" bestFit="1" customWidth="1"/>
    <col min="15" max="15" width="37.88671875" style="63" customWidth="1"/>
    <col min="16" max="16384" width="8.88671875" style="63"/>
  </cols>
  <sheetData>
    <row r="1" spans="2:18" s="60" customFormat="1" ht="21">
      <c r="B1" s="60" t="s">
        <v>207</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24" t="s">
        <v>201</v>
      </c>
      <c r="C6" s="423"/>
      <c r="D6" s="423"/>
      <c r="E6" s="423"/>
      <c r="F6" s="423"/>
      <c r="G6" s="423"/>
      <c r="H6" s="423"/>
      <c r="I6" s="423"/>
      <c r="J6" s="423"/>
      <c r="K6" s="423"/>
      <c r="L6" s="423"/>
      <c r="M6" s="423"/>
      <c r="N6" s="422"/>
    </row>
    <row r="7" spans="2:18">
      <c r="B7" s="424"/>
      <c r="C7" s="423"/>
      <c r="D7" s="423"/>
      <c r="E7" s="423"/>
      <c r="F7" s="423"/>
      <c r="G7" s="423"/>
      <c r="H7" s="423"/>
      <c r="I7" s="423"/>
      <c r="J7" s="423"/>
      <c r="K7" s="423"/>
      <c r="L7" s="423"/>
      <c r="M7" s="423"/>
      <c r="N7" s="422"/>
    </row>
    <row r="8" spans="2:18">
      <c r="B8" s="424"/>
      <c r="C8" s="423"/>
      <c r="D8" s="423"/>
      <c r="E8" s="423"/>
      <c r="F8" s="423"/>
      <c r="G8" s="423"/>
      <c r="H8" s="423"/>
      <c r="I8" s="423"/>
      <c r="J8" s="423"/>
      <c r="K8" s="423"/>
      <c r="L8" s="423"/>
      <c r="M8" s="423"/>
      <c r="N8" s="422"/>
    </row>
    <row r="9" spans="2:18">
      <c r="B9" s="154" t="s">
        <v>233</v>
      </c>
      <c r="C9" s="59" t="s">
        <v>232</v>
      </c>
      <c r="D9" s="423"/>
      <c r="E9" s="423"/>
      <c r="F9" s="423"/>
      <c r="G9" s="423"/>
      <c r="H9" s="423"/>
      <c r="I9" s="423"/>
      <c r="J9" s="423"/>
      <c r="K9" s="423"/>
      <c r="L9" s="423"/>
      <c r="M9" s="423"/>
      <c r="N9" s="422"/>
    </row>
    <row r="10" spans="2:18">
      <c r="B10" s="424"/>
      <c r="C10" s="423"/>
      <c r="D10" s="423"/>
      <c r="E10" s="423"/>
      <c r="F10" s="423"/>
      <c r="G10" s="423"/>
      <c r="H10" s="423"/>
      <c r="I10" s="423"/>
      <c r="J10" s="423"/>
      <c r="K10" s="423"/>
      <c r="L10" s="423"/>
      <c r="M10" s="423"/>
      <c r="N10" s="422"/>
    </row>
    <row r="11" spans="2:18">
      <c r="B11" s="427" t="s">
        <v>94</v>
      </c>
      <c r="C11" s="426"/>
      <c r="D11" s="426"/>
      <c r="E11" s="426"/>
      <c r="F11" s="426"/>
      <c r="G11" s="426"/>
      <c r="H11" s="75"/>
      <c r="I11" s="426"/>
      <c r="J11" s="426"/>
      <c r="K11" s="426"/>
      <c r="L11" s="426"/>
      <c r="M11" s="426"/>
      <c r="N11" s="425"/>
    </row>
    <row r="12" spans="2:18">
      <c r="B12" s="1745" t="s">
        <v>200</v>
      </c>
      <c r="C12" s="1746"/>
      <c r="D12" s="1746"/>
      <c r="E12" s="1746"/>
      <c r="F12" s="1746"/>
      <c r="G12" s="1746"/>
      <c r="H12" s="1746"/>
      <c r="I12" s="1746"/>
      <c r="J12" s="1746"/>
      <c r="K12" s="1746"/>
      <c r="L12" s="1746"/>
      <c r="M12" s="1746"/>
      <c r="N12" s="1747"/>
    </row>
    <row r="13" spans="2:18" ht="17.25" customHeight="1">
      <c r="B13" s="1745"/>
      <c r="C13" s="1746"/>
      <c r="D13" s="1746"/>
      <c r="E13" s="1746"/>
      <c r="F13" s="1746"/>
      <c r="G13" s="1746"/>
      <c r="H13" s="1746"/>
      <c r="I13" s="1746"/>
      <c r="J13" s="1746"/>
      <c r="K13" s="1746"/>
      <c r="L13" s="1746"/>
      <c r="M13" s="1746"/>
      <c r="N13" s="1747"/>
    </row>
    <row r="14" spans="2:18">
      <c r="B14" s="1745" t="s">
        <v>199</v>
      </c>
      <c r="C14" s="1746"/>
      <c r="D14" s="1746"/>
      <c r="E14" s="1746"/>
      <c r="F14" s="1746"/>
      <c r="G14" s="1746"/>
      <c r="H14" s="1746"/>
      <c r="I14" s="1746"/>
      <c r="J14" s="1746"/>
      <c r="K14" s="1746"/>
      <c r="L14" s="1746"/>
      <c r="M14" s="1746"/>
      <c r="N14" s="1747"/>
    </row>
    <row r="15" spans="2:18">
      <c r="B15" s="1745"/>
      <c r="C15" s="1746"/>
      <c r="D15" s="1746"/>
      <c r="E15" s="1746"/>
      <c r="F15" s="1746"/>
      <c r="G15" s="1746"/>
      <c r="H15" s="1746"/>
      <c r="I15" s="1746"/>
      <c r="J15" s="1746"/>
      <c r="K15" s="1746"/>
      <c r="L15" s="1746"/>
      <c r="M15" s="1746"/>
      <c r="N15" s="1747"/>
    </row>
    <row r="16" spans="2:18">
      <c r="B16" s="1745"/>
      <c r="C16" s="1746"/>
      <c r="D16" s="1746"/>
      <c r="E16" s="1746"/>
      <c r="F16" s="1746"/>
      <c r="G16" s="1746"/>
      <c r="H16" s="1746"/>
      <c r="I16" s="1746"/>
      <c r="J16" s="1746"/>
      <c r="K16" s="1746"/>
      <c r="L16" s="1746"/>
      <c r="M16" s="1746"/>
      <c r="N16" s="1747"/>
    </row>
    <row r="17" spans="2:14" ht="14.4" thickBot="1">
      <c r="B17" s="1748"/>
      <c r="C17" s="1749"/>
      <c r="D17" s="1749"/>
      <c r="E17" s="1749"/>
      <c r="F17" s="1749"/>
      <c r="G17" s="1749"/>
      <c r="H17" s="1749"/>
      <c r="I17" s="1749"/>
      <c r="J17" s="1749"/>
      <c r="K17" s="1749"/>
      <c r="L17" s="1749"/>
      <c r="M17" s="1749"/>
      <c r="N17" s="1750"/>
    </row>
    <row r="19" spans="2:14" ht="13.5" customHeight="1" thickBot="1">
      <c r="B19" s="152" t="s">
        <v>96</v>
      </c>
      <c r="E19" s="151"/>
    </row>
    <row r="20" spans="2:14" ht="12.75" customHeight="1">
      <c r="B20" s="86"/>
      <c r="C20" s="108"/>
      <c r="D20" s="83"/>
      <c r="E20" s="83"/>
      <c r="F20" s="83"/>
      <c r="G20" s="83"/>
      <c r="H20" s="83"/>
      <c r="I20" s="83" t="s">
        <v>97</v>
      </c>
      <c r="J20" s="81" t="s">
        <v>98</v>
      </c>
    </row>
    <row r="21" spans="2:14">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75"/>
      <c r="J22" s="72"/>
    </row>
    <row r="23" spans="2:14">
      <c r="B23" s="143" t="s">
        <v>102</v>
      </c>
      <c r="C23" s="116" t="s">
        <v>198</v>
      </c>
      <c r="D23" s="444">
        <f>D67/D79</f>
        <v>0.23599999999999999</v>
      </c>
      <c r="E23" s="444">
        <f>E67/E79</f>
        <v>0.25217391304347825</v>
      </c>
      <c r="F23" s="444">
        <f>F67/F79</f>
        <v>0.27142857142857146</v>
      </c>
      <c r="G23" s="444">
        <f>G67/G79</f>
        <v>0.27999999999999997</v>
      </c>
      <c r="H23" s="145"/>
      <c r="I23" s="184" t="s">
        <v>608</v>
      </c>
      <c r="J23" s="139"/>
    </row>
    <row r="24" spans="2:14">
      <c r="B24" s="143" t="s">
        <v>103</v>
      </c>
      <c r="C24" s="116" t="s">
        <v>198</v>
      </c>
      <c r="D24" s="416">
        <f>D23</f>
        <v>0.23599999999999999</v>
      </c>
      <c r="E24" s="416">
        <f>E23</f>
        <v>0.25217391304347825</v>
      </c>
      <c r="F24" s="416">
        <f>F23</f>
        <v>0.27142857142857146</v>
      </c>
      <c r="G24" s="416">
        <f>G23</f>
        <v>0.27999999999999997</v>
      </c>
      <c r="H24" s="145"/>
      <c r="I24" s="184" t="s">
        <v>608</v>
      </c>
      <c r="J24" s="139"/>
    </row>
    <row r="25" spans="2:14">
      <c r="B25" s="143" t="s">
        <v>197</v>
      </c>
      <c r="C25" s="116" t="s">
        <v>105</v>
      </c>
      <c r="D25" s="433">
        <f>D79</f>
        <v>0.25</v>
      </c>
      <c r="E25" s="433">
        <f>E79</f>
        <v>0.23</v>
      </c>
      <c r="F25" s="433">
        <f>F79</f>
        <v>0.21</v>
      </c>
      <c r="G25" s="433">
        <f>G79</f>
        <v>0.2</v>
      </c>
      <c r="H25" s="140"/>
      <c r="I25" s="184"/>
      <c r="J25" s="139"/>
    </row>
    <row r="26" spans="2:14">
      <c r="B26" s="143" t="s">
        <v>196</v>
      </c>
      <c r="C26" s="116" t="s">
        <v>105</v>
      </c>
      <c r="D26" s="123">
        <f>D25*205</f>
        <v>51.25</v>
      </c>
      <c r="E26" s="123">
        <f t="shared" ref="E26:G26" si="0">E25*205</f>
        <v>47.15</v>
      </c>
      <c r="F26" s="123">
        <f t="shared" si="0"/>
        <v>43.05</v>
      </c>
      <c r="G26" s="123">
        <f t="shared" si="0"/>
        <v>41</v>
      </c>
      <c r="H26" s="140"/>
      <c r="I26" s="184"/>
      <c r="J26" s="139"/>
    </row>
    <row r="27" spans="2:14">
      <c r="B27" s="131" t="s">
        <v>107</v>
      </c>
      <c r="C27" s="116" t="s">
        <v>108</v>
      </c>
      <c r="D27" s="138">
        <v>30</v>
      </c>
      <c r="E27" s="123">
        <v>30</v>
      </c>
      <c r="F27" s="123">
        <v>30</v>
      </c>
      <c r="G27" s="123">
        <v>30</v>
      </c>
      <c r="H27" s="123"/>
      <c r="I27" s="184" t="s">
        <v>609</v>
      </c>
      <c r="J27" s="72" t="s">
        <v>206</v>
      </c>
    </row>
    <row r="28" spans="2:14">
      <c r="B28" s="131" t="s">
        <v>109</v>
      </c>
      <c r="C28" s="116" t="s">
        <v>110</v>
      </c>
      <c r="D28" s="136">
        <f>+D71</f>
        <v>17.7</v>
      </c>
      <c r="E28" s="136">
        <f>+E71</f>
        <v>17.399999999999999</v>
      </c>
      <c r="F28" s="136">
        <f>+F71</f>
        <v>17.100000000000001</v>
      </c>
      <c r="G28" s="136">
        <f>+G71</f>
        <v>16.8</v>
      </c>
      <c r="H28" s="136"/>
      <c r="I28" s="184"/>
      <c r="J28" s="72"/>
    </row>
    <row r="29" spans="2:14">
      <c r="B29" s="76"/>
      <c r="C29" s="135"/>
      <c r="D29" s="96"/>
      <c r="E29" s="96"/>
      <c r="F29" s="96"/>
      <c r="G29" s="96"/>
      <c r="H29" s="96"/>
      <c r="I29" s="75"/>
      <c r="J29" s="72"/>
    </row>
    <row r="30" spans="2:14">
      <c r="B30" s="126" t="s">
        <v>111</v>
      </c>
      <c r="C30" s="116"/>
      <c r="D30" s="96"/>
      <c r="E30" s="96"/>
      <c r="F30" s="96"/>
      <c r="G30" s="96"/>
      <c r="H30" s="96"/>
      <c r="I30" s="75"/>
      <c r="J30" s="72"/>
    </row>
    <row r="31" spans="2:14">
      <c r="B31" s="131" t="s">
        <v>112</v>
      </c>
      <c r="C31" s="116" t="s">
        <v>15</v>
      </c>
      <c r="D31" s="134">
        <v>321934.82728212443</v>
      </c>
      <c r="E31" s="134">
        <v>321934.82728212443</v>
      </c>
      <c r="F31" s="134">
        <v>321934.82728212443</v>
      </c>
      <c r="G31" s="134">
        <v>321934.82728212443</v>
      </c>
      <c r="H31" s="133">
        <v>2015</v>
      </c>
      <c r="I31" s="77"/>
      <c r="J31" s="72"/>
    </row>
    <row r="32" spans="2:14">
      <c r="B32" s="76" t="s">
        <v>16</v>
      </c>
      <c r="C32" s="116" t="s">
        <v>17</v>
      </c>
      <c r="D32" s="134">
        <v>3761.8289847506021</v>
      </c>
      <c r="E32" s="134">
        <v>2623.1063513254298</v>
      </c>
      <c r="F32" s="134">
        <v>2669.1257609978056</v>
      </c>
      <c r="G32" s="134">
        <v>2716.7887210156237</v>
      </c>
      <c r="H32" s="133">
        <v>2015</v>
      </c>
      <c r="I32" s="77"/>
      <c r="J32" s="72"/>
    </row>
    <row r="33" spans="2:10">
      <c r="B33" s="127" t="s">
        <v>18</v>
      </c>
      <c r="C33" s="116" t="s">
        <v>17</v>
      </c>
      <c r="D33" s="134">
        <v>1183.1820631086539</v>
      </c>
      <c r="E33" s="134">
        <v>1203.5817538519068</v>
      </c>
      <c r="F33" s="134">
        <v>1224.6972232177293</v>
      </c>
      <c r="G33" s="134">
        <v>1246.5668164894746</v>
      </c>
      <c r="H33" s="133">
        <v>2015</v>
      </c>
      <c r="I33" s="77"/>
      <c r="J33" s="72"/>
    </row>
    <row r="34" spans="2:10">
      <c r="B34" s="127" t="s">
        <v>19</v>
      </c>
      <c r="C34" s="116" t="s">
        <v>17</v>
      </c>
      <c r="D34" s="134">
        <v>2578.6469216419482</v>
      </c>
      <c r="E34" s="134">
        <v>2623.1063513254298</v>
      </c>
      <c r="F34" s="134">
        <v>2669.1257609978056</v>
      </c>
      <c r="G34" s="134">
        <v>2716.7887210156237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f>62000000/D70</f>
        <v>302439.02439024393</v>
      </c>
      <c r="E38" s="125">
        <f>62000000/E70</f>
        <v>302439.02439024393</v>
      </c>
      <c r="F38" s="125">
        <f>62000000/F70</f>
        <v>302439.02439024393</v>
      </c>
      <c r="G38" s="125">
        <f>62000000/G70</f>
        <v>302439.02439024393</v>
      </c>
      <c r="H38" s="128">
        <v>2011</v>
      </c>
      <c r="I38" s="184" t="s">
        <v>610</v>
      </c>
      <c r="J38" s="72" t="s">
        <v>414</v>
      </c>
    </row>
    <row r="39" spans="2:10">
      <c r="B39" s="237" t="s">
        <v>16</v>
      </c>
      <c r="C39" s="116" t="s">
        <v>17</v>
      </c>
      <c r="D39" s="255">
        <f>SUM(D40:D43)</f>
        <v>3534.0192848221441</v>
      </c>
      <c r="E39" s="255">
        <f>E$72</f>
        <v>2464.255677039529</v>
      </c>
      <c r="F39" s="255">
        <f>F$72</f>
        <v>2507.4882327770647</v>
      </c>
      <c r="G39" s="255">
        <f>G$72</f>
        <v>2552.2648083623694</v>
      </c>
      <c r="H39" s="128">
        <v>2011</v>
      </c>
      <c r="I39" s="184"/>
      <c r="J39" s="72"/>
    </row>
    <row r="40" spans="2:10">
      <c r="B40" s="127" t="s">
        <v>18</v>
      </c>
      <c r="C40" s="116" t="s">
        <v>17</v>
      </c>
      <c r="D40" s="415">
        <v>1111.5306531561662</v>
      </c>
      <c r="E40" s="415">
        <v>1130.6949747623071</v>
      </c>
      <c r="F40" s="415">
        <v>1150.5317287055052</v>
      </c>
      <c r="G40" s="415">
        <v>1171.076938146675</v>
      </c>
      <c r="H40" s="128">
        <v>2011</v>
      </c>
      <c r="I40" s="184" t="s">
        <v>609</v>
      </c>
      <c r="J40" s="72" t="s">
        <v>195</v>
      </c>
    </row>
    <row r="41" spans="2:10">
      <c r="B41" s="127" t="s">
        <v>19</v>
      </c>
      <c r="C41" s="116" t="s">
        <v>17</v>
      </c>
      <c r="D41" s="414">
        <f>D72</f>
        <v>2422.4886316659781</v>
      </c>
      <c r="E41" s="414">
        <f>E72</f>
        <v>2464.255677039529</v>
      </c>
      <c r="F41" s="414">
        <f>F72</f>
        <v>2507.4882327770647</v>
      </c>
      <c r="G41" s="414">
        <f>G72</f>
        <v>2552.2648083623694</v>
      </c>
      <c r="H41" s="128">
        <v>2011</v>
      </c>
      <c r="I41" s="184" t="s">
        <v>609</v>
      </c>
      <c r="J41" s="72" t="s">
        <v>195</v>
      </c>
    </row>
    <row r="42" spans="2:10">
      <c r="B42" s="127"/>
      <c r="C42" s="116"/>
      <c r="D42" s="96"/>
      <c r="E42" s="96"/>
      <c r="F42" s="96"/>
      <c r="G42" s="96"/>
      <c r="H42" s="128"/>
      <c r="I42" s="184"/>
      <c r="J42" s="72"/>
    </row>
    <row r="43" spans="2:10">
      <c r="B43" s="127" t="s">
        <v>113</v>
      </c>
      <c r="C43" s="116" t="s">
        <v>17</v>
      </c>
      <c r="D43" s="413">
        <v>0</v>
      </c>
      <c r="E43" s="413">
        <v>0</v>
      </c>
      <c r="F43" s="413">
        <v>0</v>
      </c>
      <c r="G43" s="413">
        <v>0</v>
      </c>
      <c r="H43" s="128">
        <v>2011</v>
      </c>
      <c r="I43" s="184"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134</v>
      </c>
      <c r="D47" s="412"/>
      <c r="E47" s="412"/>
      <c r="F47" s="412"/>
      <c r="G47" s="412"/>
      <c r="H47" s="124"/>
      <c r="I47" s="184"/>
      <c r="J47" s="117" t="s">
        <v>115</v>
      </c>
    </row>
    <row r="48" spans="2:10">
      <c r="B48" s="76" t="s">
        <v>21</v>
      </c>
      <c r="C48" s="116" t="s">
        <v>134</v>
      </c>
      <c r="D48" s="302"/>
      <c r="E48" s="302"/>
      <c r="F48" s="302"/>
      <c r="G48" s="302"/>
      <c r="H48" s="118"/>
      <c r="I48" s="184"/>
      <c r="J48" s="72"/>
    </row>
    <row r="49" spans="2:10">
      <c r="B49" s="76" t="s">
        <v>22</v>
      </c>
      <c r="C49" s="116" t="s">
        <v>134</v>
      </c>
      <c r="D49" s="302"/>
      <c r="E49" s="302"/>
      <c r="F49" s="302"/>
      <c r="G49" s="302"/>
      <c r="H49" s="96"/>
      <c r="I49" s="184"/>
      <c r="J49" s="72"/>
    </row>
    <row r="50" spans="2:10">
      <c r="B50" s="76" t="s">
        <v>23</v>
      </c>
      <c r="C50" s="116" t="s">
        <v>134</v>
      </c>
      <c r="D50" s="302"/>
      <c r="E50" s="302"/>
      <c r="F50" s="302"/>
      <c r="G50" s="302"/>
      <c r="H50" s="123"/>
      <c r="I50" s="184"/>
      <c r="J50" s="72"/>
    </row>
    <row r="51" spans="2:10">
      <c r="B51" s="76" t="s">
        <v>116</v>
      </c>
      <c r="C51" s="116" t="s">
        <v>134</v>
      </c>
      <c r="D51" s="302">
        <f t="shared" ref="D51:G52" si="1">D84/3.6</f>
        <v>1.3888888888888888</v>
      </c>
      <c r="E51" s="302">
        <f t="shared" si="1"/>
        <v>1.3888888888888888</v>
      </c>
      <c r="F51" s="302">
        <f t="shared" si="1"/>
        <v>1.3888888888888888</v>
      </c>
      <c r="G51" s="302">
        <f t="shared" si="1"/>
        <v>1.3888888888888888</v>
      </c>
      <c r="H51" s="96"/>
      <c r="I51" s="184"/>
      <c r="J51" s="72"/>
    </row>
    <row r="52" spans="2:10">
      <c r="B52" s="76" t="s">
        <v>24</v>
      </c>
      <c r="C52" s="116" t="s">
        <v>134</v>
      </c>
      <c r="D52" s="302">
        <f t="shared" si="1"/>
        <v>2.777777777777778E-2</v>
      </c>
      <c r="E52" s="302">
        <f t="shared" si="1"/>
        <v>1.3888888888888892E-3</v>
      </c>
      <c r="F52" s="302">
        <f t="shared" si="1"/>
        <v>1.3888888888888892E-3</v>
      </c>
      <c r="G52" s="302">
        <f t="shared" si="1"/>
        <v>1.3888888888888892E-3</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134</v>
      </c>
      <c r="D55" s="412"/>
      <c r="E55" s="412"/>
      <c r="F55" s="412"/>
      <c r="G55" s="412"/>
      <c r="H55" s="194"/>
      <c r="I55" s="184"/>
      <c r="J55" s="117" t="s">
        <v>115</v>
      </c>
    </row>
    <row r="56" spans="2:10">
      <c r="B56" s="76" t="s">
        <v>21</v>
      </c>
      <c r="C56" s="116" t="s">
        <v>134</v>
      </c>
      <c r="D56" s="443">
        <f t="shared" ref="D56:G60" si="2">D48</f>
        <v>0</v>
      </c>
      <c r="E56" s="443">
        <f t="shared" si="2"/>
        <v>0</v>
      </c>
      <c r="F56" s="443">
        <f t="shared" si="2"/>
        <v>0</v>
      </c>
      <c r="G56" s="443">
        <f t="shared" si="2"/>
        <v>0</v>
      </c>
      <c r="H56" s="194"/>
      <c r="I56" s="184"/>
      <c r="J56" s="72"/>
    </row>
    <row r="57" spans="2:10">
      <c r="B57" s="76" t="s">
        <v>22</v>
      </c>
      <c r="C57" s="116" t="s">
        <v>134</v>
      </c>
      <c r="D57" s="443">
        <f t="shared" si="2"/>
        <v>0</v>
      </c>
      <c r="E57" s="443">
        <f t="shared" si="2"/>
        <v>0</v>
      </c>
      <c r="F57" s="443">
        <f t="shared" si="2"/>
        <v>0</v>
      </c>
      <c r="G57" s="443">
        <f t="shared" si="2"/>
        <v>0</v>
      </c>
      <c r="H57" s="194"/>
      <c r="I57" s="184"/>
      <c r="J57" s="72"/>
    </row>
    <row r="58" spans="2:10">
      <c r="B58" s="76" t="s">
        <v>23</v>
      </c>
      <c r="C58" s="116" t="s">
        <v>134</v>
      </c>
      <c r="D58" s="443">
        <f t="shared" si="2"/>
        <v>0</v>
      </c>
      <c r="E58" s="443">
        <f t="shared" si="2"/>
        <v>0</v>
      </c>
      <c r="F58" s="443">
        <f t="shared" si="2"/>
        <v>0</v>
      </c>
      <c r="G58" s="443">
        <f t="shared" si="2"/>
        <v>0</v>
      </c>
      <c r="H58" s="194"/>
      <c r="I58" s="184"/>
      <c r="J58" s="72"/>
    </row>
    <row r="59" spans="2:10">
      <c r="B59" s="76" t="s">
        <v>116</v>
      </c>
      <c r="C59" s="116" t="s">
        <v>134</v>
      </c>
      <c r="D59" s="443">
        <f t="shared" si="2"/>
        <v>1.3888888888888888</v>
      </c>
      <c r="E59" s="443">
        <f t="shared" si="2"/>
        <v>1.3888888888888888</v>
      </c>
      <c r="F59" s="443">
        <f t="shared" si="2"/>
        <v>1.3888888888888888</v>
      </c>
      <c r="G59" s="443">
        <f t="shared" si="2"/>
        <v>1.3888888888888888</v>
      </c>
      <c r="H59" s="194"/>
      <c r="I59" s="184"/>
      <c r="J59" s="72"/>
    </row>
    <row r="60" spans="2:10">
      <c r="B60" s="76" t="s">
        <v>24</v>
      </c>
      <c r="C60" s="116" t="s">
        <v>134</v>
      </c>
      <c r="D60" s="443">
        <f t="shared" si="2"/>
        <v>2.777777777777778E-2</v>
      </c>
      <c r="E60" s="443">
        <f t="shared" si="2"/>
        <v>1.3888888888888892E-3</v>
      </c>
      <c r="F60" s="443">
        <f t="shared" si="2"/>
        <v>1.3888888888888892E-3</v>
      </c>
      <c r="G60" s="443">
        <f t="shared" si="2"/>
        <v>1.3888888888888892E-3</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418" t="s">
        <v>475</v>
      </c>
      <c r="E66" s="417">
        <v>2020</v>
      </c>
      <c r="F66" s="417">
        <v>2035</v>
      </c>
      <c r="G66" s="417">
        <v>2050</v>
      </c>
      <c r="H66" s="104"/>
      <c r="I66" s="150" t="s">
        <v>97</v>
      </c>
      <c r="J66" s="102" t="s">
        <v>98</v>
      </c>
    </row>
    <row r="67" spans="2:10">
      <c r="B67" s="237" t="s">
        <v>25</v>
      </c>
      <c r="C67" s="93" t="s">
        <v>152</v>
      </c>
      <c r="D67" s="411">
        <f>0.059</f>
        <v>5.8999999999999997E-2</v>
      </c>
      <c r="E67" s="411">
        <v>5.8000000000000003E-2</v>
      </c>
      <c r="F67" s="411">
        <v>5.7000000000000002E-2</v>
      </c>
      <c r="G67" s="411">
        <v>5.6000000000000001E-2</v>
      </c>
      <c r="H67" s="411"/>
      <c r="I67" s="75" t="s">
        <v>608</v>
      </c>
      <c r="J67" s="72"/>
    </row>
    <row r="68" spans="2:10">
      <c r="B68" s="237"/>
      <c r="C68" s="93"/>
      <c r="D68" s="411"/>
      <c r="E68" s="411"/>
      <c r="F68" s="411"/>
      <c r="G68" s="411"/>
      <c r="H68" s="411"/>
      <c r="I68" s="75"/>
      <c r="J68" s="72"/>
    </row>
    <row r="69" spans="2:10">
      <c r="B69" s="237" t="s">
        <v>121</v>
      </c>
      <c r="C69" s="93" t="s">
        <v>122</v>
      </c>
      <c r="D69" s="410">
        <v>300000</v>
      </c>
      <c r="E69" s="410">
        <v>300000</v>
      </c>
      <c r="F69" s="410">
        <v>300000</v>
      </c>
      <c r="G69" s="410">
        <v>300000</v>
      </c>
      <c r="H69" s="410"/>
      <c r="I69" s="184" t="s">
        <v>609</v>
      </c>
      <c r="J69" s="72" t="s">
        <v>205</v>
      </c>
    </row>
    <row r="70" spans="2:10">
      <c r="B70" s="237" t="s">
        <v>391</v>
      </c>
      <c r="C70" s="93" t="s">
        <v>390</v>
      </c>
      <c r="D70" s="410">
        <v>205</v>
      </c>
      <c r="E70" s="410">
        <v>205</v>
      </c>
      <c r="F70" s="410">
        <v>205</v>
      </c>
      <c r="G70" s="410">
        <v>205</v>
      </c>
      <c r="H70" s="410"/>
      <c r="I70" s="184"/>
      <c r="J70" s="72"/>
    </row>
    <row r="71" spans="2:10">
      <c r="B71" s="237" t="s">
        <v>403</v>
      </c>
      <c r="C71" s="93" t="s">
        <v>110</v>
      </c>
      <c r="D71" s="408">
        <f>+D67*D69/1000</f>
        <v>17.7</v>
      </c>
      <c r="E71" s="408">
        <f>+E67*E69/1000</f>
        <v>17.399999999999999</v>
      </c>
      <c r="F71" s="408">
        <f>+F67*F69/1000</f>
        <v>17.100000000000001</v>
      </c>
      <c r="G71" s="408">
        <f>+G67*G69/1000</f>
        <v>16.8</v>
      </c>
      <c r="H71" s="408"/>
      <c r="I71" s="75"/>
      <c r="J71" s="72" t="s">
        <v>192</v>
      </c>
    </row>
    <row r="72" spans="2:10">
      <c r="B72" s="237" t="s">
        <v>402</v>
      </c>
      <c r="C72" s="93" t="s">
        <v>17</v>
      </c>
      <c r="D72" s="407">
        <f>D73*1000/(D67)</f>
        <v>2422.4886316659781</v>
      </c>
      <c r="E72" s="407">
        <f>E73*1000/(E67)</f>
        <v>2464.255677039529</v>
      </c>
      <c r="F72" s="407">
        <f>F73*1000/(F67)</f>
        <v>2507.4882327770647</v>
      </c>
      <c r="G72" s="407">
        <f>G73*1000/(G67)</f>
        <v>2552.2648083623694</v>
      </c>
      <c r="H72" s="407"/>
      <c r="I72" s="75"/>
      <c r="J72" s="72"/>
    </row>
    <row r="73" spans="2:10">
      <c r="B73" s="237" t="s">
        <v>124</v>
      </c>
      <c r="C73" s="93" t="s">
        <v>401</v>
      </c>
      <c r="D73" s="406">
        <f>29.3/D70</f>
        <v>0.1429268292682927</v>
      </c>
      <c r="E73" s="406">
        <f>29.3/E70</f>
        <v>0.1429268292682927</v>
      </c>
      <c r="F73" s="406">
        <f>29.3/F70</f>
        <v>0.1429268292682927</v>
      </c>
      <c r="G73" s="406">
        <f>29.3/G70</f>
        <v>0.1429268292682927</v>
      </c>
      <c r="H73" s="405"/>
      <c r="I73" s="346" t="s">
        <v>555</v>
      </c>
      <c r="J73" s="72" t="s">
        <v>204</v>
      </c>
    </row>
    <row r="74" spans="2:10">
      <c r="B74" s="404"/>
      <c r="C74" s="93"/>
      <c r="D74" s="403"/>
      <c r="E74" s="402"/>
      <c r="F74" s="401"/>
      <c r="G74" s="401"/>
      <c r="H74" s="401"/>
      <c r="I74" s="184"/>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152</v>
      </c>
      <c r="D79" s="182">
        <f>0.25</f>
        <v>0.25</v>
      </c>
      <c r="E79" s="182">
        <v>0.23</v>
      </c>
      <c r="F79" s="182">
        <v>0.21</v>
      </c>
      <c r="G79" s="182">
        <v>0.2</v>
      </c>
      <c r="H79" s="182"/>
      <c r="I79" s="184" t="s">
        <v>608</v>
      </c>
      <c r="J79" s="72"/>
    </row>
    <row r="80" spans="2:10">
      <c r="B80" s="76"/>
      <c r="C80" s="75"/>
      <c r="D80" s="80"/>
      <c r="E80" s="79"/>
      <c r="F80" s="79"/>
      <c r="G80" s="79"/>
      <c r="H80" s="79"/>
      <c r="I80" s="184"/>
      <c r="J80" s="72"/>
    </row>
    <row r="81" spans="2:10">
      <c r="B81" s="76"/>
      <c r="C81" s="75"/>
      <c r="D81" s="397"/>
      <c r="E81" s="397"/>
      <c r="F81" s="397"/>
      <c r="G81" s="397"/>
      <c r="H81" s="397"/>
      <c r="I81" s="346"/>
      <c r="J81" s="72"/>
    </row>
    <row r="82" spans="2:10" ht="12.75" customHeight="1">
      <c r="B82" s="76" t="s">
        <v>189</v>
      </c>
      <c r="C82" s="75" t="s">
        <v>185</v>
      </c>
      <c r="D82" s="397">
        <v>2.1</v>
      </c>
      <c r="E82" s="157">
        <f t="shared" ref="E82:G84" si="3">D82</f>
        <v>2.1</v>
      </c>
      <c r="F82" s="157">
        <f t="shared" si="3"/>
        <v>2.1</v>
      </c>
      <c r="G82" s="157">
        <f t="shared" si="3"/>
        <v>2.1</v>
      </c>
      <c r="H82" s="397"/>
      <c r="I82" s="346" t="s">
        <v>611</v>
      </c>
      <c r="J82" s="72"/>
    </row>
    <row r="83" spans="2:10">
      <c r="B83" s="76" t="s">
        <v>187</v>
      </c>
      <c r="C83" s="75" t="s">
        <v>185</v>
      </c>
      <c r="D83" s="397">
        <v>0.66</v>
      </c>
      <c r="E83" s="157">
        <f t="shared" si="3"/>
        <v>0.66</v>
      </c>
      <c r="F83" s="157">
        <f t="shared" si="3"/>
        <v>0.66</v>
      </c>
      <c r="G83" s="157">
        <f t="shared" si="3"/>
        <v>0.66</v>
      </c>
      <c r="H83" s="397"/>
      <c r="I83" s="346" t="s">
        <v>611</v>
      </c>
      <c r="J83" s="72"/>
    </row>
    <row r="84" spans="2:10">
      <c r="B84" s="76" t="s">
        <v>116</v>
      </c>
      <c r="C84" s="75" t="s">
        <v>185</v>
      </c>
      <c r="D84" s="397">
        <v>5</v>
      </c>
      <c r="E84" s="157">
        <f t="shared" si="3"/>
        <v>5</v>
      </c>
      <c r="F84" s="157">
        <f t="shared" si="3"/>
        <v>5</v>
      </c>
      <c r="G84" s="157">
        <f t="shared" si="3"/>
        <v>5</v>
      </c>
      <c r="H84" s="397"/>
      <c r="I84" s="346" t="s">
        <v>611</v>
      </c>
      <c r="J84" s="72"/>
    </row>
    <row r="85" spans="2:10">
      <c r="B85" s="76" t="s">
        <v>186</v>
      </c>
      <c r="C85" s="75" t="s">
        <v>185</v>
      </c>
      <c r="D85" s="397">
        <v>0.1</v>
      </c>
      <c r="E85" s="157">
        <f>D85*0.05</f>
        <v>5.000000000000001E-3</v>
      </c>
      <c r="F85" s="157">
        <f>E85</f>
        <v>5.000000000000001E-3</v>
      </c>
      <c r="G85" s="157">
        <f>F85</f>
        <v>5.000000000000001E-3</v>
      </c>
      <c r="H85" s="397"/>
      <c r="I85" s="346" t="s">
        <v>611</v>
      </c>
      <c r="J85" s="72" t="s">
        <v>184</v>
      </c>
    </row>
    <row r="86" spans="2:10" ht="14.4" thickBot="1">
      <c r="B86" s="71"/>
      <c r="C86" s="70"/>
      <c r="D86" s="70"/>
      <c r="E86" s="70"/>
      <c r="F86" s="70"/>
      <c r="G86" s="70"/>
      <c r="H86" s="70"/>
      <c r="I86" s="70"/>
      <c r="J86" s="68"/>
    </row>
    <row r="87" spans="2:10" ht="13.5" customHeight="1">
      <c r="F87" s="66"/>
      <c r="G87" s="66"/>
      <c r="H87" s="66"/>
    </row>
    <row r="88" spans="2:10" ht="12.75" customHeight="1">
      <c r="B88" s="373"/>
      <c r="C88" s="373"/>
      <c r="D88" s="440"/>
      <c r="E88" s="373"/>
      <c r="F88" s="439"/>
      <c r="G88" s="439"/>
      <c r="H88" s="439"/>
      <c r="I88" s="373"/>
      <c r="J88" s="373"/>
    </row>
    <row r="89" spans="2:10" ht="12.75" customHeight="1">
      <c r="B89" s="373"/>
      <c r="C89" s="373"/>
      <c r="D89" s="373"/>
      <c r="E89" s="373"/>
      <c r="F89" s="439"/>
      <c r="G89" s="439"/>
      <c r="H89" s="439"/>
      <c r="I89" s="373"/>
      <c r="J89" s="373"/>
    </row>
    <row r="90" spans="2:10" ht="12.75" customHeight="1">
      <c r="B90" s="441"/>
      <c r="C90" s="441"/>
      <c r="D90" s="441"/>
      <c r="E90" s="441"/>
      <c r="F90" s="441"/>
      <c r="G90" s="441"/>
      <c r="H90" s="441"/>
      <c r="I90" s="441"/>
      <c r="J90" s="441"/>
    </row>
    <row r="91" spans="2:10" ht="12.75" customHeight="1">
      <c r="B91" s="441"/>
      <c r="C91" s="441"/>
      <c r="D91" s="441"/>
      <c r="E91" s="441"/>
      <c r="F91" s="441"/>
      <c r="G91" s="441"/>
      <c r="H91" s="441"/>
      <c r="I91" s="441"/>
      <c r="J91" s="441"/>
    </row>
    <row r="92" spans="2:10" ht="12.75" customHeight="1">
      <c r="B92" s="441"/>
      <c r="C92" s="441"/>
      <c r="D92" s="441"/>
      <c r="E92" s="441"/>
      <c r="F92" s="441"/>
      <c r="G92" s="441"/>
      <c r="H92" s="441"/>
      <c r="I92" s="441"/>
      <c r="J92" s="441"/>
    </row>
    <row r="93" spans="2:10" ht="12.75" customHeight="1">
      <c r="B93" s="373"/>
      <c r="C93" s="441"/>
      <c r="D93" s="441"/>
      <c r="E93" s="441"/>
      <c r="F93" s="441"/>
      <c r="G93" s="441"/>
      <c r="H93" s="442"/>
      <c r="I93" s="441"/>
      <c r="J93" s="441"/>
    </row>
    <row r="94" spans="2:10" ht="12.75" customHeight="1">
      <c r="B94" s="441"/>
      <c r="C94" s="441"/>
      <c r="D94" s="441"/>
      <c r="E94" s="441"/>
      <c r="F94" s="441"/>
      <c r="G94" s="441"/>
      <c r="H94" s="441"/>
      <c r="I94" s="441"/>
      <c r="J94" s="441"/>
    </row>
    <row r="95" spans="2:10" ht="12.75" customHeight="1">
      <c r="B95" s="373"/>
      <c r="C95" s="441"/>
      <c r="D95" s="441"/>
      <c r="E95" s="441"/>
      <c r="F95" s="441"/>
      <c r="G95" s="441"/>
      <c r="H95" s="441"/>
      <c r="I95" s="441"/>
      <c r="J95" s="441"/>
    </row>
    <row r="96" spans="2:10">
      <c r="B96" s="441"/>
      <c r="C96" s="441"/>
      <c r="D96" s="441"/>
      <c r="E96" s="441"/>
      <c r="F96" s="441"/>
      <c r="G96" s="441"/>
      <c r="H96" s="441"/>
      <c r="I96" s="441"/>
      <c r="J96" s="441"/>
    </row>
    <row r="97" spans="2:10">
      <c r="B97" s="441"/>
      <c r="C97" s="441"/>
      <c r="D97" s="441"/>
      <c r="E97" s="441"/>
      <c r="F97" s="441"/>
      <c r="G97" s="441"/>
      <c r="H97" s="441"/>
      <c r="I97" s="441"/>
      <c r="J97" s="441"/>
    </row>
    <row r="98" spans="2:10" ht="12.75" customHeight="1">
      <c r="B98" s="441"/>
      <c r="C98" s="441"/>
      <c r="D98" s="441"/>
      <c r="E98" s="441"/>
      <c r="F98" s="441"/>
      <c r="G98" s="441"/>
      <c r="H98" s="441"/>
      <c r="I98" s="441"/>
      <c r="J98" s="441"/>
    </row>
    <row r="99" spans="2:10">
      <c r="B99" s="441"/>
      <c r="C99" s="441"/>
      <c r="D99" s="441"/>
      <c r="E99" s="441"/>
      <c r="F99" s="441"/>
      <c r="G99" s="441"/>
      <c r="H99" s="441"/>
      <c r="I99" s="441"/>
      <c r="J99" s="441"/>
    </row>
    <row r="100" spans="2:10">
      <c r="B100" s="373"/>
      <c r="C100" s="373"/>
      <c r="D100" s="373"/>
      <c r="E100" s="373"/>
      <c r="F100" s="373"/>
      <c r="G100" s="373"/>
      <c r="H100" s="439"/>
      <c r="I100" s="373"/>
      <c r="J100" s="373"/>
    </row>
    <row r="101" spans="2:10">
      <c r="B101" s="373"/>
      <c r="C101" s="373"/>
      <c r="D101" s="440"/>
      <c r="E101" s="373"/>
      <c r="F101" s="373"/>
      <c r="G101" s="373"/>
      <c r="H101" s="439"/>
      <c r="I101" s="373"/>
      <c r="J101" s="373"/>
    </row>
    <row r="102" spans="2:10">
      <c r="B102" s="373"/>
      <c r="C102" s="373"/>
      <c r="D102" s="373"/>
      <c r="E102" s="373"/>
      <c r="F102" s="373"/>
      <c r="G102" s="373"/>
      <c r="H102" s="373"/>
      <c r="I102" s="438"/>
      <c r="J102" s="373"/>
    </row>
    <row r="103" spans="2:10">
      <c r="I103" s="64"/>
    </row>
    <row r="104" spans="2:10" ht="12.75" customHeight="1"/>
    <row r="105" spans="2:10" ht="12.75" customHeight="1"/>
    <row r="107" spans="2:10" ht="12.75" customHeight="1"/>
    <row r="109" spans="2:10" ht="12.75" customHeight="1"/>
    <row r="112" spans="2:10" ht="12.75" customHeight="1"/>
    <row r="114" ht="12.75" customHeight="1"/>
  </sheetData>
  <mergeCells count="2">
    <mergeCell ref="B12:N13"/>
    <mergeCell ref="B14:N17"/>
  </mergeCells>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'C:\Users\B003920\Desktop\[Kopi af alternativ_drivmiddelmodel_3.0_2.xlsm]Sheet1'!#REF!</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tabColor rgb="FF002060"/>
    <pageSetUpPr fitToPage="1"/>
  </sheetPr>
  <dimension ref="B1:R105"/>
  <sheetViews>
    <sheetView topLeftCell="A15" zoomScale="80" zoomScaleNormal="80" workbookViewId="0">
      <selection activeCell="G37" sqref="G37"/>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10.88671875" style="445" customWidth="1"/>
    <col min="10" max="10" width="45.44140625" style="63" customWidth="1"/>
    <col min="11" max="11" width="10.88671875" style="63" bestFit="1" customWidth="1"/>
    <col min="12" max="12" width="9.33203125" style="63" bestFit="1" customWidth="1"/>
    <col min="13" max="13" width="30.6640625" style="63" bestFit="1" customWidth="1"/>
    <col min="14" max="14" width="8.88671875" style="63"/>
    <col min="15" max="15" width="37.88671875" style="63" customWidth="1"/>
    <col min="16" max="17" width="8.88671875" style="63"/>
    <col min="18" max="18" width="12.109375" style="63" customWidth="1"/>
    <col min="19" max="16384" width="8.88671875" style="63"/>
  </cols>
  <sheetData>
    <row r="1" spans="2:18" s="60" customFormat="1" ht="21">
      <c r="B1" s="60" t="s">
        <v>217</v>
      </c>
      <c r="I1" s="468"/>
      <c r="Q1" s="60">
        <v>0</v>
      </c>
      <c r="R1" s="60">
        <v>0</v>
      </c>
    </row>
    <row r="2" spans="2:18" ht="15.6">
      <c r="B2" s="87"/>
    </row>
    <row r="4" spans="2:18" ht="14.4" thickBot="1">
      <c r="B4" s="152" t="s">
        <v>92</v>
      </c>
    </row>
    <row r="5" spans="2:18">
      <c r="B5" s="155" t="s">
        <v>202</v>
      </c>
      <c r="C5" s="83"/>
      <c r="D5" s="83"/>
      <c r="E5" s="83"/>
      <c r="F5" s="83"/>
      <c r="G5" s="83"/>
      <c r="H5" s="83"/>
      <c r="I5" s="455"/>
      <c r="J5" s="83"/>
      <c r="K5" s="83"/>
      <c r="L5" s="83"/>
      <c r="M5" s="83"/>
      <c r="N5" s="81"/>
    </row>
    <row r="6" spans="2:18" ht="12.75" customHeight="1">
      <c r="B6" s="467" t="s">
        <v>216</v>
      </c>
      <c r="C6" s="465"/>
      <c r="D6" s="465"/>
      <c r="E6" s="465"/>
      <c r="F6" s="465"/>
      <c r="G6" s="465"/>
      <c r="H6" s="465"/>
      <c r="I6" s="465"/>
      <c r="J6" s="465"/>
      <c r="K6" s="465"/>
      <c r="L6" s="465"/>
      <c r="M6" s="465"/>
      <c r="N6" s="464"/>
    </row>
    <row r="7" spans="2:18">
      <c r="B7" s="466" t="s">
        <v>215</v>
      </c>
      <c r="C7" s="465"/>
      <c r="D7" s="465"/>
      <c r="E7" s="465"/>
      <c r="F7" s="465"/>
      <c r="G7" s="465"/>
      <c r="H7" s="465"/>
      <c r="I7" s="465"/>
      <c r="J7" s="465"/>
      <c r="K7" s="465"/>
      <c r="L7" s="465"/>
      <c r="M7" s="465"/>
      <c r="N7" s="464"/>
    </row>
    <row r="8" spans="2:18" ht="12.75" customHeight="1">
      <c r="B8" s="463"/>
      <c r="C8" s="462"/>
      <c r="D8" s="462"/>
      <c r="E8" s="462"/>
      <c r="F8" s="462"/>
      <c r="G8" s="462"/>
      <c r="H8" s="462"/>
      <c r="I8" s="462"/>
      <c r="J8" s="462"/>
      <c r="K8" s="462"/>
      <c r="L8" s="462"/>
      <c r="M8" s="462"/>
      <c r="N8" s="461"/>
    </row>
    <row r="9" spans="2:18">
      <c r="B9" s="154" t="s">
        <v>233</v>
      </c>
      <c r="C9" s="59" t="s">
        <v>232</v>
      </c>
      <c r="D9" s="462"/>
      <c r="E9" s="462"/>
      <c r="F9" s="462"/>
      <c r="G9" s="462"/>
      <c r="H9" s="462"/>
      <c r="I9" s="462"/>
      <c r="J9" s="462"/>
      <c r="K9" s="462"/>
      <c r="L9" s="462"/>
      <c r="M9" s="462"/>
      <c r="N9" s="461"/>
    </row>
    <row r="10" spans="2:18">
      <c r="B10" s="463"/>
      <c r="C10" s="462"/>
      <c r="D10" s="462"/>
      <c r="E10" s="462"/>
      <c r="F10" s="462"/>
      <c r="G10" s="462"/>
      <c r="H10" s="462"/>
      <c r="I10" s="462"/>
      <c r="J10" s="462"/>
      <c r="K10" s="462"/>
      <c r="L10" s="462"/>
      <c r="M10" s="462"/>
      <c r="N10" s="461"/>
    </row>
    <row r="11" spans="2:18">
      <c r="B11" s="153" t="s">
        <v>94</v>
      </c>
      <c r="C11" s="75"/>
      <c r="D11" s="75"/>
      <c r="E11" s="75"/>
      <c r="F11" s="75"/>
      <c r="G11" s="75"/>
      <c r="H11" s="75"/>
      <c r="I11" s="449"/>
      <c r="J11" s="75"/>
      <c r="K11" s="75"/>
      <c r="L11" s="75"/>
      <c r="M11" s="75"/>
      <c r="N11" s="72"/>
    </row>
    <row r="12" spans="2:18">
      <c r="B12" s="1752" t="s">
        <v>214</v>
      </c>
      <c r="C12" s="1753"/>
      <c r="D12" s="1753"/>
      <c r="E12" s="1753"/>
      <c r="F12" s="1753"/>
      <c r="G12" s="1753"/>
      <c r="H12" s="1753"/>
      <c r="I12" s="1753"/>
      <c r="J12" s="1753"/>
      <c r="K12" s="1753"/>
      <c r="L12" s="1753"/>
      <c r="M12" s="1753"/>
      <c r="N12" s="1754"/>
    </row>
    <row r="13" spans="2:18">
      <c r="B13" s="1752"/>
      <c r="C13" s="1753"/>
      <c r="D13" s="1753"/>
      <c r="E13" s="1753"/>
      <c r="F13" s="1753"/>
      <c r="G13" s="1753"/>
      <c r="H13" s="1753"/>
      <c r="I13" s="1753"/>
      <c r="J13" s="1753"/>
      <c r="K13" s="1753"/>
      <c r="L13" s="1753"/>
      <c r="M13" s="1753"/>
      <c r="N13" s="1754"/>
    </row>
    <row r="14" spans="2:18">
      <c r="B14" s="1755" t="s">
        <v>213</v>
      </c>
      <c r="C14" s="1756"/>
      <c r="D14" s="1756"/>
      <c r="E14" s="1756"/>
      <c r="F14" s="1756"/>
      <c r="G14" s="1756"/>
      <c r="H14" s="1756"/>
      <c r="I14" s="1756"/>
      <c r="J14" s="1756"/>
      <c r="K14" s="1756"/>
      <c r="L14" s="1756"/>
      <c r="M14" s="1756"/>
      <c r="N14" s="1757"/>
    </row>
    <row r="15" spans="2:18">
      <c r="B15" s="1755"/>
      <c r="C15" s="1756"/>
      <c r="D15" s="1756"/>
      <c r="E15" s="1756"/>
      <c r="F15" s="1756"/>
      <c r="G15" s="1756"/>
      <c r="H15" s="1756"/>
      <c r="I15" s="1756"/>
      <c r="J15" s="1756"/>
      <c r="K15" s="1756"/>
      <c r="L15" s="1756"/>
      <c r="M15" s="1756"/>
      <c r="N15" s="1757"/>
    </row>
    <row r="16" spans="2:18">
      <c r="B16" s="126"/>
      <c r="C16" s="75"/>
      <c r="D16" s="75"/>
      <c r="E16" s="75"/>
      <c r="F16" s="75"/>
      <c r="G16" s="75"/>
      <c r="H16" s="75"/>
      <c r="I16" s="449"/>
      <c r="J16" s="75"/>
      <c r="K16" s="75"/>
      <c r="L16" s="75"/>
      <c r="M16" s="75"/>
      <c r="N16" s="72"/>
    </row>
    <row r="17" spans="2:14" ht="14.4" thickBot="1">
      <c r="B17" s="71"/>
      <c r="C17" s="70"/>
      <c r="D17" s="70"/>
      <c r="E17" s="70"/>
      <c r="F17" s="70"/>
      <c r="G17" s="70"/>
      <c r="H17" s="70"/>
      <c r="I17" s="448"/>
      <c r="J17" s="70"/>
      <c r="K17" s="70"/>
      <c r="L17" s="70"/>
      <c r="M17" s="70"/>
      <c r="N17" s="88"/>
    </row>
    <row r="19" spans="2:14" ht="14.4" thickBot="1">
      <c r="B19" s="152" t="s">
        <v>96</v>
      </c>
      <c r="E19" s="151"/>
    </row>
    <row r="20" spans="2:14" ht="12.75" customHeight="1">
      <c r="B20" s="86"/>
      <c r="C20" s="108"/>
      <c r="D20" s="166"/>
      <c r="E20" s="83"/>
      <c r="F20" s="83"/>
      <c r="G20" s="83"/>
      <c r="H20" s="83"/>
      <c r="I20" s="455" t="s">
        <v>97</v>
      </c>
      <c r="J20" s="81" t="s">
        <v>98</v>
      </c>
    </row>
    <row r="21" spans="2:14">
      <c r="B21" s="107"/>
      <c r="C21" s="106" t="s">
        <v>99</v>
      </c>
      <c r="D21" s="105">
        <v>2015</v>
      </c>
      <c r="E21" s="104">
        <v>2020</v>
      </c>
      <c r="F21" s="104">
        <v>2035</v>
      </c>
      <c r="G21" s="104">
        <v>2050</v>
      </c>
      <c r="H21" s="104" t="s">
        <v>100</v>
      </c>
      <c r="I21" s="454"/>
      <c r="J21" s="102"/>
    </row>
    <row r="22" spans="2:14">
      <c r="B22" s="126" t="s">
        <v>101</v>
      </c>
      <c r="C22" s="116"/>
      <c r="D22" s="138"/>
      <c r="E22" s="123"/>
      <c r="F22" s="123"/>
      <c r="G22" s="123"/>
      <c r="H22" s="149"/>
      <c r="I22" s="449"/>
      <c r="J22" s="72"/>
    </row>
    <row r="23" spans="2:14">
      <c r="B23" s="143" t="s">
        <v>102</v>
      </c>
      <c r="C23" s="116" t="s">
        <v>198</v>
      </c>
      <c r="D23" s="460">
        <f>D67/D78</f>
        <v>0.64285714285714279</v>
      </c>
      <c r="E23" s="460">
        <f>E67/E78</f>
        <v>0.67164179104477606</v>
      </c>
      <c r="F23" s="460">
        <f>F67/F78</f>
        <v>0.74545454545454548</v>
      </c>
      <c r="G23" s="460">
        <f>G67/G78</f>
        <v>0.77083333333333326</v>
      </c>
      <c r="H23" s="145"/>
      <c r="I23" s="456" t="s">
        <v>608</v>
      </c>
      <c r="J23" s="72"/>
    </row>
    <row r="24" spans="2:14">
      <c r="B24" s="143" t="s">
        <v>103</v>
      </c>
      <c r="C24" s="116" t="s">
        <v>198</v>
      </c>
      <c r="D24" s="416">
        <f>D23</f>
        <v>0.64285714285714279</v>
      </c>
      <c r="E24" s="416">
        <f>E23</f>
        <v>0.67164179104477606</v>
      </c>
      <c r="F24" s="416">
        <f>F23</f>
        <v>0.74545454545454548</v>
      </c>
      <c r="G24" s="416">
        <f>G23</f>
        <v>0.77083333333333326</v>
      </c>
      <c r="H24" s="145"/>
      <c r="I24" s="456" t="s">
        <v>608</v>
      </c>
      <c r="J24" s="72"/>
    </row>
    <row r="25" spans="2:14">
      <c r="B25" s="143" t="s">
        <v>197</v>
      </c>
      <c r="C25" s="116" t="s">
        <v>105</v>
      </c>
      <c r="D25" s="416">
        <f>D78</f>
        <v>7.0000000000000007E-2</v>
      </c>
      <c r="E25" s="416">
        <f>E78</f>
        <v>6.7000000000000004E-2</v>
      </c>
      <c r="F25" s="416">
        <f>F78</f>
        <v>5.5E-2</v>
      </c>
      <c r="G25" s="416">
        <f>G78</f>
        <v>4.8000000000000001E-2</v>
      </c>
      <c r="H25" s="140"/>
      <c r="I25" s="456" t="s">
        <v>608</v>
      </c>
      <c r="J25" s="72"/>
    </row>
    <row r="26" spans="2:14">
      <c r="B26" s="143" t="s">
        <v>196</v>
      </c>
      <c r="C26" s="116" t="s">
        <v>105</v>
      </c>
      <c r="D26" s="459">
        <f>D25*205</f>
        <v>14.350000000000001</v>
      </c>
      <c r="E26" s="459">
        <f t="shared" ref="E26:G26" si="0">E25*205</f>
        <v>13.735000000000001</v>
      </c>
      <c r="F26" s="459">
        <f t="shared" si="0"/>
        <v>11.275</v>
      </c>
      <c r="G26" s="459">
        <f t="shared" si="0"/>
        <v>9.84</v>
      </c>
      <c r="H26" s="140"/>
      <c r="I26" s="456"/>
      <c r="J26" s="72"/>
    </row>
    <row r="27" spans="2:14">
      <c r="B27" s="131" t="s">
        <v>107</v>
      </c>
      <c r="C27" s="116" t="s">
        <v>108</v>
      </c>
      <c r="D27" s="138">
        <v>30</v>
      </c>
      <c r="E27" s="123">
        <v>30</v>
      </c>
      <c r="F27" s="123">
        <v>30</v>
      </c>
      <c r="G27" s="123">
        <v>30</v>
      </c>
      <c r="H27" s="123"/>
      <c r="I27" s="449" t="s">
        <v>609</v>
      </c>
      <c r="J27" s="72" t="s">
        <v>212</v>
      </c>
    </row>
    <row r="28" spans="2:14">
      <c r="B28" s="131" t="s">
        <v>109</v>
      </c>
      <c r="C28" s="116" t="s">
        <v>110</v>
      </c>
      <c r="D28" s="175">
        <f>+D71</f>
        <v>11.25</v>
      </c>
      <c r="E28" s="137">
        <f>+E71</f>
        <v>11.25</v>
      </c>
      <c r="F28" s="137">
        <f>+F71</f>
        <v>10.25</v>
      </c>
      <c r="G28" s="137">
        <f>+G71</f>
        <v>9.25</v>
      </c>
      <c r="H28" s="136"/>
      <c r="I28" s="456"/>
      <c r="J28" s="72" t="s">
        <v>211</v>
      </c>
    </row>
    <row r="29" spans="2:14">
      <c r="B29" s="76"/>
      <c r="C29" s="135"/>
      <c r="D29" s="132"/>
      <c r="E29" s="96"/>
      <c r="F29" s="96"/>
      <c r="G29" s="96"/>
      <c r="H29" s="96"/>
      <c r="I29" s="458"/>
      <c r="J29" s="72"/>
    </row>
    <row r="30" spans="2:14">
      <c r="B30" s="126" t="s">
        <v>111</v>
      </c>
      <c r="C30" s="116"/>
      <c r="D30" s="132"/>
      <c r="E30" s="96"/>
      <c r="F30" s="96"/>
      <c r="G30" s="96"/>
      <c r="H30" s="96"/>
      <c r="I30" s="458"/>
      <c r="J30" s="72"/>
    </row>
    <row r="31" spans="2:14">
      <c r="B31" s="131" t="s">
        <v>112</v>
      </c>
      <c r="C31" s="116" t="s">
        <v>15</v>
      </c>
      <c r="D31" s="134">
        <v>248530.75873385544</v>
      </c>
      <c r="E31" s="134">
        <v>248530.75873385544</v>
      </c>
      <c r="F31" s="134">
        <v>248530.75873385544</v>
      </c>
      <c r="G31" s="134">
        <v>248530.75873385544</v>
      </c>
      <c r="H31" s="133">
        <v>2015</v>
      </c>
      <c r="I31" s="457"/>
      <c r="J31" s="72"/>
    </row>
    <row r="32" spans="2:14">
      <c r="B32" s="76" t="s">
        <v>16</v>
      </c>
      <c r="C32" s="116" t="s">
        <v>17</v>
      </c>
      <c r="D32" s="134">
        <v>4490.3208069409429</v>
      </c>
      <c r="E32" s="134">
        <v>4490.3208069409429</v>
      </c>
      <c r="F32" s="134">
        <v>4928.4008856668888</v>
      </c>
      <c r="G32" s="134">
        <v>5461.2009814146613</v>
      </c>
      <c r="H32" s="133">
        <v>2015</v>
      </c>
      <c r="I32" s="457"/>
      <c r="J32" s="72"/>
    </row>
    <row r="33" spans="2:10">
      <c r="B33" s="127" t="s">
        <v>18</v>
      </c>
      <c r="C33" s="116" t="s">
        <v>17</v>
      </c>
      <c r="D33" s="134">
        <v>1437.0917793090916</v>
      </c>
      <c r="E33" s="134">
        <v>1437.0917793090916</v>
      </c>
      <c r="F33" s="134">
        <v>1577.2958553392468</v>
      </c>
      <c r="G33" s="134">
        <v>1747.8143261867331</v>
      </c>
      <c r="H33" s="133">
        <v>2015</v>
      </c>
      <c r="I33" s="457"/>
      <c r="J33" s="72"/>
    </row>
    <row r="34" spans="2:10">
      <c r="B34" s="127" t="s">
        <v>19</v>
      </c>
      <c r="C34" s="116" t="s">
        <v>17</v>
      </c>
      <c r="D34" s="134">
        <v>3053.2290276318513</v>
      </c>
      <c r="E34" s="134">
        <v>3053.2290276318513</v>
      </c>
      <c r="F34" s="134">
        <v>3351.1050303276415</v>
      </c>
      <c r="G34" s="134">
        <v>3713.3866552279273</v>
      </c>
      <c r="H34" s="133">
        <v>2015</v>
      </c>
      <c r="I34" s="457"/>
      <c r="J34" s="72"/>
    </row>
    <row r="35" spans="2:10">
      <c r="B35" s="127"/>
      <c r="C35" s="116"/>
      <c r="D35" s="134"/>
      <c r="E35" s="134"/>
      <c r="F35" s="134"/>
      <c r="G35" s="134"/>
      <c r="H35" s="133"/>
      <c r="I35" s="457"/>
      <c r="J35" s="72"/>
    </row>
    <row r="36" spans="2:10">
      <c r="B36" s="127" t="s">
        <v>113</v>
      </c>
      <c r="C36" s="116" t="s">
        <v>17</v>
      </c>
      <c r="D36" s="134">
        <v>0</v>
      </c>
      <c r="E36" s="134">
        <v>0</v>
      </c>
      <c r="F36" s="134">
        <v>0</v>
      </c>
      <c r="G36" s="134">
        <v>0</v>
      </c>
      <c r="H36" s="133">
        <v>2015</v>
      </c>
      <c r="I36" s="457"/>
      <c r="J36" s="72"/>
    </row>
    <row r="37" spans="2:10">
      <c r="B37" s="126"/>
      <c r="C37" s="116"/>
      <c r="D37" s="132"/>
      <c r="E37" s="96"/>
      <c r="F37" s="96"/>
      <c r="G37" s="96"/>
      <c r="H37" s="96"/>
      <c r="I37" s="457"/>
      <c r="J37" s="72"/>
    </row>
    <row r="38" spans="2:10">
      <c r="B38" s="131" t="s">
        <v>112</v>
      </c>
      <c r="C38" s="116" t="s">
        <v>15</v>
      </c>
      <c r="D38" s="174">
        <f>53000000/D70</f>
        <v>233480.17621145374</v>
      </c>
      <c r="E38" s="174">
        <f>53000000/E70</f>
        <v>233480.17621145374</v>
      </c>
      <c r="F38" s="174">
        <f>53000000/F70</f>
        <v>233480.17621145374</v>
      </c>
      <c r="G38" s="174">
        <f>53000000/G70</f>
        <v>233480.17621145374</v>
      </c>
      <c r="H38" s="128">
        <v>2011</v>
      </c>
      <c r="I38" s="346" t="s">
        <v>610</v>
      </c>
      <c r="J38" s="72" t="s">
        <v>415</v>
      </c>
    </row>
    <row r="39" spans="2:10">
      <c r="B39" s="76" t="s">
        <v>16</v>
      </c>
      <c r="C39" s="116" t="s">
        <v>17</v>
      </c>
      <c r="D39" s="173">
        <f>SUM(D40:D43)</f>
        <v>4218.3949326498914</v>
      </c>
      <c r="E39" s="124">
        <f>SUM(E40:E43)</f>
        <v>4218.3949326498914</v>
      </c>
      <c r="F39" s="124">
        <f>SUM(F40:F43)</f>
        <v>4629.9456577864657</v>
      </c>
      <c r="G39" s="124">
        <f>SUM(G40:G43)</f>
        <v>5130.4803234931114</v>
      </c>
      <c r="H39" s="128">
        <v>2011</v>
      </c>
      <c r="I39" s="456"/>
      <c r="J39" s="72"/>
    </row>
    <row r="40" spans="2:10">
      <c r="B40" s="127" t="s">
        <v>18</v>
      </c>
      <c r="C40" s="116" t="s">
        <v>17</v>
      </c>
      <c r="D40" s="415">
        <v>1350.0640466978596</v>
      </c>
      <c r="E40" s="415">
        <v>1350.0640466978596</v>
      </c>
      <c r="F40" s="415">
        <v>1481.7776122293581</v>
      </c>
      <c r="G40" s="415">
        <v>1641.9697865244239</v>
      </c>
      <c r="H40" s="128">
        <v>2011</v>
      </c>
      <c r="I40" s="456"/>
      <c r="J40" s="72"/>
    </row>
    <row r="41" spans="2:10">
      <c r="B41" s="127" t="s">
        <v>19</v>
      </c>
      <c r="C41" s="116" t="s">
        <v>17</v>
      </c>
      <c r="D41" s="172">
        <f>D72</f>
        <v>2868.3308859520316</v>
      </c>
      <c r="E41" s="172">
        <f>E72</f>
        <v>2868.3308859520316</v>
      </c>
      <c r="F41" s="172">
        <f>F72</f>
        <v>3148.1680455571077</v>
      </c>
      <c r="G41" s="172">
        <f>G72</f>
        <v>3488.5105369686871</v>
      </c>
      <c r="H41" s="128">
        <v>2011</v>
      </c>
      <c r="I41" s="346" t="s">
        <v>555</v>
      </c>
      <c r="J41" s="72" t="s">
        <v>204</v>
      </c>
    </row>
    <row r="42" spans="2:10">
      <c r="B42" s="127"/>
      <c r="C42" s="116"/>
      <c r="D42" s="132"/>
      <c r="E42" s="96"/>
      <c r="F42" s="96"/>
      <c r="G42" s="96"/>
      <c r="H42" s="128"/>
      <c r="I42" s="456"/>
      <c r="J42" s="72"/>
    </row>
    <row r="43" spans="2:10">
      <c r="B43" s="127" t="s">
        <v>113</v>
      </c>
      <c r="C43" s="116" t="s">
        <v>17</v>
      </c>
      <c r="D43" s="138">
        <v>0</v>
      </c>
      <c r="E43" s="123">
        <v>0</v>
      </c>
      <c r="F43" s="123">
        <v>0</v>
      </c>
      <c r="G43" s="123">
        <v>0</v>
      </c>
      <c r="H43" s="128">
        <v>2011</v>
      </c>
      <c r="I43" s="456"/>
      <c r="J43" s="72"/>
    </row>
    <row r="44" spans="2:10">
      <c r="B44" s="127"/>
      <c r="C44" s="116"/>
      <c r="D44" s="132"/>
      <c r="E44" s="96"/>
      <c r="F44" s="96"/>
      <c r="G44" s="96"/>
      <c r="H44" s="96"/>
      <c r="I44" s="456"/>
      <c r="J44" s="72"/>
    </row>
    <row r="45" spans="2:10">
      <c r="B45" s="126" t="s">
        <v>210</v>
      </c>
      <c r="C45" s="116"/>
      <c r="D45" s="132"/>
      <c r="E45" s="96"/>
      <c r="F45" s="96"/>
      <c r="G45" s="96"/>
      <c r="H45" s="125"/>
      <c r="I45" s="456"/>
      <c r="J45" s="72"/>
    </row>
    <row r="46" spans="2:10">
      <c r="B46" s="121" t="s">
        <v>30</v>
      </c>
      <c r="C46" s="116"/>
      <c r="D46" s="132"/>
      <c r="E46" s="96"/>
      <c r="F46" s="96"/>
      <c r="G46" s="96"/>
      <c r="H46" s="124"/>
      <c r="I46" s="456"/>
      <c r="J46" s="72"/>
    </row>
    <row r="47" spans="2:10">
      <c r="B47" s="76" t="s">
        <v>20</v>
      </c>
      <c r="C47" s="116" t="s">
        <v>140</v>
      </c>
      <c r="D47" s="412"/>
      <c r="E47" s="412"/>
      <c r="F47" s="412"/>
      <c r="G47" s="412"/>
      <c r="H47" s="124"/>
      <c r="I47" s="456"/>
      <c r="J47" s="1758" t="s">
        <v>208</v>
      </c>
    </row>
    <row r="48" spans="2:10">
      <c r="B48" s="76" t="s">
        <v>21</v>
      </c>
      <c r="C48" s="116" t="s">
        <v>140</v>
      </c>
      <c r="D48" s="302"/>
      <c r="E48" s="302"/>
      <c r="F48" s="302"/>
      <c r="G48" s="302"/>
      <c r="H48" s="118"/>
      <c r="I48" s="346"/>
      <c r="J48" s="1758"/>
    </row>
    <row r="49" spans="2:10">
      <c r="B49" s="76" t="s">
        <v>22</v>
      </c>
      <c r="C49" s="116" t="s">
        <v>140</v>
      </c>
      <c r="D49" s="302"/>
      <c r="E49" s="302"/>
      <c r="F49" s="302"/>
      <c r="G49" s="302"/>
      <c r="H49" s="96"/>
      <c r="I49" s="346"/>
      <c r="J49" s="72"/>
    </row>
    <row r="50" spans="2:10">
      <c r="B50" s="76" t="s">
        <v>23</v>
      </c>
      <c r="C50" s="116" t="s">
        <v>140</v>
      </c>
      <c r="D50" s="302"/>
      <c r="E50" s="302"/>
      <c r="F50" s="302"/>
      <c r="G50" s="302"/>
      <c r="H50" s="123"/>
      <c r="I50" s="346"/>
      <c r="J50" s="72"/>
    </row>
    <row r="51" spans="2:10">
      <c r="B51" s="76" t="s">
        <v>116</v>
      </c>
      <c r="C51" s="116" t="s">
        <v>140</v>
      </c>
      <c r="D51" s="302">
        <f t="shared" ref="D51:G52" si="1">D83/$D$78</f>
        <v>0</v>
      </c>
      <c r="E51" s="302">
        <f t="shared" si="1"/>
        <v>0</v>
      </c>
      <c r="F51" s="302">
        <f t="shared" si="1"/>
        <v>0</v>
      </c>
      <c r="G51" s="302">
        <f t="shared" si="1"/>
        <v>0</v>
      </c>
      <c r="H51" s="96"/>
      <c r="I51" s="346"/>
      <c r="J51" s="72"/>
    </row>
    <row r="52" spans="2:10">
      <c r="B52" s="76" t="s">
        <v>24</v>
      </c>
      <c r="C52" s="116" t="s">
        <v>140</v>
      </c>
      <c r="D52" s="302">
        <f t="shared" si="1"/>
        <v>0</v>
      </c>
      <c r="E52" s="302">
        <f t="shared" si="1"/>
        <v>0</v>
      </c>
      <c r="F52" s="302">
        <f t="shared" si="1"/>
        <v>0</v>
      </c>
      <c r="G52" s="302">
        <f t="shared" si="1"/>
        <v>0</v>
      </c>
      <c r="H52" s="96"/>
      <c r="I52" s="346"/>
      <c r="J52" s="72"/>
    </row>
    <row r="53" spans="2:10">
      <c r="B53" s="76"/>
      <c r="C53" s="116"/>
      <c r="D53" s="302"/>
      <c r="E53" s="302"/>
      <c r="F53" s="302"/>
      <c r="G53" s="302"/>
      <c r="H53" s="96"/>
      <c r="I53" s="346"/>
      <c r="J53" s="72"/>
    </row>
    <row r="54" spans="2:10">
      <c r="B54" s="121" t="s">
        <v>31</v>
      </c>
      <c r="C54" s="116"/>
      <c r="D54" s="302"/>
      <c r="E54" s="302"/>
      <c r="F54" s="302"/>
      <c r="G54" s="302"/>
      <c r="H54" s="118"/>
      <c r="I54" s="346"/>
      <c r="J54" s="72"/>
    </row>
    <row r="55" spans="2:10">
      <c r="B55" s="76" t="s">
        <v>20</v>
      </c>
      <c r="C55" s="116" t="s">
        <v>140</v>
      </c>
      <c r="D55" s="412"/>
      <c r="E55" s="412"/>
      <c r="F55" s="412"/>
      <c r="G55" s="412"/>
      <c r="H55" s="194"/>
      <c r="I55" s="346"/>
      <c r="J55" s="72"/>
    </row>
    <row r="56" spans="2:10">
      <c r="B56" s="76" t="s">
        <v>21</v>
      </c>
      <c r="C56" s="116" t="s">
        <v>140</v>
      </c>
      <c r="D56" s="302">
        <f t="shared" ref="D56:G60" si="2">D48</f>
        <v>0</v>
      </c>
      <c r="E56" s="302">
        <f t="shared" si="2"/>
        <v>0</v>
      </c>
      <c r="F56" s="302">
        <f t="shared" si="2"/>
        <v>0</v>
      </c>
      <c r="G56" s="302">
        <f t="shared" si="2"/>
        <v>0</v>
      </c>
      <c r="H56" s="194"/>
      <c r="I56" s="346"/>
      <c r="J56" s="72"/>
    </row>
    <row r="57" spans="2:10">
      <c r="B57" s="76" t="s">
        <v>22</v>
      </c>
      <c r="C57" s="116" t="s">
        <v>140</v>
      </c>
      <c r="D57" s="302">
        <f t="shared" si="2"/>
        <v>0</v>
      </c>
      <c r="E57" s="302">
        <f t="shared" si="2"/>
        <v>0</v>
      </c>
      <c r="F57" s="302">
        <f t="shared" si="2"/>
        <v>0</v>
      </c>
      <c r="G57" s="302">
        <f t="shared" si="2"/>
        <v>0</v>
      </c>
      <c r="H57" s="194"/>
      <c r="I57" s="346"/>
      <c r="J57" s="72"/>
    </row>
    <row r="58" spans="2:10">
      <c r="B58" s="76" t="s">
        <v>23</v>
      </c>
      <c r="C58" s="116" t="s">
        <v>140</v>
      </c>
      <c r="D58" s="302">
        <f t="shared" si="2"/>
        <v>0</v>
      </c>
      <c r="E58" s="302">
        <f t="shared" si="2"/>
        <v>0</v>
      </c>
      <c r="F58" s="302">
        <f t="shared" si="2"/>
        <v>0</v>
      </c>
      <c r="G58" s="302">
        <f t="shared" si="2"/>
        <v>0</v>
      </c>
      <c r="H58" s="194"/>
      <c r="I58" s="346"/>
      <c r="J58" s="72"/>
    </row>
    <row r="59" spans="2:10">
      <c r="B59" s="76" t="s">
        <v>116</v>
      </c>
      <c r="C59" s="116" t="s">
        <v>140</v>
      </c>
      <c r="D59" s="302">
        <f t="shared" si="2"/>
        <v>0</v>
      </c>
      <c r="E59" s="302">
        <f t="shared" si="2"/>
        <v>0</v>
      </c>
      <c r="F59" s="302">
        <f t="shared" si="2"/>
        <v>0</v>
      </c>
      <c r="G59" s="302">
        <f t="shared" si="2"/>
        <v>0</v>
      </c>
      <c r="H59" s="194"/>
      <c r="I59" s="346"/>
      <c r="J59" s="72"/>
    </row>
    <row r="60" spans="2:10">
      <c r="B60" s="76" t="s">
        <v>24</v>
      </c>
      <c r="C60" s="116" t="s">
        <v>140</v>
      </c>
      <c r="D60" s="302">
        <f t="shared" si="2"/>
        <v>0</v>
      </c>
      <c r="E60" s="302">
        <f t="shared" si="2"/>
        <v>0</v>
      </c>
      <c r="F60" s="302">
        <f t="shared" si="2"/>
        <v>0</v>
      </c>
      <c r="G60" s="302">
        <f t="shared" si="2"/>
        <v>0</v>
      </c>
      <c r="H60" s="133"/>
      <c r="I60" s="346"/>
      <c r="J60" s="72"/>
    </row>
    <row r="61" spans="2:10" ht="14.4" thickBot="1">
      <c r="B61" s="113"/>
      <c r="C61" s="112"/>
      <c r="D61" s="111"/>
      <c r="E61" s="70"/>
      <c r="F61" s="70"/>
      <c r="G61" s="70"/>
      <c r="H61" s="70"/>
      <c r="I61" s="451"/>
      <c r="J61" s="88"/>
    </row>
    <row r="64" spans="2:10" ht="16.2" thickBot="1">
      <c r="B64" s="87" t="s">
        <v>117</v>
      </c>
    </row>
    <row r="65" spans="2:10">
      <c r="B65" s="86"/>
      <c r="C65" s="108"/>
      <c r="D65" s="83"/>
      <c r="E65" s="83"/>
      <c r="F65" s="83"/>
      <c r="G65" s="83"/>
      <c r="H65" s="83"/>
      <c r="I65" s="455" t="s">
        <v>97</v>
      </c>
      <c r="J65" s="81" t="s">
        <v>98</v>
      </c>
    </row>
    <row r="66" spans="2:10">
      <c r="B66" s="107"/>
      <c r="C66" s="106" t="s">
        <v>99</v>
      </c>
      <c r="D66" s="105">
        <v>2015</v>
      </c>
      <c r="E66" s="104">
        <v>2020</v>
      </c>
      <c r="F66" s="104">
        <v>2035</v>
      </c>
      <c r="G66" s="104">
        <v>2050</v>
      </c>
      <c r="H66" s="104"/>
      <c r="I66" s="454"/>
      <c r="J66" s="102"/>
    </row>
    <row r="67" spans="2:10">
      <c r="B67" s="76" t="s">
        <v>25</v>
      </c>
      <c r="C67" s="93" t="s">
        <v>152</v>
      </c>
      <c r="D67" s="384">
        <f>0.045</f>
        <v>4.4999999999999998E-2</v>
      </c>
      <c r="E67" s="384">
        <v>4.4999999999999998E-2</v>
      </c>
      <c r="F67" s="384">
        <v>4.1000000000000002E-2</v>
      </c>
      <c r="G67" s="384">
        <v>3.6999999999999998E-2</v>
      </c>
      <c r="H67" s="355"/>
      <c r="I67" s="449" t="s">
        <v>608</v>
      </c>
      <c r="J67" s="72"/>
    </row>
    <row r="68" spans="2:10">
      <c r="B68" s="76"/>
      <c r="C68" s="93"/>
      <c r="D68" s="452"/>
      <c r="E68" s="355"/>
      <c r="F68" s="355"/>
      <c r="G68" s="355"/>
      <c r="H68" s="355"/>
      <c r="I68" s="449"/>
      <c r="J68" s="72"/>
    </row>
    <row r="69" spans="2:10">
      <c r="B69" s="76" t="s">
        <v>121</v>
      </c>
      <c r="C69" s="93" t="s">
        <v>122</v>
      </c>
      <c r="D69" s="453">
        <v>250000</v>
      </c>
      <c r="E69" s="453">
        <v>250000</v>
      </c>
      <c r="F69" s="453">
        <v>250000</v>
      </c>
      <c r="G69" s="453">
        <v>250000</v>
      </c>
      <c r="H69" s="453"/>
      <c r="I69" s="449" t="s">
        <v>609</v>
      </c>
      <c r="J69" s="72" t="s">
        <v>209</v>
      </c>
    </row>
    <row r="70" spans="2:10">
      <c r="B70" s="237" t="s">
        <v>391</v>
      </c>
      <c r="C70" s="93" t="s">
        <v>390</v>
      </c>
      <c r="D70" s="410">
        <v>227</v>
      </c>
      <c r="E70" s="410">
        <v>227</v>
      </c>
      <c r="F70" s="410">
        <v>227</v>
      </c>
      <c r="G70" s="410">
        <v>227</v>
      </c>
      <c r="H70" s="96"/>
      <c r="I70" s="449"/>
      <c r="J70" s="117"/>
    </row>
    <row r="71" spans="2:10">
      <c r="B71" s="237" t="s">
        <v>403</v>
      </c>
      <c r="C71" s="93" t="s">
        <v>110</v>
      </c>
      <c r="D71" s="408">
        <f>+D67*D69/1000</f>
        <v>11.25</v>
      </c>
      <c r="E71" s="408">
        <f>+E67*E69/1000</f>
        <v>11.25</v>
      </c>
      <c r="F71" s="408">
        <f>+F67*F69/1000</f>
        <v>10.25</v>
      </c>
      <c r="G71" s="408">
        <f>+G67*G69/1000</f>
        <v>9.25</v>
      </c>
      <c r="H71" s="75"/>
      <c r="I71" s="449"/>
      <c r="J71" s="72"/>
    </row>
    <row r="72" spans="2:10">
      <c r="B72" s="237" t="s">
        <v>402</v>
      </c>
      <c r="C72" s="93" t="s">
        <v>17</v>
      </c>
      <c r="D72" s="407">
        <f>D73*1000/(D67)</f>
        <v>2868.3308859520316</v>
      </c>
      <c r="E72" s="407">
        <f>E73*1000/(E67)</f>
        <v>2868.3308859520316</v>
      </c>
      <c r="F72" s="407">
        <f>F73*1000/(F67)</f>
        <v>3148.1680455571077</v>
      </c>
      <c r="G72" s="407">
        <f>G73*1000/(G67)</f>
        <v>3488.5105369686871</v>
      </c>
      <c r="H72" s="405"/>
      <c r="I72" s="346" t="s">
        <v>555</v>
      </c>
      <c r="J72" s="72" t="s">
        <v>204</v>
      </c>
    </row>
    <row r="73" spans="2:10">
      <c r="B73" s="237" t="s">
        <v>124</v>
      </c>
      <c r="C73" s="93" t="s">
        <v>401</v>
      </c>
      <c r="D73" s="406">
        <f>29.3/D70</f>
        <v>0.12907488986784141</v>
      </c>
      <c r="E73" s="406">
        <f>29.3/E70</f>
        <v>0.12907488986784141</v>
      </c>
      <c r="F73" s="406">
        <f>29.3/F70</f>
        <v>0.12907488986784141</v>
      </c>
      <c r="G73" s="406">
        <f>29.3/G70</f>
        <v>0.12907488986784141</v>
      </c>
      <c r="H73" s="299"/>
      <c r="I73" s="346"/>
      <c r="J73" s="72"/>
    </row>
    <row r="74" spans="2:10">
      <c r="B74" s="76"/>
      <c r="C74" s="93"/>
      <c r="D74" s="452"/>
      <c r="E74" s="95"/>
      <c r="F74" s="95"/>
      <c r="G74" s="95"/>
      <c r="H74" s="95"/>
      <c r="I74" s="449" t="s">
        <v>555</v>
      </c>
      <c r="J74" s="72"/>
    </row>
    <row r="75" spans="2:10" ht="14.4" thickBot="1">
      <c r="B75" s="71"/>
      <c r="C75" s="89"/>
      <c r="D75" s="191"/>
      <c r="E75" s="191"/>
      <c r="F75" s="191"/>
      <c r="G75" s="191"/>
      <c r="H75" s="191"/>
      <c r="I75" s="451"/>
      <c r="J75" s="88"/>
    </row>
    <row r="76" spans="2:10">
      <c r="D76" s="189"/>
      <c r="E76" s="189"/>
      <c r="F76" s="189"/>
      <c r="G76" s="189"/>
      <c r="H76" s="189"/>
    </row>
    <row r="77" spans="2:10" ht="16.2" thickBot="1">
      <c r="B77" s="87" t="s">
        <v>126</v>
      </c>
    </row>
    <row r="78" spans="2:10">
      <c r="B78" s="86" t="s">
        <v>150</v>
      </c>
      <c r="C78" s="83"/>
      <c r="D78" s="450">
        <v>7.0000000000000007E-2</v>
      </c>
      <c r="E78" s="164">
        <v>6.7000000000000004E-2</v>
      </c>
      <c r="F78" s="164">
        <v>5.5E-2</v>
      </c>
      <c r="G78" s="164">
        <v>4.8000000000000001E-2</v>
      </c>
      <c r="H78" s="164"/>
      <c r="I78" s="348" t="s">
        <v>608</v>
      </c>
      <c r="J78" s="81"/>
    </row>
    <row r="79" spans="2:10">
      <c r="B79" s="76"/>
      <c r="C79" s="75"/>
      <c r="D79" s="75"/>
      <c r="E79" s="75"/>
      <c r="F79" s="75"/>
      <c r="G79" s="75"/>
      <c r="H79" s="75"/>
      <c r="I79" s="449"/>
      <c r="J79" s="72"/>
    </row>
    <row r="80" spans="2:10">
      <c r="B80" s="76" t="s">
        <v>20</v>
      </c>
      <c r="C80" s="75" t="s">
        <v>27</v>
      </c>
      <c r="D80" s="179">
        <v>0</v>
      </c>
      <c r="E80" s="179">
        <v>0</v>
      </c>
      <c r="F80" s="179">
        <v>0</v>
      </c>
      <c r="G80" s="179">
        <v>0</v>
      </c>
      <c r="H80" s="179"/>
      <c r="I80" s="449"/>
      <c r="J80" s="72"/>
    </row>
    <row r="81" spans="2:10" ht="12.75" customHeight="1">
      <c r="B81" s="76" t="s">
        <v>21</v>
      </c>
      <c r="C81" s="75" t="s">
        <v>27</v>
      </c>
      <c r="D81" s="179">
        <v>0</v>
      </c>
      <c r="E81" s="179">
        <v>0</v>
      </c>
      <c r="F81" s="179">
        <v>0</v>
      </c>
      <c r="G81" s="179">
        <v>0</v>
      </c>
      <c r="H81" s="179"/>
      <c r="I81" s="449"/>
      <c r="J81" s="72"/>
    </row>
    <row r="82" spans="2:10" ht="12.75" customHeight="1">
      <c r="B82" s="76" t="s">
        <v>22</v>
      </c>
      <c r="C82" s="75" t="s">
        <v>27</v>
      </c>
      <c r="D82" s="179">
        <v>0</v>
      </c>
      <c r="E82" s="179">
        <v>0</v>
      </c>
      <c r="F82" s="179">
        <v>0</v>
      </c>
      <c r="G82" s="179">
        <v>0</v>
      </c>
      <c r="H82" s="179"/>
      <c r="I82" s="449"/>
      <c r="J82" s="72"/>
    </row>
    <row r="83" spans="2:10" ht="12.75" customHeight="1">
      <c r="B83" s="76" t="s">
        <v>23</v>
      </c>
      <c r="C83" s="75" t="s">
        <v>27</v>
      </c>
      <c r="D83" s="179">
        <v>0</v>
      </c>
      <c r="E83" s="179">
        <v>0</v>
      </c>
      <c r="F83" s="179">
        <v>0</v>
      </c>
      <c r="G83" s="179">
        <v>0</v>
      </c>
      <c r="H83" s="179"/>
      <c r="I83" s="449"/>
      <c r="J83" s="72"/>
    </row>
    <row r="84" spans="2:10" ht="12.75" customHeight="1">
      <c r="B84" s="76" t="s">
        <v>116</v>
      </c>
      <c r="C84" s="75" t="s">
        <v>27</v>
      </c>
      <c r="D84" s="179">
        <v>0</v>
      </c>
      <c r="E84" s="179">
        <v>0</v>
      </c>
      <c r="F84" s="179">
        <v>0</v>
      </c>
      <c r="G84" s="179">
        <v>0</v>
      </c>
      <c r="H84" s="179"/>
      <c r="I84" s="449"/>
      <c r="J84" s="72"/>
    </row>
    <row r="85" spans="2:10">
      <c r="B85" s="76" t="s">
        <v>24</v>
      </c>
      <c r="C85" s="75" t="s">
        <v>27</v>
      </c>
      <c r="D85" s="179">
        <v>0</v>
      </c>
      <c r="E85" s="179">
        <v>0</v>
      </c>
      <c r="F85" s="179">
        <v>0</v>
      </c>
      <c r="G85" s="179">
        <v>0</v>
      </c>
      <c r="H85" s="179"/>
      <c r="I85" s="449"/>
      <c r="J85" s="72"/>
    </row>
    <row r="86" spans="2:10" ht="14.4" thickBot="1">
      <c r="B86" s="71"/>
      <c r="C86" s="70"/>
      <c r="D86" s="70"/>
      <c r="E86" s="70"/>
      <c r="F86" s="70"/>
      <c r="G86" s="70"/>
      <c r="H86" s="70"/>
      <c r="I86" s="448"/>
      <c r="J86" s="88"/>
    </row>
    <row r="87" spans="2:10" ht="13.5" customHeight="1"/>
    <row r="88" spans="2:10" ht="12.75" customHeight="1"/>
    <row r="89" spans="2:10" ht="12.75" customHeight="1">
      <c r="B89" s="87"/>
      <c r="F89" s="66"/>
      <c r="G89" s="66"/>
      <c r="H89" s="66"/>
    </row>
    <row r="90" spans="2:10" ht="16.5" customHeight="1">
      <c r="B90" s="1751"/>
      <c r="C90" s="1751"/>
      <c r="D90" s="1751"/>
      <c r="E90" s="1751"/>
      <c r="F90" s="1751"/>
      <c r="G90" s="1751"/>
      <c r="H90" s="1751"/>
      <c r="I90" s="1751"/>
      <c r="J90" s="1751"/>
    </row>
    <row r="91" spans="2:10" ht="12.75" customHeight="1">
      <c r="B91" s="441"/>
      <c r="C91" s="441"/>
      <c r="D91" s="441"/>
      <c r="E91" s="441"/>
      <c r="F91" s="441"/>
      <c r="G91" s="441"/>
      <c r="H91" s="441"/>
      <c r="I91" s="446"/>
      <c r="J91" s="441"/>
    </row>
    <row r="92" spans="2:10">
      <c r="B92" s="1751"/>
      <c r="C92" s="1751"/>
      <c r="D92" s="1751"/>
      <c r="E92" s="1751"/>
      <c r="F92" s="1751"/>
      <c r="G92" s="1751"/>
      <c r="H92" s="1751"/>
      <c r="I92" s="1751"/>
      <c r="J92" s="1751"/>
    </row>
    <row r="93" spans="2:10">
      <c r="B93" s="373"/>
      <c r="C93" s="373"/>
      <c r="D93" s="373"/>
      <c r="E93" s="373"/>
      <c r="F93" s="373"/>
      <c r="G93" s="373"/>
      <c r="H93" s="373"/>
      <c r="I93" s="447"/>
      <c r="J93" s="373"/>
    </row>
    <row r="94" spans="2:10" ht="12.75" customHeight="1">
      <c r="B94" s="1751"/>
      <c r="C94" s="1751"/>
      <c r="D94" s="1751"/>
      <c r="E94" s="1751"/>
      <c r="F94" s="1751"/>
      <c r="G94" s="1751"/>
      <c r="H94" s="1751"/>
      <c r="I94" s="1751"/>
      <c r="J94" s="1751"/>
    </row>
    <row r="95" spans="2:10">
      <c r="B95" s="1751"/>
      <c r="C95" s="1751"/>
      <c r="D95" s="1751"/>
      <c r="E95" s="1751"/>
      <c r="F95" s="1751"/>
      <c r="G95" s="1751"/>
      <c r="H95" s="1751"/>
      <c r="I95" s="1751"/>
      <c r="J95" s="1751"/>
    </row>
    <row r="96" spans="2:10">
      <c r="B96" s="1751"/>
      <c r="C96" s="1751"/>
      <c r="D96" s="1751"/>
      <c r="E96" s="1751"/>
      <c r="F96" s="1751"/>
      <c r="G96" s="1751"/>
      <c r="H96" s="1751"/>
      <c r="I96" s="1751"/>
      <c r="J96" s="1751"/>
    </row>
    <row r="97" spans="2:10" ht="12.75" customHeight="1">
      <c r="B97" s="1751"/>
      <c r="C97" s="1751"/>
      <c r="D97" s="1751"/>
      <c r="E97" s="1751"/>
      <c r="F97" s="1751"/>
      <c r="G97" s="1751"/>
      <c r="H97" s="1751"/>
      <c r="I97" s="1751"/>
      <c r="J97" s="1751"/>
    </row>
    <row r="98" spans="2:10" ht="12.75" customHeight="1">
      <c r="B98" s="1751"/>
      <c r="C98" s="1751"/>
      <c r="D98" s="1751"/>
      <c r="E98" s="1751"/>
      <c r="F98" s="1751"/>
      <c r="G98" s="1751"/>
      <c r="H98" s="1751"/>
      <c r="I98" s="1751"/>
      <c r="J98" s="1751"/>
    </row>
    <row r="99" spans="2:10" ht="12.75" customHeight="1">
      <c r="B99" s="441"/>
      <c r="C99" s="441"/>
      <c r="D99" s="441"/>
      <c r="E99" s="441"/>
      <c r="F99" s="441"/>
      <c r="G99" s="441"/>
      <c r="H99" s="439"/>
      <c r="I99" s="446"/>
      <c r="J99" s="441"/>
    </row>
    <row r="100" spans="2:10" ht="13.5" customHeight="1">
      <c r="H100" s="66"/>
    </row>
    <row r="101" spans="2:10" ht="12.75" customHeight="1"/>
    <row r="102" spans="2:10" ht="12.75" customHeight="1"/>
    <row r="103" spans="2:10" ht="12.75" customHeight="1"/>
    <row r="105" spans="2:10">
      <c r="E105" s="185"/>
    </row>
  </sheetData>
  <mergeCells count="10">
    <mergeCell ref="B98:J98"/>
    <mergeCell ref="B90:J90"/>
    <mergeCell ref="B12:N13"/>
    <mergeCell ref="B14:N15"/>
    <mergeCell ref="J47:J48"/>
    <mergeCell ref="B92:J92"/>
    <mergeCell ref="B94:J94"/>
    <mergeCell ref="B95:J95"/>
    <mergeCell ref="B96:J96"/>
    <mergeCell ref="B97:J97"/>
  </mergeCells>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'C:\Users\B003920\Desktop\[Kopi af alternativ_drivmiddelmodel_3.0_2.xlsm]Sheet1'!#REF!</xm:f>
          </x14:formula1>
          <xm:sqref>C9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0">
    <tabColor rgb="FF002060"/>
    <pageSetUpPr fitToPage="1"/>
  </sheetPr>
  <dimension ref="B1:R114"/>
  <sheetViews>
    <sheetView topLeftCell="A17" zoomScale="80" zoomScaleNormal="80" workbookViewId="0">
      <selection activeCell="I47" sqref="I47"/>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10" style="63" customWidth="1"/>
    <col min="10" max="10" width="48.5546875" style="63" customWidth="1"/>
    <col min="11" max="11" width="10" style="63" bestFit="1" customWidth="1"/>
    <col min="12" max="12" width="15.88671875" style="63" customWidth="1"/>
    <col min="13" max="14" width="9" style="63" bestFit="1" customWidth="1"/>
    <col min="15" max="15" width="37.88671875" style="63" customWidth="1"/>
    <col min="16" max="16384" width="8.88671875" style="63"/>
  </cols>
  <sheetData>
    <row r="1" spans="2:18" s="60" customFormat="1" ht="21">
      <c r="B1" s="60" t="s">
        <v>203</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24" t="s">
        <v>201</v>
      </c>
      <c r="C6" s="429"/>
      <c r="D6" s="429"/>
      <c r="E6" s="429"/>
      <c r="F6" s="429"/>
      <c r="G6" s="429"/>
      <c r="H6" s="429"/>
      <c r="I6" s="429"/>
      <c r="J6" s="429"/>
      <c r="K6" s="429"/>
      <c r="L6" s="429"/>
      <c r="M6" s="429"/>
      <c r="N6" s="428"/>
    </row>
    <row r="7" spans="2:18">
      <c r="B7" s="430"/>
      <c r="C7" s="429"/>
      <c r="D7" s="429"/>
      <c r="E7" s="429"/>
      <c r="F7" s="429"/>
      <c r="G7" s="429"/>
      <c r="H7" s="429"/>
      <c r="I7" s="429"/>
      <c r="J7" s="429"/>
      <c r="K7" s="429"/>
      <c r="L7" s="429"/>
      <c r="M7" s="429"/>
      <c r="N7" s="428"/>
    </row>
    <row r="8" spans="2:18">
      <c r="B8" s="430"/>
      <c r="C8" s="429"/>
      <c r="D8" s="429"/>
      <c r="E8" s="429"/>
      <c r="F8" s="429"/>
      <c r="G8" s="429"/>
      <c r="H8" s="429"/>
      <c r="I8" s="429"/>
      <c r="J8" s="429"/>
      <c r="K8" s="429"/>
      <c r="L8" s="429"/>
      <c r="M8" s="429"/>
      <c r="N8" s="428"/>
    </row>
    <row r="9" spans="2:18">
      <c r="B9" s="154" t="s">
        <v>233</v>
      </c>
      <c r="C9" s="59" t="s">
        <v>232</v>
      </c>
      <c r="D9" s="429"/>
      <c r="E9" s="429"/>
      <c r="F9" s="429"/>
      <c r="G9" s="429"/>
      <c r="H9" s="429"/>
      <c r="I9" s="429"/>
      <c r="J9" s="429"/>
      <c r="K9" s="429"/>
      <c r="L9" s="429"/>
      <c r="M9" s="429"/>
      <c r="N9" s="428"/>
    </row>
    <row r="10" spans="2:18" ht="24" customHeight="1">
      <c r="B10" s="430"/>
      <c r="C10" s="429"/>
      <c r="D10" s="429"/>
      <c r="E10" s="429"/>
      <c r="F10" s="429"/>
      <c r="G10" s="429"/>
      <c r="H10" s="429"/>
      <c r="I10" s="429"/>
      <c r="J10" s="429"/>
      <c r="K10" s="429"/>
      <c r="L10" s="429"/>
      <c r="M10" s="429"/>
      <c r="N10" s="428"/>
    </row>
    <row r="11" spans="2:18">
      <c r="B11" s="427" t="s">
        <v>94</v>
      </c>
      <c r="C11" s="426"/>
      <c r="D11" s="426"/>
      <c r="E11" s="426"/>
      <c r="F11" s="426"/>
      <c r="G11" s="426"/>
      <c r="H11" s="75"/>
      <c r="I11" s="426"/>
      <c r="J11" s="426"/>
      <c r="K11" s="426"/>
      <c r="L11" s="426"/>
      <c r="M11" s="426"/>
      <c r="N11" s="425"/>
    </row>
    <row r="12" spans="2:18">
      <c r="B12" s="424" t="s">
        <v>200</v>
      </c>
      <c r="C12" s="423"/>
      <c r="D12" s="423"/>
      <c r="E12" s="423"/>
      <c r="F12" s="423"/>
      <c r="G12" s="423"/>
      <c r="H12" s="423"/>
      <c r="I12" s="423"/>
      <c r="J12" s="423"/>
      <c r="K12" s="423"/>
      <c r="L12" s="423"/>
      <c r="M12" s="423"/>
      <c r="N12" s="422"/>
    </row>
    <row r="13" spans="2:18" ht="17.25" customHeight="1">
      <c r="B13" s="424"/>
      <c r="C13" s="423"/>
      <c r="D13" s="423"/>
      <c r="E13" s="423"/>
      <c r="F13" s="423"/>
      <c r="G13" s="423"/>
      <c r="H13" s="423"/>
      <c r="I13" s="423"/>
      <c r="J13" s="423"/>
      <c r="K13" s="423"/>
      <c r="L13" s="423"/>
      <c r="M13" s="423"/>
      <c r="N13" s="422"/>
    </row>
    <row r="14" spans="2:18">
      <c r="B14" s="424" t="s">
        <v>199</v>
      </c>
      <c r="C14" s="423"/>
      <c r="D14" s="423"/>
      <c r="E14" s="423"/>
      <c r="F14" s="423"/>
      <c r="G14" s="423"/>
      <c r="H14" s="423"/>
      <c r="I14" s="423"/>
      <c r="J14" s="423"/>
      <c r="K14" s="423"/>
      <c r="L14" s="423"/>
      <c r="M14" s="423"/>
      <c r="N14" s="422"/>
    </row>
    <row r="15" spans="2:18">
      <c r="B15" s="424"/>
      <c r="C15" s="423"/>
      <c r="D15" s="423"/>
      <c r="E15" s="423"/>
      <c r="F15" s="423"/>
      <c r="G15" s="423"/>
      <c r="H15" s="423"/>
      <c r="I15" s="423"/>
      <c r="J15" s="423"/>
      <c r="K15" s="423"/>
      <c r="L15" s="423"/>
      <c r="M15" s="423"/>
      <c r="N15" s="422"/>
    </row>
    <row r="16" spans="2:18">
      <c r="B16" s="424"/>
      <c r="C16" s="423"/>
      <c r="D16" s="423"/>
      <c r="E16" s="423"/>
      <c r="F16" s="423"/>
      <c r="G16" s="423"/>
      <c r="H16" s="423"/>
      <c r="I16" s="423"/>
      <c r="J16" s="423"/>
      <c r="K16" s="423"/>
      <c r="L16" s="423"/>
      <c r="M16" s="423"/>
      <c r="N16" s="422"/>
    </row>
    <row r="17" spans="2:14" ht="18" customHeight="1" thickBot="1">
      <c r="B17" s="421"/>
      <c r="C17" s="420"/>
      <c r="D17" s="420"/>
      <c r="E17" s="420"/>
      <c r="F17" s="420"/>
      <c r="G17" s="420"/>
      <c r="H17" s="420"/>
      <c r="I17" s="420"/>
      <c r="J17" s="420"/>
      <c r="K17" s="420"/>
      <c r="L17" s="420"/>
      <c r="M17" s="420"/>
      <c r="N17" s="419"/>
    </row>
    <row r="19" spans="2:14" ht="13.5" customHeight="1" thickBot="1">
      <c r="B19" s="152" t="s">
        <v>96</v>
      </c>
      <c r="E19" s="151"/>
    </row>
    <row r="20" spans="2:14" ht="12.75" customHeight="1">
      <c r="B20" s="86"/>
      <c r="C20" s="108"/>
      <c r="D20" s="83"/>
      <c r="E20" s="83"/>
      <c r="F20" s="83"/>
      <c r="G20" s="83"/>
      <c r="H20" s="83"/>
      <c r="I20" s="83" t="s">
        <v>97</v>
      </c>
      <c r="J20" s="81" t="s">
        <v>98</v>
      </c>
    </row>
    <row r="21" spans="2:14" ht="12.75" customHeight="1">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75"/>
      <c r="J22" s="72"/>
    </row>
    <row r="23" spans="2:14">
      <c r="B23" s="143" t="s">
        <v>102</v>
      </c>
      <c r="C23" s="116" t="s">
        <v>198</v>
      </c>
      <c r="D23" s="148">
        <f>D67/D79</f>
        <v>0.1111111111111111</v>
      </c>
      <c r="E23" s="148">
        <f>E67/E79</f>
        <v>0.11600000000000001</v>
      </c>
      <c r="F23" s="148">
        <f>F67/F79</f>
        <v>0.13181818181818183</v>
      </c>
      <c r="G23" s="148">
        <f>G67/G79</f>
        <v>0.13181818181818183</v>
      </c>
      <c r="H23" s="145"/>
      <c r="I23" s="346" t="s">
        <v>608</v>
      </c>
      <c r="J23" s="139"/>
    </row>
    <row r="24" spans="2:14">
      <c r="B24" s="143" t="s">
        <v>103</v>
      </c>
      <c r="C24" s="116" t="s">
        <v>198</v>
      </c>
      <c r="D24" s="416">
        <f>D23</f>
        <v>0.1111111111111111</v>
      </c>
      <c r="E24" s="416">
        <f>E23</f>
        <v>0.11600000000000001</v>
      </c>
      <c r="F24" s="416">
        <f>F23</f>
        <v>0.13181818181818183</v>
      </c>
      <c r="G24" s="416">
        <f>G23</f>
        <v>0.13181818181818183</v>
      </c>
      <c r="H24" s="145"/>
      <c r="I24" s="184" t="s">
        <v>608</v>
      </c>
      <c r="J24" s="139"/>
    </row>
    <row r="25" spans="2:14">
      <c r="B25" s="143" t="s">
        <v>197</v>
      </c>
      <c r="C25" s="116" t="s">
        <v>105</v>
      </c>
      <c r="D25" s="416">
        <f>D79</f>
        <v>0.27</v>
      </c>
      <c r="E25" s="416">
        <f>E79</f>
        <v>0.25</v>
      </c>
      <c r="F25" s="416">
        <f>F79</f>
        <v>0.22</v>
      </c>
      <c r="G25" s="416">
        <f>G79</f>
        <v>0.22</v>
      </c>
      <c r="H25" s="140"/>
      <c r="I25" s="184"/>
      <c r="J25" s="139"/>
    </row>
    <row r="26" spans="2:14">
      <c r="B26" s="143" t="s">
        <v>196</v>
      </c>
      <c r="C26" s="116" t="s">
        <v>105</v>
      </c>
      <c r="D26" s="123">
        <f>D25*114</f>
        <v>30.78</v>
      </c>
      <c r="E26" s="123">
        <f t="shared" ref="E26:G26" si="0">E25*114</f>
        <v>28.5</v>
      </c>
      <c r="F26" s="123">
        <f t="shared" si="0"/>
        <v>25.080000000000002</v>
      </c>
      <c r="G26" s="123">
        <f t="shared" si="0"/>
        <v>25.080000000000002</v>
      </c>
      <c r="H26" s="140"/>
      <c r="I26" s="184"/>
      <c r="J26" s="139"/>
    </row>
    <row r="27" spans="2:14">
      <c r="B27" s="131" t="s">
        <v>107</v>
      </c>
      <c r="C27" s="116" t="s">
        <v>108</v>
      </c>
      <c r="D27" s="138">
        <v>25</v>
      </c>
      <c r="E27" s="123">
        <v>17</v>
      </c>
      <c r="F27" s="123">
        <v>17</v>
      </c>
      <c r="G27" s="123">
        <v>17</v>
      </c>
      <c r="H27" s="123"/>
      <c r="I27" s="346"/>
      <c r="J27" s="72"/>
    </row>
    <row r="28" spans="2:14">
      <c r="B28" s="131" t="s">
        <v>109</v>
      </c>
      <c r="C28" s="116" t="s">
        <v>110</v>
      </c>
      <c r="D28" s="136">
        <f>+D71</f>
        <v>4.5</v>
      </c>
      <c r="E28" s="136">
        <f>+E71</f>
        <v>4.3499999999999996</v>
      </c>
      <c r="F28" s="136">
        <f>+F71</f>
        <v>4.3499999999999996</v>
      </c>
      <c r="G28" s="136">
        <f>+G71</f>
        <v>4.3499999999999996</v>
      </c>
      <c r="H28" s="136"/>
      <c r="I28" s="184"/>
      <c r="J28" s="72"/>
    </row>
    <row r="29" spans="2:14">
      <c r="B29" s="76"/>
      <c r="C29" s="135"/>
      <c r="D29" s="96"/>
      <c r="E29" s="96"/>
      <c r="F29" s="96"/>
      <c r="G29" s="96"/>
      <c r="H29" s="96"/>
      <c r="I29" s="75"/>
      <c r="J29" s="72"/>
    </row>
    <row r="30" spans="2:14">
      <c r="B30" s="126" t="s">
        <v>111</v>
      </c>
      <c r="C30" s="116"/>
      <c r="D30" s="96"/>
      <c r="E30" s="96"/>
      <c r="F30" s="96"/>
      <c r="G30" s="96"/>
      <c r="H30" s="96"/>
      <c r="I30" s="75"/>
      <c r="J30" s="72"/>
    </row>
    <row r="31" spans="2:14">
      <c r="B31" s="131" t="s">
        <v>112</v>
      </c>
      <c r="C31" s="116" t="s">
        <v>15</v>
      </c>
      <c r="D31" s="134">
        <v>186747.70682749152</v>
      </c>
      <c r="E31" s="134">
        <v>186747.70682749152</v>
      </c>
      <c r="F31" s="134">
        <v>186747.70682749152</v>
      </c>
      <c r="G31" s="134">
        <v>186747.70682749152</v>
      </c>
      <c r="H31" s="133">
        <v>2015</v>
      </c>
      <c r="I31" s="77"/>
      <c r="J31" s="72"/>
    </row>
    <row r="32" spans="2:14">
      <c r="B32" s="76" t="s">
        <v>16</v>
      </c>
      <c r="C32" s="116" t="s">
        <v>17</v>
      </c>
      <c r="D32" s="134">
        <v>12064.003837721759</v>
      </c>
      <c r="E32" s="134">
        <v>13241.878135913932</v>
      </c>
      <c r="F32" s="134">
        <v>13241.878135913932</v>
      </c>
      <c r="G32" s="134">
        <v>13241.878135913932</v>
      </c>
      <c r="H32" s="133">
        <v>2015</v>
      </c>
      <c r="I32" s="77"/>
      <c r="J32" s="72"/>
    </row>
    <row r="33" spans="2:10">
      <c r="B33" s="127" t="s">
        <v>18</v>
      </c>
      <c r="C33" s="116" t="s">
        <v>17</v>
      </c>
      <c r="D33" s="134">
        <v>2944.4908209792543</v>
      </c>
      <c r="E33" s="134">
        <v>3807.899153076859</v>
      </c>
      <c r="F33" s="134">
        <v>3807.899153076859</v>
      </c>
      <c r="G33" s="134">
        <v>3807.899153076859</v>
      </c>
      <c r="H33" s="133">
        <v>2015</v>
      </c>
      <c r="I33" s="77"/>
      <c r="J33" s="72"/>
    </row>
    <row r="34" spans="2:10">
      <c r="B34" s="127" t="s">
        <v>19</v>
      </c>
      <c r="C34" s="116" t="s">
        <v>17</v>
      </c>
      <c r="D34" s="134">
        <v>9119.513016742505</v>
      </c>
      <c r="E34" s="134">
        <v>9433.9789828370722</v>
      </c>
      <c r="F34" s="134">
        <v>9433.9789828370722</v>
      </c>
      <c r="G34" s="134">
        <v>9433.9789828370722</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405</v>
      </c>
      <c r="D38" s="125">
        <f>20000000/D70</f>
        <v>175438.59649122806</v>
      </c>
      <c r="E38" s="125">
        <f>20000000/E70</f>
        <v>175438.59649122806</v>
      </c>
      <c r="F38" s="125">
        <f>20000000/F70</f>
        <v>175438.59649122806</v>
      </c>
      <c r="G38" s="125">
        <f>20000000/G70</f>
        <v>175438.59649122806</v>
      </c>
      <c r="H38" s="128">
        <v>2011</v>
      </c>
      <c r="I38" s="346" t="s">
        <v>612</v>
      </c>
      <c r="J38" s="72" t="s">
        <v>404</v>
      </c>
    </row>
    <row r="39" spans="2:10">
      <c r="B39" s="237" t="s">
        <v>16</v>
      </c>
      <c r="C39" s="116" t="s">
        <v>17</v>
      </c>
      <c r="D39" s="255">
        <f>SUM(D40:D43)</f>
        <v>11333.429134472892</v>
      </c>
      <c r="E39" s="255">
        <f>SUM(E40:E43)</f>
        <v>12439.97345155419</v>
      </c>
      <c r="F39" s="255">
        <f>SUM(F40:F43)</f>
        <v>12439.97345155419</v>
      </c>
      <c r="G39" s="255">
        <f>SUM(G40:G43)</f>
        <v>12439.97345155419</v>
      </c>
      <c r="H39" s="128">
        <v>2011</v>
      </c>
      <c r="I39" s="346"/>
      <c r="J39" s="72"/>
    </row>
    <row r="40" spans="2:10">
      <c r="B40" s="127" t="s">
        <v>18</v>
      </c>
      <c r="C40" s="116" t="s">
        <v>17</v>
      </c>
      <c r="D40" s="415">
        <v>2766.1776724845859</v>
      </c>
      <c r="E40" s="415">
        <v>3577.2995253593913</v>
      </c>
      <c r="F40" s="415">
        <v>3577.2995253593913</v>
      </c>
      <c r="G40" s="415">
        <v>3577.2995253593913</v>
      </c>
      <c r="H40" s="128">
        <v>2011</v>
      </c>
      <c r="I40" s="346" t="s">
        <v>609</v>
      </c>
      <c r="J40" s="72" t="s">
        <v>195</v>
      </c>
    </row>
    <row r="41" spans="2:10">
      <c r="B41" s="127" t="s">
        <v>19</v>
      </c>
      <c r="C41" s="116" t="s">
        <v>17</v>
      </c>
      <c r="D41" s="414">
        <f>D72</f>
        <v>8567.2514619883059</v>
      </c>
      <c r="E41" s="414">
        <f>E72</f>
        <v>8862.6739261947987</v>
      </c>
      <c r="F41" s="414">
        <f>F72</f>
        <v>8862.6739261947987</v>
      </c>
      <c r="G41" s="414">
        <f>G72</f>
        <v>8862.6739261947987</v>
      </c>
      <c r="H41" s="128">
        <v>2011</v>
      </c>
      <c r="I41" s="346" t="s">
        <v>609</v>
      </c>
      <c r="J41" s="72" t="s">
        <v>195</v>
      </c>
    </row>
    <row r="42" spans="2:10">
      <c r="B42" s="127"/>
      <c r="C42" s="116"/>
      <c r="D42" s="96"/>
      <c r="E42" s="96"/>
      <c r="F42" s="96"/>
      <c r="G42" s="96"/>
      <c r="H42" s="128"/>
      <c r="I42" s="346"/>
      <c r="J42" s="72"/>
    </row>
    <row r="43" spans="2:10">
      <c r="B43" s="127" t="s">
        <v>113</v>
      </c>
      <c r="C43" s="116" t="s">
        <v>17</v>
      </c>
      <c r="D43" s="413">
        <v>0</v>
      </c>
      <c r="E43" s="413">
        <v>0</v>
      </c>
      <c r="F43" s="413">
        <v>0</v>
      </c>
      <c r="G43" s="413">
        <v>0</v>
      </c>
      <c r="H43" s="128">
        <v>2011</v>
      </c>
      <c r="I43" s="346"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134</v>
      </c>
      <c r="D47" s="412"/>
      <c r="E47" s="412"/>
      <c r="F47" s="412"/>
      <c r="G47" s="412"/>
      <c r="H47" s="124"/>
      <c r="I47" s="1230"/>
      <c r="J47" s="72"/>
    </row>
    <row r="48" spans="2:10">
      <c r="B48" s="76" t="s">
        <v>21</v>
      </c>
      <c r="C48" s="116" t="s">
        <v>134</v>
      </c>
      <c r="D48" s="302"/>
      <c r="E48" s="302"/>
      <c r="F48" s="302"/>
      <c r="G48" s="302"/>
      <c r="H48" s="118"/>
      <c r="I48" s="184"/>
      <c r="J48" s="72"/>
    </row>
    <row r="49" spans="2:10">
      <c r="B49" s="76" t="s">
        <v>22</v>
      </c>
      <c r="C49" s="116" t="s">
        <v>134</v>
      </c>
      <c r="D49" s="302"/>
      <c r="E49" s="302"/>
      <c r="F49" s="302"/>
      <c r="G49" s="302"/>
      <c r="H49" s="96"/>
      <c r="I49" s="184"/>
      <c r="J49" s="72"/>
    </row>
    <row r="50" spans="2:10">
      <c r="B50" s="76" t="s">
        <v>23</v>
      </c>
      <c r="C50" s="116" t="s">
        <v>134</v>
      </c>
      <c r="D50" s="302"/>
      <c r="E50" s="302"/>
      <c r="F50" s="302"/>
      <c r="G50" s="302"/>
      <c r="H50" s="123"/>
      <c r="I50" s="184"/>
      <c r="J50" s="72"/>
    </row>
    <row r="51" spans="2:10">
      <c r="B51" s="76" t="s">
        <v>116</v>
      </c>
      <c r="C51" s="116" t="s">
        <v>134</v>
      </c>
      <c r="D51" s="302">
        <f t="shared" ref="D51:G52" si="1">D84/3.6</f>
        <v>1.3277777777777777</v>
      </c>
      <c r="E51" s="302">
        <f t="shared" si="1"/>
        <v>1.3277777777777777</v>
      </c>
      <c r="F51" s="302">
        <f t="shared" si="1"/>
        <v>1.3277777777777777</v>
      </c>
      <c r="G51" s="302">
        <f t="shared" si="1"/>
        <v>1.3277777777777777</v>
      </c>
      <c r="H51" s="96"/>
      <c r="I51" s="184"/>
      <c r="J51" s="72"/>
    </row>
    <row r="52" spans="2:10">
      <c r="B52" s="76" t="s">
        <v>24</v>
      </c>
      <c r="C52" s="116" t="s">
        <v>134</v>
      </c>
      <c r="D52" s="302">
        <f t="shared" si="1"/>
        <v>1.3333333333333332E-2</v>
      </c>
      <c r="E52" s="302">
        <f t="shared" si="1"/>
        <v>6.6666666666666675E-4</v>
      </c>
      <c r="F52" s="302">
        <f t="shared" si="1"/>
        <v>6.6666666666666675E-4</v>
      </c>
      <c r="G52" s="302">
        <f t="shared" si="1"/>
        <v>6.6666666666666675E-4</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134</v>
      </c>
      <c r="D55" s="412"/>
      <c r="E55" s="412"/>
      <c r="F55" s="412"/>
      <c r="G55" s="412"/>
      <c r="H55" s="194"/>
      <c r="I55" s="184"/>
      <c r="J55" s="72"/>
    </row>
    <row r="56" spans="2:10">
      <c r="B56" s="76" t="s">
        <v>21</v>
      </c>
      <c r="C56" s="116" t="s">
        <v>134</v>
      </c>
      <c r="D56" s="302">
        <f t="shared" ref="D56:G60" si="2">D48</f>
        <v>0</v>
      </c>
      <c r="E56" s="302">
        <f t="shared" si="2"/>
        <v>0</v>
      </c>
      <c r="F56" s="302">
        <f t="shared" si="2"/>
        <v>0</v>
      </c>
      <c r="G56" s="302">
        <f t="shared" si="2"/>
        <v>0</v>
      </c>
      <c r="H56" s="194"/>
      <c r="I56" s="184"/>
      <c r="J56" s="72"/>
    </row>
    <row r="57" spans="2:10">
      <c r="B57" s="76" t="s">
        <v>22</v>
      </c>
      <c r="C57" s="116" t="s">
        <v>134</v>
      </c>
      <c r="D57" s="302">
        <f t="shared" si="2"/>
        <v>0</v>
      </c>
      <c r="E57" s="302">
        <f t="shared" si="2"/>
        <v>0</v>
      </c>
      <c r="F57" s="302">
        <f t="shared" si="2"/>
        <v>0</v>
      </c>
      <c r="G57" s="302">
        <f t="shared" si="2"/>
        <v>0</v>
      </c>
      <c r="H57" s="194"/>
      <c r="I57" s="184"/>
      <c r="J57" s="72"/>
    </row>
    <row r="58" spans="2:10">
      <c r="B58" s="76" t="s">
        <v>23</v>
      </c>
      <c r="C58" s="116" t="s">
        <v>134</v>
      </c>
      <c r="D58" s="302">
        <f t="shared" si="2"/>
        <v>0</v>
      </c>
      <c r="E58" s="302">
        <f t="shared" si="2"/>
        <v>0</v>
      </c>
      <c r="F58" s="302">
        <f t="shared" si="2"/>
        <v>0</v>
      </c>
      <c r="G58" s="302">
        <f t="shared" si="2"/>
        <v>0</v>
      </c>
      <c r="H58" s="194"/>
      <c r="I58" s="184"/>
      <c r="J58" s="72"/>
    </row>
    <row r="59" spans="2:10">
      <c r="B59" s="76" t="s">
        <v>116</v>
      </c>
      <c r="C59" s="116" t="s">
        <v>134</v>
      </c>
      <c r="D59" s="302">
        <f t="shared" si="2"/>
        <v>1.3277777777777777</v>
      </c>
      <c r="E59" s="302">
        <f t="shared" si="2"/>
        <v>1.3277777777777777</v>
      </c>
      <c r="F59" s="302">
        <f t="shared" si="2"/>
        <v>1.3277777777777777</v>
      </c>
      <c r="G59" s="302">
        <f t="shared" si="2"/>
        <v>1.3277777777777777</v>
      </c>
      <c r="H59" s="194"/>
      <c r="I59" s="184"/>
      <c r="J59" s="72"/>
    </row>
    <row r="60" spans="2:10">
      <c r="B60" s="76" t="s">
        <v>24</v>
      </c>
      <c r="C60" s="116" t="s">
        <v>134</v>
      </c>
      <c r="D60" s="302">
        <f t="shared" si="2"/>
        <v>1.3333333333333332E-2</v>
      </c>
      <c r="E60" s="302">
        <f t="shared" si="2"/>
        <v>6.6666666666666675E-4</v>
      </c>
      <c r="F60" s="302">
        <f t="shared" si="2"/>
        <v>6.6666666666666675E-4</v>
      </c>
      <c r="G60" s="302">
        <f t="shared" si="2"/>
        <v>6.6666666666666675E-4</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105">
        <v>2015</v>
      </c>
      <c r="E66" s="104">
        <v>2020</v>
      </c>
      <c r="F66" s="104">
        <v>2035</v>
      </c>
      <c r="G66" s="104">
        <v>2050</v>
      </c>
      <c r="H66" s="104"/>
      <c r="I66" s="150" t="s">
        <v>97</v>
      </c>
      <c r="J66" s="102" t="s">
        <v>98</v>
      </c>
    </row>
    <row r="67" spans="2:10">
      <c r="B67" s="237" t="s">
        <v>25</v>
      </c>
      <c r="C67" s="93" t="s">
        <v>400</v>
      </c>
      <c r="D67" s="411">
        <v>0.03</v>
      </c>
      <c r="E67" s="411">
        <v>2.9000000000000001E-2</v>
      </c>
      <c r="F67" s="411">
        <v>2.9000000000000001E-2</v>
      </c>
      <c r="G67" s="411">
        <v>2.9000000000000001E-2</v>
      </c>
      <c r="H67" s="411"/>
      <c r="I67" s="75" t="s">
        <v>608</v>
      </c>
      <c r="J67" s="72"/>
    </row>
    <row r="68" spans="2:10">
      <c r="B68" s="237"/>
      <c r="C68" s="93"/>
      <c r="D68" s="411"/>
      <c r="E68" s="411"/>
      <c r="F68" s="411"/>
      <c r="G68" s="411"/>
      <c r="H68" s="411"/>
      <c r="I68" s="75"/>
      <c r="J68" s="72"/>
    </row>
    <row r="69" spans="2:10">
      <c r="B69" s="237" t="s">
        <v>121</v>
      </c>
      <c r="C69" s="93" t="s">
        <v>122</v>
      </c>
      <c r="D69" s="410">
        <v>150000</v>
      </c>
      <c r="E69" s="410">
        <v>150000</v>
      </c>
      <c r="F69" s="410">
        <v>150000</v>
      </c>
      <c r="G69" s="410">
        <v>150000</v>
      </c>
      <c r="H69" s="409"/>
      <c r="I69" s="346" t="s">
        <v>609</v>
      </c>
      <c r="J69" s="72" t="s">
        <v>193</v>
      </c>
    </row>
    <row r="70" spans="2:10">
      <c r="B70" s="237" t="s">
        <v>391</v>
      </c>
      <c r="C70" s="93" t="s">
        <v>390</v>
      </c>
      <c r="D70" s="410">
        <v>114</v>
      </c>
      <c r="E70" s="410">
        <v>114</v>
      </c>
      <c r="F70" s="410">
        <v>114</v>
      </c>
      <c r="G70" s="410">
        <v>114</v>
      </c>
      <c r="H70" s="409"/>
      <c r="I70" s="346"/>
      <c r="J70" s="72"/>
    </row>
    <row r="71" spans="2:10" ht="12" customHeight="1">
      <c r="B71" s="237" t="s">
        <v>403</v>
      </c>
      <c r="C71" s="93" t="s">
        <v>110</v>
      </c>
      <c r="D71" s="408">
        <f>+D67*D69/1000</f>
        <v>4.5</v>
      </c>
      <c r="E71" s="408">
        <f>+E67*E69/1000</f>
        <v>4.3499999999999996</v>
      </c>
      <c r="F71" s="408">
        <f>+F67*F69/1000</f>
        <v>4.3499999999999996</v>
      </c>
      <c r="G71" s="408">
        <f>+G67*G69/1000</f>
        <v>4.3499999999999996</v>
      </c>
      <c r="H71" s="408"/>
      <c r="I71" s="75"/>
      <c r="J71" s="72" t="s">
        <v>192</v>
      </c>
    </row>
    <row r="72" spans="2:10">
      <c r="B72" s="237" t="s">
        <v>402</v>
      </c>
      <c r="C72" s="93" t="s">
        <v>17</v>
      </c>
      <c r="D72" s="407">
        <f>D73*1000/(D67)</f>
        <v>8567.2514619883059</v>
      </c>
      <c r="E72" s="407">
        <f>E73*1000/(E67)</f>
        <v>8862.6739261947987</v>
      </c>
      <c r="F72" s="407">
        <f>F73*1000/(F67)</f>
        <v>8862.6739261947987</v>
      </c>
      <c r="G72" s="407">
        <f>G73*1000/(G67)</f>
        <v>8862.6739261947987</v>
      </c>
      <c r="H72" s="407"/>
      <c r="I72" s="75"/>
      <c r="J72" s="72"/>
    </row>
    <row r="73" spans="2:10">
      <c r="B73" s="237" t="s">
        <v>124</v>
      </c>
      <c r="C73" s="93" t="s">
        <v>401</v>
      </c>
      <c r="D73" s="406">
        <f>29.3/D70</f>
        <v>0.25701754385964914</v>
      </c>
      <c r="E73" s="406">
        <f>29.3/E70</f>
        <v>0.25701754385964914</v>
      </c>
      <c r="F73" s="406">
        <f>29.3/F70</f>
        <v>0.25701754385964914</v>
      </c>
      <c r="G73" s="406">
        <f>29.3/G70</f>
        <v>0.25701754385964914</v>
      </c>
      <c r="H73" s="405"/>
      <c r="I73" s="346" t="s">
        <v>555</v>
      </c>
      <c r="J73" s="72" t="s">
        <v>191</v>
      </c>
    </row>
    <row r="74" spans="2:10">
      <c r="B74" s="404"/>
      <c r="C74" s="93"/>
      <c r="D74" s="403"/>
      <c r="E74" s="402"/>
      <c r="F74" s="401"/>
      <c r="G74" s="401"/>
      <c r="H74" s="401"/>
      <c r="I74" s="346"/>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400</v>
      </c>
      <c r="D79" s="182">
        <v>0.27</v>
      </c>
      <c r="E79" s="182">
        <v>0.25</v>
      </c>
      <c r="F79" s="182">
        <v>0.22</v>
      </c>
      <c r="G79" s="182">
        <v>0.22</v>
      </c>
      <c r="H79" s="182"/>
      <c r="I79" s="75" t="s">
        <v>608</v>
      </c>
      <c r="J79" s="72"/>
    </row>
    <row r="80" spans="2:10">
      <c r="B80" s="76"/>
      <c r="C80" s="75"/>
      <c r="D80" s="80"/>
      <c r="E80" s="79"/>
      <c r="F80" s="79"/>
      <c r="G80" s="79"/>
      <c r="H80" s="79"/>
      <c r="I80" s="75"/>
      <c r="J80" s="72"/>
    </row>
    <row r="81" spans="2:10">
      <c r="B81" s="76"/>
      <c r="C81" s="75"/>
      <c r="D81" s="397"/>
      <c r="E81" s="397"/>
      <c r="F81" s="397"/>
      <c r="G81" s="397"/>
      <c r="H81" s="397"/>
      <c r="I81" s="346"/>
      <c r="J81" s="72"/>
    </row>
    <row r="82" spans="2:10" ht="12.75" customHeight="1">
      <c r="B82" s="76" t="s">
        <v>189</v>
      </c>
      <c r="C82" s="398" t="s">
        <v>188</v>
      </c>
      <c r="D82" s="397">
        <v>0.39</v>
      </c>
      <c r="E82" s="397">
        <f t="shared" ref="E82:G84" si="3">D82</f>
        <v>0.39</v>
      </c>
      <c r="F82" s="397">
        <f t="shared" si="3"/>
        <v>0.39</v>
      </c>
      <c r="G82" s="397">
        <f t="shared" si="3"/>
        <v>0.39</v>
      </c>
      <c r="H82" s="397"/>
      <c r="I82" s="346" t="s">
        <v>613</v>
      </c>
      <c r="J82" s="72"/>
    </row>
    <row r="83" spans="2:10">
      <c r="B83" s="76" t="s">
        <v>187</v>
      </c>
      <c r="C83" s="75" t="s">
        <v>185</v>
      </c>
      <c r="D83" s="397">
        <v>0.12</v>
      </c>
      <c r="E83" s="397">
        <f t="shared" si="3"/>
        <v>0.12</v>
      </c>
      <c r="F83" s="397">
        <f t="shared" si="3"/>
        <v>0.12</v>
      </c>
      <c r="G83" s="397">
        <f t="shared" si="3"/>
        <v>0.12</v>
      </c>
      <c r="H83" s="397"/>
      <c r="I83" s="346" t="s">
        <v>613</v>
      </c>
      <c r="J83" s="72"/>
    </row>
    <row r="84" spans="2:10">
      <c r="B84" s="76" t="s">
        <v>116</v>
      </c>
      <c r="C84" s="75" t="s">
        <v>185</v>
      </c>
      <c r="D84" s="397">
        <v>4.78</v>
      </c>
      <c r="E84" s="397">
        <f t="shared" si="3"/>
        <v>4.78</v>
      </c>
      <c r="F84" s="397">
        <f t="shared" si="3"/>
        <v>4.78</v>
      </c>
      <c r="G84" s="397">
        <f t="shared" si="3"/>
        <v>4.78</v>
      </c>
      <c r="H84" s="397"/>
      <c r="I84" s="346" t="s">
        <v>613</v>
      </c>
      <c r="J84" s="72"/>
    </row>
    <row r="85" spans="2:10">
      <c r="B85" s="76" t="s">
        <v>186</v>
      </c>
      <c r="C85" s="75" t="s">
        <v>185</v>
      </c>
      <c r="D85" s="397">
        <v>4.8000000000000001E-2</v>
      </c>
      <c r="E85" s="397">
        <f>D85*0.05</f>
        <v>2.4000000000000002E-3</v>
      </c>
      <c r="F85" s="397">
        <f>E85</f>
        <v>2.4000000000000002E-3</v>
      </c>
      <c r="G85" s="397">
        <f>F85</f>
        <v>2.4000000000000002E-3</v>
      </c>
      <c r="H85" s="397"/>
      <c r="I85" s="346" t="s">
        <v>613</v>
      </c>
      <c r="J85" s="72" t="s">
        <v>184</v>
      </c>
    </row>
    <row r="86" spans="2:10" ht="14.4" thickBot="1">
      <c r="B86" s="71"/>
      <c r="C86" s="70"/>
      <c r="D86" s="70"/>
      <c r="E86" s="70"/>
      <c r="F86" s="70"/>
      <c r="G86" s="70"/>
      <c r="H86" s="70"/>
      <c r="I86" s="70"/>
      <c r="J86" s="68"/>
    </row>
    <row r="87" spans="2:10" ht="13.5" customHeight="1">
      <c r="F87" s="66"/>
      <c r="G87" s="66"/>
      <c r="H87" s="66"/>
    </row>
    <row r="88" spans="2:10" ht="12.75" customHeight="1">
      <c r="F88" s="66"/>
      <c r="G88" s="66"/>
      <c r="H88" s="66"/>
    </row>
    <row r="89" spans="2:10" ht="12.75" customHeight="1" thickBot="1">
      <c r="B89" s="87"/>
      <c r="F89" s="66"/>
      <c r="G89" s="66"/>
      <c r="H89" s="66"/>
    </row>
    <row r="90" spans="2:10" ht="12.75" customHeight="1">
      <c r="B90" s="396"/>
      <c r="C90" s="395"/>
      <c r="D90" s="395"/>
      <c r="E90" s="395"/>
      <c r="F90" s="395"/>
      <c r="G90" s="395"/>
      <c r="H90" s="395"/>
      <c r="I90" s="395"/>
      <c r="J90" s="394"/>
    </row>
    <row r="91" spans="2:10" ht="12.75" customHeight="1">
      <c r="B91" s="393"/>
      <c r="C91" s="392"/>
      <c r="D91" s="392"/>
      <c r="E91" s="392"/>
      <c r="F91" s="392"/>
      <c r="G91" s="392"/>
      <c r="H91" s="392"/>
      <c r="I91" s="392"/>
      <c r="J91" s="391"/>
    </row>
    <row r="92" spans="2:10" ht="12.75" customHeight="1">
      <c r="B92" s="393"/>
      <c r="C92" s="392"/>
      <c r="D92" s="392"/>
      <c r="E92" s="392"/>
      <c r="F92" s="392"/>
      <c r="G92" s="392"/>
      <c r="H92" s="392"/>
      <c r="I92" s="392"/>
      <c r="J92" s="391"/>
    </row>
    <row r="93" spans="2:10" ht="12.75" customHeight="1">
      <c r="B93" s="393"/>
      <c r="C93" s="392"/>
      <c r="D93" s="392"/>
      <c r="E93" s="392"/>
      <c r="F93" s="392"/>
      <c r="G93" s="392"/>
      <c r="H93" s="392"/>
      <c r="I93" s="392"/>
      <c r="J93" s="391"/>
    </row>
    <row r="94" spans="2:10" ht="12.75" customHeight="1">
      <c r="B94" s="393"/>
      <c r="C94" s="392"/>
      <c r="D94" s="392"/>
      <c r="E94" s="392"/>
      <c r="F94" s="392"/>
      <c r="G94" s="392"/>
      <c r="H94" s="392"/>
      <c r="I94" s="392"/>
      <c r="J94" s="391"/>
    </row>
    <row r="95" spans="2:10" ht="12.75" customHeight="1">
      <c r="C95" s="392"/>
      <c r="D95" s="392"/>
      <c r="E95" s="392"/>
      <c r="F95" s="392"/>
      <c r="G95" s="392"/>
      <c r="H95" s="392"/>
      <c r="I95" s="392"/>
      <c r="J95" s="391"/>
    </row>
    <row r="96" spans="2:10" ht="12.75" customHeight="1">
      <c r="B96" s="393"/>
      <c r="C96" s="392"/>
      <c r="D96" s="392"/>
      <c r="E96" s="392"/>
      <c r="F96" s="392"/>
      <c r="G96" s="392"/>
      <c r="H96" s="392"/>
      <c r="I96" s="392"/>
      <c r="J96" s="391"/>
    </row>
    <row r="97" spans="2:10" ht="12.75" customHeight="1">
      <c r="C97" s="392"/>
      <c r="D97" s="392"/>
      <c r="E97" s="392"/>
      <c r="F97" s="392"/>
      <c r="G97" s="392"/>
      <c r="H97" s="392"/>
      <c r="I97" s="392"/>
      <c r="J97" s="391"/>
    </row>
    <row r="98" spans="2:10" ht="12.75" customHeight="1">
      <c r="B98" s="393"/>
      <c r="C98" s="392"/>
      <c r="D98" s="392"/>
      <c r="E98" s="392"/>
      <c r="F98" s="392"/>
      <c r="G98" s="392"/>
      <c r="H98" s="392"/>
      <c r="I98" s="392"/>
      <c r="J98" s="391"/>
    </row>
    <row r="99" spans="2:10" ht="14.4" thickBot="1">
      <c r="B99" s="390"/>
      <c r="C99" s="389"/>
      <c r="D99" s="389"/>
      <c r="E99" s="389"/>
      <c r="F99" s="389"/>
      <c r="G99" s="389"/>
      <c r="H99" s="389"/>
      <c r="I99" s="389"/>
      <c r="J99" s="388"/>
    </row>
    <row r="100" spans="2:10">
      <c r="H100" s="66"/>
    </row>
    <row r="101" spans="2:10">
      <c r="H101" s="66"/>
    </row>
    <row r="102" spans="2:10" ht="12.75" customHeight="1">
      <c r="I102" s="64"/>
    </row>
    <row r="103" spans="2:10">
      <c r="I103" s="64"/>
    </row>
    <row r="104" spans="2:10" ht="12.75" customHeight="1"/>
    <row r="105" spans="2:10" ht="12.75" customHeight="1"/>
    <row r="109" spans="2:10" ht="12.75" customHeight="1"/>
    <row r="112" spans="2:10" ht="12.75" customHeight="1"/>
    <row r="114" ht="12.75" customHeight="1"/>
  </sheetData>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'C:\Users\B003920\Desktop\[Kopi af alternativ_drivmiddelmodel_3.0_2.xlsm]Sheet1'!#REF!</xm:f>
          </x14:formula1>
          <xm:sqref>C9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rgb="FF002060"/>
    <pageSetUpPr fitToPage="1"/>
  </sheetPr>
  <dimension ref="B1:R114"/>
  <sheetViews>
    <sheetView topLeftCell="A16" zoomScale="80" zoomScaleNormal="80" workbookViewId="0">
      <selection activeCell="G32" sqref="G32"/>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5.6640625" style="63" customWidth="1"/>
    <col min="10" max="10" width="48.5546875" style="63" customWidth="1"/>
    <col min="11" max="11" width="10" style="63" bestFit="1" customWidth="1"/>
    <col min="12" max="12" width="15.88671875" style="63" customWidth="1"/>
    <col min="13" max="14" width="9" style="63" bestFit="1" customWidth="1"/>
    <col min="15" max="23" width="10.88671875" style="63" customWidth="1"/>
    <col min="24" max="16384" width="8.88671875" style="63"/>
  </cols>
  <sheetData>
    <row r="1" spans="2:18" s="60" customFormat="1" ht="21">
      <c r="B1" s="60" t="s">
        <v>413</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37" t="s">
        <v>412</v>
      </c>
      <c r="C6" s="435"/>
      <c r="D6" s="435"/>
      <c r="E6" s="435"/>
      <c r="F6" s="435"/>
      <c r="G6" s="435"/>
      <c r="H6" s="435"/>
      <c r="I6" s="435"/>
      <c r="J6" s="435"/>
      <c r="K6" s="435"/>
      <c r="L6" s="435"/>
      <c r="M6" s="435"/>
      <c r="N6" s="434"/>
    </row>
    <row r="7" spans="2:18">
      <c r="B7" s="437" t="s">
        <v>411</v>
      </c>
      <c r="C7" s="435"/>
      <c r="D7" s="435"/>
      <c r="E7" s="435"/>
      <c r="F7" s="435"/>
      <c r="G7" s="435"/>
      <c r="H7" s="435"/>
      <c r="I7" s="435"/>
      <c r="J7" s="435"/>
      <c r="K7" s="435"/>
      <c r="L7" s="435"/>
      <c r="M7" s="435"/>
      <c r="N7" s="434"/>
    </row>
    <row r="8" spans="2:18" ht="17.25" customHeight="1">
      <c r="B8" s="436"/>
      <c r="C8" s="435"/>
      <c r="D8" s="435"/>
      <c r="E8" s="435"/>
      <c r="F8" s="435"/>
      <c r="G8" s="435"/>
      <c r="H8" s="435"/>
      <c r="I8" s="435"/>
      <c r="J8" s="435"/>
      <c r="K8" s="435"/>
      <c r="L8" s="435"/>
      <c r="M8" s="435"/>
      <c r="N8" s="434"/>
    </row>
    <row r="9" spans="2:18" ht="12.75" customHeight="1">
      <c r="B9" s="154" t="s">
        <v>233</v>
      </c>
      <c r="C9" s="59" t="s">
        <v>232</v>
      </c>
      <c r="D9" s="435"/>
      <c r="E9" s="435"/>
      <c r="F9" s="435"/>
      <c r="G9" s="435"/>
      <c r="H9" s="435"/>
      <c r="I9" s="435"/>
      <c r="J9" s="435"/>
      <c r="K9" s="435"/>
      <c r="L9" s="435"/>
      <c r="M9" s="435"/>
      <c r="N9" s="434"/>
    </row>
    <row r="10" spans="2:18" ht="17.25" customHeight="1">
      <c r="B10" s="436"/>
      <c r="C10" s="435"/>
      <c r="D10" s="435"/>
      <c r="E10" s="435"/>
      <c r="F10" s="435"/>
      <c r="G10" s="435"/>
      <c r="H10" s="435"/>
      <c r="I10" s="435"/>
      <c r="J10" s="435"/>
      <c r="K10" s="435"/>
      <c r="L10" s="435"/>
      <c r="M10" s="435"/>
      <c r="N10" s="434"/>
    </row>
    <row r="11" spans="2:18">
      <c r="B11" s="427" t="s">
        <v>94</v>
      </c>
      <c r="C11" s="426"/>
      <c r="D11" s="426"/>
      <c r="E11" s="426"/>
      <c r="F11" s="426"/>
      <c r="G11" s="426"/>
      <c r="H11" s="75"/>
      <c r="I11" s="426"/>
      <c r="J11" s="426"/>
      <c r="K11" s="426"/>
      <c r="L11" s="426"/>
      <c r="M11" s="426"/>
      <c r="N11" s="425"/>
    </row>
    <row r="12" spans="2:18">
      <c r="B12" s="1745" t="s">
        <v>410</v>
      </c>
      <c r="C12" s="1746"/>
      <c r="D12" s="1746"/>
      <c r="E12" s="1746"/>
      <c r="F12" s="1746"/>
      <c r="G12" s="1746"/>
      <c r="H12" s="1746"/>
      <c r="I12" s="1746"/>
      <c r="J12" s="1746"/>
      <c r="K12" s="1746"/>
      <c r="L12" s="1746"/>
      <c r="M12" s="1746"/>
      <c r="N12" s="1747"/>
    </row>
    <row r="13" spans="2:18" ht="29.25" customHeight="1">
      <c r="B13" s="1745"/>
      <c r="C13" s="1746"/>
      <c r="D13" s="1746"/>
      <c r="E13" s="1746"/>
      <c r="F13" s="1746"/>
      <c r="G13" s="1746"/>
      <c r="H13" s="1746"/>
      <c r="I13" s="1746"/>
      <c r="J13" s="1746"/>
      <c r="K13" s="1746"/>
      <c r="L13" s="1746"/>
      <c r="M13" s="1746"/>
      <c r="N13" s="1747"/>
    </row>
    <row r="14" spans="2:18">
      <c r="B14" s="1745" t="s">
        <v>409</v>
      </c>
      <c r="C14" s="1746"/>
      <c r="D14" s="1746"/>
      <c r="E14" s="1746"/>
      <c r="F14" s="1746"/>
      <c r="G14" s="1746"/>
      <c r="H14" s="1746"/>
      <c r="I14" s="1746"/>
      <c r="J14" s="1746"/>
      <c r="K14" s="1746"/>
      <c r="L14" s="1746"/>
      <c r="M14" s="1746"/>
      <c r="N14" s="1747"/>
    </row>
    <row r="15" spans="2:18">
      <c r="B15" s="1745"/>
      <c r="C15" s="1746"/>
      <c r="D15" s="1746"/>
      <c r="E15" s="1746"/>
      <c r="F15" s="1746"/>
      <c r="G15" s="1746"/>
      <c r="H15" s="1746"/>
      <c r="I15" s="1746"/>
      <c r="J15" s="1746"/>
      <c r="K15" s="1746"/>
      <c r="L15" s="1746"/>
      <c r="M15" s="1746"/>
      <c r="N15" s="1747"/>
    </row>
    <row r="16" spans="2:18">
      <c r="B16" s="1745"/>
      <c r="C16" s="1746"/>
      <c r="D16" s="1746"/>
      <c r="E16" s="1746"/>
      <c r="F16" s="1746"/>
      <c r="G16" s="1746"/>
      <c r="H16" s="1746"/>
      <c r="I16" s="1746"/>
      <c r="J16" s="1746"/>
      <c r="K16" s="1746"/>
      <c r="L16" s="1746"/>
      <c r="M16" s="1746"/>
      <c r="N16" s="1747"/>
    </row>
    <row r="17" spans="2:14" ht="14.4" thickBot="1">
      <c r="B17" s="1748"/>
      <c r="C17" s="1749"/>
      <c r="D17" s="1749"/>
      <c r="E17" s="1749"/>
      <c r="F17" s="1749"/>
      <c r="G17" s="1749"/>
      <c r="H17" s="1749"/>
      <c r="I17" s="1749"/>
      <c r="J17" s="1749"/>
      <c r="K17" s="1749"/>
      <c r="L17" s="1749"/>
      <c r="M17" s="1749"/>
      <c r="N17" s="1750"/>
    </row>
    <row r="19" spans="2:14" ht="13.5" customHeight="1" thickBot="1">
      <c r="B19" s="152" t="s">
        <v>96</v>
      </c>
      <c r="E19" s="151"/>
    </row>
    <row r="20" spans="2:14" ht="12.75" customHeight="1">
      <c r="B20" s="86"/>
      <c r="C20" s="108"/>
      <c r="D20" s="83"/>
      <c r="E20" s="83"/>
      <c r="F20" s="83"/>
      <c r="G20" s="83"/>
      <c r="H20" s="83"/>
      <c r="I20" s="83" t="s">
        <v>97</v>
      </c>
      <c r="J20" s="81" t="s">
        <v>98</v>
      </c>
    </row>
    <row r="21" spans="2:14" ht="12.75" customHeight="1">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184"/>
      <c r="J22" s="72"/>
    </row>
    <row r="23" spans="2:14">
      <c r="B23" s="143" t="s">
        <v>102</v>
      </c>
      <c r="C23" s="116" t="s">
        <v>198</v>
      </c>
      <c r="D23" s="432">
        <f>D67/D79</f>
        <v>9.0909090909090898E-2</v>
      </c>
      <c r="E23" s="432">
        <f>E67/E79</f>
        <v>0.10357142857142856</v>
      </c>
      <c r="F23" s="432">
        <f>F67/F79</f>
        <v>0.12083333333333335</v>
      </c>
      <c r="G23" s="432">
        <f>G67/G79</f>
        <v>0.12608695652173912</v>
      </c>
      <c r="H23" s="145"/>
      <c r="I23" s="184" t="s">
        <v>608</v>
      </c>
      <c r="J23" s="139"/>
    </row>
    <row r="24" spans="2:14">
      <c r="B24" s="143" t="s">
        <v>103</v>
      </c>
      <c r="C24" s="116" t="s">
        <v>198</v>
      </c>
      <c r="D24" s="433">
        <f>D23</f>
        <v>9.0909090909090898E-2</v>
      </c>
      <c r="E24" s="433">
        <f>E23</f>
        <v>0.10357142857142856</v>
      </c>
      <c r="F24" s="433">
        <f>F23</f>
        <v>0.12083333333333335</v>
      </c>
      <c r="G24" s="433">
        <f>G23</f>
        <v>0.12608695652173912</v>
      </c>
      <c r="H24" s="145"/>
      <c r="I24" s="184" t="s">
        <v>608</v>
      </c>
      <c r="J24" s="139"/>
    </row>
    <row r="25" spans="2:14">
      <c r="B25" s="143" t="s">
        <v>197</v>
      </c>
      <c r="C25" s="116" t="s">
        <v>105</v>
      </c>
      <c r="D25" s="416">
        <f>D79</f>
        <v>0.33</v>
      </c>
      <c r="E25" s="416">
        <f>E79</f>
        <v>0.28000000000000003</v>
      </c>
      <c r="F25" s="416">
        <f>F79</f>
        <v>0.24</v>
      </c>
      <c r="G25" s="416">
        <f>G79</f>
        <v>0.23</v>
      </c>
      <c r="H25" s="140"/>
      <c r="I25" s="184"/>
      <c r="J25" s="139"/>
    </row>
    <row r="26" spans="2:14">
      <c r="B26" s="143" t="s">
        <v>196</v>
      </c>
      <c r="C26" s="116" t="s">
        <v>105</v>
      </c>
      <c r="D26" s="432">
        <f>D25*205</f>
        <v>67.650000000000006</v>
      </c>
      <c r="E26" s="432">
        <f t="shared" ref="E26:G26" si="0">E25*205</f>
        <v>57.400000000000006</v>
      </c>
      <c r="F26" s="432">
        <f t="shared" si="0"/>
        <v>49.199999999999996</v>
      </c>
      <c r="G26" s="432">
        <f t="shared" si="0"/>
        <v>47.15</v>
      </c>
      <c r="H26" s="140"/>
      <c r="I26" s="184"/>
      <c r="J26" s="139"/>
    </row>
    <row r="27" spans="2:14">
      <c r="B27" s="131" t="s">
        <v>107</v>
      </c>
      <c r="C27" s="116" t="s">
        <v>108</v>
      </c>
      <c r="D27" s="138">
        <v>25</v>
      </c>
      <c r="E27" s="123">
        <v>17</v>
      </c>
      <c r="F27" s="123">
        <v>17</v>
      </c>
      <c r="G27" s="123">
        <v>17</v>
      </c>
      <c r="H27" s="123"/>
      <c r="I27" s="184"/>
      <c r="J27" s="72"/>
    </row>
    <row r="28" spans="2:14">
      <c r="B28" s="131" t="s">
        <v>109</v>
      </c>
      <c r="C28" s="116" t="s">
        <v>110</v>
      </c>
      <c r="D28" s="136">
        <f>+D71</f>
        <v>4.5</v>
      </c>
      <c r="E28" s="136">
        <f>+E71</f>
        <v>4.3499999999999996</v>
      </c>
      <c r="F28" s="136">
        <f>+F71</f>
        <v>4.3499999999999996</v>
      </c>
      <c r="G28" s="136">
        <f>+G71</f>
        <v>4.3499999999999996</v>
      </c>
      <c r="H28" s="136"/>
      <c r="I28" s="184"/>
      <c r="J28" s="72"/>
    </row>
    <row r="29" spans="2:14">
      <c r="B29" s="76"/>
      <c r="C29" s="135"/>
      <c r="D29" s="96"/>
      <c r="E29" s="96"/>
      <c r="F29" s="96"/>
      <c r="G29" s="96"/>
      <c r="H29" s="96"/>
      <c r="I29" s="184"/>
      <c r="J29" s="72"/>
    </row>
    <row r="30" spans="2:14">
      <c r="B30" s="126" t="s">
        <v>111</v>
      </c>
      <c r="C30" s="116"/>
      <c r="D30" s="96"/>
      <c r="E30" s="96"/>
      <c r="F30" s="96"/>
      <c r="G30" s="96"/>
      <c r="H30" s="96"/>
      <c r="I30" s="184"/>
      <c r="J30" s="72"/>
    </row>
    <row r="31" spans="2:14">
      <c r="B31" s="131" t="s">
        <v>112</v>
      </c>
      <c r="C31" s="116" t="s">
        <v>15</v>
      </c>
      <c r="D31" s="134">
        <v>205422.47751024066</v>
      </c>
      <c r="E31" s="134">
        <v>205422.47751024066</v>
      </c>
      <c r="F31" s="134">
        <v>205422.47751024066</v>
      </c>
      <c r="G31" s="134">
        <v>205422.47751024066</v>
      </c>
      <c r="H31" s="133">
        <v>2015</v>
      </c>
      <c r="I31" s="184"/>
      <c r="J31" s="72"/>
    </row>
    <row r="32" spans="2:14">
      <c r="B32" s="76" t="s">
        <v>16</v>
      </c>
      <c r="C32" s="116" t="s">
        <v>17</v>
      </c>
      <c r="D32" s="134">
        <v>12358.452919819685</v>
      </c>
      <c r="E32" s="134">
        <v>13622.668051221617</v>
      </c>
      <c r="F32" s="134">
        <v>13622.668051221617</v>
      </c>
      <c r="G32" s="134">
        <v>13622.668051221617</v>
      </c>
      <c r="H32" s="133">
        <v>2015</v>
      </c>
      <c r="I32" s="184"/>
      <c r="J32" s="72"/>
    </row>
    <row r="33" spans="2:10">
      <c r="B33" s="127" t="s">
        <v>18</v>
      </c>
      <c r="C33" s="116" t="s">
        <v>17</v>
      </c>
      <c r="D33" s="134">
        <v>3238.9399030771801</v>
      </c>
      <c r="E33" s="134">
        <v>4188.689068384545</v>
      </c>
      <c r="F33" s="134">
        <v>4188.689068384545</v>
      </c>
      <c r="G33" s="134">
        <v>4188.689068384545</v>
      </c>
      <c r="H33" s="133">
        <v>2015</v>
      </c>
      <c r="I33" s="184"/>
      <c r="J33" s="72"/>
    </row>
    <row r="34" spans="2:10">
      <c r="B34" s="127" t="s">
        <v>19</v>
      </c>
      <c r="C34" s="116" t="s">
        <v>17</v>
      </c>
      <c r="D34" s="134">
        <v>9119.513016742505</v>
      </c>
      <c r="E34" s="134">
        <v>9433.9789828370722</v>
      </c>
      <c r="F34" s="134">
        <v>9433.9789828370722</v>
      </c>
      <c r="G34" s="134">
        <v>9433.9789828370722</v>
      </c>
      <c r="H34" s="133">
        <v>2015</v>
      </c>
      <c r="I34" s="184"/>
      <c r="J34" s="72"/>
    </row>
    <row r="35" spans="2:10">
      <c r="B35" s="127"/>
      <c r="C35" s="116"/>
      <c r="D35" s="134"/>
      <c r="E35" s="134"/>
      <c r="F35" s="134"/>
      <c r="G35" s="134"/>
      <c r="H35" s="133"/>
      <c r="I35" s="184"/>
      <c r="J35" s="72"/>
    </row>
    <row r="36" spans="2:10">
      <c r="B36" s="127" t="s">
        <v>113</v>
      </c>
      <c r="C36" s="116" t="s">
        <v>17</v>
      </c>
      <c r="D36" s="134">
        <v>0</v>
      </c>
      <c r="E36" s="134">
        <v>0</v>
      </c>
      <c r="F36" s="134">
        <v>0</v>
      </c>
      <c r="G36" s="134">
        <v>0</v>
      </c>
      <c r="H36" s="133">
        <v>2015</v>
      </c>
      <c r="I36" s="184"/>
      <c r="J36" s="72"/>
    </row>
    <row r="37" spans="2:10">
      <c r="B37" s="126"/>
      <c r="C37" s="116"/>
      <c r="D37" s="132"/>
      <c r="E37" s="96"/>
      <c r="F37" s="96"/>
      <c r="G37" s="96"/>
      <c r="H37" s="96"/>
      <c r="I37" s="184"/>
      <c r="J37" s="72"/>
    </row>
    <row r="38" spans="2:10">
      <c r="B38" s="131" t="s">
        <v>112</v>
      </c>
      <c r="C38" s="116" t="s">
        <v>15</v>
      </c>
      <c r="D38" s="125">
        <f>22000000/D70</f>
        <v>192982.45614035087</v>
      </c>
      <c r="E38" s="125">
        <f>22000000/E70</f>
        <v>192982.45614035087</v>
      </c>
      <c r="F38" s="125">
        <f>22000000/F70</f>
        <v>192982.45614035087</v>
      </c>
      <c r="G38" s="125">
        <f>22000000/G70</f>
        <v>192982.45614035087</v>
      </c>
      <c r="H38" s="128">
        <v>2011</v>
      </c>
      <c r="I38" s="346" t="s">
        <v>612</v>
      </c>
      <c r="J38" s="72" t="s">
        <v>408</v>
      </c>
    </row>
    <row r="39" spans="2:10">
      <c r="B39" s="237" t="s">
        <v>16</v>
      </c>
      <c r="C39" s="116" t="s">
        <v>17</v>
      </c>
      <c r="D39" s="255">
        <f>SUM(D40:D43)</f>
        <v>11610.046901721351</v>
      </c>
      <c r="E39" s="255">
        <f>SUM(E40:E43)</f>
        <v>12797.703404090129</v>
      </c>
      <c r="F39" s="255">
        <f>SUM(F40:F43)</f>
        <v>12797.703404090129</v>
      </c>
      <c r="G39" s="255">
        <f>SUM(G40:G43)</f>
        <v>12797.703404090129</v>
      </c>
      <c r="H39" s="128">
        <v>2011</v>
      </c>
      <c r="I39" s="184"/>
      <c r="J39" s="72"/>
    </row>
    <row r="40" spans="2:10">
      <c r="B40" s="127" t="s">
        <v>18</v>
      </c>
      <c r="C40" s="116" t="s">
        <v>17</v>
      </c>
      <c r="D40" s="415">
        <v>3042.7954397330445</v>
      </c>
      <c r="E40" s="415">
        <v>3935.0294778953303</v>
      </c>
      <c r="F40" s="415">
        <v>3935.0294778953303</v>
      </c>
      <c r="G40" s="415">
        <v>3935.0294778953303</v>
      </c>
      <c r="H40" s="128">
        <v>2011</v>
      </c>
      <c r="I40" s="184" t="s">
        <v>609</v>
      </c>
      <c r="J40" s="72" t="s">
        <v>195</v>
      </c>
    </row>
    <row r="41" spans="2:10">
      <c r="B41" s="127" t="s">
        <v>19</v>
      </c>
      <c r="C41" s="116" t="s">
        <v>17</v>
      </c>
      <c r="D41" s="414">
        <f>D72</f>
        <v>8567.2514619883059</v>
      </c>
      <c r="E41" s="414">
        <f>E72</f>
        <v>8862.6739261947987</v>
      </c>
      <c r="F41" s="414">
        <f>F72</f>
        <v>8862.6739261947987</v>
      </c>
      <c r="G41" s="414">
        <f>G72</f>
        <v>8862.6739261947987</v>
      </c>
      <c r="H41" s="128">
        <v>2011</v>
      </c>
      <c r="I41" s="184" t="s">
        <v>609</v>
      </c>
      <c r="J41" s="72" t="s">
        <v>195</v>
      </c>
    </row>
    <row r="42" spans="2:10">
      <c r="B42" s="127"/>
      <c r="C42" s="116"/>
      <c r="D42" s="96"/>
      <c r="E42" s="96"/>
      <c r="F42" s="96"/>
      <c r="G42" s="96"/>
      <c r="H42" s="128"/>
      <c r="I42" s="184"/>
      <c r="J42" s="72"/>
    </row>
    <row r="43" spans="2:10">
      <c r="B43" s="127" t="s">
        <v>113</v>
      </c>
      <c r="C43" s="116" t="s">
        <v>17</v>
      </c>
      <c r="D43" s="413">
        <v>0</v>
      </c>
      <c r="E43" s="413">
        <v>0</v>
      </c>
      <c r="F43" s="413">
        <v>0</v>
      </c>
      <c r="G43" s="413">
        <v>0</v>
      </c>
      <c r="H43" s="128">
        <v>2011</v>
      </c>
      <c r="I43" s="184"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407</v>
      </c>
      <c r="D47" s="412"/>
      <c r="E47" s="412"/>
      <c r="F47" s="412"/>
      <c r="G47" s="412"/>
      <c r="H47" s="124"/>
      <c r="I47" s="184"/>
      <c r="J47" s="72"/>
    </row>
    <row r="48" spans="2:10">
      <c r="B48" s="76" t="s">
        <v>21</v>
      </c>
      <c r="C48" s="116" t="s">
        <v>407</v>
      </c>
      <c r="D48" s="302"/>
      <c r="E48" s="302"/>
      <c r="F48" s="302"/>
      <c r="G48" s="302"/>
      <c r="H48" s="118"/>
      <c r="I48" s="184"/>
      <c r="J48" s="72"/>
    </row>
    <row r="49" spans="2:10">
      <c r="B49" s="76" t="s">
        <v>22</v>
      </c>
      <c r="C49" s="116" t="s">
        <v>407</v>
      </c>
      <c r="D49" s="302"/>
      <c r="E49" s="302"/>
      <c r="F49" s="302"/>
      <c r="G49" s="302"/>
      <c r="H49" s="96"/>
      <c r="I49" s="184"/>
      <c r="J49" s="72"/>
    </row>
    <row r="50" spans="2:10">
      <c r="B50" s="76" t="s">
        <v>23</v>
      </c>
      <c r="C50" s="116" t="s">
        <v>407</v>
      </c>
      <c r="D50" s="302"/>
      <c r="E50" s="302"/>
      <c r="F50" s="302"/>
      <c r="G50" s="302"/>
      <c r="H50" s="123"/>
      <c r="I50" s="184"/>
      <c r="J50" s="72"/>
    </row>
    <row r="51" spans="2:10">
      <c r="B51" s="76" t="s">
        <v>116</v>
      </c>
      <c r="C51" s="116" t="s">
        <v>407</v>
      </c>
      <c r="D51" s="302">
        <f t="shared" ref="D51:G52" si="1">D84/3.6</f>
        <v>1.3277777777777777</v>
      </c>
      <c r="E51" s="302">
        <f t="shared" si="1"/>
        <v>0.39833333333333332</v>
      </c>
      <c r="F51" s="302">
        <f t="shared" si="1"/>
        <v>0.39833333333333332</v>
      </c>
      <c r="G51" s="302">
        <f t="shared" si="1"/>
        <v>0.39833333333333332</v>
      </c>
      <c r="H51" s="96"/>
      <c r="I51" s="184"/>
      <c r="J51" s="72"/>
    </row>
    <row r="52" spans="2:10">
      <c r="B52" s="76" t="s">
        <v>24</v>
      </c>
      <c r="C52" s="116" t="s">
        <v>407</v>
      </c>
      <c r="D52" s="302">
        <f t="shared" si="1"/>
        <v>1.3333333333333332E-2</v>
      </c>
      <c r="E52" s="302">
        <f t="shared" si="1"/>
        <v>3.3333333333333338E-4</v>
      </c>
      <c r="F52" s="302">
        <f t="shared" si="1"/>
        <v>3.3333333333333338E-4</v>
      </c>
      <c r="G52" s="302">
        <f t="shared" si="1"/>
        <v>3.3333333333333338E-4</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407</v>
      </c>
      <c r="D55" s="412"/>
      <c r="E55" s="412"/>
      <c r="F55" s="412"/>
      <c r="G55" s="412"/>
      <c r="H55" s="194"/>
      <c r="I55" s="184"/>
      <c r="J55" s="72"/>
    </row>
    <row r="56" spans="2:10">
      <c r="B56" s="76" t="s">
        <v>21</v>
      </c>
      <c r="C56" s="116" t="s">
        <v>407</v>
      </c>
      <c r="D56" s="302">
        <f t="shared" ref="D56:G60" si="2">D48</f>
        <v>0</v>
      </c>
      <c r="E56" s="302">
        <f t="shared" si="2"/>
        <v>0</v>
      </c>
      <c r="F56" s="302">
        <f t="shared" si="2"/>
        <v>0</v>
      </c>
      <c r="G56" s="302">
        <f t="shared" si="2"/>
        <v>0</v>
      </c>
      <c r="H56" s="194"/>
      <c r="I56" s="184"/>
      <c r="J56" s="72"/>
    </row>
    <row r="57" spans="2:10">
      <c r="B57" s="76" t="s">
        <v>22</v>
      </c>
      <c r="C57" s="116" t="s">
        <v>407</v>
      </c>
      <c r="D57" s="302">
        <f t="shared" si="2"/>
        <v>0</v>
      </c>
      <c r="E57" s="302">
        <f t="shared" si="2"/>
        <v>0</v>
      </c>
      <c r="F57" s="302">
        <f t="shared" si="2"/>
        <v>0</v>
      </c>
      <c r="G57" s="302">
        <f t="shared" si="2"/>
        <v>0</v>
      </c>
      <c r="H57" s="194"/>
      <c r="I57" s="184"/>
      <c r="J57" s="72"/>
    </row>
    <row r="58" spans="2:10">
      <c r="B58" s="76" t="s">
        <v>23</v>
      </c>
      <c r="C58" s="116" t="s">
        <v>407</v>
      </c>
      <c r="D58" s="302">
        <f t="shared" si="2"/>
        <v>0</v>
      </c>
      <c r="E58" s="302">
        <f t="shared" si="2"/>
        <v>0</v>
      </c>
      <c r="F58" s="302">
        <f t="shared" si="2"/>
        <v>0</v>
      </c>
      <c r="G58" s="302">
        <f t="shared" si="2"/>
        <v>0</v>
      </c>
      <c r="H58" s="194"/>
      <c r="I58" s="184"/>
      <c r="J58" s="72"/>
    </row>
    <row r="59" spans="2:10">
      <c r="B59" s="76" t="s">
        <v>116</v>
      </c>
      <c r="C59" s="116" t="s">
        <v>407</v>
      </c>
      <c r="D59" s="302">
        <f t="shared" si="2"/>
        <v>1.3277777777777777</v>
      </c>
      <c r="E59" s="302">
        <f t="shared" si="2"/>
        <v>0.39833333333333332</v>
      </c>
      <c r="F59" s="302">
        <f t="shared" si="2"/>
        <v>0.39833333333333332</v>
      </c>
      <c r="G59" s="302">
        <f t="shared" si="2"/>
        <v>0.39833333333333332</v>
      </c>
      <c r="H59" s="194"/>
      <c r="I59" s="184"/>
      <c r="J59" s="72"/>
    </row>
    <row r="60" spans="2:10">
      <c r="B60" s="76" t="s">
        <v>24</v>
      </c>
      <c r="C60" s="116" t="s">
        <v>407</v>
      </c>
      <c r="D60" s="302">
        <f t="shared" si="2"/>
        <v>1.3333333333333332E-2</v>
      </c>
      <c r="E60" s="302">
        <f t="shared" si="2"/>
        <v>3.3333333333333338E-4</v>
      </c>
      <c r="F60" s="302">
        <f t="shared" si="2"/>
        <v>3.3333333333333338E-4</v>
      </c>
      <c r="G60" s="302">
        <f t="shared" si="2"/>
        <v>3.3333333333333338E-4</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105">
        <v>2015</v>
      </c>
      <c r="E66" s="104">
        <v>2020</v>
      </c>
      <c r="F66" s="104">
        <v>2035</v>
      </c>
      <c r="G66" s="104">
        <v>2050</v>
      </c>
      <c r="H66" s="104"/>
      <c r="I66" s="150" t="s">
        <v>97</v>
      </c>
      <c r="J66" s="102" t="s">
        <v>98</v>
      </c>
    </row>
    <row r="67" spans="2:10">
      <c r="B67" s="237" t="s">
        <v>25</v>
      </c>
      <c r="C67" s="93" t="s">
        <v>152</v>
      </c>
      <c r="D67" s="411">
        <v>0.03</v>
      </c>
      <c r="E67" s="411">
        <v>2.9000000000000001E-2</v>
      </c>
      <c r="F67" s="411">
        <v>2.9000000000000001E-2</v>
      </c>
      <c r="G67" s="411">
        <v>2.9000000000000001E-2</v>
      </c>
      <c r="H67" s="411"/>
      <c r="I67" s="75" t="s">
        <v>608</v>
      </c>
      <c r="J67" s="72"/>
    </row>
    <row r="68" spans="2:10">
      <c r="B68" s="237"/>
      <c r="C68" s="93"/>
      <c r="D68" s="411"/>
      <c r="E68" s="411"/>
      <c r="F68" s="411"/>
      <c r="G68" s="411"/>
      <c r="H68" s="411"/>
      <c r="I68" s="75"/>
      <c r="J68" s="72"/>
    </row>
    <row r="69" spans="2:10">
      <c r="B69" s="237" t="s">
        <v>121</v>
      </c>
      <c r="C69" s="93" t="s">
        <v>122</v>
      </c>
      <c r="D69" s="410">
        <v>150000</v>
      </c>
      <c r="E69" s="410">
        <v>150000</v>
      </c>
      <c r="F69" s="410">
        <v>150000</v>
      </c>
      <c r="G69" s="410">
        <v>150000</v>
      </c>
      <c r="H69" s="410"/>
      <c r="I69" s="431" t="s">
        <v>609</v>
      </c>
      <c r="J69" s="72" t="s">
        <v>406</v>
      </c>
    </row>
    <row r="70" spans="2:10">
      <c r="B70" s="237" t="s">
        <v>391</v>
      </c>
      <c r="C70" s="93" t="s">
        <v>390</v>
      </c>
      <c r="D70" s="410">
        <v>114</v>
      </c>
      <c r="E70" s="410">
        <v>114</v>
      </c>
      <c r="F70" s="410">
        <v>114</v>
      </c>
      <c r="G70" s="410">
        <v>114</v>
      </c>
      <c r="H70" s="410"/>
      <c r="I70" s="431"/>
      <c r="J70" s="72"/>
    </row>
    <row r="71" spans="2:10">
      <c r="B71" s="237" t="s">
        <v>403</v>
      </c>
      <c r="C71" s="93" t="s">
        <v>110</v>
      </c>
      <c r="D71" s="408">
        <f>+D67*D69/1000</f>
        <v>4.5</v>
      </c>
      <c r="E71" s="408">
        <f>+E67*E69/1000</f>
        <v>4.3499999999999996</v>
      </c>
      <c r="F71" s="408">
        <f>+F67*F69/1000</f>
        <v>4.3499999999999996</v>
      </c>
      <c r="G71" s="408">
        <f>+G67*G69/1000</f>
        <v>4.3499999999999996</v>
      </c>
      <c r="H71" s="408"/>
      <c r="I71" s="75"/>
      <c r="J71" s="72" t="s">
        <v>192</v>
      </c>
    </row>
    <row r="72" spans="2:10">
      <c r="B72" s="237" t="s">
        <v>402</v>
      </c>
      <c r="C72" s="93" t="s">
        <v>17</v>
      </c>
      <c r="D72" s="407">
        <f>D73*1000/(D67)</f>
        <v>8567.2514619883059</v>
      </c>
      <c r="E72" s="407">
        <f>E73*1000/(E67)</f>
        <v>8862.6739261947987</v>
      </c>
      <c r="F72" s="407">
        <f>F73*1000/(F67)</f>
        <v>8862.6739261947987</v>
      </c>
      <c r="G72" s="407">
        <f>G73*1000/(G67)</f>
        <v>8862.6739261947987</v>
      </c>
      <c r="H72" s="407"/>
      <c r="I72" s="75"/>
      <c r="J72" s="72"/>
    </row>
    <row r="73" spans="2:10">
      <c r="B73" s="237" t="s">
        <v>124</v>
      </c>
      <c r="C73" s="93" t="s">
        <v>401</v>
      </c>
      <c r="D73" s="406">
        <f>29.3/D70</f>
        <v>0.25701754385964914</v>
      </c>
      <c r="E73" s="406">
        <f>29.3/E70</f>
        <v>0.25701754385964914</v>
      </c>
      <c r="F73" s="406">
        <f>29.3/F70</f>
        <v>0.25701754385964914</v>
      </c>
      <c r="G73" s="406">
        <f>29.3/G70</f>
        <v>0.25701754385964914</v>
      </c>
      <c r="H73" s="405"/>
      <c r="I73" s="431" t="s">
        <v>555</v>
      </c>
      <c r="J73" s="192" t="s">
        <v>204</v>
      </c>
    </row>
    <row r="74" spans="2:10">
      <c r="B74" s="404"/>
      <c r="C74" s="93"/>
      <c r="D74" s="403"/>
      <c r="E74" s="402"/>
      <c r="F74" s="401"/>
      <c r="G74" s="401"/>
      <c r="H74" s="401"/>
      <c r="I74" s="346"/>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152</v>
      </c>
      <c r="D79" s="182">
        <v>0.33</v>
      </c>
      <c r="E79" s="182">
        <v>0.28000000000000003</v>
      </c>
      <c r="F79" s="182">
        <v>0.24</v>
      </c>
      <c r="G79" s="182">
        <v>0.23</v>
      </c>
      <c r="H79" s="182"/>
      <c r="I79" s="75" t="s">
        <v>608</v>
      </c>
      <c r="J79" s="72"/>
    </row>
    <row r="80" spans="2:10">
      <c r="B80" s="76"/>
      <c r="C80" s="75"/>
      <c r="D80" s="80"/>
      <c r="E80" s="79"/>
      <c r="F80" s="79"/>
      <c r="G80" s="79"/>
      <c r="H80" s="79"/>
      <c r="I80" s="346"/>
      <c r="J80" s="72"/>
    </row>
    <row r="81" spans="2:10" ht="12.75" customHeight="1">
      <c r="B81" s="76"/>
      <c r="C81" s="75"/>
      <c r="D81" s="397"/>
      <c r="E81" s="397"/>
      <c r="F81" s="397"/>
      <c r="G81" s="397"/>
      <c r="H81" s="397"/>
      <c r="I81" s="346"/>
      <c r="J81" s="72"/>
    </row>
    <row r="82" spans="2:10" ht="12.75" customHeight="1">
      <c r="B82" s="76" t="s">
        <v>189</v>
      </c>
      <c r="C82" s="75" t="s">
        <v>185</v>
      </c>
      <c r="D82" s="397">
        <v>0.39</v>
      </c>
      <c r="E82" s="397">
        <f>D82*0.5</f>
        <v>0.19500000000000001</v>
      </c>
      <c r="F82" s="397">
        <f t="shared" ref="F82:G85" si="3">E82</f>
        <v>0.19500000000000001</v>
      </c>
      <c r="G82" s="397">
        <f t="shared" si="3"/>
        <v>0.19500000000000001</v>
      </c>
      <c r="H82" s="397"/>
      <c r="I82" s="346" t="s">
        <v>613</v>
      </c>
      <c r="J82" s="72"/>
    </row>
    <row r="83" spans="2:10">
      <c r="B83" s="76" t="s">
        <v>187</v>
      </c>
      <c r="C83" s="75" t="s">
        <v>185</v>
      </c>
      <c r="D83" s="397">
        <v>0.12</v>
      </c>
      <c r="E83" s="397">
        <f>D83*0.5</f>
        <v>0.06</v>
      </c>
      <c r="F83" s="397">
        <f t="shared" si="3"/>
        <v>0.06</v>
      </c>
      <c r="G83" s="397">
        <f t="shared" si="3"/>
        <v>0.06</v>
      </c>
      <c r="H83" s="397"/>
      <c r="I83" s="346" t="s">
        <v>613</v>
      </c>
      <c r="J83" s="72"/>
    </row>
    <row r="84" spans="2:10">
      <c r="B84" s="76" t="s">
        <v>116</v>
      </c>
      <c r="C84" s="75" t="s">
        <v>185</v>
      </c>
      <c r="D84" s="397">
        <v>4.78</v>
      </c>
      <c r="E84" s="397">
        <f>D84*0.3</f>
        <v>1.4339999999999999</v>
      </c>
      <c r="F84" s="397">
        <f t="shared" si="3"/>
        <v>1.4339999999999999</v>
      </c>
      <c r="G84" s="397">
        <f t="shared" si="3"/>
        <v>1.4339999999999999</v>
      </c>
      <c r="H84" s="397"/>
      <c r="I84" s="346" t="s">
        <v>613</v>
      </c>
      <c r="J84" s="72"/>
    </row>
    <row r="85" spans="2:10">
      <c r="B85" s="76" t="s">
        <v>186</v>
      </c>
      <c r="C85" s="75" t="s">
        <v>185</v>
      </c>
      <c r="D85" s="397">
        <v>4.8000000000000001E-2</v>
      </c>
      <c r="E85" s="397">
        <f>D85*0.5*0.05</f>
        <v>1.2000000000000001E-3</v>
      </c>
      <c r="F85" s="397">
        <f t="shared" si="3"/>
        <v>1.2000000000000001E-3</v>
      </c>
      <c r="G85" s="397">
        <f t="shared" si="3"/>
        <v>1.2000000000000001E-3</v>
      </c>
      <c r="H85" s="397"/>
      <c r="I85" s="346" t="s">
        <v>613</v>
      </c>
      <c r="J85" s="72" t="s">
        <v>184</v>
      </c>
    </row>
    <row r="86" spans="2:10" ht="14.4" thickBot="1">
      <c r="B86" s="71"/>
      <c r="C86" s="70"/>
      <c r="D86" s="70"/>
      <c r="E86" s="70"/>
      <c r="F86" s="70"/>
      <c r="G86" s="70"/>
      <c r="H86" s="70"/>
      <c r="I86" s="70"/>
      <c r="J86" s="68"/>
    </row>
    <row r="87" spans="2:10" ht="13.5" customHeight="1">
      <c r="F87" s="66"/>
      <c r="G87" s="66"/>
      <c r="H87" s="66"/>
    </row>
    <row r="88" spans="2:10" ht="26.25" customHeight="1">
      <c r="F88" s="66"/>
      <c r="G88" s="66"/>
      <c r="H88" s="66"/>
    </row>
    <row r="89" spans="2:10" ht="12.75" customHeight="1" thickBot="1">
      <c r="B89" s="87"/>
      <c r="F89" s="66"/>
      <c r="G89" s="66"/>
      <c r="H89" s="66"/>
    </row>
    <row r="90" spans="2:10" ht="12.75" customHeight="1">
      <c r="B90" s="396"/>
      <c r="C90" s="395"/>
      <c r="D90" s="395"/>
      <c r="E90" s="395"/>
      <c r="F90" s="395"/>
      <c r="G90" s="395"/>
      <c r="H90" s="395"/>
      <c r="I90" s="395"/>
      <c r="J90" s="394"/>
    </row>
    <row r="91" spans="2:10" ht="12.75" customHeight="1">
      <c r="B91" s="393"/>
      <c r="C91" s="392"/>
      <c r="D91" s="392"/>
      <c r="E91" s="392"/>
      <c r="F91" s="392"/>
      <c r="G91" s="392"/>
      <c r="H91" s="392"/>
      <c r="I91" s="392"/>
      <c r="J91" s="391"/>
    </row>
    <row r="92" spans="2:10" ht="12.75" customHeight="1">
      <c r="B92" s="393"/>
      <c r="C92" s="392"/>
      <c r="D92" s="392"/>
      <c r="E92" s="392"/>
      <c r="F92" s="392"/>
      <c r="G92" s="392"/>
      <c r="H92" s="392"/>
      <c r="I92" s="392"/>
      <c r="J92" s="391"/>
    </row>
    <row r="93" spans="2:10" ht="12.75" customHeight="1">
      <c r="B93" s="393"/>
      <c r="C93" s="392"/>
      <c r="D93" s="392"/>
      <c r="E93" s="392"/>
      <c r="F93" s="392"/>
      <c r="G93" s="392"/>
      <c r="H93" s="392"/>
      <c r="I93" s="392"/>
      <c r="J93" s="391"/>
    </row>
    <row r="94" spans="2:10" ht="12.75" customHeight="1">
      <c r="B94" s="393"/>
      <c r="C94" s="392"/>
      <c r="D94" s="392"/>
      <c r="E94" s="392"/>
      <c r="F94" s="392"/>
      <c r="G94" s="392"/>
      <c r="H94" s="392"/>
      <c r="I94" s="392"/>
      <c r="J94" s="391"/>
    </row>
    <row r="95" spans="2:10" ht="12.75" customHeight="1">
      <c r="C95" s="392"/>
      <c r="D95" s="392"/>
      <c r="E95" s="392"/>
      <c r="F95" s="392"/>
      <c r="G95" s="392"/>
      <c r="H95" s="392"/>
      <c r="I95" s="392"/>
      <c r="J95" s="391"/>
    </row>
    <row r="96" spans="2:10" ht="12.75" customHeight="1">
      <c r="C96" s="392"/>
      <c r="D96" s="392"/>
      <c r="E96" s="392"/>
      <c r="F96" s="392"/>
      <c r="G96" s="392"/>
      <c r="H96" s="392"/>
      <c r="I96" s="392"/>
      <c r="J96" s="391"/>
    </row>
    <row r="97" spans="2:10" ht="12.75" customHeight="1">
      <c r="C97" s="392"/>
      <c r="D97" s="392"/>
      <c r="E97" s="392"/>
      <c r="F97" s="392"/>
      <c r="G97" s="392"/>
      <c r="H97" s="392"/>
      <c r="I97" s="392"/>
      <c r="J97" s="391"/>
    </row>
    <row r="98" spans="2:10" ht="12.75" customHeight="1">
      <c r="B98" s="1759"/>
      <c r="C98" s="1760"/>
      <c r="D98" s="1760"/>
      <c r="E98" s="1760"/>
      <c r="F98" s="1760"/>
      <c r="G98" s="1760"/>
      <c r="H98" s="1760"/>
      <c r="I98" s="1760"/>
      <c r="J98" s="1761"/>
    </row>
    <row r="99" spans="2:10" ht="12.75" customHeight="1" thickBot="1">
      <c r="B99" s="390"/>
      <c r="C99" s="389"/>
      <c r="D99" s="389"/>
      <c r="E99" s="389"/>
      <c r="F99" s="389"/>
      <c r="G99" s="389"/>
      <c r="H99" s="389"/>
      <c r="I99" s="389"/>
      <c r="J99" s="388"/>
    </row>
    <row r="100" spans="2:10" ht="13.5" customHeight="1">
      <c r="H100" s="66"/>
    </row>
    <row r="101" spans="2:10" ht="12.75" customHeight="1">
      <c r="H101" s="66"/>
    </row>
    <row r="102" spans="2:10" ht="12.75" customHeight="1">
      <c r="I102" s="64"/>
    </row>
    <row r="103" spans="2:10">
      <c r="I103" s="64"/>
    </row>
    <row r="104" spans="2:10" ht="12.75" customHeight="1"/>
    <row r="105" spans="2:10" ht="12.75" customHeight="1"/>
    <row r="109" spans="2:10" ht="12.75" customHeight="1"/>
    <row r="112" spans="2:10" ht="12.75" customHeight="1"/>
    <row r="114" ht="12.75" customHeight="1"/>
  </sheetData>
  <mergeCells count="3">
    <mergeCell ref="B98:J98"/>
    <mergeCell ref="B12:N13"/>
    <mergeCell ref="B14:N17"/>
  </mergeCells>
  <pageMargins left="0.15748031496062992" right="0.15748031496062992" top="1.25" bottom="0.19685039370078741" header="0.51181102362204722" footer="0.51181102362204722"/>
  <pageSetup paperSize="9" scale="58"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'C:\Users\B003920\Desktop\[Kopi af alternativ_drivmiddelmodel_3.0_2.xlsm]Sheet1'!#REF!</xm:f>
          </x14:formula1>
          <xm:sqref>C9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B152"/>
  <sheetViews>
    <sheetView topLeftCell="A3" workbookViewId="0">
      <pane xSplit="2" ySplit="3" topLeftCell="E6" activePane="bottomRight" state="frozen"/>
      <selection activeCell="A3" sqref="A3"/>
      <selection pane="topRight" activeCell="C3" sqref="C3"/>
      <selection pane="bottomLeft" activeCell="A6" sqref="A6"/>
      <selection pane="bottomRight" activeCell="Z3" sqref="W3:Z3"/>
    </sheetView>
  </sheetViews>
  <sheetFormatPr defaultColWidth="9.33203125" defaultRowHeight="13.2"/>
  <cols>
    <col min="1" max="1" width="1.6640625" style="550" customWidth="1"/>
    <col min="2" max="2" width="18.6640625" style="549" customWidth="1"/>
    <col min="3" max="3" width="17.88671875" style="549" bestFit="1" customWidth="1"/>
    <col min="4" max="4" width="62.33203125" style="549" customWidth="1"/>
    <col min="5" max="5" width="10.44140625" style="549" bestFit="1" customWidth="1"/>
    <col min="6" max="6" width="11.33203125" style="549" customWidth="1"/>
    <col min="7" max="7" width="13.5546875" style="549" customWidth="1"/>
    <col min="8" max="8" width="13.44140625" style="549" customWidth="1"/>
    <col min="9" max="9" width="12.6640625" style="549" customWidth="1"/>
    <col min="10" max="10" width="11.5546875" style="549" customWidth="1"/>
    <col min="11" max="11" width="9.6640625" style="549" customWidth="1"/>
    <col min="12" max="12" width="10" style="549" customWidth="1"/>
    <col min="13" max="13" width="10.6640625" style="549" customWidth="1"/>
    <col min="14" max="16" width="12.33203125" style="549" customWidth="1"/>
    <col min="17" max="17" width="9.6640625" style="549" bestFit="1" customWidth="1"/>
    <col min="18" max="18" width="11.5546875" style="549" customWidth="1"/>
    <col min="19" max="19" width="11.33203125" style="549" bestFit="1" customWidth="1"/>
    <col min="20" max="20" width="17.33203125" style="549" bestFit="1" customWidth="1"/>
    <col min="21" max="21" width="11.6640625" style="549" customWidth="1"/>
    <col min="22" max="22" width="16" style="549" bestFit="1" customWidth="1"/>
    <col min="23" max="26" width="13.33203125" style="549" customWidth="1"/>
    <col min="27" max="27" width="9.5546875" style="549" bestFit="1" customWidth="1"/>
    <col min="28" max="28" width="14.88671875" style="549" bestFit="1" customWidth="1"/>
    <col min="29" max="16384" width="9.33203125" style="549"/>
  </cols>
  <sheetData>
    <row r="1" spans="2:28">
      <c r="T1" s="549" t="s">
        <v>1261</v>
      </c>
      <c r="AB1" s="526"/>
    </row>
    <row r="2" spans="2:28">
      <c r="F2" s="2" t="s">
        <v>0</v>
      </c>
      <c r="H2" s="2"/>
      <c r="I2" s="2"/>
      <c r="L2" s="550"/>
      <c r="Q2" s="1231"/>
      <c r="T2" s="1284">
        <v>0.2</v>
      </c>
    </row>
    <row r="3" spans="2:28" ht="28.5" customHeight="1">
      <c r="B3" s="1156" t="s">
        <v>1</v>
      </c>
      <c r="C3" s="1156" t="s">
        <v>2</v>
      </c>
      <c r="D3" s="1156" t="s">
        <v>3</v>
      </c>
      <c r="E3" s="1232" t="s">
        <v>28</v>
      </c>
      <c r="F3" s="1232" t="s">
        <v>219</v>
      </c>
      <c r="G3" s="1232" t="s">
        <v>497</v>
      </c>
      <c r="H3" s="1232" t="s">
        <v>501</v>
      </c>
      <c r="I3" s="1232" t="s">
        <v>9</v>
      </c>
      <c r="J3" s="1232" t="s">
        <v>10</v>
      </c>
      <c r="K3" s="1233" t="s">
        <v>6</v>
      </c>
      <c r="L3" s="1234" t="s">
        <v>4</v>
      </c>
      <c r="M3" s="1235" t="s">
        <v>7</v>
      </c>
      <c r="N3" s="1235" t="s">
        <v>963</v>
      </c>
      <c r="O3" s="1232" t="s">
        <v>965</v>
      </c>
      <c r="P3" s="1232" t="s">
        <v>5</v>
      </c>
      <c r="Q3" s="1232" t="s">
        <v>222</v>
      </c>
      <c r="R3" s="1235" t="s">
        <v>1262</v>
      </c>
      <c r="S3" s="1235" t="s">
        <v>90</v>
      </c>
      <c r="T3" s="1235" t="s">
        <v>505</v>
      </c>
      <c r="U3" s="1232" t="s">
        <v>1263</v>
      </c>
      <c r="V3" s="1232" t="s">
        <v>1264</v>
      </c>
      <c r="W3" s="43" t="s">
        <v>1497</v>
      </c>
      <c r="X3" s="43" t="s">
        <v>1498</v>
      </c>
      <c r="Y3" s="43" t="s">
        <v>1499</v>
      </c>
      <c r="Z3" s="43" t="s">
        <v>1500</v>
      </c>
      <c r="AB3" s="43" t="s">
        <v>1461</v>
      </c>
    </row>
    <row r="4" spans="2:28" ht="24.75" customHeight="1" thickBot="1">
      <c r="B4" s="551" t="s">
        <v>967</v>
      </c>
      <c r="C4" s="551"/>
      <c r="D4" s="551"/>
      <c r="E4" s="551"/>
      <c r="F4" s="1236" t="s">
        <v>968</v>
      </c>
      <c r="G4" s="1236" t="s">
        <v>969</v>
      </c>
      <c r="H4" s="1236" t="s">
        <v>970</v>
      </c>
      <c r="I4" s="1236" t="s">
        <v>971</v>
      </c>
      <c r="J4" s="1236" t="s">
        <v>14</v>
      </c>
      <c r="K4" s="1236" t="s">
        <v>972</v>
      </c>
      <c r="L4" s="1236" t="s">
        <v>973</v>
      </c>
      <c r="M4" s="1236" t="s">
        <v>974</v>
      </c>
      <c r="N4" s="1236"/>
      <c r="O4" s="1236" t="s">
        <v>976</v>
      </c>
      <c r="P4" s="1236"/>
      <c r="Q4" s="1236"/>
      <c r="R4" s="1236"/>
      <c r="S4" s="1236"/>
      <c r="T4" s="1236"/>
      <c r="U4" s="1236"/>
      <c r="V4" s="1236"/>
      <c r="W4" s="949" t="s">
        <v>1460</v>
      </c>
      <c r="X4" s="949" t="s">
        <v>1460</v>
      </c>
      <c r="Y4" s="949" t="s">
        <v>1460</v>
      </c>
      <c r="Z4" s="949" t="s">
        <v>1460</v>
      </c>
    </row>
    <row r="5" spans="2:28" ht="26.25" customHeight="1" thickBot="1">
      <c r="B5" s="551" t="s">
        <v>11</v>
      </c>
      <c r="C5" s="551"/>
      <c r="D5" s="551"/>
      <c r="E5" s="551"/>
      <c r="F5" s="1236" t="s">
        <v>1265</v>
      </c>
      <c r="G5" s="1236" t="s">
        <v>1266</v>
      </c>
      <c r="H5" s="1236" t="s">
        <v>979</v>
      </c>
      <c r="I5" s="1236" t="s">
        <v>980</v>
      </c>
      <c r="J5" s="1236"/>
      <c r="K5" s="1236" t="s">
        <v>1025</v>
      </c>
      <c r="L5" s="1236" t="s">
        <v>982</v>
      </c>
      <c r="M5" s="1236" t="s">
        <v>982</v>
      </c>
      <c r="N5" s="1236"/>
      <c r="O5" s="1236" t="s">
        <v>983</v>
      </c>
      <c r="P5" s="1236"/>
      <c r="Q5" s="1236"/>
      <c r="R5" s="1236"/>
      <c r="S5" s="1236"/>
      <c r="T5" s="1236"/>
      <c r="U5" s="1236"/>
      <c r="V5" s="1236"/>
      <c r="W5" s="551"/>
      <c r="X5" s="551"/>
      <c r="Y5" s="551"/>
      <c r="Z5" s="551"/>
    </row>
    <row r="6" spans="2:28">
      <c r="B6" s="549" t="str">
        <f>"TFV"&amp;MID(C6,4,5)&amp;MID(C7,4,2)&amp;RIGHT(C7,1)&amp;"N"</f>
        <v>TFVGSBL2N</v>
      </c>
      <c r="C6" s="531" t="s">
        <v>227</v>
      </c>
      <c r="D6" s="531" t="s">
        <v>886</v>
      </c>
      <c r="E6" s="1274">
        <v>2012</v>
      </c>
      <c r="F6" s="1244" t="s">
        <v>986</v>
      </c>
      <c r="G6" s="1244">
        <v>0.46</v>
      </c>
      <c r="H6" s="1244">
        <v>19097</v>
      </c>
      <c r="I6" s="1340">
        <f>1.41*187.11</f>
        <v>263.82510000000002</v>
      </c>
      <c r="J6" s="1341">
        <v>13</v>
      </c>
      <c r="K6" s="1342">
        <v>3.5E-4</v>
      </c>
      <c r="L6" s="1340"/>
      <c r="M6" s="1340">
        <v>254.79599999999999</v>
      </c>
      <c r="N6" s="1343"/>
      <c r="O6" s="1244">
        <v>1E-3</v>
      </c>
      <c r="P6" s="1278">
        <f>E6</f>
        <v>2012</v>
      </c>
      <c r="Q6" s="1278"/>
      <c r="R6" s="1243">
        <v>0.34</v>
      </c>
      <c r="S6" s="1243">
        <v>5</v>
      </c>
      <c r="W6" s="1530">
        <f t="array" ref="W6">INDEX(EMIS_factors!$G$6:$O$152,MATCH($E6&amp;$AB6,EMIS_factors!$E$6:$E$152&amp;EMIS_factors!$D$6:$D$152,0),MATCH(RIGHT(W$3,6),EMIS_factors!$G$4:$O$4,0))</f>
        <v>1.7361875001350958E-4</v>
      </c>
      <c r="X6" s="1530">
        <f t="array" ref="X6">INDEX(EMIS_factors!$G$6:$O$152,MATCH($E6&amp;$AB6,EMIS_factors!$E$6:$E$152&amp;EMIS_factors!$D$6:$D$152,0),MATCH(RIGHT(X$3,6),EMIS_factors!$G$4:$O$4,0))</f>
        <v>0.45358117726415226</v>
      </c>
      <c r="Y6" s="1530">
        <f t="array" ref="Y6">INDEX(EMIS_factors!$G$6:$O$152,MATCH($E6&amp;$AB6,EMIS_factors!$E$6:$E$152&amp;EMIS_factors!$D$6:$D$152,0),MATCH(RIGHT(Y$3,6),EMIS_factors!$G$4:$O$4,0))</f>
        <v>1.7149024767923505E-2</v>
      </c>
      <c r="Z6" s="1530">
        <f t="array" ref="Z6">INDEX(EMIS_factors!$G$6:$O$152,MATCH($E6&amp;$AB6,EMIS_factors!$E$6:$E$152&amp;EMIS_factors!$D$6:$D$152,0),MATCH(RIGHT(Z$3,6),EMIS_factors!$G$4:$O$4,0))</f>
        <v>62.730581604907755</v>
      </c>
      <c r="AA6" s="1295"/>
      <c r="AB6" s="526" t="s">
        <v>1466</v>
      </c>
    </row>
    <row r="7" spans="2:28">
      <c r="C7" s="531"/>
      <c r="D7" s="531" t="s">
        <v>887</v>
      </c>
      <c r="E7" s="1274"/>
      <c r="F7" s="531"/>
      <c r="G7" s="1244"/>
      <c r="H7" s="1244"/>
      <c r="I7" s="1340">
        <f>1.41*271.31</f>
        <v>382.5471</v>
      </c>
      <c r="J7" s="1244"/>
      <c r="K7" s="1342"/>
      <c r="L7" s="1342"/>
      <c r="M7" s="1340"/>
      <c r="N7" s="1244"/>
      <c r="O7" s="1244"/>
      <c r="P7" s="531"/>
      <c r="Q7" s="531"/>
      <c r="R7" s="1237">
        <v>0.66</v>
      </c>
      <c r="S7" s="1243">
        <v>5</v>
      </c>
      <c r="W7" s="1530"/>
      <c r="X7" s="1530"/>
      <c r="Y7" s="1530"/>
      <c r="Z7" s="1530"/>
      <c r="AA7" s="1295"/>
      <c r="AB7" s="526" t="s">
        <v>1466</v>
      </c>
    </row>
    <row r="8" spans="2:28">
      <c r="B8" s="549" t="str">
        <f>"TFV"&amp;MID(C8,4,5)&amp;MID(C9,4,2)&amp;RIGHT(C9,1)&amp;"N"</f>
        <v>TFVGSBL4N</v>
      </c>
      <c r="C8" s="531" t="s">
        <v>229</v>
      </c>
      <c r="D8" s="531" t="s">
        <v>886</v>
      </c>
      <c r="E8" s="1274">
        <v>2030</v>
      </c>
      <c r="F8" s="1244" t="s">
        <v>986</v>
      </c>
      <c r="G8" s="1244">
        <v>0.46</v>
      </c>
      <c r="H8" s="1244">
        <v>19097</v>
      </c>
      <c r="I8" s="1340">
        <v>263.82510000000002</v>
      </c>
      <c r="J8" s="1244">
        <v>13</v>
      </c>
      <c r="K8" s="1342">
        <v>3.5E-4</v>
      </c>
      <c r="L8" s="1342"/>
      <c r="M8" s="1340">
        <v>253.00799999999998</v>
      </c>
      <c r="N8" s="1244"/>
      <c r="O8" s="1244">
        <v>1E-3</v>
      </c>
      <c r="P8" s="1278">
        <f>E8</f>
        <v>2030</v>
      </c>
      <c r="Q8" s="531"/>
      <c r="R8" s="1237">
        <v>0.34</v>
      </c>
      <c r="S8" s="1243">
        <v>5</v>
      </c>
      <c r="W8" s="1530">
        <f t="array" ref="W8">INDEX(EMIS_factors!$G$6:$O$152,MATCH($E8&amp;$AB8,EMIS_factors!$E$6:$E$152&amp;EMIS_factors!$D$6:$D$152,0),MATCH(RIGHT(W$3,6),EMIS_factors!$G$4:$O$4,0))</f>
        <v>1.7378297587520531E-4</v>
      </c>
      <c r="X8" s="1530">
        <f t="array" ref="X8">INDEX(EMIS_factors!$G$6:$O$152,MATCH($E8&amp;$AB8,EMIS_factors!$E$6:$E$152&amp;EMIS_factors!$D$6:$D$152,0),MATCH(RIGHT(X$3,6),EMIS_factors!$G$4:$O$4,0))</f>
        <v>7.2329682502104559E-2</v>
      </c>
      <c r="Y8" s="1530">
        <f t="array" ref="Y8">INDEX(EMIS_factors!$G$6:$O$152,MATCH($E8&amp;$AB8,EMIS_factors!$E$6:$E$152&amp;EMIS_factors!$D$6:$D$152,0),MATCH(RIGHT(Y$3,6),EMIS_factors!$G$4:$O$4,0))</f>
        <v>4.400844759270277E-3</v>
      </c>
      <c r="Z8" s="1530">
        <f t="array" ref="Z8">INDEX(EMIS_factors!$G$6:$O$152,MATCH($E8&amp;$AB8,EMIS_factors!$E$6:$E$152&amp;EMIS_factors!$D$6:$D$152,0),MATCH(RIGHT(Z$3,6),EMIS_factors!$G$4:$O$4,0))</f>
        <v>61.219670238846668</v>
      </c>
      <c r="AA8" s="1295"/>
      <c r="AB8" s="526" t="s">
        <v>1466</v>
      </c>
    </row>
    <row r="9" spans="2:28">
      <c r="B9" s="1247"/>
      <c r="C9" s="1247"/>
      <c r="D9" s="1247" t="s">
        <v>887</v>
      </c>
      <c r="E9" s="1344"/>
      <c r="F9" s="1247"/>
      <c r="G9" s="1248"/>
      <c r="H9" s="1248"/>
      <c r="I9" s="1345">
        <v>382.5471</v>
      </c>
      <c r="J9" s="1248"/>
      <c r="K9" s="1346"/>
      <c r="L9" s="1346"/>
      <c r="M9" s="1345"/>
      <c r="N9" s="1248"/>
      <c r="O9" s="1248"/>
      <c r="P9" s="1247"/>
      <c r="Q9" s="1247"/>
      <c r="R9" s="1249">
        <v>0.66</v>
      </c>
      <c r="S9" s="1249">
        <v>5</v>
      </c>
      <c r="T9" s="1231"/>
      <c r="U9" s="1231"/>
      <c r="V9" s="1231"/>
      <c r="W9" s="1530"/>
      <c r="X9" s="1530"/>
      <c r="Y9" s="1530"/>
      <c r="Z9" s="1530"/>
      <c r="AA9" s="1295"/>
      <c r="AB9" s="526" t="s">
        <v>1466</v>
      </c>
    </row>
    <row r="10" spans="2:28">
      <c r="B10" s="549" t="str">
        <f>"TFV"&amp;MID(C10,4,5)&amp;MID(C11,4,2)&amp;RIGHT(C11,1)&amp;"N"</f>
        <v>TFVDSBL2N</v>
      </c>
      <c r="C10" s="531" t="s">
        <v>224</v>
      </c>
      <c r="D10" s="531" t="s">
        <v>886</v>
      </c>
      <c r="E10" s="1274">
        <v>2012</v>
      </c>
      <c r="F10" s="1244" t="s">
        <v>986</v>
      </c>
      <c r="G10" s="1244">
        <v>0.46</v>
      </c>
      <c r="H10" s="1244">
        <v>19097</v>
      </c>
      <c r="I10" s="1340">
        <f>1.37*189.91</f>
        <v>260.17670000000004</v>
      </c>
      <c r="J10" s="1341">
        <v>13</v>
      </c>
      <c r="K10" s="1342">
        <v>3.5E-4</v>
      </c>
      <c r="L10" s="1340"/>
      <c r="M10" s="1340">
        <v>297.99305999999996</v>
      </c>
      <c r="N10" s="1340"/>
      <c r="O10" s="1244">
        <v>1E-3</v>
      </c>
      <c r="P10" s="1278">
        <f>E10</f>
        <v>2012</v>
      </c>
      <c r="Q10" s="1278"/>
      <c r="R10" s="1243">
        <v>0.34</v>
      </c>
      <c r="S10" s="1243">
        <v>5</v>
      </c>
      <c r="W10" s="1530">
        <f t="array" ref="W10">INDEX(EMIS_factors!$G$6:$O$152,MATCH($E10&amp;$AB10,EMIS_factors!$E$6:$E$152&amp;EMIS_factors!$D$6:$D$152,0),MATCH(RIGHT(W$3,6),EMIS_factors!$G$4:$O$4,0))</f>
        <v>1.3439747096886728E-4</v>
      </c>
      <c r="X10" s="1530">
        <f t="array" ref="X10">INDEX(EMIS_factors!$G$6:$O$152,MATCH($E10&amp;$AB10,EMIS_factors!$E$6:$E$152&amp;EMIS_factors!$D$6:$D$152,0),MATCH(RIGHT(X$3,6),EMIS_factors!$G$4:$O$4,0))</f>
        <v>0.59124954647093908</v>
      </c>
      <c r="Y10" s="1530">
        <f t="array" ref="Y10">INDEX(EMIS_factors!$G$6:$O$152,MATCH($E10&amp;$AB10,EMIS_factors!$E$6:$E$152&amp;EMIS_factors!$D$6:$D$152,0),MATCH(RIGHT(Y$3,6),EMIS_factors!$G$4:$O$4,0))</f>
        <v>1.6423571293480701E-3</v>
      </c>
      <c r="Z10" s="1530">
        <f t="array" ref="Z10">INDEX(EMIS_factors!$G$6:$O$152,MATCH($E10&amp;$AB10,EMIS_factors!$E$6:$E$152&amp;EMIS_factors!$D$6:$D$152,0),MATCH(RIGHT(Z$3,6),EMIS_factors!$G$4:$O$4,0))</f>
        <v>98.349620356319093</v>
      </c>
      <c r="AA10" s="1295"/>
      <c r="AB10" s="526" t="s">
        <v>1467</v>
      </c>
    </row>
    <row r="11" spans="2:28">
      <c r="C11" s="531"/>
      <c r="D11" s="531" t="s">
        <v>887</v>
      </c>
      <c r="E11" s="1274"/>
      <c r="F11" s="531"/>
      <c r="G11" s="1244"/>
      <c r="H11" s="1244"/>
      <c r="I11" s="1340">
        <f>1.37*292.99</f>
        <v>401.39630000000005</v>
      </c>
      <c r="J11" s="1244"/>
      <c r="K11" s="1342"/>
      <c r="L11" s="1342"/>
      <c r="M11" s="1340"/>
      <c r="N11" s="1244"/>
      <c r="O11" s="1244"/>
      <c r="P11" s="42"/>
      <c r="Q11" s="42"/>
      <c r="R11" s="1237">
        <v>0.66</v>
      </c>
      <c r="S11" s="1243">
        <v>5</v>
      </c>
      <c r="W11" s="1530"/>
      <c r="X11" s="1530"/>
      <c r="Y11" s="1530"/>
      <c r="Z11" s="1530"/>
      <c r="AA11" s="1295"/>
      <c r="AB11" s="526" t="s">
        <v>1467</v>
      </c>
    </row>
    <row r="12" spans="2:28">
      <c r="B12" s="549" t="str">
        <f>"TFV"&amp;MID(C12,4,5)&amp;MID(C13,4,2)&amp;RIGHT(C13,1)&amp;"N"</f>
        <v>TFVDSBL4N</v>
      </c>
      <c r="C12" s="531" t="s">
        <v>226</v>
      </c>
      <c r="D12" s="531" t="s">
        <v>886</v>
      </c>
      <c r="E12" s="1274">
        <v>2030</v>
      </c>
      <c r="F12" s="1244" t="s">
        <v>986</v>
      </c>
      <c r="G12" s="1244">
        <v>0.46</v>
      </c>
      <c r="H12" s="1244">
        <v>19097</v>
      </c>
      <c r="I12" s="1340">
        <v>260.17670000000004</v>
      </c>
      <c r="J12" s="1244">
        <v>13</v>
      </c>
      <c r="K12" s="1342">
        <v>3.5E-4</v>
      </c>
      <c r="L12" s="1342"/>
      <c r="M12" s="1340">
        <v>295.90649999999994</v>
      </c>
      <c r="N12" s="1244"/>
      <c r="O12" s="1244">
        <v>1E-3</v>
      </c>
      <c r="P12" s="1278">
        <f>E12</f>
        <v>2030</v>
      </c>
      <c r="Q12" s="42"/>
      <c r="R12" s="1237">
        <v>0.34</v>
      </c>
      <c r="S12" s="1243">
        <v>5</v>
      </c>
      <c r="W12" s="1530">
        <f t="array" ref="W12">INDEX(EMIS_factors!$G$6:$O$152,MATCH($E12&amp;$AB12,EMIS_factors!$E$6:$E$152&amp;EMIS_factors!$D$6:$D$152,0),MATCH(RIGHT(W$3,6),EMIS_factors!$G$4:$O$4,0))</f>
        <v>1.3393278155901316E-4</v>
      </c>
      <c r="X12" s="1530">
        <f t="array" ref="X12">INDEX(EMIS_factors!$G$6:$O$152,MATCH($E12&amp;$AB12,EMIS_factors!$E$6:$E$152&amp;EMIS_factors!$D$6:$D$152,0),MATCH(RIGHT(X$3,6),EMIS_factors!$G$4:$O$4,0))</f>
        <v>0.10568769368906548</v>
      </c>
      <c r="Y12" s="1530">
        <f t="array" ref="Y12">INDEX(EMIS_factors!$G$6:$O$152,MATCH($E12&amp;$AB12,EMIS_factors!$E$6:$E$152&amp;EMIS_factors!$D$6:$D$152,0),MATCH(RIGHT(Y$3,6),EMIS_factors!$G$4:$O$4,0))</f>
        <v>1.0316653923130049E-5</v>
      </c>
      <c r="Z12" s="1530">
        <f t="array" ref="Z12">INDEX(EMIS_factors!$G$6:$O$152,MATCH($E12&amp;$AB12,EMIS_factors!$E$6:$E$152&amp;EMIS_factors!$D$6:$D$152,0),MATCH(RIGHT(Z$3,6),EMIS_factors!$G$4:$O$4,0))</f>
        <v>49.648115774971075</v>
      </c>
      <c r="AA12" s="1295"/>
      <c r="AB12" s="526" t="s">
        <v>1467</v>
      </c>
    </row>
    <row r="13" spans="2:28">
      <c r="B13" s="1247"/>
      <c r="C13" s="531"/>
      <c r="D13" s="1247" t="s">
        <v>887</v>
      </c>
      <c r="E13" s="1344"/>
      <c r="F13" s="1247"/>
      <c r="G13" s="1248"/>
      <c r="H13" s="1248"/>
      <c r="I13" s="1345">
        <v>401.39630000000005</v>
      </c>
      <c r="J13" s="1248"/>
      <c r="K13" s="1346"/>
      <c r="L13" s="1346"/>
      <c r="M13" s="1345"/>
      <c r="N13" s="1248"/>
      <c r="O13" s="1248"/>
      <c r="P13" s="1347"/>
      <c r="Q13" s="1347"/>
      <c r="R13" s="1249">
        <v>0.66</v>
      </c>
      <c r="S13" s="1249">
        <v>5</v>
      </c>
      <c r="T13" s="1231"/>
      <c r="U13" s="1231"/>
      <c r="V13" s="1231"/>
      <c r="W13" s="1530"/>
      <c r="X13" s="1530"/>
      <c r="Y13" s="1530"/>
      <c r="Z13" s="1530"/>
      <c r="AA13" s="1295"/>
      <c r="AB13" s="526" t="s">
        <v>1467</v>
      </c>
    </row>
    <row r="14" spans="2:28">
      <c r="B14" s="549" t="str">
        <f>"TFV"&amp;MID(C14,4,3)&amp;MID(C15,4,2)&amp;RIGHT(C15,1)&amp;"N"</f>
        <v>TFVNGBGS3N</v>
      </c>
      <c r="C14" s="1157" t="s">
        <v>521</v>
      </c>
      <c r="D14" s="531" t="s">
        <v>886</v>
      </c>
      <c r="E14" s="1274">
        <v>2020</v>
      </c>
      <c r="F14" s="1244" t="s">
        <v>986</v>
      </c>
      <c r="G14" s="1244">
        <v>0.46</v>
      </c>
      <c r="H14" s="1244">
        <v>19097</v>
      </c>
      <c r="I14" s="1340">
        <f>I6*0.9</f>
        <v>237.44259000000002</v>
      </c>
      <c r="J14" s="1341">
        <v>13</v>
      </c>
      <c r="K14" s="1342">
        <v>3.5E-4</v>
      </c>
      <c r="L14" s="1340"/>
      <c r="M14" s="1340">
        <v>275.17968000000002</v>
      </c>
      <c r="N14" s="1340">
        <v>0.75</v>
      </c>
      <c r="O14" s="1244">
        <v>1E-3</v>
      </c>
      <c r="P14" s="1278">
        <v>2025</v>
      </c>
      <c r="Q14" s="1278"/>
      <c r="R14" s="1243">
        <v>0.34</v>
      </c>
      <c r="S14" s="1243">
        <v>5</v>
      </c>
      <c r="T14" s="1243">
        <v>5</v>
      </c>
      <c r="W14" s="1530">
        <f t="array" ref="W14">INDEX(EMIS_factors!$G$6:$O$152,MATCH($E14&amp;$AB14,EMIS_factors!$E$6:$E$152&amp;EMIS_factors!$D$6:$D$152,0),MATCH(RIGHT(W$3,6),EMIS_factors!$G$4:$O$4,0))</f>
        <v>1.3406307062247385E-4</v>
      </c>
      <c r="X14" s="1530">
        <f t="array" ref="X14">INDEX(EMIS_factors!$G$6:$O$152,MATCH($E14&amp;$AB14,EMIS_factors!$E$6:$E$152&amp;EMIS_factors!$D$6:$D$152,0),MATCH(RIGHT(X$3,6),EMIS_factors!$G$4:$O$4,0))</f>
        <v>0.2126412718296968</v>
      </c>
      <c r="Y14" s="1530">
        <f t="array" ref="Y14">INDEX(EMIS_factors!$G$6:$O$152,MATCH($E14&amp;$AB14,EMIS_factors!$E$6:$E$152&amp;EMIS_factors!$D$6:$D$152,0),MATCH(RIGHT(Y$3,6),EMIS_factors!$G$4:$O$4,0))</f>
        <v>1.4386053095962603E-4</v>
      </c>
      <c r="Z14" s="1530">
        <f t="array" ref="Z14">INDEX(EMIS_factors!$G$6:$O$152,MATCH($E14&amp;$AB14,EMIS_factors!$E$6:$E$152&amp;EMIS_factors!$D$6:$D$152,0),MATCH(RIGHT(Z$3,6),EMIS_factors!$G$4:$O$4,0))</f>
        <v>58.01539221073655</v>
      </c>
      <c r="AA14" s="1295"/>
      <c r="AB14" s="526" t="s">
        <v>1490</v>
      </c>
    </row>
    <row r="15" spans="2:28">
      <c r="C15" s="531" t="s">
        <v>228</v>
      </c>
      <c r="D15" s="531" t="s">
        <v>887</v>
      </c>
      <c r="E15" s="1274"/>
      <c r="F15" s="531"/>
      <c r="G15" s="1244"/>
      <c r="H15" s="1244"/>
      <c r="I15" s="1340">
        <f>I7*0.9</f>
        <v>344.29239000000001</v>
      </c>
      <c r="J15" s="1244"/>
      <c r="K15" s="1342"/>
      <c r="L15" s="1342"/>
      <c r="M15" s="1340"/>
      <c r="N15" s="1244"/>
      <c r="O15" s="1244"/>
      <c r="P15" s="42"/>
      <c r="Q15" s="42"/>
      <c r="R15" s="1237">
        <v>0.66</v>
      </c>
      <c r="S15" s="1237">
        <v>5</v>
      </c>
      <c r="W15" s="1530"/>
      <c r="X15" s="1530"/>
      <c r="Y15" s="1530"/>
      <c r="Z15" s="1530"/>
      <c r="AA15" s="1295"/>
      <c r="AB15" s="526" t="s">
        <v>1490</v>
      </c>
    </row>
    <row r="16" spans="2:28">
      <c r="B16" s="549" t="str">
        <f>"TFV"&amp;MID(C16,4,3)&amp;MID(C17,4,2)&amp;RIGHT(C17,1)&amp;"N"</f>
        <v>TFVNGBGS4N</v>
      </c>
      <c r="C16" s="1157" t="s">
        <v>522</v>
      </c>
      <c r="D16" s="531" t="s">
        <v>886</v>
      </c>
      <c r="E16" s="1274">
        <v>2030</v>
      </c>
      <c r="F16" s="1244" t="s">
        <v>986</v>
      </c>
      <c r="G16" s="1244">
        <v>0.46</v>
      </c>
      <c r="H16" s="1244">
        <v>19097</v>
      </c>
      <c r="I16" s="1340">
        <f>263.8251*0.9</f>
        <v>237.44259000000002</v>
      </c>
      <c r="J16" s="1244">
        <v>13</v>
      </c>
      <c r="K16" s="1342">
        <v>3.5E-4</v>
      </c>
      <c r="L16" s="1342"/>
      <c r="M16" s="1340">
        <v>273.24864000000002</v>
      </c>
      <c r="N16" s="1244">
        <v>0.75</v>
      </c>
      <c r="O16" s="1244">
        <v>1E-3</v>
      </c>
      <c r="P16" s="1278">
        <f>E16</f>
        <v>2030</v>
      </c>
      <c r="Q16" s="42"/>
      <c r="R16" s="1237">
        <v>0.34</v>
      </c>
      <c r="S16" s="1237">
        <v>5</v>
      </c>
      <c r="T16" s="1243">
        <v>5</v>
      </c>
      <c r="W16" s="1530">
        <f t="array" ref="W16">INDEX(EMIS_factors!$G$6:$O$152,MATCH($E16&amp;$AB16,EMIS_factors!$E$6:$E$152&amp;EMIS_factors!$D$6:$D$152,0),MATCH(RIGHT(W$3,6),EMIS_factors!$G$4:$O$4,0))</f>
        <v>1.3393278155901316E-4</v>
      </c>
      <c r="X16" s="1530">
        <f t="array" ref="X16">INDEX(EMIS_factors!$G$6:$O$152,MATCH($E16&amp;$AB16,EMIS_factors!$E$6:$E$152&amp;EMIS_factors!$D$6:$D$152,0),MATCH(RIGHT(X$3,6),EMIS_factors!$G$4:$O$4,0))</f>
        <v>0.10568769368906548</v>
      </c>
      <c r="Y16" s="1530">
        <f t="array" ref="Y16">INDEX(EMIS_factors!$G$6:$O$152,MATCH($E16&amp;$AB16,EMIS_factors!$E$6:$E$152&amp;EMIS_factors!$D$6:$D$152,0),MATCH(RIGHT(Y$3,6),EMIS_factors!$G$4:$O$4,0))</f>
        <v>1.0316653923130049E-5</v>
      </c>
      <c r="Z16" s="1530">
        <f t="array" ref="Z16">INDEX(EMIS_factors!$G$6:$O$152,MATCH($E16&amp;$AB16,EMIS_factors!$E$6:$E$152&amp;EMIS_factors!$D$6:$D$152,0),MATCH(RIGHT(Z$3,6),EMIS_factors!$G$4:$O$4,0))</f>
        <v>49.648115774971075</v>
      </c>
      <c r="AA16" s="1295"/>
      <c r="AB16" s="526" t="s">
        <v>1490</v>
      </c>
    </row>
    <row r="17" spans="1:28">
      <c r="B17" s="1430"/>
      <c r="C17" s="531" t="s">
        <v>229</v>
      </c>
      <c r="D17" s="1247" t="s">
        <v>887</v>
      </c>
      <c r="E17" s="1344"/>
      <c r="F17" s="1247"/>
      <c r="G17" s="1248"/>
      <c r="H17" s="1248"/>
      <c r="I17" s="1345">
        <f>382.5471*0.9</f>
        <v>344.29239000000001</v>
      </c>
      <c r="J17" s="1248"/>
      <c r="K17" s="1346"/>
      <c r="L17" s="1346"/>
      <c r="M17" s="1345"/>
      <c r="N17" s="1248"/>
      <c r="O17" s="1248"/>
      <c r="P17" s="1347"/>
      <c r="Q17" s="1347"/>
      <c r="R17" s="1249">
        <v>0.66</v>
      </c>
      <c r="S17" s="1249">
        <v>5</v>
      </c>
      <c r="T17" s="1231"/>
      <c r="U17" s="1231"/>
      <c r="V17" s="1231"/>
      <c r="W17" s="1530"/>
      <c r="X17" s="1530"/>
      <c r="Y17" s="1530"/>
      <c r="Z17" s="1530"/>
      <c r="AA17" s="1295"/>
      <c r="AB17" s="526" t="s">
        <v>1490</v>
      </c>
    </row>
    <row r="18" spans="1:28">
      <c r="B18" s="549" t="str">
        <f>"TFV"&amp;MID(C18,4,3)&amp;MID(C19,4,2)&amp;RIGHT(C19,1)&amp;"N"</f>
        <v>TFVELCN</v>
      </c>
      <c r="C18" s="990" t="s">
        <v>779</v>
      </c>
      <c r="D18" s="531" t="s">
        <v>886</v>
      </c>
      <c r="E18" s="1274">
        <v>2012</v>
      </c>
      <c r="F18" s="1244" t="s">
        <v>986</v>
      </c>
      <c r="G18" s="1244">
        <v>0.46</v>
      </c>
      <c r="H18" s="1244">
        <v>19097</v>
      </c>
      <c r="I18" s="1340">
        <f>AVERAGE(I6:I7)*TRA_Cars!AB41/TRA_Cars!AB17</f>
        <v>1216.6582064153602</v>
      </c>
      <c r="J18" s="1239">
        <v>13</v>
      </c>
      <c r="K18" s="1348">
        <v>3.5E-4</v>
      </c>
      <c r="L18" s="1265"/>
      <c r="M18" s="1265">
        <v>422.74043021624288</v>
      </c>
      <c r="N18" s="1265"/>
      <c r="O18" s="1237">
        <v>1E-3</v>
      </c>
      <c r="P18" s="1278">
        <v>2020</v>
      </c>
      <c r="Q18" s="1240"/>
      <c r="R18" s="1243">
        <v>0.34</v>
      </c>
      <c r="S18" s="1243">
        <v>5</v>
      </c>
      <c r="W18" s="1530">
        <f t="array" ref="W18">INDEX(EMIS_factors!$G$6:$O$152,MATCH($E18&amp;$AB18,EMIS_factors!$E$6:$E$152&amp;EMIS_factors!$D$6:$D$152,0),MATCH(RIGHT(W$3,6),EMIS_factors!$G$4:$O$4,0))</f>
        <v>0</v>
      </c>
      <c r="X18" s="1530">
        <f t="array" ref="X18">INDEX(EMIS_factors!$G$6:$O$152,MATCH($E18&amp;$AB18,EMIS_factors!$E$6:$E$152&amp;EMIS_factors!$D$6:$D$152,0),MATCH(RIGHT(X$3,6),EMIS_factors!$G$4:$O$4,0))</f>
        <v>0</v>
      </c>
      <c r="Y18" s="1530">
        <f t="array" ref="Y18">INDEX(EMIS_factors!$G$6:$O$152,MATCH($E18&amp;$AB18,EMIS_factors!$E$6:$E$152&amp;EMIS_factors!$D$6:$D$152,0),MATCH(RIGHT(Y$3,6),EMIS_factors!$G$4:$O$4,0))</f>
        <v>0</v>
      </c>
      <c r="Z18" s="1530">
        <f t="array" ref="Z18">INDEX(EMIS_factors!$G$6:$O$152,MATCH($E18&amp;$AB18,EMIS_factors!$E$6:$E$152&amp;EMIS_factors!$D$6:$D$152,0),MATCH(RIGHT(Z$3,6),EMIS_factors!$G$4:$O$4,0))</f>
        <v>44.620060901642262</v>
      </c>
      <c r="AA18" s="1295"/>
      <c r="AB18" s="526" t="s">
        <v>1468</v>
      </c>
    </row>
    <row r="19" spans="1:28">
      <c r="B19" s="531"/>
      <c r="C19" s="531"/>
      <c r="D19" s="481" t="s">
        <v>887</v>
      </c>
      <c r="E19" s="1274"/>
      <c r="F19" s="1244"/>
      <c r="G19" s="552"/>
      <c r="H19" s="552"/>
      <c r="I19" s="1340">
        <f>I18</f>
        <v>1216.6582064153602</v>
      </c>
      <c r="J19" s="552"/>
      <c r="K19" s="1349"/>
      <c r="L19" s="1305"/>
      <c r="M19" s="1265"/>
      <c r="N19" s="531"/>
      <c r="O19" s="552"/>
      <c r="P19" s="552"/>
      <c r="R19" s="1243">
        <v>0.66</v>
      </c>
      <c r="S19" s="1243">
        <v>5</v>
      </c>
      <c r="W19" s="1530"/>
      <c r="X19" s="1530"/>
      <c r="Y19" s="1530"/>
      <c r="Z19" s="1530"/>
      <c r="AA19" s="1295"/>
      <c r="AB19" s="526" t="s">
        <v>1468</v>
      </c>
    </row>
    <row r="20" spans="1:28">
      <c r="B20" s="531"/>
      <c r="C20" s="531"/>
      <c r="D20" s="531" t="s">
        <v>886</v>
      </c>
      <c r="E20" s="1274">
        <v>2020</v>
      </c>
      <c r="F20" s="1244" t="s">
        <v>986</v>
      </c>
      <c r="G20" s="1244">
        <f>G18</f>
        <v>0.46</v>
      </c>
      <c r="H20" s="1244">
        <f>H18</f>
        <v>19097</v>
      </c>
      <c r="I20" s="1340">
        <f>I18</f>
        <v>1216.6582064153602</v>
      </c>
      <c r="J20" s="1244">
        <f>J18</f>
        <v>13</v>
      </c>
      <c r="K20" s="1348">
        <v>3.5E-4</v>
      </c>
      <c r="L20" s="1265"/>
      <c r="M20" s="1265">
        <v>422.74043021624288</v>
      </c>
      <c r="N20" s="531"/>
      <c r="O20" s="1237">
        <v>1E-3</v>
      </c>
      <c r="P20" s="1278"/>
      <c r="R20" s="1243">
        <v>0.34</v>
      </c>
      <c r="S20" s="1243">
        <v>5</v>
      </c>
      <c r="W20" s="1530">
        <f t="array" ref="W20">INDEX(EMIS_factors!$G$6:$O$152,MATCH($E20&amp;$AB20,EMIS_factors!$E$6:$E$152&amp;EMIS_factors!$D$6:$D$152,0),MATCH(RIGHT(W$3,6),EMIS_factors!$G$4:$O$4,0))</f>
        <v>0</v>
      </c>
      <c r="X20" s="1530">
        <f t="array" ref="X20">INDEX(EMIS_factors!$G$6:$O$152,MATCH($E20&amp;$AB20,EMIS_factors!$E$6:$E$152&amp;EMIS_factors!$D$6:$D$152,0),MATCH(RIGHT(X$3,6),EMIS_factors!$G$4:$O$4,0))</f>
        <v>0</v>
      </c>
      <c r="Y20" s="1530">
        <f t="array" ref="Y20">INDEX(EMIS_factors!$G$6:$O$152,MATCH($E20&amp;$AB20,EMIS_factors!$E$6:$E$152&amp;EMIS_factors!$D$6:$D$152,0),MATCH(RIGHT(Y$3,6),EMIS_factors!$G$4:$O$4,0))</f>
        <v>0</v>
      </c>
      <c r="Z20" s="1530">
        <f t="array" ref="Z20">INDEX(EMIS_factors!$G$6:$O$152,MATCH($E20&amp;$AB20,EMIS_factors!$E$6:$E$152&amp;EMIS_factors!$D$6:$D$152,0),MATCH(RIGHT(Z$3,6),EMIS_factors!$G$4:$O$4,0))</f>
        <v>45.050172646782613</v>
      </c>
      <c r="AA20" s="1295"/>
      <c r="AB20" s="526" t="s">
        <v>1468</v>
      </c>
    </row>
    <row r="21" spans="1:28">
      <c r="B21" s="531"/>
      <c r="C21" s="531"/>
      <c r="D21" s="481" t="s">
        <v>887</v>
      </c>
      <c r="E21" s="1274"/>
      <c r="F21" s="1244"/>
      <c r="G21" s="552"/>
      <c r="H21" s="552"/>
      <c r="I21" s="1340">
        <f>I19</f>
        <v>1216.6582064153602</v>
      </c>
      <c r="J21" s="552"/>
      <c r="K21" s="1348"/>
      <c r="L21" s="1265"/>
      <c r="M21" s="1265"/>
      <c r="N21" s="531"/>
      <c r="O21" s="552"/>
      <c r="P21" s="1278"/>
      <c r="R21" s="1243">
        <v>0.66</v>
      </c>
      <c r="S21" s="1243">
        <v>5</v>
      </c>
      <c r="W21" s="1530"/>
      <c r="X21" s="1530"/>
      <c r="Y21" s="1530"/>
      <c r="Z21" s="1530"/>
      <c r="AA21" s="1295"/>
      <c r="AB21" s="526" t="s">
        <v>1468</v>
      </c>
    </row>
    <row r="22" spans="1:28">
      <c r="B22" s="531"/>
      <c r="C22" s="531"/>
      <c r="D22" s="531" t="s">
        <v>886</v>
      </c>
      <c r="E22" s="1274">
        <v>2030</v>
      </c>
      <c r="F22" s="1244" t="s">
        <v>986</v>
      </c>
      <c r="G22" s="1244">
        <f>G20</f>
        <v>0.46</v>
      </c>
      <c r="H22" s="1244">
        <f>H20</f>
        <v>19097</v>
      </c>
      <c r="I22" s="1340">
        <f>I20</f>
        <v>1216.6582064153602</v>
      </c>
      <c r="J22" s="1244">
        <f>J20</f>
        <v>13</v>
      </c>
      <c r="K22" s="1349">
        <v>2.9999999999999997E-4</v>
      </c>
      <c r="L22" s="1305"/>
      <c r="M22" s="1265">
        <v>294.24290229352954</v>
      </c>
      <c r="N22" s="531"/>
      <c r="O22" s="1237">
        <v>1E-3</v>
      </c>
      <c r="P22" s="1278"/>
      <c r="R22" s="1243">
        <v>0.34</v>
      </c>
      <c r="S22" s="1243">
        <v>5</v>
      </c>
      <c r="W22" s="1530">
        <f t="array" ref="W22">INDEX(EMIS_factors!$G$6:$O$152,MATCH($E22&amp;$AB22,EMIS_factors!$E$6:$E$152&amp;EMIS_factors!$D$6:$D$152,0),MATCH(RIGHT(W$3,6),EMIS_factors!$G$4:$O$4,0))</f>
        <v>0</v>
      </c>
      <c r="X22" s="1530">
        <f t="array" ref="X22">INDEX(EMIS_factors!$G$6:$O$152,MATCH($E22&amp;$AB22,EMIS_factors!$E$6:$E$152&amp;EMIS_factors!$D$6:$D$152,0),MATCH(RIGHT(X$3,6),EMIS_factors!$G$4:$O$4,0))</f>
        <v>0</v>
      </c>
      <c r="Y22" s="1530">
        <f t="array" ref="Y22">INDEX(EMIS_factors!$G$6:$O$152,MATCH($E22&amp;$AB22,EMIS_factors!$E$6:$E$152&amp;EMIS_factors!$D$6:$D$152,0),MATCH(RIGHT(Y$3,6),EMIS_factors!$G$4:$O$4,0))</f>
        <v>0</v>
      </c>
      <c r="Z22" s="1530">
        <f t="array" ref="Z22">INDEX(EMIS_factors!$G$6:$O$152,MATCH($E22&amp;$AB22,EMIS_factors!$E$6:$E$152&amp;EMIS_factors!$D$6:$D$152,0),MATCH(RIGHT(Z$3,6),EMIS_factors!$G$4:$O$4,0))</f>
        <v>45.112072055429536</v>
      </c>
      <c r="AA22" s="1295"/>
      <c r="AB22" s="526" t="s">
        <v>1468</v>
      </c>
    </row>
    <row r="23" spans="1:28">
      <c r="B23" s="531"/>
      <c r="C23" s="531"/>
      <c r="D23" s="481" t="s">
        <v>887</v>
      </c>
      <c r="E23" s="1274"/>
      <c r="F23" s="1244"/>
      <c r="G23" s="552"/>
      <c r="H23" s="552"/>
      <c r="I23" s="1340">
        <f>I21</f>
        <v>1216.6582064153602</v>
      </c>
      <c r="J23" s="552"/>
      <c r="K23" s="1349"/>
      <c r="L23" s="1305"/>
      <c r="M23" s="1265"/>
      <c r="N23" s="531"/>
      <c r="O23" s="552"/>
      <c r="P23" s="1278"/>
      <c r="R23" s="1243">
        <v>0.66</v>
      </c>
      <c r="S23" s="1243">
        <v>5</v>
      </c>
      <c r="W23" s="1530"/>
      <c r="X23" s="1530"/>
      <c r="Y23" s="1530"/>
      <c r="Z23" s="1530"/>
      <c r="AA23" s="1295"/>
      <c r="AB23" s="526" t="s">
        <v>1468</v>
      </c>
    </row>
    <row r="24" spans="1:28">
      <c r="B24" s="531"/>
      <c r="C24" s="531"/>
      <c r="D24" s="531" t="s">
        <v>886</v>
      </c>
      <c r="E24" s="1274">
        <v>2050</v>
      </c>
      <c r="F24" s="1244" t="s">
        <v>986</v>
      </c>
      <c r="G24" s="1244">
        <f>G22</f>
        <v>0.46</v>
      </c>
      <c r="H24" s="1244">
        <f>H22</f>
        <v>19097</v>
      </c>
      <c r="I24" s="1340">
        <f>I22</f>
        <v>1216.6582064153602</v>
      </c>
      <c r="J24" s="1244">
        <f>J22</f>
        <v>13</v>
      </c>
      <c r="K24" s="1237">
        <v>2.9E-4</v>
      </c>
      <c r="L24" s="1305"/>
      <c r="M24" s="1265">
        <v>262.57363788105948</v>
      </c>
      <c r="N24" s="531"/>
      <c r="O24" s="1237">
        <v>1E-3</v>
      </c>
      <c r="P24" s="1278"/>
      <c r="Q24" s="552"/>
      <c r="R24" s="1243">
        <v>0.34</v>
      </c>
      <c r="S24" s="1243">
        <v>5</v>
      </c>
      <c r="T24" s="552"/>
      <c r="U24" s="552"/>
      <c r="V24" s="552"/>
      <c r="W24" s="1530">
        <f t="array" ref="W24">INDEX(EMIS_factors!$G$6:$O$152,MATCH($E24&amp;$AB24,EMIS_factors!$E$6:$E$152&amp;EMIS_factors!$D$6:$D$152,0),MATCH(RIGHT(W$3,6),EMIS_factors!$G$4:$O$4,0))</f>
        <v>0</v>
      </c>
      <c r="X24" s="1530">
        <f t="array" ref="X24">INDEX(EMIS_factors!$G$6:$O$152,MATCH($E24&amp;$AB24,EMIS_factors!$E$6:$E$152&amp;EMIS_factors!$D$6:$D$152,0),MATCH(RIGHT(X$3,6),EMIS_factors!$G$4:$O$4,0))</f>
        <v>0</v>
      </c>
      <c r="Y24" s="1530">
        <f t="array" ref="Y24">INDEX(EMIS_factors!$G$6:$O$152,MATCH($E24&amp;$AB24,EMIS_factors!$E$6:$E$152&amp;EMIS_factors!$D$6:$D$152,0),MATCH(RIGHT(Y$3,6),EMIS_factors!$G$4:$O$4,0))</f>
        <v>0</v>
      </c>
      <c r="Z24" s="1530">
        <f t="array" ref="Z24">INDEX(EMIS_factors!$G$6:$O$152,MATCH($E24&amp;$AB24,EMIS_factors!$E$6:$E$152&amp;EMIS_factors!$D$6:$D$152,0),MATCH(RIGHT(Z$3,6),EMIS_factors!$G$4:$O$4,0))</f>
        <v>45.112072055429536</v>
      </c>
      <c r="AA24" s="1295"/>
      <c r="AB24" s="526" t="s">
        <v>1468</v>
      </c>
    </row>
    <row r="25" spans="1:28">
      <c r="B25" s="1430"/>
      <c r="C25" s="1430"/>
      <c r="D25" s="1450" t="s">
        <v>887</v>
      </c>
      <c r="E25" s="1458"/>
      <c r="F25" s="1432"/>
      <c r="G25" s="552"/>
      <c r="H25" s="552"/>
      <c r="I25" s="1340">
        <f>I23</f>
        <v>1216.6582064153602</v>
      </c>
      <c r="J25" s="552"/>
      <c r="K25" s="1431"/>
      <c r="L25" s="1459"/>
      <c r="M25" s="1448"/>
      <c r="N25" s="1430"/>
      <c r="O25" s="1428"/>
      <c r="P25" s="1446"/>
      <c r="Q25" s="1428"/>
      <c r="R25" s="1243">
        <v>0.66</v>
      </c>
      <c r="S25" s="1243">
        <v>5</v>
      </c>
      <c r="T25" s="1428"/>
      <c r="U25" s="1428"/>
      <c r="V25" s="1428"/>
      <c r="W25" s="1530"/>
      <c r="X25" s="1530"/>
      <c r="Y25" s="1530"/>
      <c r="Z25" s="1530"/>
      <c r="AA25" s="1295"/>
      <c r="AB25" s="526" t="s">
        <v>1468</v>
      </c>
    </row>
    <row r="26" spans="1:28">
      <c r="B26" s="549" t="str">
        <f>"TFV"&amp;MID(C26,4,5)&amp;MID(C27,4,2)&amp;RIGHT(C27,1)&amp;"N"</f>
        <v>TFVH2CN</v>
      </c>
      <c r="C26" s="531" t="s">
        <v>1341</v>
      </c>
      <c r="D26" s="531" t="s">
        <v>886</v>
      </c>
      <c r="E26" s="1237">
        <v>2012</v>
      </c>
      <c r="F26" s="1244" t="s">
        <v>986</v>
      </c>
      <c r="G26" s="1244">
        <v>0.46</v>
      </c>
      <c r="H26" s="1244">
        <v>19097</v>
      </c>
      <c r="I26" s="1340">
        <f>I18*TRA_Cars!$AA$65/TRA_Cars!$AA$41</f>
        <v>592.93805087987744</v>
      </c>
      <c r="J26" s="1239">
        <v>13</v>
      </c>
      <c r="K26" s="1348">
        <v>3.8000000000000002E-4</v>
      </c>
      <c r="L26" s="1265"/>
      <c r="M26" s="1244">
        <v>347.77199999999999</v>
      </c>
      <c r="N26" s="1265"/>
      <c r="O26" s="1237">
        <v>1E-3</v>
      </c>
      <c r="P26" s="1278">
        <v>2020</v>
      </c>
      <c r="Q26" s="1240"/>
      <c r="R26" s="1243">
        <v>0.34</v>
      </c>
      <c r="S26" s="1243">
        <v>5</v>
      </c>
      <c r="W26" s="1530">
        <f t="array" ref="W26">INDEX(EMIS_factors!$G$6:$O$152,MATCH($E26&amp;$AB26,EMIS_factors!$E$6:$E$152&amp;EMIS_factors!$D$6:$D$152,0),MATCH(RIGHT(W$3,6),EMIS_factors!$G$4:$O$4,0))</f>
        <v>0</v>
      </c>
      <c r="X26" s="1530">
        <f t="array" ref="X26">INDEX(EMIS_factors!$G$6:$O$152,MATCH($E26&amp;$AB26,EMIS_factors!$E$6:$E$152&amp;EMIS_factors!$D$6:$D$152,0),MATCH(RIGHT(X$3,6),EMIS_factors!$G$4:$O$4,0))</f>
        <v>0</v>
      </c>
      <c r="Y26" s="1530">
        <f t="array" ref="Y26">INDEX(EMIS_factors!$G$6:$O$152,MATCH($E26&amp;$AB26,EMIS_factors!$E$6:$E$152&amp;EMIS_factors!$D$6:$D$152,0),MATCH(RIGHT(Y$3,6),EMIS_factors!$G$4:$O$4,0))</f>
        <v>0</v>
      </c>
      <c r="Z26" s="1530">
        <f t="array" ref="Z26">INDEX(EMIS_factors!$G$6:$O$152,MATCH($E26&amp;$AB26,EMIS_factors!$E$6:$E$152&amp;EMIS_factors!$D$6:$D$152,0),MATCH(RIGHT(Z$3,6),EMIS_factors!$G$4:$O$4,0))</f>
        <v>44.620060901642262</v>
      </c>
      <c r="AA26" s="1295"/>
      <c r="AB26" s="526" t="s">
        <v>1468</v>
      </c>
    </row>
    <row r="27" spans="1:28">
      <c r="B27" s="531"/>
      <c r="C27" s="531"/>
      <c r="D27" s="481" t="s">
        <v>887</v>
      </c>
      <c r="I27" s="1340">
        <f>I19*TRA_Cars!$AA$65/TRA_Cars!$AA$41</f>
        <v>592.93805087987744</v>
      </c>
      <c r="N27" s="531"/>
      <c r="O27" s="552"/>
      <c r="P27" s="552"/>
      <c r="Q27" s="552"/>
      <c r="R27" s="1243">
        <v>0.66</v>
      </c>
      <c r="S27" s="1243">
        <v>5</v>
      </c>
      <c r="W27" s="1530"/>
      <c r="X27" s="1530"/>
      <c r="Y27" s="1530"/>
      <c r="Z27" s="1530"/>
      <c r="AA27" s="1295"/>
      <c r="AB27" s="526" t="s">
        <v>1468</v>
      </c>
    </row>
    <row r="28" spans="1:28">
      <c r="B28" s="531"/>
      <c r="C28" s="531"/>
      <c r="D28" s="531" t="s">
        <v>886</v>
      </c>
      <c r="E28" s="1237">
        <v>2020</v>
      </c>
      <c r="F28" s="1244" t="s">
        <v>986</v>
      </c>
      <c r="G28" s="1244">
        <f>G26</f>
        <v>0.46</v>
      </c>
      <c r="H28" s="1244">
        <f>H26</f>
        <v>19097</v>
      </c>
      <c r="I28" s="1340">
        <f>I20*TRA_Cars!$AA$65/TRA_Cars!$AA$41</f>
        <v>592.93805087987744</v>
      </c>
      <c r="J28" s="1244">
        <f>J26</f>
        <v>13</v>
      </c>
      <c r="K28" s="1348">
        <v>3.8000000000000002E-4</v>
      </c>
      <c r="L28" s="1265"/>
      <c r="M28" s="1244">
        <v>347.77199999999999</v>
      </c>
      <c r="N28" s="531"/>
      <c r="O28" s="1237">
        <v>1E-3</v>
      </c>
      <c r="P28" s="552"/>
      <c r="Q28" s="552"/>
      <c r="R28" s="1243">
        <v>0.34</v>
      </c>
      <c r="S28" s="1243">
        <v>5</v>
      </c>
      <c r="W28" s="1530">
        <f t="array" ref="W28">INDEX(EMIS_factors!$G$6:$O$152,MATCH($E28&amp;$AB28,EMIS_factors!$E$6:$E$152&amp;EMIS_factors!$D$6:$D$152,0),MATCH(RIGHT(W$3,6),EMIS_factors!$G$4:$O$4,0))</f>
        <v>0</v>
      </c>
      <c r="X28" s="1530">
        <f t="array" ref="X28">INDEX(EMIS_factors!$G$6:$O$152,MATCH($E28&amp;$AB28,EMIS_factors!$E$6:$E$152&amp;EMIS_factors!$D$6:$D$152,0),MATCH(RIGHT(X$3,6),EMIS_factors!$G$4:$O$4,0))</f>
        <v>0</v>
      </c>
      <c r="Y28" s="1530">
        <f t="array" ref="Y28">INDEX(EMIS_factors!$G$6:$O$152,MATCH($E28&amp;$AB28,EMIS_factors!$E$6:$E$152&amp;EMIS_factors!$D$6:$D$152,0),MATCH(RIGHT(Y$3,6),EMIS_factors!$G$4:$O$4,0))</f>
        <v>0</v>
      </c>
      <c r="Z28" s="1530">
        <f t="array" ref="Z28">INDEX(EMIS_factors!$G$6:$O$152,MATCH($E28&amp;$AB28,EMIS_factors!$E$6:$E$152&amp;EMIS_factors!$D$6:$D$152,0),MATCH(RIGHT(Z$3,6),EMIS_factors!$G$4:$O$4,0))</f>
        <v>45.050172646782613</v>
      </c>
      <c r="AA28" s="1295"/>
      <c r="AB28" s="526" t="s">
        <v>1468</v>
      </c>
    </row>
    <row r="29" spans="1:28">
      <c r="B29" s="531"/>
      <c r="C29" s="531"/>
      <c r="D29" s="481" t="s">
        <v>887</v>
      </c>
      <c r="E29" s="1237"/>
      <c r="F29" s="1244"/>
      <c r="G29" s="552"/>
      <c r="H29" s="552"/>
      <c r="I29" s="1340">
        <f>I21*TRA_Cars!$AA$65/TRA_Cars!$AA$41</f>
        <v>592.93805087987744</v>
      </c>
      <c r="J29" s="552"/>
      <c r="K29" s="1348"/>
      <c r="L29" s="1265"/>
      <c r="M29" s="1244"/>
      <c r="N29" s="531"/>
      <c r="O29" s="552"/>
      <c r="P29" s="552"/>
      <c r="Q29" s="552"/>
      <c r="R29" s="1243">
        <v>0.66</v>
      </c>
      <c r="S29" s="1243">
        <v>5</v>
      </c>
      <c r="W29" s="1530"/>
      <c r="X29" s="1530"/>
      <c r="Y29" s="1530"/>
      <c r="Z29" s="1530"/>
      <c r="AA29" s="1295"/>
      <c r="AB29" s="526" t="s">
        <v>1468</v>
      </c>
    </row>
    <row r="30" spans="1:28">
      <c r="B30" s="531"/>
      <c r="C30" s="531"/>
      <c r="D30" s="531" t="s">
        <v>886</v>
      </c>
      <c r="E30" s="1274">
        <v>2030</v>
      </c>
      <c r="F30" s="1244" t="s">
        <v>986</v>
      </c>
      <c r="G30" s="1244">
        <f>G28</f>
        <v>0.46</v>
      </c>
      <c r="H30" s="1244">
        <f>H28</f>
        <v>19097</v>
      </c>
      <c r="I30" s="1340">
        <f>I22*TRA_Cars!$AA$69/TRA_Cars!$AA$45</f>
        <v>630.74123952277898</v>
      </c>
      <c r="J30" s="1244">
        <f>J28</f>
        <v>13</v>
      </c>
      <c r="K30" s="1348">
        <v>3.5E-4</v>
      </c>
      <c r="L30" s="1305"/>
      <c r="M30" s="1244">
        <v>292.34399999999999</v>
      </c>
      <c r="N30" s="531"/>
      <c r="O30" s="1237">
        <v>1E-3</v>
      </c>
      <c r="P30" s="552"/>
      <c r="Q30" s="552"/>
      <c r="R30" s="1243">
        <v>0.34</v>
      </c>
      <c r="S30" s="1243">
        <v>5</v>
      </c>
      <c r="W30" s="1530">
        <f t="array" ref="W30">INDEX(EMIS_factors!$G$6:$O$152,MATCH($E30&amp;$AB30,EMIS_factors!$E$6:$E$152&amp;EMIS_factors!$D$6:$D$152,0),MATCH(RIGHT(W$3,6),EMIS_factors!$G$4:$O$4,0))</f>
        <v>0</v>
      </c>
      <c r="X30" s="1530">
        <f t="array" ref="X30">INDEX(EMIS_factors!$G$6:$O$152,MATCH($E30&amp;$AB30,EMIS_factors!$E$6:$E$152&amp;EMIS_factors!$D$6:$D$152,0),MATCH(RIGHT(X$3,6),EMIS_factors!$G$4:$O$4,0))</f>
        <v>0</v>
      </c>
      <c r="Y30" s="1530">
        <f t="array" ref="Y30">INDEX(EMIS_factors!$G$6:$O$152,MATCH($E30&amp;$AB30,EMIS_factors!$E$6:$E$152&amp;EMIS_factors!$D$6:$D$152,0),MATCH(RIGHT(Y$3,6),EMIS_factors!$G$4:$O$4,0))</f>
        <v>0</v>
      </c>
      <c r="Z30" s="1530">
        <f t="array" ref="Z30">INDEX(EMIS_factors!$G$6:$O$152,MATCH($E30&amp;$AB30,EMIS_factors!$E$6:$E$152&amp;EMIS_factors!$D$6:$D$152,0),MATCH(RIGHT(Z$3,6),EMIS_factors!$G$4:$O$4,0))</f>
        <v>45.112072055429536</v>
      </c>
      <c r="AA30" s="1295"/>
      <c r="AB30" s="526" t="s">
        <v>1468</v>
      </c>
    </row>
    <row r="31" spans="1:28">
      <c r="B31" s="531"/>
      <c r="C31" s="531"/>
      <c r="D31" s="481" t="s">
        <v>887</v>
      </c>
      <c r="E31" s="1274"/>
      <c r="F31" s="1244"/>
      <c r="G31" s="552"/>
      <c r="H31" s="552"/>
      <c r="I31" s="1340">
        <f>I23*TRA_Cars!$AA$69/TRA_Cars!$AA$45</f>
        <v>630.74123952277898</v>
      </c>
      <c r="J31" s="552"/>
      <c r="K31" s="1348"/>
      <c r="L31" s="1305"/>
      <c r="M31" s="1244"/>
      <c r="N31" s="531"/>
      <c r="O31" s="552"/>
      <c r="P31" s="552"/>
      <c r="Q31" s="552"/>
      <c r="R31" s="1243">
        <v>0.66</v>
      </c>
      <c r="S31" s="1243">
        <v>5</v>
      </c>
      <c r="W31" s="1530"/>
      <c r="X31" s="1530"/>
      <c r="Y31" s="1530"/>
      <c r="Z31" s="1530"/>
      <c r="AA31" s="1295"/>
      <c r="AB31" s="526" t="s">
        <v>1468</v>
      </c>
    </row>
    <row r="32" spans="1:28" s="552" customFormat="1">
      <c r="A32" s="536"/>
      <c r="B32" s="531"/>
      <c r="C32" s="531"/>
      <c r="D32" s="531" t="s">
        <v>886</v>
      </c>
      <c r="E32" s="1274">
        <v>2050</v>
      </c>
      <c r="F32" s="1244" t="s">
        <v>986</v>
      </c>
      <c r="G32" s="1244">
        <f>G30</f>
        <v>0.46</v>
      </c>
      <c r="H32" s="1244">
        <f>H30</f>
        <v>19097</v>
      </c>
      <c r="I32" s="1340">
        <f>I24*TRA_Cars!$AA$73/TRA_Cars!$AA$49</f>
        <v>731.59984500811129</v>
      </c>
      <c r="J32" s="1244">
        <f>J30</f>
        <v>13</v>
      </c>
      <c r="K32" s="1348">
        <v>3.3E-4</v>
      </c>
      <c r="L32" s="1305"/>
      <c r="M32" s="1244">
        <v>271.77599999999995</v>
      </c>
      <c r="N32" s="531"/>
      <c r="O32" s="1237">
        <v>1E-3</v>
      </c>
      <c r="R32" s="1243">
        <v>0.34</v>
      </c>
      <c r="S32" s="1243">
        <v>5</v>
      </c>
      <c r="W32" s="1530">
        <f t="array" ref="W32">INDEX(EMIS_factors!$G$6:$O$152,MATCH($E32&amp;$AB32,EMIS_factors!$E$6:$E$152&amp;EMIS_factors!$D$6:$D$152,0),MATCH(RIGHT(W$3,6),EMIS_factors!$G$4:$O$4,0))</f>
        <v>0</v>
      </c>
      <c r="X32" s="1530">
        <f t="array" ref="X32">INDEX(EMIS_factors!$G$6:$O$152,MATCH($E32&amp;$AB32,EMIS_factors!$E$6:$E$152&amp;EMIS_factors!$D$6:$D$152,0),MATCH(RIGHT(X$3,6),EMIS_factors!$G$4:$O$4,0))</f>
        <v>0</v>
      </c>
      <c r="Y32" s="1530">
        <f t="array" ref="Y32">INDEX(EMIS_factors!$G$6:$O$152,MATCH($E32&amp;$AB32,EMIS_factors!$E$6:$E$152&amp;EMIS_factors!$D$6:$D$152,0),MATCH(RIGHT(Y$3,6),EMIS_factors!$G$4:$O$4,0))</f>
        <v>0</v>
      </c>
      <c r="Z32" s="1530">
        <f t="array" ref="Z32">INDEX(EMIS_factors!$G$6:$O$152,MATCH($E32&amp;$AB32,EMIS_factors!$E$6:$E$152&amp;EMIS_factors!$D$6:$D$152,0),MATCH(RIGHT(Z$3,6),EMIS_factors!$G$4:$O$4,0))</f>
        <v>45.112072055429536</v>
      </c>
      <c r="AA32" s="1295"/>
      <c r="AB32" s="526" t="s">
        <v>1468</v>
      </c>
    </row>
    <row r="33" spans="2:28">
      <c r="B33" s="1430"/>
      <c r="C33" s="1430"/>
      <c r="D33" s="481" t="s">
        <v>887</v>
      </c>
      <c r="E33" s="1458"/>
      <c r="F33" s="1432"/>
      <c r="G33" s="552"/>
      <c r="H33" s="552"/>
      <c r="I33" s="1340">
        <f>I25*TRA_Cars!$AA$69/TRA_Cars!$AA$45</f>
        <v>630.74123952277898</v>
      </c>
      <c r="J33" s="552"/>
      <c r="K33" s="1460"/>
      <c r="L33" s="1459"/>
      <c r="M33" s="1432"/>
      <c r="N33" s="1430"/>
      <c r="O33" s="1428"/>
      <c r="P33" s="1428"/>
      <c r="Q33" s="1428"/>
      <c r="R33" s="1243">
        <v>0.66</v>
      </c>
      <c r="S33" s="1243">
        <v>5</v>
      </c>
      <c r="T33" s="1428"/>
      <c r="U33" s="1428"/>
      <c r="V33" s="1428"/>
      <c r="W33" s="1530"/>
      <c r="X33" s="1530"/>
      <c r="Y33" s="1530"/>
      <c r="Z33" s="1530"/>
      <c r="AA33" s="1295"/>
      <c r="AB33" s="526" t="s">
        <v>1468</v>
      </c>
    </row>
    <row r="34" spans="2:28">
      <c r="B34" s="549" t="str">
        <f>"TFV"&amp;MID(C34,4,3)&amp;MID(C35,4,2)&amp;RIGHT(C35,1)&amp;"N"</f>
        <v>TFVELCGS3N</v>
      </c>
      <c r="C34" s="990" t="s">
        <v>779</v>
      </c>
      <c r="D34" s="531" t="s">
        <v>886</v>
      </c>
      <c r="E34" s="1237">
        <v>2020</v>
      </c>
      <c r="F34" s="1244" t="s">
        <v>986</v>
      </c>
      <c r="G34" s="1244">
        <v>0.46</v>
      </c>
      <c r="H34" s="1244">
        <v>19097</v>
      </c>
      <c r="I34" s="1340">
        <f>I18</f>
        <v>1216.6582064153602</v>
      </c>
      <c r="J34" s="1239">
        <v>13</v>
      </c>
      <c r="K34" s="1348">
        <v>4.0999999999999999E-4</v>
      </c>
      <c r="L34" s="1265"/>
      <c r="M34" s="1265">
        <v>330.78</v>
      </c>
      <c r="O34" s="1237">
        <v>1E-3</v>
      </c>
      <c r="P34" s="1278">
        <f>E34</f>
        <v>2020</v>
      </c>
      <c r="Q34" s="1238"/>
      <c r="R34" s="1243">
        <v>0.34</v>
      </c>
      <c r="S34" s="1237">
        <v>5</v>
      </c>
      <c r="U34" s="1240">
        <v>0.6</v>
      </c>
      <c r="V34" s="1243"/>
      <c r="W34" s="1530">
        <f t="array" ref="W34">INDEX(EMIS_factors!$G$6:$O$152,MATCH($E34&amp;$AB34,EMIS_factors!$E$6:$E$152&amp;EMIS_factors!$D$6:$D$152,0),MATCH(RIGHT(W$3,6),EMIS_factors!$G$4:$O$4,0))</f>
        <v>6.7031535311236923E-5</v>
      </c>
      <c r="X34" s="1530">
        <f t="array" ref="X34">INDEX(EMIS_factors!$G$6:$O$152,MATCH($E34&amp;$AB34,EMIS_factors!$E$6:$E$152&amp;EMIS_factors!$D$6:$D$152,0),MATCH(RIGHT(X$3,6),EMIS_factors!$G$4:$O$4,0))</f>
        <v>0.1063206359148484</v>
      </c>
      <c r="Y34" s="1530">
        <f t="array" ref="Y34">INDEX(EMIS_factors!$G$6:$O$152,MATCH($E34&amp;$AB34,EMIS_factors!$E$6:$E$152&amp;EMIS_factors!$D$6:$D$152,0),MATCH(RIGHT(Y$3,6),EMIS_factors!$G$4:$O$4,0))</f>
        <v>7.1930265479813017E-5</v>
      </c>
      <c r="Z34" s="1530">
        <f t="array" ref="Z34">INDEX(EMIS_factors!$G$6:$O$152,MATCH($E34&amp;$AB34,EMIS_factors!$E$6:$E$152&amp;EMIS_factors!$D$6:$D$152,0),MATCH(RIGHT(Z$3,6),EMIS_factors!$G$4:$O$4,0))</f>
        <v>51.532782428759582</v>
      </c>
      <c r="AA34" s="1295"/>
      <c r="AB34" s="526" t="s">
        <v>1491</v>
      </c>
    </row>
    <row r="35" spans="2:28">
      <c r="C35" s="531" t="s">
        <v>228</v>
      </c>
      <c r="D35" s="552" t="s">
        <v>887</v>
      </c>
      <c r="E35" s="1237"/>
      <c r="F35" s="1237"/>
      <c r="G35" s="1244"/>
      <c r="H35" s="1237"/>
      <c r="I35" s="1341">
        <f>I6</f>
        <v>263.82510000000002</v>
      </c>
      <c r="J35" s="1237"/>
      <c r="K35" s="1348"/>
      <c r="L35" s="1348"/>
      <c r="M35" s="1265"/>
      <c r="O35" s="1237"/>
      <c r="P35" s="1237"/>
      <c r="Q35" s="1237"/>
      <c r="R35" s="1237">
        <v>0.66</v>
      </c>
      <c r="S35" s="1237">
        <v>5</v>
      </c>
      <c r="U35" s="1243"/>
      <c r="V35" s="1243"/>
      <c r="W35" s="1530"/>
      <c r="X35" s="1530"/>
      <c r="Y35" s="1530"/>
      <c r="Z35" s="1530"/>
      <c r="AA35" s="1295"/>
      <c r="AB35" s="526" t="s">
        <v>1491</v>
      </c>
    </row>
    <row r="36" spans="2:28">
      <c r="B36" s="549" t="str">
        <f>"TFV"&amp;MID(C36,4,3)&amp;MID(C37,4,2)&amp;RIGHT(C37,1)&amp;"N"</f>
        <v>TFVELCGS4N</v>
      </c>
      <c r="C36" s="987" t="s">
        <v>779</v>
      </c>
      <c r="D36" s="531" t="s">
        <v>886</v>
      </c>
      <c r="E36" s="1237">
        <v>2030</v>
      </c>
      <c r="F36" s="1244" t="s">
        <v>986</v>
      </c>
      <c r="G36" s="1244">
        <v>0.46</v>
      </c>
      <c r="H36" s="1244">
        <v>19097</v>
      </c>
      <c r="I36" s="1244">
        <v>646.37</v>
      </c>
      <c r="J36" s="1237">
        <v>13</v>
      </c>
      <c r="K36" s="1348">
        <v>4.0999999999999999E-4</v>
      </c>
      <c r="L36" s="1244"/>
      <c r="M36" s="1265">
        <v>310.22399999999999</v>
      </c>
      <c r="O36" s="1244">
        <v>1E-3</v>
      </c>
      <c r="P36" s="1278">
        <f>E36</f>
        <v>2030</v>
      </c>
      <c r="Q36" s="1237"/>
      <c r="R36" s="1237">
        <v>0.34</v>
      </c>
      <c r="S36" s="1237">
        <v>5</v>
      </c>
      <c r="U36" s="1237">
        <v>0.6</v>
      </c>
      <c r="V36" s="1237">
        <v>5</v>
      </c>
      <c r="W36" s="1530">
        <f t="array" ref="W36">INDEX(EMIS_factors!$G$6:$O$152,MATCH($E36&amp;$AB36,EMIS_factors!$E$6:$E$152&amp;EMIS_factors!$D$6:$D$152,0),MATCH(RIGHT(W$3,6),EMIS_factors!$G$4:$O$4,0))</f>
        <v>6.6966390779506582E-5</v>
      </c>
      <c r="X36" s="1530">
        <f t="array" ref="X36">INDEX(EMIS_factors!$G$6:$O$152,MATCH($E36&amp;$AB36,EMIS_factors!$E$6:$E$152&amp;EMIS_factors!$D$6:$D$152,0),MATCH(RIGHT(X$3,6),EMIS_factors!$G$4:$O$4,0))</f>
        <v>5.2843846844532742E-2</v>
      </c>
      <c r="Y36" s="1530">
        <f t="array" ref="Y36">INDEX(EMIS_factors!$G$6:$O$152,MATCH($E36&amp;$AB36,EMIS_factors!$E$6:$E$152&amp;EMIS_factors!$D$6:$D$152,0),MATCH(RIGHT(Y$3,6),EMIS_factors!$G$4:$O$4,0))</f>
        <v>5.1583269615650244E-6</v>
      </c>
      <c r="Z36" s="1530">
        <f t="array" ref="Z36">INDEX(EMIS_factors!$G$6:$O$152,MATCH($E36&amp;$AB36,EMIS_factors!$E$6:$E$152&amp;EMIS_factors!$D$6:$D$152,0),MATCH(RIGHT(Z$3,6),EMIS_factors!$G$4:$O$4,0))</f>
        <v>47.380093915200305</v>
      </c>
      <c r="AA36" s="1295"/>
      <c r="AB36" s="526" t="s">
        <v>1491</v>
      </c>
    </row>
    <row r="37" spans="2:28">
      <c r="B37" s="1428"/>
      <c r="C37" s="1430" t="s">
        <v>229</v>
      </c>
      <c r="D37" s="1428" t="s">
        <v>887</v>
      </c>
      <c r="E37" s="1431"/>
      <c r="F37" s="1432"/>
      <c r="G37" s="1432"/>
      <c r="H37" s="1432"/>
      <c r="I37" s="1432">
        <v>263.82510000000002</v>
      </c>
      <c r="J37" s="1431"/>
      <c r="K37" s="1460"/>
      <c r="L37" s="1432"/>
      <c r="M37" s="1448"/>
      <c r="N37" s="1428"/>
      <c r="O37" s="1432"/>
      <c r="P37" s="1431"/>
      <c r="Q37" s="1431"/>
      <c r="R37" s="1431">
        <v>0.66</v>
      </c>
      <c r="S37" s="1431">
        <v>5</v>
      </c>
      <c r="T37" s="1428"/>
      <c r="U37" s="1431"/>
      <c r="V37" s="1431"/>
      <c r="W37" s="1530"/>
      <c r="X37" s="1530"/>
      <c r="Y37" s="1530"/>
      <c r="Z37" s="1530"/>
      <c r="AA37" s="1295"/>
      <c r="AB37" s="526" t="s">
        <v>1491</v>
      </c>
    </row>
    <row r="38" spans="2:28">
      <c r="B38" s="549" t="str">
        <f>"TFV"&amp;MID(C38,4,3)&amp;MID(C39,4,2)&amp;RIGHT(C39,1)&amp;"N"</f>
        <v>TFVELCDS3N</v>
      </c>
      <c r="C38" s="987" t="s">
        <v>779</v>
      </c>
      <c r="D38" s="531" t="s">
        <v>886</v>
      </c>
      <c r="E38" s="1237">
        <v>2020</v>
      </c>
      <c r="F38" s="1244" t="s">
        <v>986</v>
      </c>
      <c r="G38" s="1244">
        <v>0.46</v>
      </c>
      <c r="H38" s="1244">
        <v>19097</v>
      </c>
      <c r="I38" s="1340">
        <f>I18</f>
        <v>1216.6582064153602</v>
      </c>
      <c r="J38" s="1239">
        <v>13</v>
      </c>
      <c r="K38" s="1348">
        <v>4.0999999999999999E-4</v>
      </c>
      <c r="L38" s="1265"/>
      <c r="M38" s="1265">
        <v>344.01119999999997</v>
      </c>
      <c r="O38" s="1237">
        <v>1E-3</v>
      </c>
      <c r="P38" s="1278">
        <f>E38</f>
        <v>2020</v>
      </c>
      <c r="Q38" s="1238"/>
      <c r="R38" s="1237">
        <v>0.34</v>
      </c>
      <c r="S38" s="1237">
        <v>5</v>
      </c>
      <c r="U38" s="1240">
        <v>0.6</v>
      </c>
      <c r="V38" s="1243"/>
      <c r="W38" s="1530">
        <f t="array" ref="W38">INDEX(EMIS_factors!$G$6:$O$152,MATCH($E38&amp;$AB38,EMIS_factors!$E$6:$E$152&amp;EMIS_factors!$D$6:$D$152,0),MATCH(RIGHT(W$3,6),EMIS_factors!$G$4:$O$4,0))</f>
        <v>6.7031535311236923E-5</v>
      </c>
      <c r="X38" s="1530">
        <f t="array" ref="X38">INDEX(EMIS_factors!$G$6:$O$152,MATCH($E38&amp;$AB38,EMIS_factors!$E$6:$E$152&amp;EMIS_factors!$D$6:$D$152,0),MATCH(RIGHT(X$3,6),EMIS_factors!$G$4:$O$4,0))</f>
        <v>0.1063206359148484</v>
      </c>
      <c r="Y38" s="1530">
        <f t="array" ref="Y38">INDEX(EMIS_factors!$G$6:$O$152,MATCH($E38&amp;$AB38,EMIS_factors!$E$6:$E$152&amp;EMIS_factors!$D$6:$D$152,0),MATCH(RIGHT(Y$3,6),EMIS_factors!$G$4:$O$4,0))</f>
        <v>7.1930265479813017E-5</v>
      </c>
      <c r="Z38" s="1530">
        <f t="array" ref="Z38">INDEX(EMIS_factors!$G$6:$O$152,MATCH($E38&amp;$AB38,EMIS_factors!$E$6:$E$152&amp;EMIS_factors!$D$6:$D$152,0),MATCH(RIGHT(Z$3,6),EMIS_factors!$G$4:$O$4,0))</f>
        <v>51.532782428759582</v>
      </c>
      <c r="AA38" s="1295"/>
      <c r="AB38" s="526" t="s">
        <v>1491</v>
      </c>
    </row>
    <row r="39" spans="2:28">
      <c r="C39" s="531" t="s">
        <v>225</v>
      </c>
      <c r="D39" s="552" t="s">
        <v>887</v>
      </c>
      <c r="E39" s="1237"/>
      <c r="F39" s="1237"/>
      <c r="G39" s="1244"/>
      <c r="H39" s="1237"/>
      <c r="I39" s="1341">
        <f>I10</f>
        <v>260.17670000000004</v>
      </c>
      <c r="J39" s="1237"/>
      <c r="K39" s="1348"/>
      <c r="L39" s="1348"/>
      <c r="M39" s="1265"/>
      <c r="O39" s="1237"/>
      <c r="P39" s="1237"/>
      <c r="Q39" s="1237"/>
      <c r="R39" s="1237">
        <v>0.66</v>
      </c>
      <c r="S39" s="1237">
        <v>5</v>
      </c>
      <c r="U39" s="1243"/>
      <c r="V39" s="1243"/>
      <c r="W39" s="1530"/>
      <c r="X39" s="1530"/>
      <c r="Y39" s="1530"/>
      <c r="Z39" s="1530"/>
      <c r="AA39" s="1295"/>
      <c r="AB39" s="526" t="s">
        <v>1491</v>
      </c>
    </row>
    <row r="40" spans="2:28">
      <c r="B40" s="549" t="str">
        <f>"TFV"&amp;MID(C40,4,3)&amp;MID(C41,4,2)&amp;RIGHT(C41,1)&amp;"N"</f>
        <v>TFVELCDS4N</v>
      </c>
      <c r="C40" s="987" t="s">
        <v>779</v>
      </c>
      <c r="D40" s="531" t="s">
        <v>886</v>
      </c>
      <c r="E40" s="1237">
        <v>2030</v>
      </c>
      <c r="F40" s="1244" t="s">
        <v>986</v>
      </c>
      <c r="G40" s="1244">
        <v>0.46</v>
      </c>
      <c r="H40" s="1244">
        <v>19097</v>
      </c>
      <c r="I40" s="1237">
        <v>646.37</v>
      </c>
      <c r="J40" s="1237">
        <v>13</v>
      </c>
      <c r="K40" s="1348">
        <v>4.0999999999999999E-4</v>
      </c>
      <c r="L40" s="1244"/>
      <c r="M40" s="1265">
        <v>319.53071999999997</v>
      </c>
      <c r="O40" s="1244">
        <v>1E-3</v>
      </c>
      <c r="P40" s="1278">
        <f>E40</f>
        <v>2030</v>
      </c>
      <c r="Q40" s="1237"/>
      <c r="R40" s="1237">
        <v>0.34</v>
      </c>
      <c r="S40" s="1237">
        <v>5</v>
      </c>
      <c r="U40" s="1237">
        <v>0.6</v>
      </c>
      <c r="V40" s="1237">
        <v>5</v>
      </c>
      <c r="W40" s="1530">
        <f t="array" ref="W40">INDEX(EMIS_factors!$G$6:$O$152,MATCH($E40&amp;$AB40,EMIS_factors!$E$6:$E$152&amp;EMIS_factors!$D$6:$D$152,0),MATCH(RIGHT(W$3,6),EMIS_factors!$G$4:$O$4,0))</f>
        <v>6.6966390779506582E-5</v>
      </c>
      <c r="X40" s="1530">
        <f t="array" ref="X40">INDEX(EMIS_factors!$G$6:$O$152,MATCH($E40&amp;$AB40,EMIS_factors!$E$6:$E$152&amp;EMIS_factors!$D$6:$D$152,0),MATCH(RIGHT(X$3,6),EMIS_factors!$G$4:$O$4,0))</f>
        <v>5.2843846844532742E-2</v>
      </c>
      <c r="Y40" s="1530">
        <f t="array" ref="Y40">INDEX(EMIS_factors!$G$6:$O$152,MATCH($E40&amp;$AB40,EMIS_factors!$E$6:$E$152&amp;EMIS_factors!$D$6:$D$152,0),MATCH(RIGHT(Y$3,6),EMIS_factors!$G$4:$O$4,0))</f>
        <v>5.1583269615650244E-6</v>
      </c>
      <c r="Z40" s="1530">
        <f t="array" ref="Z40">INDEX(EMIS_factors!$G$6:$O$152,MATCH($E40&amp;$AB40,EMIS_factors!$E$6:$E$152&amp;EMIS_factors!$D$6:$D$152,0),MATCH(RIGHT(Z$3,6),EMIS_factors!$G$4:$O$4,0))</f>
        <v>47.380093915200305</v>
      </c>
      <c r="AA40" s="1295"/>
      <c r="AB40" s="526" t="s">
        <v>1491</v>
      </c>
    </row>
    <row r="41" spans="2:28" ht="13.8" thickBot="1">
      <c r="B41" s="552"/>
      <c r="C41" s="531" t="s">
        <v>226</v>
      </c>
      <c r="D41" s="1259" t="s">
        <v>887</v>
      </c>
      <c r="E41" s="1237"/>
      <c r="F41" s="1244"/>
      <c r="G41" s="1244"/>
      <c r="H41" s="1244"/>
      <c r="I41" s="1237">
        <v>260.17670000000004</v>
      </c>
      <c r="J41" s="1237"/>
      <c r="K41" s="1348"/>
      <c r="L41" s="1244"/>
      <c r="M41" s="1265"/>
      <c r="O41" s="1244"/>
      <c r="P41" s="1237"/>
      <c r="Q41" s="1237"/>
      <c r="R41" s="1262">
        <v>0.66</v>
      </c>
      <c r="S41" s="1262">
        <v>5</v>
      </c>
      <c r="U41" s="1237"/>
      <c r="V41" s="1237"/>
      <c r="W41" s="1530"/>
      <c r="X41" s="1530"/>
      <c r="Y41" s="1530"/>
      <c r="Z41" s="1530"/>
      <c r="AA41" s="1295"/>
      <c r="AB41" s="526" t="s">
        <v>1491</v>
      </c>
    </row>
    <row r="42" spans="2:28">
      <c r="B42" s="552"/>
      <c r="C42" s="552"/>
      <c r="D42" s="1350"/>
      <c r="E42" s="1350"/>
      <c r="F42" s="552"/>
      <c r="G42" s="552"/>
      <c r="H42" s="552"/>
      <c r="I42" s="552"/>
      <c r="J42" s="552"/>
      <c r="K42" s="1237"/>
      <c r="L42" s="552"/>
      <c r="M42" s="1305"/>
      <c r="N42" s="531"/>
      <c r="O42" s="531"/>
      <c r="P42" s="531"/>
      <c r="Q42" s="552"/>
      <c r="R42" s="552"/>
      <c r="W42" s="1530"/>
      <c r="X42" s="1530"/>
      <c r="Y42" s="1530"/>
      <c r="Z42" s="1530"/>
      <c r="AA42" s="1295"/>
      <c r="AB42" s="526"/>
    </row>
    <row r="43" spans="2:28">
      <c r="B43" s="552"/>
      <c r="C43" s="552"/>
      <c r="D43" s="1350"/>
      <c r="E43" s="1350"/>
      <c r="F43" s="552"/>
      <c r="G43" s="552"/>
      <c r="H43" s="552"/>
      <c r="I43" s="552"/>
      <c r="J43" s="552"/>
      <c r="K43" s="1237"/>
      <c r="L43" s="552"/>
      <c r="M43" s="1305"/>
      <c r="N43" s="531"/>
      <c r="O43" s="531"/>
      <c r="P43" s="531"/>
      <c r="Q43" s="552"/>
      <c r="R43" s="552"/>
      <c r="W43" s="1530"/>
      <c r="X43" s="1530"/>
      <c r="Y43" s="1530"/>
      <c r="Z43" s="1530"/>
      <c r="AA43" s="1295"/>
      <c r="AB43" s="526"/>
    </row>
    <row r="44" spans="2:28">
      <c r="B44" s="552"/>
      <c r="C44" s="552"/>
      <c r="D44" s="1350"/>
      <c r="E44" s="1350"/>
      <c r="F44" s="552"/>
      <c r="G44" s="552"/>
      <c r="H44" s="552"/>
      <c r="I44" s="552"/>
      <c r="J44" s="552"/>
      <c r="K44" s="1237"/>
      <c r="L44" s="552"/>
      <c r="M44" s="1305"/>
      <c r="Q44" s="552"/>
      <c r="R44" s="552"/>
      <c r="W44" s="1530"/>
      <c r="X44" s="1530"/>
      <c r="Y44" s="1530"/>
      <c r="Z44" s="1530"/>
      <c r="AA44" s="1295"/>
      <c r="AB44" s="526"/>
    </row>
    <row r="45" spans="2:28">
      <c r="B45" s="552"/>
      <c r="C45" s="552"/>
      <c r="D45" s="1350"/>
      <c r="E45" s="1350"/>
      <c r="F45" s="552"/>
      <c r="G45" s="552"/>
      <c r="H45" s="552"/>
      <c r="I45" s="552"/>
      <c r="J45" s="552"/>
      <c r="K45" s="1237"/>
      <c r="L45" s="552"/>
      <c r="M45" s="1305"/>
      <c r="Q45" s="552"/>
      <c r="R45" s="552"/>
      <c r="W45" s="1530"/>
      <c r="X45" s="1530"/>
      <c r="Y45" s="1530"/>
      <c r="Z45" s="1530"/>
      <c r="AA45" s="1295"/>
      <c r="AB45" s="526"/>
    </row>
    <row r="46" spans="2:28">
      <c r="B46" s="531"/>
      <c r="C46" s="531"/>
      <c r="D46" s="531"/>
      <c r="E46" s="531"/>
      <c r="F46" s="42"/>
      <c r="G46" s="531"/>
      <c r="H46" s="1244"/>
      <c r="I46" s="1244"/>
      <c r="J46" s="1278"/>
      <c r="K46" s="1244"/>
      <c r="L46" s="1342"/>
      <c r="M46" s="1342"/>
      <c r="N46" s="526" t="s">
        <v>1271</v>
      </c>
      <c r="O46" s="549">
        <v>1.43</v>
      </c>
      <c r="P46" s="527"/>
      <c r="Q46" s="1244"/>
      <c r="R46" s="1244"/>
      <c r="S46" s="42"/>
      <c r="W46" s="1530"/>
      <c r="X46" s="1530"/>
      <c r="Y46" s="1530"/>
      <c r="Z46" s="1530"/>
      <c r="AA46" s="1295"/>
      <c r="AB46" s="526"/>
    </row>
    <row r="47" spans="2:28">
      <c r="B47" s="531"/>
      <c r="C47" s="531"/>
      <c r="D47" s="531"/>
      <c r="E47" s="531"/>
      <c r="F47" s="42"/>
      <c r="G47" s="531"/>
      <c r="H47" s="1244"/>
      <c r="I47" s="1244"/>
      <c r="J47" s="1278"/>
      <c r="K47" s="1244"/>
      <c r="L47" s="1342"/>
      <c r="M47" s="1342"/>
      <c r="N47" s="526" t="s">
        <v>1273</v>
      </c>
      <c r="O47" s="549">
        <v>1.71</v>
      </c>
      <c r="P47" s="535"/>
      <c r="Q47" s="1244"/>
      <c r="R47" s="1244"/>
      <c r="S47" s="42"/>
      <c r="W47" s="1530"/>
      <c r="X47" s="1530"/>
      <c r="Y47" s="1530"/>
      <c r="Z47" s="1530"/>
      <c r="AA47" s="1295"/>
      <c r="AB47" s="526"/>
    </row>
    <row r="48" spans="2:28">
      <c r="B48" s="531"/>
      <c r="C48" s="531"/>
      <c r="D48" s="531"/>
      <c r="E48" s="531"/>
      <c r="F48" s="531"/>
      <c r="G48" s="531"/>
      <c r="H48" s="1244"/>
      <c r="I48" s="1244"/>
      <c r="J48" s="1278"/>
      <c r="K48" s="1244"/>
      <c r="L48" s="1342"/>
      <c r="M48" s="1342"/>
      <c r="Q48" s="1244"/>
      <c r="R48" s="1244"/>
      <c r="S48" s="531"/>
      <c r="W48" s="1530"/>
      <c r="X48" s="1530"/>
      <c r="Y48" s="1530"/>
      <c r="Z48" s="1530"/>
      <c r="AA48" s="1295"/>
      <c r="AB48" s="526"/>
    </row>
    <row r="49" spans="2:28">
      <c r="B49" s="526"/>
      <c r="C49" s="526"/>
      <c r="D49" s="526"/>
      <c r="E49" s="526"/>
      <c r="F49" s="526"/>
      <c r="G49" s="531"/>
      <c r="H49" s="1244"/>
      <c r="I49" s="526"/>
      <c r="J49" s="526"/>
      <c r="K49" s="526"/>
      <c r="L49" s="526"/>
      <c r="M49" s="1356"/>
      <c r="N49" s="501" t="s">
        <v>1271</v>
      </c>
      <c r="O49" s="501">
        <v>1.25</v>
      </c>
      <c r="P49" s="501" t="s">
        <v>1276</v>
      </c>
      <c r="Q49" s="526"/>
      <c r="R49" s="526"/>
      <c r="S49" s="526"/>
      <c r="W49" s="1530"/>
      <c r="X49" s="1530"/>
      <c r="Y49" s="1530"/>
      <c r="Z49" s="1530"/>
      <c r="AA49" s="1295"/>
      <c r="AB49" s="526"/>
    </row>
    <row r="50" spans="2:28">
      <c r="B50" s="18" t="s">
        <v>62</v>
      </c>
      <c r="C50" s="18"/>
      <c r="D50" s="553"/>
      <c r="E50" s="553"/>
      <c r="F50" s="553"/>
      <c r="G50" s="553"/>
      <c r="H50" s="553"/>
      <c r="I50" s="553"/>
      <c r="J50" s="553"/>
      <c r="K50" s="553"/>
      <c r="L50" s="553"/>
      <c r="N50" s="501" t="s">
        <v>1273</v>
      </c>
      <c r="O50" s="501">
        <v>1.45</v>
      </c>
      <c r="W50" s="1530"/>
      <c r="X50" s="1530"/>
      <c r="Y50" s="1530"/>
      <c r="Z50" s="1530"/>
      <c r="AA50" s="1295"/>
      <c r="AB50" s="526"/>
    </row>
    <row r="51" spans="2:28" ht="13.8">
      <c r="B51" s="1267" t="s">
        <v>63</v>
      </c>
      <c r="C51" s="1267" t="s">
        <v>1</v>
      </c>
      <c r="D51" s="1267" t="s">
        <v>64</v>
      </c>
      <c r="E51" s="1267" t="s">
        <v>65</v>
      </c>
      <c r="F51" s="1267" t="s">
        <v>66</v>
      </c>
      <c r="G51" s="1267" t="s">
        <v>67</v>
      </c>
      <c r="H51" s="1267" t="s">
        <v>68</v>
      </c>
      <c r="I51" s="1267" t="s">
        <v>69</v>
      </c>
      <c r="J51" s="1358"/>
      <c r="M51" s="1357"/>
      <c r="W51" s="1530"/>
      <c r="X51" s="1530"/>
      <c r="Y51" s="1530"/>
      <c r="Z51" s="1530"/>
      <c r="AA51" s="1295"/>
      <c r="AB51" s="526"/>
    </row>
    <row r="52" spans="2:28" ht="21" thickBot="1">
      <c r="B52" s="20" t="s">
        <v>70</v>
      </c>
      <c r="C52" s="20" t="s">
        <v>71</v>
      </c>
      <c r="D52" s="20" t="s">
        <v>72</v>
      </c>
      <c r="E52" s="20" t="s">
        <v>73</v>
      </c>
      <c r="F52" s="20" t="s">
        <v>74</v>
      </c>
      <c r="G52" s="20" t="s">
        <v>75</v>
      </c>
      <c r="H52" s="20" t="s">
        <v>76</v>
      </c>
      <c r="I52" s="20" t="s">
        <v>77</v>
      </c>
      <c r="J52" s="20"/>
      <c r="W52" s="1530"/>
      <c r="X52" s="1530"/>
      <c r="Y52" s="1530"/>
      <c r="Z52" s="1530"/>
      <c r="AA52" s="1295"/>
      <c r="AB52" s="526"/>
    </row>
    <row r="53" spans="2:28" ht="13.8" thickBot="1">
      <c r="B53" s="1359" t="s">
        <v>78</v>
      </c>
      <c r="C53" s="491" t="str">
        <f>B6</f>
        <v>TFVGSBL2N</v>
      </c>
      <c r="D53" s="54" t="s">
        <v>1269</v>
      </c>
      <c r="E53" s="547" t="s">
        <v>86</v>
      </c>
      <c r="F53" s="547" t="s">
        <v>82</v>
      </c>
      <c r="G53" s="1253"/>
      <c r="H53" s="1253"/>
      <c r="I53" s="1253"/>
      <c r="J53" s="1253"/>
      <c r="R53" s="535"/>
      <c r="W53" s="1530"/>
      <c r="X53" s="1530"/>
      <c r="Y53" s="1530"/>
      <c r="Z53" s="1530"/>
      <c r="AA53" s="1295"/>
      <c r="AB53" s="526"/>
    </row>
    <row r="54" spans="2:28">
      <c r="B54" s="1359"/>
      <c r="C54" s="491" t="str">
        <f>B8</f>
        <v>TFVGSBL4N</v>
      </c>
      <c r="D54" s="54" t="s">
        <v>1269</v>
      </c>
      <c r="E54" s="547" t="s">
        <v>86</v>
      </c>
      <c r="F54" s="547" t="s">
        <v>82</v>
      </c>
      <c r="G54" s="1253"/>
      <c r="H54" s="1253"/>
      <c r="I54" s="1253"/>
      <c r="J54" s="1253"/>
      <c r="R54" s="535"/>
      <c r="W54" s="1530"/>
      <c r="X54" s="1530"/>
      <c r="Y54" s="1530"/>
      <c r="Z54" s="1530"/>
      <c r="AA54" s="1295"/>
      <c r="AB54" s="526"/>
    </row>
    <row r="55" spans="2:28">
      <c r="B55" s="552"/>
      <c r="C55" s="491" t="str">
        <f>B10</f>
        <v>TFVDSBL2N</v>
      </c>
      <c r="D55" s="54" t="s">
        <v>1270</v>
      </c>
      <c r="E55" s="547" t="s">
        <v>86</v>
      </c>
      <c r="F55" s="547" t="s">
        <v>82</v>
      </c>
      <c r="G55" s="552"/>
      <c r="H55" s="552"/>
      <c r="I55" s="552"/>
      <c r="J55" s="552"/>
      <c r="L55" s="519"/>
      <c r="W55" s="1530"/>
      <c r="X55" s="1530"/>
      <c r="Y55" s="1530"/>
      <c r="Z55" s="1530"/>
      <c r="AA55" s="1295"/>
      <c r="AB55" s="526"/>
    </row>
    <row r="56" spans="2:28">
      <c r="B56" s="552"/>
      <c r="C56" s="491" t="str">
        <f>B12</f>
        <v>TFVDSBL4N</v>
      </c>
      <c r="D56" s="54" t="s">
        <v>1270</v>
      </c>
      <c r="E56" s="547" t="s">
        <v>86</v>
      </c>
      <c r="F56" s="547" t="s">
        <v>82</v>
      </c>
      <c r="G56" s="552"/>
      <c r="H56" s="552"/>
      <c r="I56" s="552"/>
      <c r="J56" s="552"/>
      <c r="L56" s="519"/>
      <c r="W56" s="1530"/>
      <c r="X56" s="1530"/>
      <c r="Y56" s="1530"/>
      <c r="Z56" s="1530"/>
      <c r="AA56" s="1295"/>
      <c r="AB56" s="526"/>
    </row>
    <row r="57" spans="2:28">
      <c r="B57" s="552"/>
      <c r="C57" s="491" t="str">
        <f>B14</f>
        <v>TFVNGBGS3N</v>
      </c>
      <c r="D57" s="54" t="s">
        <v>1272</v>
      </c>
      <c r="E57" s="547" t="s">
        <v>86</v>
      </c>
      <c r="F57" s="547" t="s">
        <v>82</v>
      </c>
      <c r="G57" s="552"/>
      <c r="H57" s="552"/>
      <c r="I57" s="552"/>
      <c r="J57" s="552"/>
      <c r="L57" s="519"/>
      <c r="W57" s="1530"/>
      <c r="X57" s="1530"/>
      <c r="Y57" s="1530"/>
      <c r="Z57" s="1530"/>
      <c r="AB57" s="526"/>
    </row>
    <row r="58" spans="2:28">
      <c r="B58" s="552"/>
      <c r="C58" s="491" t="str">
        <f>B16</f>
        <v>TFVNGBGS4N</v>
      </c>
      <c r="D58" s="54" t="s">
        <v>1272</v>
      </c>
      <c r="E58" s="547" t="s">
        <v>86</v>
      </c>
      <c r="F58" s="547" t="s">
        <v>82</v>
      </c>
      <c r="G58" s="552"/>
      <c r="H58" s="552"/>
      <c r="I58" s="552"/>
      <c r="J58" s="552"/>
      <c r="L58" s="519"/>
      <c r="W58" s="1530"/>
      <c r="X58" s="1530"/>
      <c r="Y58" s="1530"/>
      <c r="Z58" s="1530"/>
      <c r="AB58" s="526"/>
    </row>
    <row r="59" spans="2:28">
      <c r="B59" s="552"/>
      <c r="C59" s="491" t="str">
        <f>B18</f>
        <v>TFVELCN</v>
      </c>
      <c r="D59" s="54" t="s">
        <v>1274</v>
      </c>
      <c r="E59" s="547" t="s">
        <v>86</v>
      </c>
      <c r="F59" s="547" t="s">
        <v>82</v>
      </c>
      <c r="G59" s="552"/>
      <c r="H59" s="552"/>
      <c r="I59" s="547"/>
      <c r="J59" s="552"/>
      <c r="L59" s="519"/>
      <c r="W59" s="1530"/>
      <c r="X59" s="1530"/>
      <c r="Y59" s="1530"/>
      <c r="Z59" s="1530"/>
      <c r="AB59" s="526"/>
    </row>
    <row r="60" spans="2:28">
      <c r="B60" s="552"/>
      <c r="C60" s="491" t="str">
        <f>B26</f>
        <v>TFVH2CN</v>
      </c>
      <c r="D60" s="54" t="s">
        <v>1275</v>
      </c>
      <c r="E60" s="547" t="s">
        <v>86</v>
      </c>
      <c r="F60" s="547" t="s">
        <v>82</v>
      </c>
      <c r="G60" s="552"/>
      <c r="H60" s="552"/>
      <c r="I60" s="547"/>
      <c r="J60" s="552"/>
      <c r="L60" s="519"/>
      <c r="W60" s="1530"/>
      <c r="X60" s="1530"/>
      <c r="Y60" s="1530"/>
      <c r="Z60" s="1530"/>
      <c r="AB60" s="526"/>
    </row>
    <row r="61" spans="2:28">
      <c r="B61" s="552"/>
      <c r="C61" s="491" t="str">
        <f>B34</f>
        <v>TFVELCGS3N</v>
      </c>
      <c r="D61" s="54" t="s">
        <v>1277</v>
      </c>
      <c r="E61" s="547" t="s">
        <v>86</v>
      </c>
      <c r="F61" s="547" t="s">
        <v>82</v>
      </c>
      <c r="G61" s="547"/>
      <c r="H61" s="552"/>
      <c r="I61" s="552"/>
      <c r="J61" s="552"/>
      <c r="L61" s="519"/>
      <c r="W61" s="1530"/>
      <c r="X61" s="1530"/>
      <c r="Y61" s="1530"/>
      <c r="Z61" s="1530"/>
      <c r="AB61" s="526"/>
    </row>
    <row r="62" spans="2:28">
      <c r="B62" s="552"/>
      <c r="C62" s="491" t="str">
        <f>B36</f>
        <v>TFVELCGS4N</v>
      </c>
      <c r="D62" s="54" t="s">
        <v>1277</v>
      </c>
      <c r="E62" s="547" t="s">
        <v>86</v>
      </c>
      <c r="F62" s="547" t="s">
        <v>82</v>
      </c>
      <c r="G62" s="547"/>
      <c r="H62" s="552"/>
      <c r="I62" s="552"/>
      <c r="J62" s="552"/>
      <c r="L62" s="519"/>
      <c r="W62" s="1530"/>
      <c r="X62" s="1530"/>
      <c r="Y62" s="1530"/>
      <c r="Z62" s="1530"/>
      <c r="AB62" s="526"/>
    </row>
    <row r="63" spans="2:28">
      <c r="B63" s="552"/>
      <c r="C63" s="491" t="str">
        <f>B38</f>
        <v>TFVELCDS3N</v>
      </c>
      <c r="D63" s="54" t="s">
        <v>1278</v>
      </c>
      <c r="E63" s="547" t="s">
        <v>86</v>
      </c>
      <c r="F63" s="547" t="s">
        <v>82</v>
      </c>
      <c r="G63" s="547"/>
      <c r="H63" s="552"/>
      <c r="I63" s="552"/>
      <c r="J63" s="552"/>
      <c r="L63" s="519"/>
      <c r="W63" s="1530"/>
      <c r="X63" s="1530"/>
      <c r="Y63" s="1530"/>
      <c r="Z63" s="1530"/>
      <c r="AB63" s="526"/>
    </row>
    <row r="64" spans="2:28">
      <c r="B64" s="552"/>
      <c r="C64" s="491" t="str">
        <f>B40</f>
        <v>TFVELCDS4N</v>
      </c>
      <c r="D64" s="54" t="s">
        <v>1278</v>
      </c>
      <c r="E64" s="547" t="s">
        <v>86</v>
      </c>
      <c r="F64" s="547" t="s">
        <v>82</v>
      </c>
      <c r="G64" s="547"/>
      <c r="H64" s="552"/>
      <c r="I64" s="552"/>
      <c r="J64" s="552"/>
      <c r="L64" s="519"/>
      <c r="W64" s="1530"/>
      <c r="X64" s="1530"/>
      <c r="Y64" s="1530"/>
      <c r="Z64" s="1530"/>
      <c r="AB64" s="526"/>
    </row>
    <row r="65" spans="1:28">
      <c r="B65" s="552"/>
      <c r="H65" s="552"/>
      <c r="I65" s="552"/>
      <c r="J65" s="552"/>
      <c r="K65" s="552"/>
      <c r="M65" s="519"/>
      <c r="N65" s="535"/>
      <c r="W65" s="1530"/>
      <c r="X65" s="1530"/>
      <c r="Y65" s="1530"/>
      <c r="Z65" s="1530"/>
      <c r="AB65" s="526"/>
    </row>
    <row r="66" spans="1:28">
      <c r="B66" s="552"/>
      <c r="H66" s="552"/>
      <c r="I66" s="552"/>
      <c r="J66" s="552"/>
      <c r="K66" s="552"/>
      <c r="M66" s="519"/>
      <c r="N66" s="535"/>
      <c r="W66" s="1530"/>
      <c r="X66" s="1530"/>
      <c r="Y66" s="1530"/>
      <c r="Z66" s="1530"/>
      <c r="AB66" s="526"/>
    </row>
    <row r="67" spans="1:28">
      <c r="B67" s="552"/>
      <c r="H67" s="552"/>
      <c r="I67" s="552"/>
      <c r="J67" s="552"/>
      <c r="K67" s="552"/>
      <c r="M67" s="519"/>
      <c r="W67" s="1530"/>
      <c r="X67" s="1530"/>
      <c r="Y67" s="1530"/>
      <c r="Z67" s="1530"/>
      <c r="AB67" s="526"/>
    </row>
    <row r="68" spans="1:28">
      <c r="B68" s="552"/>
      <c r="H68" s="552"/>
      <c r="I68" s="552"/>
      <c r="J68" s="552"/>
      <c r="K68" s="552"/>
      <c r="M68" s="519"/>
      <c r="W68" s="1530"/>
      <c r="X68" s="1530"/>
      <c r="Y68" s="1530"/>
      <c r="Z68" s="1530"/>
      <c r="AB68" s="526"/>
    </row>
    <row r="69" spans="1:28">
      <c r="A69" s="549"/>
      <c r="M69" s="519"/>
      <c r="W69" s="1530"/>
      <c r="X69" s="1530"/>
      <c r="Y69" s="1530"/>
      <c r="Z69" s="1530"/>
      <c r="AB69" s="526"/>
    </row>
    <row r="70" spans="1:28">
      <c r="A70" s="549"/>
      <c r="M70" s="519"/>
      <c r="W70" s="1530"/>
      <c r="X70" s="1530"/>
      <c r="Y70" s="1530"/>
      <c r="Z70" s="1530"/>
      <c r="AB70" s="526"/>
    </row>
    <row r="71" spans="1:28">
      <c r="A71" s="549"/>
      <c r="M71" s="519"/>
      <c r="W71" s="1530"/>
      <c r="X71" s="1530"/>
      <c r="Y71" s="1530"/>
      <c r="Z71" s="1530"/>
      <c r="AB71" s="526"/>
    </row>
    <row r="72" spans="1:28">
      <c r="A72" s="549"/>
      <c r="M72" s="519"/>
      <c r="W72" s="1530"/>
      <c r="X72" s="1530"/>
      <c r="Y72" s="1530"/>
      <c r="Z72" s="1530"/>
      <c r="AB72" s="526"/>
    </row>
    <row r="73" spans="1:28">
      <c r="A73" s="549"/>
      <c r="M73" s="519"/>
      <c r="W73" s="1530"/>
      <c r="X73" s="1530"/>
      <c r="Y73" s="1530"/>
      <c r="Z73" s="1530"/>
      <c r="AB73" s="526"/>
    </row>
    <row r="74" spans="1:28">
      <c r="A74" s="549"/>
      <c r="M74" s="519"/>
      <c r="W74" s="1530"/>
      <c r="X74" s="1530"/>
      <c r="Y74" s="1530"/>
      <c r="Z74" s="1530"/>
      <c r="AB74" s="526"/>
    </row>
    <row r="75" spans="1:28">
      <c r="A75" s="549"/>
      <c r="M75" s="519"/>
      <c r="W75" s="1530"/>
      <c r="X75" s="1530"/>
      <c r="Y75" s="1530"/>
      <c r="Z75" s="1530"/>
      <c r="AB75" s="526"/>
    </row>
    <row r="76" spans="1:28">
      <c r="A76" s="549"/>
      <c r="M76" s="519"/>
      <c r="W76" s="1530"/>
      <c r="X76" s="1530"/>
      <c r="Y76" s="1530"/>
      <c r="Z76" s="1530"/>
      <c r="AB76" s="526"/>
    </row>
    <row r="77" spans="1:28">
      <c r="A77" s="549"/>
      <c r="M77" s="519"/>
      <c r="W77" s="1530"/>
      <c r="X77" s="1530"/>
      <c r="Y77" s="1530"/>
      <c r="Z77" s="1530"/>
      <c r="AB77" s="526"/>
    </row>
    <row r="78" spans="1:28">
      <c r="A78" s="549"/>
      <c r="M78" s="519"/>
      <c r="W78" s="1530"/>
      <c r="X78" s="1530"/>
      <c r="Y78" s="1530"/>
      <c r="Z78" s="1530"/>
      <c r="AB78" s="526"/>
    </row>
    <row r="79" spans="1:28">
      <c r="A79" s="549"/>
      <c r="M79" s="519"/>
      <c r="W79" s="1530"/>
      <c r="X79" s="1530"/>
      <c r="Y79" s="1530"/>
      <c r="Z79" s="1530"/>
      <c r="AB79" s="526"/>
    </row>
    <row r="80" spans="1:28">
      <c r="A80" s="549"/>
      <c r="M80" s="519"/>
      <c r="W80" s="1530"/>
      <c r="X80" s="1530"/>
      <c r="Y80" s="1530"/>
      <c r="Z80" s="1530"/>
      <c r="AB80" s="526"/>
    </row>
    <row r="81" spans="1:28">
      <c r="A81" s="549"/>
      <c r="M81" s="519"/>
      <c r="W81" s="1530"/>
      <c r="X81" s="1530"/>
      <c r="Y81" s="1530"/>
      <c r="Z81" s="1530"/>
      <c r="AB81" s="526"/>
    </row>
    <row r="82" spans="1:28">
      <c r="A82" s="549"/>
      <c r="M82" s="519"/>
      <c r="W82" s="1530"/>
      <c r="X82" s="1530"/>
      <c r="Y82" s="1530"/>
      <c r="Z82" s="1530"/>
      <c r="AB82" s="526"/>
    </row>
    <row r="83" spans="1:28">
      <c r="A83" s="549"/>
      <c r="M83" s="519"/>
      <c r="W83" s="1530"/>
      <c r="X83" s="1530"/>
      <c r="Y83" s="1530"/>
      <c r="Z83" s="1530"/>
      <c r="AB83" s="526"/>
    </row>
    <row r="84" spans="1:28">
      <c r="A84" s="549"/>
      <c r="M84" s="519"/>
      <c r="W84" s="1530"/>
      <c r="X84" s="1530"/>
      <c r="Y84" s="1530"/>
      <c r="Z84" s="1530"/>
      <c r="AB84" s="526"/>
    </row>
    <row r="85" spans="1:28">
      <c r="A85" s="549"/>
      <c r="M85" s="519"/>
      <c r="W85" s="1530"/>
      <c r="X85" s="1530"/>
      <c r="Y85" s="1530"/>
      <c r="Z85" s="1530"/>
      <c r="AB85" s="526"/>
    </row>
    <row r="86" spans="1:28">
      <c r="A86" s="549"/>
      <c r="M86" s="519"/>
      <c r="W86" s="1530"/>
      <c r="X86" s="1530"/>
      <c r="Y86" s="1530"/>
      <c r="Z86" s="1530"/>
      <c r="AB86" s="526"/>
    </row>
    <row r="87" spans="1:28">
      <c r="A87" s="549"/>
      <c r="M87" s="519"/>
      <c r="W87" s="1530"/>
      <c r="X87" s="1530"/>
      <c r="Y87" s="1530"/>
      <c r="Z87" s="1530"/>
      <c r="AB87" s="526"/>
    </row>
    <row r="88" spans="1:28">
      <c r="A88" s="549"/>
      <c r="M88" s="519"/>
      <c r="W88" s="1530"/>
      <c r="X88" s="1530"/>
      <c r="Y88" s="1530"/>
      <c r="Z88" s="1530"/>
      <c r="AB88" s="526"/>
    </row>
    <row r="89" spans="1:28">
      <c r="A89" s="549"/>
      <c r="M89" s="519"/>
      <c r="W89" s="1530"/>
      <c r="X89" s="1530"/>
      <c r="Y89" s="1530"/>
      <c r="Z89" s="1530"/>
      <c r="AB89" s="526"/>
    </row>
    <row r="90" spans="1:28">
      <c r="A90" s="549"/>
      <c r="M90" s="519"/>
      <c r="W90" s="1530"/>
      <c r="X90" s="1530"/>
      <c r="Y90" s="1530"/>
      <c r="Z90" s="1530"/>
      <c r="AB90" s="526"/>
    </row>
    <row r="91" spans="1:28">
      <c r="A91" s="549"/>
      <c r="M91" s="519"/>
      <c r="W91" s="1530"/>
      <c r="X91" s="1530"/>
      <c r="Y91" s="1530"/>
      <c r="Z91" s="1530"/>
      <c r="AB91" s="526"/>
    </row>
    <row r="92" spans="1:28">
      <c r="A92" s="549"/>
      <c r="M92" s="519"/>
      <c r="W92" s="1530"/>
      <c r="X92" s="1530"/>
      <c r="Y92" s="1530"/>
      <c r="Z92" s="1530"/>
      <c r="AB92" s="526"/>
    </row>
    <row r="93" spans="1:28">
      <c r="A93" s="549"/>
      <c r="M93" s="519"/>
      <c r="W93" s="1530"/>
      <c r="X93" s="1530"/>
      <c r="Y93" s="1530"/>
      <c r="Z93" s="1530"/>
      <c r="AB93" s="526"/>
    </row>
    <row r="94" spans="1:28">
      <c r="A94" s="549"/>
      <c r="M94" s="519"/>
      <c r="W94" s="1530"/>
      <c r="X94" s="1530"/>
      <c r="Y94" s="1530"/>
      <c r="Z94" s="1530"/>
      <c r="AB94" s="526"/>
    </row>
    <row r="95" spans="1:28">
      <c r="A95" s="549"/>
      <c r="M95" s="519"/>
      <c r="W95" s="1530"/>
      <c r="X95" s="1530"/>
      <c r="Y95" s="1530"/>
      <c r="Z95" s="1530"/>
      <c r="AB95" s="526"/>
    </row>
    <row r="96" spans="1:28">
      <c r="A96" s="549"/>
      <c r="M96" s="519"/>
      <c r="W96" s="1530"/>
      <c r="X96" s="1530"/>
      <c r="Y96" s="1530"/>
      <c r="Z96" s="1530"/>
      <c r="AB96" s="526"/>
    </row>
    <row r="97" spans="1:28">
      <c r="A97" s="549"/>
      <c r="M97" s="519"/>
      <c r="W97" s="1530"/>
      <c r="X97" s="1530"/>
      <c r="Y97" s="1530"/>
      <c r="Z97" s="1530"/>
      <c r="AB97" s="526"/>
    </row>
    <row r="98" spans="1:28">
      <c r="A98" s="549"/>
      <c r="M98" s="519"/>
      <c r="W98" s="1530"/>
      <c r="X98" s="1530"/>
      <c r="Y98" s="1530"/>
      <c r="Z98" s="1530"/>
      <c r="AB98" s="526"/>
    </row>
    <row r="99" spans="1:28">
      <c r="A99" s="549"/>
      <c r="M99" s="519"/>
      <c r="W99" s="1530"/>
      <c r="X99" s="1530"/>
      <c r="Y99" s="1530"/>
      <c r="Z99" s="1530"/>
      <c r="AB99" s="526"/>
    </row>
    <row r="100" spans="1:28">
      <c r="A100" s="549"/>
      <c r="M100" s="519"/>
      <c r="W100" s="1530"/>
      <c r="X100" s="1530"/>
      <c r="Y100" s="1530"/>
      <c r="Z100" s="1530"/>
      <c r="AB100" s="526"/>
    </row>
    <row r="101" spans="1:28">
      <c r="A101" s="549"/>
      <c r="M101" s="519"/>
      <c r="W101" s="1530"/>
      <c r="X101" s="1530"/>
      <c r="Y101" s="1530"/>
      <c r="Z101" s="1530"/>
      <c r="AB101" s="526"/>
    </row>
    <row r="102" spans="1:28">
      <c r="A102" s="549"/>
      <c r="M102" s="519"/>
      <c r="W102" s="1530"/>
      <c r="X102" s="1530"/>
      <c r="Y102" s="1530"/>
      <c r="Z102" s="1530"/>
      <c r="AB102" s="526"/>
    </row>
    <row r="103" spans="1:28">
      <c r="A103" s="549"/>
      <c r="M103" s="519"/>
      <c r="W103" s="1530"/>
      <c r="X103" s="1530"/>
      <c r="Y103" s="1530"/>
      <c r="Z103" s="1530"/>
      <c r="AB103" s="526"/>
    </row>
    <row r="104" spans="1:28">
      <c r="A104" s="549"/>
      <c r="M104" s="519"/>
      <c r="W104" s="1530"/>
      <c r="X104" s="1530"/>
      <c r="Y104" s="1530"/>
      <c r="Z104" s="1530"/>
      <c r="AB104" s="526"/>
    </row>
    <row r="105" spans="1:28">
      <c r="A105" s="549"/>
      <c r="M105" s="519"/>
      <c r="W105" s="1530"/>
      <c r="X105" s="1530"/>
      <c r="Y105" s="1530"/>
      <c r="Z105" s="1530"/>
      <c r="AB105" s="526"/>
    </row>
    <row r="106" spans="1:28">
      <c r="A106" s="549"/>
      <c r="M106" s="519"/>
      <c r="W106" s="1530"/>
      <c r="X106" s="1530"/>
      <c r="Y106" s="1530"/>
      <c r="Z106" s="1530"/>
      <c r="AB106" s="526"/>
    </row>
    <row r="107" spans="1:28">
      <c r="A107" s="549"/>
      <c r="M107" s="519"/>
      <c r="W107" s="1530"/>
      <c r="X107" s="1530"/>
      <c r="Y107" s="1530"/>
      <c r="Z107" s="1530"/>
      <c r="AB107" s="526"/>
    </row>
    <row r="108" spans="1:28">
      <c r="A108" s="549"/>
      <c r="M108" s="519"/>
      <c r="W108" s="1530"/>
      <c r="X108" s="1530"/>
      <c r="Y108" s="1530"/>
      <c r="Z108" s="1530"/>
      <c r="AB108" s="526"/>
    </row>
    <row r="109" spans="1:28">
      <c r="A109" s="549"/>
      <c r="M109" s="519"/>
      <c r="W109" s="1530"/>
      <c r="X109" s="1530"/>
      <c r="Y109" s="1530"/>
      <c r="Z109" s="1530"/>
      <c r="AB109" s="526"/>
    </row>
    <row r="110" spans="1:28">
      <c r="A110" s="549"/>
      <c r="M110" s="519"/>
      <c r="W110" s="1530"/>
      <c r="X110" s="1530"/>
      <c r="Y110" s="1530"/>
      <c r="Z110" s="1530"/>
      <c r="AB110" s="526"/>
    </row>
    <row r="111" spans="1:28">
      <c r="A111" s="549"/>
      <c r="M111" s="519"/>
      <c r="W111" s="1530"/>
      <c r="X111" s="1530"/>
      <c r="Y111" s="1530"/>
      <c r="Z111" s="1530"/>
      <c r="AB111" s="526"/>
    </row>
    <row r="112" spans="1:28">
      <c r="A112" s="549"/>
      <c r="M112" s="519"/>
      <c r="W112" s="1530"/>
      <c r="X112" s="1530"/>
      <c r="Y112" s="1530"/>
      <c r="Z112" s="1530"/>
      <c r="AB112" s="526"/>
    </row>
    <row r="113" spans="1:28">
      <c r="A113" s="549"/>
      <c r="M113" s="519"/>
      <c r="W113" s="1530"/>
      <c r="X113" s="1530"/>
      <c r="Y113" s="1530"/>
      <c r="Z113" s="1530"/>
      <c r="AB113" s="526"/>
    </row>
    <row r="114" spans="1:28">
      <c r="A114" s="549"/>
      <c r="M114" s="519"/>
      <c r="W114" s="1530"/>
      <c r="X114" s="1530"/>
      <c r="Y114" s="1530"/>
      <c r="Z114" s="1530"/>
      <c r="AB114" s="526"/>
    </row>
    <row r="115" spans="1:28">
      <c r="A115" s="549"/>
      <c r="M115" s="519"/>
      <c r="W115" s="1530"/>
      <c r="X115" s="1530"/>
      <c r="Y115" s="1530"/>
      <c r="Z115" s="1530"/>
      <c r="AB115" s="526"/>
    </row>
    <row r="116" spans="1:28">
      <c r="A116" s="549"/>
      <c r="M116" s="519"/>
      <c r="W116" s="1530"/>
      <c r="X116" s="1530"/>
      <c r="Y116" s="1530"/>
      <c r="Z116" s="1530"/>
      <c r="AB116" s="526"/>
    </row>
    <row r="117" spans="1:28">
      <c r="A117" s="549"/>
      <c r="M117" s="519"/>
      <c r="W117" s="1530"/>
      <c r="X117" s="1530"/>
      <c r="Y117" s="1530"/>
      <c r="Z117" s="1530"/>
      <c r="AB117" s="526"/>
    </row>
    <row r="118" spans="1:28">
      <c r="A118" s="549"/>
      <c r="M118" s="519"/>
      <c r="W118" s="1530"/>
      <c r="X118" s="1530"/>
      <c r="Y118" s="1530"/>
      <c r="Z118" s="1530"/>
      <c r="AB118" s="526"/>
    </row>
    <row r="119" spans="1:28">
      <c r="A119" s="549"/>
      <c r="M119" s="519"/>
      <c r="W119" s="1530"/>
      <c r="X119" s="1530"/>
      <c r="Y119" s="1530"/>
      <c r="Z119" s="1530"/>
      <c r="AB119" s="526"/>
    </row>
    <row r="120" spans="1:28">
      <c r="A120" s="549"/>
      <c r="M120" s="519"/>
      <c r="W120" s="1530"/>
      <c r="X120" s="1530"/>
      <c r="Y120" s="1530"/>
      <c r="Z120" s="1530"/>
      <c r="AB120" s="526"/>
    </row>
    <row r="121" spans="1:28">
      <c r="A121" s="549"/>
      <c r="M121" s="519"/>
      <c r="W121" s="1530"/>
      <c r="X121" s="1530"/>
      <c r="Y121" s="1530"/>
      <c r="Z121" s="1530"/>
      <c r="AB121" s="526"/>
    </row>
    <row r="122" spans="1:28">
      <c r="A122" s="549"/>
      <c r="M122" s="519"/>
      <c r="W122" s="1530"/>
      <c r="X122" s="1530"/>
      <c r="Y122" s="1530"/>
      <c r="Z122" s="1530"/>
      <c r="AB122" s="526"/>
    </row>
    <row r="123" spans="1:28">
      <c r="A123" s="549"/>
      <c r="M123" s="519"/>
      <c r="W123" s="1530"/>
      <c r="X123" s="1530"/>
      <c r="Y123" s="1530"/>
      <c r="Z123" s="1530"/>
      <c r="AB123" s="526"/>
    </row>
    <row r="124" spans="1:28">
      <c r="A124" s="549"/>
      <c r="M124" s="519"/>
      <c r="W124" s="1530"/>
      <c r="X124" s="1530"/>
      <c r="Y124" s="1530"/>
      <c r="Z124" s="1530"/>
      <c r="AB124" s="526"/>
    </row>
    <row r="125" spans="1:28">
      <c r="A125" s="549"/>
      <c r="M125" s="519"/>
      <c r="W125" s="1530"/>
      <c r="X125" s="1530"/>
      <c r="Y125" s="1530"/>
      <c r="Z125" s="1530"/>
      <c r="AB125" s="526"/>
    </row>
    <row r="126" spans="1:28">
      <c r="A126" s="549"/>
      <c r="M126" s="519"/>
      <c r="W126" s="1530"/>
      <c r="X126" s="1530"/>
      <c r="Y126" s="1530"/>
      <c r="Z126" s="1530"/>
      <c r="AB126" s="526"/>
    </row>
    <row r="127" spans="1:28">
      <c r="A127" s="549"/>
      <c r="M127" s="519"/>
      <c r="W127" s="1530"/>
      <c r="X127" s="1530"/>
      <c r="Y127" s="1530"/>
      <c r="Z127" s="1530"/>
      <c r="AB127" s="526"/>
    </row>
    <row r="128" spans="1:28">
      <c r="A128" s="549"/>
      <c r="M128" s="519"/>
      <c r="W128" s="1530"/>
      <c r="X128" s="1530"/>
      <c r="Y128" s="1530"/>
      <c r="Z128" s="1530"/>
      <c r="AB128" s="526"/>
    </row>
    <row r="129" spans="1:28">
      <c r="A129" s="549"/>
      <c r="M129" s="519"/>
      <c r="W129" s="1530"/>
      <c r="X129" s="1530"/>
      <c r="Y129" s="1530"/>
      <c r="Z129" s="1530"/>
      <c r="AB129" s="526"/>
    </row>
    <row r="130" spans="1:28">
      <c r="A130" s="549"/>
      <c r="M130" s="519"/>
      <c r="W130" s="1530"/>
      <c r="X130" s="1530"/>
      <c r="Y130" s="1530"/>
      <c r="Z130" s="1530"/>
      <c r="AB130" s="526"/>
    </row>
    <row r="131" spans="1:28">
      <c r="A131" s="549"/>
      <c r="M131" s="519"/>
      <c r="W131" s="1530"/>
      <c r="X131" s="1530"/>
      <c r="Y131" s="1530"/>
      <c r="Z131" s="1530"/>
      <c r="AB131" s="526"/>
    </row>
    <row r="132" spans="1:28">
      <c r="A132" s="549"/>
      <c r="M132" s="519"/>
      <c r="W132" s="1530"/>
      <c r="X132" s="1530"/>
      <c r="Y132" s="1530"/>
      <c r="Z132" s="1530"/>
      <c r="AB132" s="526"/>
    </row>
    <row r="133" spans="1:28">
      <c r="A133" s="549"/>
      <c r="M133" s="519"/>
      <c r="W133" s="1530"/>
      <c r="X133" s="1530"/>
      <c r="Y133" s="1530"/>
      <c r="Z133" s="1530"/>
      <c r="AB133" s="526"/>
    </row>
    <row r="134" spans="1:28">
      <c r="W134" s="1530"/>
      <c r="X134" s="1530"/>
      <c r="Y134" s="1530"/>
      <c r="Z134" s="1530"/>
      <c r="AB134" s="526"/>
    </row>
    <row r="135" spans="1:28">
      <c r="W135" s="1530"/>
      <c r="X135" s="1530"/>
      <c r="Y135" s="1530"/>
      <c r="Z135" s="1530"/>
      <c r="AB135" s="526"/>
    </row>
    <row r="136" spans="1:28">
      <c r="W136" s="1530"/>
      <c r="X136" s="1530"/>
      <c r="Y136" s="1530"/>
      <c r="Z136" s="1530"/>
      <c r="AB136" s="526"/>
    </row>
    <row r="137" spans="1:28">
      <c r="W137" s="1530"/>
      <c r="X137" s="1530"/>
      <c r="Y137" s="1530"/>
      <c r="Z137" s="1530"/>
      <c r="AB137" s="526"/>
    </row>
    <row r="138" spans="1:28">
      <c r="W138" s="1530"/>
      <c r="X138" s="1530"/>
      <c r="Y138" s="1530"/>
      <c r="Z138" s="1530"/>
      <c r="AB138" s="526"/>
    </row>
    <row r="139" spans="1:28">
      <c r="W139" s="1530"/>
      <c r="X139" s="1530"/>
      <c r="Y139" s="1530"/>
      <c r="Z139" s="1530"/>
      <c r="AB139" s="526"/>
    </row>
    <row r="140" spans="1:28">
      <c r="W140" s="1530"/>
      <c r="X140" s="1530"/>
      <c r="Y140" s="1530"/>
      <c r="Z140" s="1530"/>
      <c r="AB140" s="526"/>
    </row>
    <row r="141" spans="1:28">
      <c r="W141" s="1530"/>
      <c r="X141" s="1530"/>
      <c r="Y141" s="1530"/>
      <c r="Z141" s="1530"/>
      <c r="AB141" s="526"/>
    </row>
    <row r="142" spans="1:28">
      <c r="W142" s="1530"/>
      <c r="X142" s="1530"/>
      <c r="Y142" s="1530"/>
      <c r="Z142" s="1530"/>
      <c r="AB142" s="526"/>
    </row>
    <row r="143" spans="1:28">
      <c r="W143" s="1530"/>
      <c r="X143" s="1530"/>
      <c r="Y143" s="1530"/>
      <c r="Z143" s="1530"/>
      <c r="AB143" s="526"/>
    </row>
    <row r="144" spans="1:28">
      <c r="W144" s="1530"/>
      <c r="X144" s="1530"/>
      <c r="Y144" s="1530"/>
      <c r="Z144" s="1530"/>
      <c r="AB144" s="526"/>
    </row>
    <row r="145" spans="23:28">
      <c r="W145" s="1530"/>
      <c r="X145" s="1530"/>
      <c r="Y145" s="1530"/>
      <c r="Z145" s="1530"/>
      <c r="AB145" s="526"/>
    </row>
    <row r="146" spans="23:28">
      <c r="W146" s="1530"/>
      <c r="X146" s="1530"/>
      <c r="Y146" s="1530"/>
      <c r="Z146" s="1530"/>
      <c r="AB146" s="526"/>
    </row>
    <row r="147" spans="23:28">
      <c r="W147" s="1530"/>
      <c r="X147" s="1530"/>
      <c r="Y147" s="1530"/>
      <c r="Z147" s="1530"/>
      <c r="AB147" s="526"/>
    </row>
    <row r="148" spans="23:28">
      <c r="W148" s="1530"/>
      <c r="X148" s="1530"/>
      <c r="Y148" s="1530"/>
      <c r="Z148" s="1530"/>
      <c r="AB148" s="526"/>
    </row>
    <row r="149" spans="23:28">
      <c r="W149" s="1530"/>
      <c r="X149" s="1530"/>
      <c r="Y149" s="1530"/>
      <c r="Z149" s="1530"/>
      <c r="AB149" s="526"/>
    </row>
    <row r="150" spans="23:28">
      <c r="W150" s="1530"/>
      <c r="X150" s="1530"/>
      <c r="Y150" s="1530"/>
      <c r="Z150" s="1530"/>
      <c r="AB150" s="526"/>
    </row>
    <row r="151" spans="23:28">
      <c r="W151" s="1530"/>
      <c r="X151" s="1530"/>
      <c r="Y151" s="1530"/>
      <c r="Z151" s="1530"/>
      <c r="AB151" s="526"/>
    </row>
    <row r="152" spans="23:28">
      <c r="W152" s="1530"/>
      <c r="X152" s="1530"/>
      <c r="Y152" s="1530"/>
      <c r="Z152" s="1530"/>
      <c r="AB152" s="52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L166"/>
  <sheetViews>
    <sheetView tabSelected="1" workbookViewId="0">
      <pane xSplit="2" ySplit="5" topLeftCell="D86" activePane="bottomRight" state="frozen"/>
      <selection pane="topRight" activeCell="C1" sqref="C1"/>
      <selection pane="bottomLeft" activeCell="A6" sqref="A6"/>
      <selection pane="bottomRight" activeCell="K113" sqref="K113"/>
    </sheetView>
  </sheetViews>
  <sheetFormatPr defaultColWidth="9.109375" defaultRowHeight="13.2"/>
  <cols>
    <col min="1" max="1" width="1.6640625" style="550" customWidth="1"/>
    <col min="2" max="2" width="21.44140625" style="550" bestFit="1" customWidth="1"/>
    <col min="3" max="3" width="21.44140625" style="549" bestFit="1" customWidth="1"/>
    <col min="4" max="4" width="49.44140625" style="549" customWidth="1"/>
    <col min="5" max="5" width="8.88671875" style="549" customWidth="1"/>
    <col min="6" max="6" width="12.44140625" style="549" customWidth="1"/>
    <col min="7" max="7" width="14.6640625" style="549" customWidth="1"/>
    <col min="8" max="8" width="10" style="549" bestFit="1" customWidth="1"/>
    <col min="9" max="9" width="13.33203125" style="549" customWidth="1"/>
    <col min="10" max="10" width="12.44140625" style="549" customWidth="1"/>
    <col min="11" max="11" width="9.6640625" style="549" customWidth="1"/>
    <col min="12" max="12" width="11.6640625" style="549" customWidth="1"/>
    <col min="13" max="13" width="12.33203125" style="549" customWidth="1"/>
    <col min="14" max="14" width="11.44140625" style="549" customWidth="1"/>
    <col min="15" max="15" width="9.33203125" style="549" customWidth="1"/>
    <col min="16" max="16" width="11" style="549" customWidth="1"/>
    <col min="17" max="17" width="9.109375" style="549"/>
    <col min="18" max="18" width="17.33203125" style="549" bestFit="1" customWidth="1"/>
    <col min="19" max="19" width="14.5546875" style="549" customWidth="1"/>
    <col min="20" max="20" width="16" style="549" bestFit="1" customWidth="1"/>
    <col min="21" max="22" width="9.109375" style="549"/>
    <col min="23" max="26" width="13.33203125" style="549" customWidth="1"/>
    <col min="27" max="27" width="9.5546875" style="549" bestFit="1" customWidth="1"/>
    <col min="28" max="28" width="14.88671875" style="549" bestFit="1" customWidth="1"/>
    <col min="29" max="16384" width="9.109375" style="549"/>
  </cols>
  <sheetData>
    <row r="1" spans="2:32">
      <c r="O1" s="552"/>
      <c r="AB1" s="526"/>
    </row>
    <row r="2" spans="2:32">
      <c r="G2" s="2" t="s">
        <v>0</v>
      </c>
      <c r="H2" s="2"/>
      <c r="J2" s="550"/>
      <c r="M2" s="1231"/>
      <c r="N2" s="1231"/>
      <c r="S2" s="1284"/>
    </row>
    <row r="3" spans="2:32" ht="27.6">
      <c r="B3" s="1156" t="s">
        <v>1</v>
      </c>
      <c r="C3" s="1156" t="s">
        <v>2</v>
      </c>
      <c r="D3" s="1156" t="s">
        <v>1267</v>
      </c>
      <c r="E3" s="1156" t="s">
        <v>3</v>
      </c>
      <c r="F3" s="1156" t="s">
        <v>28</v>
      </c>
      <c r="G3" s="1232" t="s">
        <v>1279</v>
      </c>
      <c r="H3" s="1232" t="s">
        <v>1268</v>
      </c>
      <c r="I3" s="1232" t="s">
        <v>497</v>
      </c>
      <c r="J3" s="1232" t="s">
        <v>501</v>
      </c>
      <c r="K3" s="1232" t="s">
        <v>9</v>
      </c>
      <c r="L3" s="1232" t="s">
        <v>10</v>
      </c>
      <c r="M3" s="1233" t="s">
        <v>6</v>
      </c>
      <c r="N3" s="1234" t="s">
        <v>4</v>
      </c>
      <c r="O3" s="1235" t="s">
        <v>7</v>
      </c>
      <c r="P3" s="1232" t="s">
        <v>965</v>
      </c>
      <c r="Q3" s="1232" t="s">
        <v>5</v>
      </c>
      <c r="R3" s="1232" t="s">
        <v>222</v>
      </c>
      <c r="S3" s="1235" t="s">
        <v>963</v>
      </c>
      <c r="T3" s="1235" t="s">
        <v>966</v>
      </c>
      <c r="U3" s="1235" t="s">
        <v>1262</v>
      </c>
      <c r="V3" s="1235" t="s">
        <v>90</v>
      </c>
      <c r="W3" s="43" t="s">
        <v>1497</v>
      </c>
      <c r="X3" s="43" t="s">
        <v>1498</v>
      </c>
      <c r="Y3" s="43" t="s">
        <v>1499</v>
      </c>
      <c r="Z3" s="43" t="s">
        <v>1500</v>
      </c>
      <c r="AB3" s="43" t="s">
        <v>1461</v>
      </c>
    </row>
    <row r="4" spans="2:32" ht="20.399999999999999">
      <c r="B4" s="1360" t="s">
        <v>967</v>
      </c>
      <c r="C4" s="1360"/>
      <c r="D4" s="1360"/>
      <c r="E4" s="1360"/>
      <c r="F4" s="1360"/>
      <c r="G4" s="1361" t="s">
        <v>968</v>
      </c>
      <c r="H4" s="1360"/>
      <c r="I4" s="1360" t="s">
        <v>969</v>
      </c>
      <c r="J4" s="1360" t="s">
        <v>970</v>
      </c>
      <c r="K4" s="1360"/>
      <c r="L4" s="1360" t="s">
        <v>14</v>
      </c>
      <c r="M4" s="1360" t="s">
        <v>972</v>
      </c>
      <c r="N4" s="1360" t="s">
        <v>973</v>
      </c>
      <c r="O4" s="1360" t="s">
        <v>974</v>
      </c>
      <c r="P4" s="1360" t="s">
        <v>976</v>
      </c>
      <c r="Q4" s="1361"/>
      <c r="R4" s="1361"/>
      <c r="S4" s="1360" t="s">
        <v>975</v>
      </c>
      <c r="T4" s="1361"/>
      <c r="U4" s="1360"/>
      <c r="V4" s="1361"/>
      <c r="W4" s="949" t="s">
        <v>1460</v>
      </c>
      <c r="X4" s="949" t="s">
        <v>1460</v>
      </c>
      <c r="Y4" s="949" t="s">
        <v>1460</v>
      </c>
      <c r="Z4" s="949" t="s">
        <v>1460</v>
      </c>
    </row>
    <row r="5" spans="2:32" ht="24.75" customHeight="1" thickBot="1">
      <c r="B5" s="1362" t="s">
        <v>11</v>
      </c>
      <c r="C5" s="1362"/>
      <c r="D5" s="1362"/>
      <c r="E5" s="1362"/>
      <c r="F5" s="1362"/>
      <c r="G5" s="1363" t="s">
        <v>1280</v>
      </c>
      <c r="H5" s="1362"/>
      <c r="I5" s="1362" t="s">
        <v>1281</v>
      </c>
      <c r="J5" s="1362" t="s">
        <v>979</v>
      </c>
      <c r="K5" s="1362"/>
      <c r="L5" s="1362"/>
      <c r="M5" s="1362" t="s">
        <v>981</v>
      </c>
      <c r="N5" s="1362" t="s">
        <v>982</v>
      </c>
      <c r="O5" s="1362" t="s">
        <v>982</v>
      </c>
      <c r="P5" s="1362" t="s">
        <v>983</v>
      </c>
      <c r="Q5" s="1363"/>
      <c r="R5" s="1363"/>
      <c r="S5" s="1362"/>
      <c r="T5" s="1363"/>
      <c r="U5" s="1363"/>
      <c r="V5" s="1363"/>
      <c r="W5" s="551"/>
      <c r="X5" s="551"/>
      <c r="Y5" s="551"/>
      <c r="Z5" s="551"/>
      <c r="AE5" s="549" t="s">
        <v>1340</v>
      </c>
    </row>
    <row r="6" spans="2:32" ht="14.4">
      <c r="B6" s="550" t="str">
        <f>"TFT"&amp;MID(C6,4,5)&amp;MID(C7,4,2)&amp;"2N"</f>
        <v>TFTDSBL22N</v>
      </c>
      <c r="C6" s="1254" t="s">
        <v>224</v>
      </c>
      <c r="D6" s="1254"/>
      <c r="E6" s="1255" t="s">
        <v>880</v>
      </c>
      <c r="F6" s="1255">
        <v>2012</v>
      </c>
      <c r="G6" s="1256" t="s">
        <v>519</v>
      </c>
      <c r="I6" s="1353">
        <v>3.45</v>
      </c>
      <c r="J6" s="1353">
        <v>24625</v>
      </c>
      <c r="K6" s="1354">
        <f>(K9+AE6)/2</f>
        <v>104.96684423592494</v>
      </c>
      <c r="L6" s="1256">
        <v>7</v>
      </c>
      <c r="M6" s="1257"/>
      <c r="N6" s="1390">
        <f>0.2*O6</f>
        <v>192</v>
      </c>
      <c r="O6" s="1391">
        <v>960</v>
      </c>
      <c r="P6" s="1353">
        <v>1E-3</v>
      </c>
      <c r="Q6" s="1353"/>
      <c r="R6" s="1273"/>
      <c r="U6" s="552">
        <v>0.37</v>
      </c>
      <c r="V6" s="1245">
        <v>5</v>
      </c>
      <c r="W6" s="1530">
        <f t="array" ref="W6">INDEX(EMIS_factors!$G$6:$O$152,MATCH($F6&amp;$AB6,EMIS_factors!$E$6:$E$152&amp;EMIS_factors!$D$6:$D$152,0),MATCH(RIGHT(W$3,6),EMIS_factors!$G$4:$O$4,0))</f>
        <v>5.1655578490392379E-4</v>
      </c>
      <c r="X6" s="1530">
        <f t="array" ref="X6">INDEX(EMIS_factors!$G$6:$O$152,MATCH($F6&amp;$AB6,EMIS_factors!$E$6:$E$152&amp;EMIS_factors!$D$6:$D$152,0),MATCH(RIGHT(X$3,6),EMIS_factors!$G$4:$O$4,0))</f>
        <v>5.7708683434936319</v>
      </c>
      <c r="Y6" s="1530">
        <f t="array" ref="Y6">INDEX(EMIS_factors!$G$6:$O$152,MATCH($F6&amp;$AB6,EMIS_factors!$E$6:$E$152&amp;EMIS_factors!$D$6:$D$152,0),MATCH(RIGHT(Y$3,6),EMIS_factors!$G$4:$O$4,0))</f>
        <v>3.8833991389945893E-2</v>
      </c>
      <c r="Z6" s="1530">
        <f t="array" ref="Z6">INDEX(EMIS_factors!$G$6:$O$152,MATCH($F6&amp;$AB6,EMIS_factors!$E$6:$E$152&amp;EMIS_factors!$D$6:$D$152,0),MATCH(RIGHT(Z$3,6),EMIS_factors!$G$4:$O$4,0))</f>
        <v>267.20910621155974</v>
      </c>
      <c r="AA6" s="1295"/>
      <c r="AB6" s="526" t="s">
        <v>1469</v>
      </c>
      <c r="AE6" s="1426">
        <f>(1*1000*0.826)/(7.46*1.25)</f>
        <v>88.579088471849872</v>
      </c>
      <c r="AF6" s="549">
        <f>SUMPRODUCT(K6:K8,U6:U8)</f>
        <v>99.245199075067035</v>
      </c>
    </row>
    <row r="7" spans="2:32" ht="14.4">
      <c r="C7" s="534"/>
      <c r="D7" s="534"/>
      <c r="E7" s="531" t="s">
        <v>1282</v>
      </c>
      <c r="F7" s="531"/>
      <c r="G7" s="1237"/>
      <c r="I7" s="1244"/>
      <c r="J7" s="1244"/>
      <c r="K7" s="1340">
        <f>(K10+AE7)/2</f>
        <v>131.20513029490618</v>
      </c>
      <c r="L7" s="1237"/>
      <c r="M7" s="1239"/>
      <c r="N7" s="1392"/>
      <c r="O7" s="1393"/>
      <c r="P7" s="1244"/>
      <c r="Q7" s="1244"/>
      <c r="R7" s="1278"/>
      <c r="U7" s="552">
        <v>0.24</v>
      </c>
      <c r="V7" s="1243">
        <v>5</v>
      </c>
      <c r="W7" s="1530"/>
      <c r="X7" s="1530"/>
      <c r="Y7" s="1530"/>
      <c r="Z7" s="1530"/>
      <c r="AA7" s="1295"/>
      <c r="AB7" s="526" t="s">
        <v>1469</v>
      </c>
      <c r="AE7" s="1426">
        <f>(1*1000*0.826)/7.46</f>
        <v>110.72386058981233</v>
      </c>
    </row>
    <row r="8" spans="2:32" ht="15" thickBot="1">
      <c r="B8" s="1231"/>
      <c r="C8" s="1246"/>
      <c r="D8" s="1246"/>
      <c r="E8" s="1247" t="s">
        <v>1283</v>
      </c>
      <c r="F8" s="1247"/>
      <c r="G8" s="1249"/>
      <c r="H8" s="1231"/>
      <c r="I8" s="1248"/>
      <c r="J8" s="1248"/>
      <c r="K8" s="1340">
        <f>(K11+AE8)/2</f>
        <v>152.20123914209117</v>
      </c>
      <c r="L8" s="1249"/>
      <c r="M8" s="1252"/>
      <c r="N8" s="1394"/>
      <c r="O8" s="1395"/>
      <c r="P8" s="1249"/>
      <c r="Q8" s="1249"/>
      <c r="R8" s="1365"/>
      <c r="S8" s="1231"/>
      <c r="T8" s="1231"/>
      <c r="U8" s="1231">
        <v>0.19</v>
      </c>
      <c r="V8" s="1249">
        <v>5</v>
      </c>
      <c r="W8" s="1530"/>
      <c r="X8" s="1530"/>
      <c r="Y8" s="1530"/>
      <c r="Z8" s="1530"/>
      <c r="AA8" s="1295"/>
      <c r="AB8" s="526" t="s">
        <v>1469</v>
      </c>
      <c r="AE8" s="1427">
        <f>(1*1.45*1000*0.826)/(7.46*1.25)</f>
        <v>128.43967828418232</v>
      </c>
    </row>
    <row r="9" spans="2:32">
      <c r="B9" s="550" t="str">
        <f>"TFT"&amp;MID(C9,4,5)&amp;MID(C10,4,2)&amp;"2N"</f>
        <v>TFTDSBL32N</v>
      </c>
      <c r="C9" s="1254" t="s">
        <v>225</v>
      </c>
      <c r="D9" s="1254"/>
      <c r="E9" s="1255" t="s">
        <v>880</v>
      </c>
      <c r="F9" s="1255">
        <v>2020</v>
      </c>
      <c r="G9" s="1256" t="s">
        <v>519</v>
      </c>
      <c r="I9" s="1353">
        <v>3.45</v>
      </c>
      <c r="J9" s="1353">
        <v>24625</v>
      </c>
      <c r="K9" s="1354">
        <v>121.3546</v>
      </c>
      <c r="L9" s="1256">
        <v>7</v>
      </c>
      <c r="M9" s="1257"/>
      <c r="N9" s="1390">
        <f>0.2*O9</f>
        <v>192</v>
      </c>
      <c r="O9" s="1391">
        <v>960</v>
      </c>
      <c r="P9" s="1353">
        <v>1E-3</v>
      </c>
      <c r="Q9" s="1353"/>
      <c r="R9" s="1273"/>
      <c r="U9" s="552">
        <v>0.37</v>
      </c>
      <c r="V9" s="1245">
        <v>5</v>
      </c>
      <c r="W9" s="1530">
        <f t="array" ref="W9">INDEX(EMIS_factors!$G$6:$O$152,MATCH($F9&amp;$AB9,EMIS_factors!$E$6:$E$152&amp;EMIS_factors!$D$6:$D$152,0),MATCH(RIGHT(W$3,6),EMIS_factors!$G$4:$O$4,0))</f>
        <v>4.9553301870861196E-4</v>
      </c>
      <c r="X9" s="1530">
        <f t="array" ref="X9">INDEX(EMIS_factors!$G$6:$O$152,MATCH($F9&amp;$AB9,EMIS_factors!$E$6:$E$152&amp;EMIS_factors!$D$6:$D$152,0),MATCH(RIGHT(X$3,6),EMIS_factors!$G$4:$O$4,0))</f>
        <v>1.7917753944774433</v>
      </c>
      <c r="Y9" s="1530">
        <f t="array" ref="Y9">INDEX(EMIS_factors!$G$6:$O$152,MATCH($F9&amp;$AB9,EMIS_factors!$E$6:$E$152&amp;EMIS_factors!$D$6:$D$152,0),MATCH(RIGHT(Y$3,6),EMIS_factors!$G$4:$O$4,0))</f>
        <v>4.2576585260129772E-3</v>
      </c>
      <c r="Z9" s="1530">
        <f t="array" ref="Z9">INDEX(EMIS_factors!$G$6:$O$152,MATCH($F9&amp;$AB9,EMIS_factors!$E$6:$E$152&amp;EMIS_factors!$D$6:$D$152,0),MATCH(RIGHT(Z$3,6),EMIS_factors!$G$4:$O$4,0))</f>
        <v>196.0086366646712</v>
      </c>
      <c r="AA9" s="1295"/>
      <c r="AB9" s="526" t="s">
        <v>1469</v>
      </c>
      <c r="AF9" s="549">
        <f>SUMPRODUCT(K9:K11,U9:U11)</f>
        <v>114.73886999999999</v>
      </c>
    </row>
    <row r="10" spans="2:32">
      <c r="C10" s="534"/>
      <c r="D10" s="534"/>
      <c r="E10" s="531" t="s">
        <v>1282</v>
      </c>
      <c r="F10" s="531"/>
      <c r="G10" s="1237"/>
      <c r="I10" s="1244"/>
      <c r="J10" s="1244"/>
      <c r="K10" s="1340">
        <v>151.68640000000002</v>
      </c>
      <c r="L10" s="1237"/>
      <c r="M10" s="1239"/>
      <c r="N10" s="1392"/>
      <c r="O10" s="1393"/>
      <c r="P10" s="1244"/>
      <c r="Q10" s="1244"/>
      <c r="R10" s="1278"/>
      <c r="U10" s="552">
        <v>0.24</v>
      </c>
      <c r="V10" s="1243">
        <v>5</v>
      </c>
      <c r="W10" s="1530"/>
      <c r="X10" s="1530"/>
      <c r="Y10" s="1530"/>
      <c r="Z10" s="1530"/>
      <c r="AA10" s="1295"/>
      <c r="AB10" s="526" t="s">
        <v>1469</v>
      </c>
    </row>
    <row r="11" spans="2:32">
      <c r="B11" s="1231"/>
      <c r="C11" s="1246"/>
      <c r="D11" s="1246"/>
      <c r="E11" s="1247" t="s">
        <v>1283</v>
      </c>
      <c r="F11" s="1247"/>
      <c r="G11" s="1249"/>
      <c r="H11" s="1231"/>
      <c r="I11" s="1248"/>
      <c r="J11" s="1248"/>
      <c r="K11" s="1345">
        <v>175.96280000000002</v>
      </c>
      <c r="L11" s="1249"/>
      <c r="M11" s="1252"/>
      <c r="N11" s="1394"/>
      <c r="O11" s="1395"/>
      <c r="P11" s="1249"/>
      <c r="Q11" s="1249"/>
      <c r="R11" s="1365"/>
      <c r="S11" s="1231"/>
      <c r="T11" s="1231"/>
      <c r="U11" s="1231">
        <v>0.19</v>
      </c>
      <c r="V11" s="1249">
        <v>5</v>
      </c>
      <c r="W11" s="1530"/>
      <c r="X11" s="1530"/>
      <c r="Y11" s="1530"/>
      <c r="Z11" s="1530"/>
      <c r="AA11" s="1295"/>
      <c r="AB11" s="526" t="s">
        <v>1469</v>
      </c>
    </row>
    <row r="12" spans="2:32">
      <c r="B12" s="550" t="str">
        <f>"TFT"&amp;MID(C12,4,5)&amp;MID(C13,4,2)&amp;"2N"</f>
        <v>TFTDSBL42N</v>
      </c>
      <c r="C12" s="534" t="s">
        <v>226</v>
      </c>
      <c r="D12" s="534"/>
      <c r="E12" s="531" t="s">
        <v>880</v>
      </c>
      <c r="F12" s="531">
        <v>2030</v>
      </c>
      <c r="G12" s="1237" t="s">
        <v>519</v>
      </c>
      <c r="I12" s="1244">
        <v>3.45</v>
      </c>
      <c r="J12" s="1244">
        <v>24625</v>
      </c>
      <c r="K12" s="1340">
        <v>121.3546</v>
      </c>
      <c r="L12" s="1237">
        <v>7</v>
      </c>
      <c r="M12" s="1239"/>
      <c r="N12" s="1392">
        <v>188.16</v>
      </c>
      <c r="O12" s="1392">
        <v>940.8</v>
      </c>
      <c r="P12" s="1237">
        <v>1E-3</v>
      </c>
      <c r="Q12" s="1237"/>
      <c r="R12" s="1366"/>
      <c r="U12" s="552">
        <v>0.37</v>
      </c>
      <c r="V12" s="1243">
        <v>5</v>
      </c>
      <c r="W12" s="1530">
        <f t="array" ref="W12">INDEX(EMIS_factors!$G$6:$O$152,MATCH($F12&amp;$AB12,EMIS_factors!$E$6:$E$152&amp;EMIS_factors!$D$6:$D$152,0),MATCH(RIGHT(W$3,6),EMIS_factors!$G$4:$O$4,0))</f>
        <v>5.0151485967231402E-4</v>
      </c>
      <c r="X12" s="1530">
        <f t="array" ref="X12">INDEX(EMIS_factors!$G$6:$O$152,MATCH($F12&amp;$AB12,EMIS_factors!$E$6:$E$152&amp;EMIS_factors!$D$6:$D$152,0),MATCH(RIGHT(X$3,6),EMIS_factors!$G$4:$O$4,0))</f>
        <v>0.55110436847006916</v>
      </c>
      <c r="Y12" s="1530">
        <f t="array" ref="Y12">INDEX(EMIS_factors!$G$6:$O$152,MATCH($F12&amp;$AB12,EMIS_factors!$E$6:$E$152&amp;EMIS_factors!$D$6:$D$152,0),MATCH(RIGHT(Y$3,6),EMIS_factors!$G$4:$O$4,0))</f>
        <v>1.4829754890210707E-3</v>
      </c>
      <c r="Z12" s="1530">
        <f t="array" ref="Z12">INDEX(EMIS_factors!$G$6:$O$152,MATCH($F12&amp;$AB12,EMIS_factors!$E$6:$E$152&amp;EMIS_factors!$D$6:$D$152,0),MATCH(RIGHT(Z$3,6),EMIS_factors!$G$4:$O$4,0))</f>
        <v>189.75493989940995</v>
      </c>
      <c r="AA12" s="1295"/>
      <c r="AB12" s="526" t="s">
        <v>1469</v>
      </c>
      <c r="AF12" s="549">
        <f>SUMPRODUCT(K12:K14,U12:U14)</f>
        <v>114.73886999999999</v>
      </c>
    </row>
    <row r="13" spans="2:32">
      <c r="B13" s="552"/>
      <c r="C13" s="534"/>
      <c r="D13" s="534"/>
      <c r="E13" s="531" t="s">
        <v>1282</v>
      </c>
      <c r="F13" s="531"/>
      <c r="G13" s="1237"/>
      <c r="I13" s="1244"/>
      <c r="J13" s="1244"/>
      <c r="K13" s="1340">
        <v>151.68640000000002</v>
      </c>
      <c r="L13" s="1237"/>
      <c r="M13" s="1239"/>
      <c r="N13" s="1392"/>
      <c r="O13" s="1393"/>
      <c r="P13" s="1237"/>
      <c r="Q13" s="1237"/>
      <c r="R13" s="1366"/>
      <c r="U13" s="552">
        <v>0.24</v>
      </c>
      <c r="V13" s="1243">
        <v>5</v>
      </c>
      <c r="W13" s="1530"/>
      <c r="X13" s="1530"/>
      <c r="Y13" s="1530"/>
      <c r="Z13" s="1530"/>
      <c r="AA13" s="1295"/>
      <c r="AB13" s="526" t="s">
        <v>1469</v>
      </c>
    </row>
    <row r="14" spans="2:32" ht="13.8" thickBot="1">
      <c r="B14" s="1231"/>
      <c r="C14" s="1246"/>
      <c r="D14" s="1246"/>
      <c r="E14" s="1247" t="s">
        <v>1283</v>
      </c>
      <c r="F14" s="1247"/>
      <c r="G14" s="1249"/>
      <c r="H14" s="1231"/>
      <c r="I14" s="1248"/>
      <c r="J14" s="1248"/>
      <c r="K14" s="1345">
        <v>175.96280000000002</v>
      </c>
      <c r="L14" s="1249"/>
      <c r="M14" s="1252"/>
      <c r="N14" s="1394"/>
      <c r="O14" s="1395"/>
      <c r="P14" s="1249"/>
      <c r="Q14" s="1249"/>
      <c r="R14" s="1365"/>
      <c r="S14" s="1231"/>
      <c r="T14" s="1231"/>
      <c r="U14" s="1231">
        <v>0.19</v>
      </c>
      <c r="V14" s="1249">
        <v>5</v>
      </c>
      <c r="W14" s="1530"/>
      <c r="X14" s="1530"/>
      <c r="Y14" s="1530"/>
      <c r="Z14" s="1530"/>
      <c r="AA14" s="1295"/>
      <c r="AB14" s="526" t="s">
        <v>1469</v>
      </c>
      <c r="AE14" s="549" t="s">
        <v>1340</v>
      </c>
    </row>
    <row r="15" spans="2:32" ht="14.4">
      <c r="B15" s="550" t="str">
        <f>"TFT"&amp;MID(C15,4,5)&amp;MID(C16,4,2)&amp;"3N"</f>
        <v>TFTDSBL23N</v>
      </c>
      <c r="C15" s="1254" t="s">
        <v>224</v>
      </c>
      <c r="D15" s="534"/>
      <c r="E15" s="531" t="s">
        <v>880</v>
      </c>
      <c r="F15" s="1353">
        <v>2012</v>
      </c>
      <c r="G15" s="1237" t="s">
        <v>519</v>
      </c>
      <c r="I15" s="1244">
        <v>10.82</v>
      </c>
      <c r="J15" s="1244">
        <v>91500</v>
      </c>
      <c r="K15" s="1340">
        <f>(K18+AE15)/2</f>
        <v>69.418080141843973</v>
      </c>
      <c r="L15" s="1237">
        <v>7</v>
      </c>
      <c r="M15" s="1239"/>
      <c r="N15" s="1392">
        <f>0.2*O15</f>
        <v>345.6</v>
      </c>
      <c r="O15" s="1392">
        <f>1.8*O6</f>
        <v>1728</v>
      </c>
      <c r="P15" s="1244">
        <v>1E-3</v>
      </c>
      <c r="Q15" s="1353"/>
      <c r="R15" s="1278"/>
      <c r="U15" s="552">
        <v>0.37</v>
      </c>
      <c r="V15" s="1243">
        <v>5</v>
      </c>
      <c r="W15" s="1530">
        <f t="array" ref="W15">INDEX(EMIS_factors!$G$6:$O$152,MATCH($F15&amp;$AB15,EMIS_factors!$E$6:$E$152&amp;EMIS_factors!$D$6:$D$152,0),MATCH(RIGHT(W$3,6),EMIS_factors!$G$4:$O$4,0))</f>
        <v>5.1655578490392379E-4</v>
      </c>
      <c r="X15" s="1530">
        <f t="array" ref="X15">INDEX(EMIS_factors!$G$6:$O$152,MATCH($F15&amp;$AB15,EMIS_factors!$E$6:$E$152&amp;EMIS_factors!$D$6:$D$152,0),MATCH(RIGHT(X$3,6),EMIS_factors!$G$4:$O$4,0))</f>
        <v>5.7708683434936319</v>
      </c>
      <c r="Y15" s="1530">
        <f t="array" ref="Y15">INDEX(EMIS_factors!$G$6:$O$152,MATCH($F15&amp;$AB15,EMIS_factors!$E$6:$E$152&amp;EMIS_factors!$D$6:$D$152,0),MATCH(RIGHT(Y$3,6),EMIS_factors!$G$4:$O$4,0))</f>
        <v>3.8833991389945893E-2</v>
      </c>
      <c r="Z15" s="1530">
        <f t="array" ref="Z15">INDEX(EMIS_factors!$G$6:$O$152,MATCH($F15&amp;$AB15,EMIS_factors!$E$6:$E$152&amp;EMIS_factors!$D$6:$D$152,0),MATCH(RIGHT(Z$3,6),EMIS_factors!$G$4:$O$4,0))</f>
        <v>267.20910621155974</v>
      </c>
      <c r="AA15" s="1295"/>
      <c r="AB15" s="526" t="s">
        <v>1469</v>
      </c>
      <c r="AE15" s="1426">
        <f>1*1000*0.826/(11.28*1.25)</f>
        <v>58.581560283687942</v>
      </c>
      <c r="AF15" s="549">
        <f>SUMPRODUCT(K15:K17,U15:U17)</f>
        <v>65.635486624113469</v>
      </c>
    </row>
    <row r="16" spans="2:32" ht="14.4">
      <c r="B16" s="549"/>
      <c r="C16" s="534"/>
      <c r="D16" s="534"/>
      <c r="E16" s="531" t="s">
        <v>1282</v>
      </c>
      <c r="F16" s="531"/>
      <c r="G16" s="1237"/>
      <c r="I16" s="1244"/>
      <c r="J16" s="1244"/>
      <c r="K16" s="1340">
        <f>(K19+AE16)/2</f>
        <v>86.776025177304973</v>
      </c>
      <c r="L16" s="1237"/>
      <c r="M16" s="1239"/>
      <c r="N16" s="1392"/>
      <c r="O16" s="1392"/>
      <c r="P16" s="1244"/>
      <c r="Q16" s="1244"/>
      <c r="R16" s="1278"/>
      <c r="U16" s="552">
        <v>0.24</v>
      </c>
      <c r="V16" s="1243">
        <v>5</v>
      </c>
      <c r="W16" s="1530"/>
      <c r="X16" s="1530"/>
      <c r="Y16" s="1530"/>
      <c r="Z16" s="1530"/>
      <c r="AA16" s="1295"/>
      <c r="AB16" s="526" t="s">
        <v>1469</v>
      </c>
      <c r="AE16" s="1426">
        <f>1*1000*0.826/11.28</f>
        <v>73.22695035460994</v>
      </c>
    </row>
    <row r="17" spans="2:35" ht="15" thickBot="1">
      <c r="B17" s="1231"/>
      <c r="C17" s="1246"/>
      <c r="D17" s="1246"/>
      <c r="E17" s="1247" t="s">
        <v>1283</v>
      </c>
      <c r="F17" s="1247"/>
      <c r="G17" s="1248"/>
      <c r="H17" s="1231"/>
      <c r="I17" s="1248"/>
      <c r="J17" s="1248"/>
      <c r="K17" s="1345">
        <f>(K20+AE17)/2</f>
        <v>100.65553120567375</v>
      </c>
      <c r="L17" s="1249"/>
      <c r="M17" s="1251"/>
      <c r="N17" s="1394"/>
      <c r="O17" s="1395"/>
      <c r="P17" s="1248"/>
      <c r="Q17" s="1248"/>
      <c r="R17" s="1279"/>
      <c r="S17" s="1231"/>
      <c r="T17" s="1231"/>
      <c r="U17" s="1231">
        <v>0.19</v>
      </c>
      <c r="V17" s="1249">
        <v>5</v>
      </c>
      <c r="W17" s="1530"/>
      <c r="X17" s="1530"/>
      <c r="Y17" s="1530"/>
      <c r="Z17" s="1530"/>
      <c r="AA17" s="1295"/>
      <c r="AB17" s="526" t="s">
        <v>1469</v>
      </c>
      <c r="AE17" s="1427">
        <f>1*1.45*1000*0.826/(11.28*1.25)</f>
        <v>84.943262411347519</v>
      </c>
    </row>
    <row r="18" spans="2:35">
      <c r="B18" s="550" t="str">
        <f>"TFT"&amp;MID(C18,4,5)&amp;MID(C19,4,2)&amp;"3N"</f>
        <v>TFTDSBL33N</v>
      </c>
      <c r="C18" s="1254" t="s">
        <v>225</v>
      </c>
      <c r="D18" s="534"/>
      <c r="E18" s="531" t="s">
        <v>880</v>
      </c>
      <c r="F18" s="531">
        <v>2020</v>
      </c>
      <c r="G18" s="1237" t="s">
        <v>519</v>
      </c>
      <c r="I18" s="1244">
        <v>10.82</v>
      </c>
      <c r="J18" s="1244">
        <v>91500</v>
      </c>
      <c r="K18" s="1340">
        <v>80.254600000000011</v>
      </c>
      <c r="L18" s="1237">
        <v>7</v>
      </c>
      <c r="M18" s="1239"/>
      <c r="N18" s="1392">
        <f>0.2*O18</f>
        <v>345.6</v>
      </c>
      <c r="O18" s="1392">
        <f>1.8*O9</f>
        <v>1728</v>
      </c>
      <c r="P18" s="1244">
        <v>1E-3</v>
      </c>
      <c r="Q18" s="1244"/>
      <c r="R18" s="1278"/>
      <c r="U18" s="552">
        <v>0.37</v>
      </c>
      <c r="V18" s="1243">
        <v>5</v>
      </c>
      <c r="W18" s="1530">
        <f t="array" ref="W18">INDEX(EMIS_factors!$G$6:$O$152,MATCH($F18&amp;$AB18,EMIS_factors!$E$6:$E$152&amp;EMIS_factors!$D$6:$D$152,0),MATCH(RIGHT(W$3,6),EMIS_factors!$G$4:$O$4,0))</f>
        <v>4.9553301870861196E-4</v>
      </c>
      <c r="X18" s="1530">
        <f t="array" ref="X18">INDEX(EMIS_factors!$G$6:$O$152,MATCH($F18&amp;$AB18,EMIS_factors!$E$6:$E$152&amp;EMIS_factors!$D$6:$D$152,0),MATCH(RIGHT(X$3,6),EMIS_factors!$G$4:$O$4,0))</f>
        <v>1.7917753944774433</v>
      </c>
      <c r="Y18" s="1530">
        <f t="array" ref="Y18">INDEX(EMIS_factors!$G$6:$O$152,MATCH($F18&amp;$AB18,EMIS_factors!$E$6:$E$152&amp;EMIS_factors!$D$6:$D$152,0),MATCH(RIGHT(Y$3,6),EMIS_factors!$G$4:$O$4,0))</f>
        <v>4.2576585260129772E-3</v>
      </c>
      <c r="Z18" s="1530">
        <f t="array" ref="Z18">INDEX(EMIS_factors!$G$6:$O$152,MATCH($F18&amp;$AB18,EMIS_factors!$E$6:$E$152&amp;EMIS_factors!$D$6:$D$152,0),MATCH(RIGHT(Z$3,6),EMIS_factors!$G$4:$O$4,0))</f>
        <v>196.0086366646712</v>
      </c>
      <c r="AA18" s="1295"/>
      <c r="AB18" s="526" t="s">
        <v>1469</v>
      </c>
      <c r="AF18" s="549">
        <f>SUMPRODUCT(K18:K20,U18:U20)</f>
        <v>75.882108000000002</v>
      </c>
    </row>
    <row r="19" spans="2:35">
      <c r="B19" s="549"/>
      <c r="C19" s="534"/>
      <c r="D19" s="534"/>
      <c r="E19" s="531" t="s">
        <v>1282</v>
      </c>
      <c r="F19" s="531"/>
      <c r="G19" s="1237"/>
      <c r="I19" s="1244"/>
      <c r="J19" s="1244"/>
      <c r="K19" s="1340">
        <v>100.32510000000001</v>
      </c>
      <c r="L19" s="1237"/>
      <c r="M19" s="1239"/>
      <c r="N19" s="1392"/>
      <c r="O19" s="1392"/>
      <c r="P19" s="1244"/>
      <c r="Q19" s="1244"/>
      <c r="R19" s="1278"/>
      <c r="U19" s="552">
        <v>0.24</v>
      </c>
      <c r="V19" s="1243">
        <v>5</v>
      </c>
      <c r="W19" s="1530"/>
      <c r="X19" s="1530"/>
      <c r="Y19" s="1530"/>
      <c r="Z19" s="1530"/>
      <c r="AA19" s="1295"/>
      <c r="AB19" s="526" t="s">
        <v>1469</v>
      </c>
    </row>
    <row r="20" spans="2:35">
      <c r="B20" s="1231"/>
      <c r="C20" s="1246"/>
      <c r="D20" s="1246"/>
      <c r="E20" s="1247" t="s">
        <v>1283</v>
      </c>
      <c r="F20" s="1247"/>
      <c r="G20" s="1248"/>
      <c r="H20" s="1231"/>
      <c r="I20" s="1248"/>
      <c r="J20" s="1248"/>
      <c r="K20" s="1345">
        <v>116.3678</v>
      </c>
      <c r="L20" s="1249"/>
      <c r="M20" s="1251"/>
      <c r="N20" s="1394"/>
      <c r="O20" s="1395"/>
      <c r="P20" s="1248"/>
      <c r="Q20" s="1248"/>
      <c r="R20" s="1279"/>
      <c r="S20" s="1231"/>
      <c r="T20" s="1231"/>
      <c r="U20" s="1231">
        <v>0.19</v>
      </c>
      <c r="V20" s="1249">
        <v>5</v>
      </c>
      <c r="W20" s="1530"/>
      <c r="X20" s="1530"/>
      <c r="Y20" s="1530"/>
      <c r="Z20" s="1530"/>
      <c r="AA20" s="1295"/>
      <c r="AB20" s="526" t="s">
        <v>1469</v>
      </c>
    </row>
    <row r="21" spans="2:35">
      <c r="B21" s="550" t="str">
        <f>"TFT"&amp;MID(C21,4,5)&amp;MID(C22,4,2)&amp;"3N"</f>
        <v>TFTDSBL43N</v>
      </c>
      <c r="C21" s="534" t="s">
        <v>226</v>
      </c>
      <c r="D21" s="534"/>
      <c r="E21" s="531" t="s">
        <v>880</v>
      </c>
      <c r="F21" s="531">
        <v>2030</v>
      </c>
      <c r="G21" s="1244" t="s">
        <v>519</v>
      </c>
      <c r="I21" s="1244">
        <v>10.82</v>
      </c>
      <c r="J21" s="1244">
        <v>91500</v>
      </c>
      <c r="K21" s="1340">
        <v>80.254600000000011</v>
      </c>
      <c r="L21" s="1237">
        <v>7</v>
      </c>
      <c r="M21" s="1241"/>
      <c r="N21" s="1392">
        <v>338.68800000000005</v>
      </c>
      <c r="O21" s="1393">
        <v>1676</v>
      </c>
      <c r="P21" s="1244">
        <v>1E-3</v>
      </c>
      <c r="Q21" s="1244"/>
      <c r="R21" s="1278"/>
      <c r="U21" s="552">
        <v>0.37</v>
      </c>
      <c r="V21" s="1243">
        <v>5</v>
      </c>
      <c r="W21" s="1530">
        <f t="array" ref="W21">INDEX(EMIS_factors!$G$6:$O$152,MATCH($F21&amp;$AB21,EMIS_factors!$E$6:$E$152&amp;EMIS_factors!$D$6:$D$152,0),MATCH(RIGHT(W$3,6),EMIS_factors!$G$4:$O$4,0))</f>
        <v>5.0151485967231402E-4</v>
      </c>
      <c r="X21" s="1530">
        <f t="array" ref="X21">INDEX(EMIS_factors!$G$6:$O$152,MATCH($F21&amp;$AB21,EMIS_factors!$E$6:$E$152&amp;EMIS_factors!$D$6:$D$152,0),MATCH(RIGHT(X$3,6),EMIS_factors!$G$4:$O$4,0))</f>
        <v>0.55110436847006916</v>
      </c>
      <c r="Y21" s="1530">
        <f t="array" ref="Y21">INDEX(EMIS_factors!$G$6:$O$152,MATCH($F21&amp;$AB21,EMIS_factors!$E$6:$E$152&amp;EMIS_factors!$D$6:$D$152,0),MATCH(RIGHT(Y$3,6),EMIS_factors!$G$4:$O$4,0))</f>
        <v>1.4829754890210707E-3</v>
      </c>
      <c r="Z21" s="1530">
        <f t="array" ref="Z21">INDEX(EMIS_factors!$G$6:$O$152,MATCH($F21&amp;$AB21,EMIS_factors!$E$6:$E$152&amp;EMIS_factors!$D$6:$D$152,0),MATCH(RIGHT(Z$3,6),EMIS_factors!$G$4:$O$4,0))</f>
        <v>189.75493989940995</v>
      </c>
      <c r="AA21" s="1295"/>
      <c r="AB21" s="526" t="s">
        <v>1469</v>
      </c>
    </row>
    <row r="22" spans="2:35">
      <c r="B22" s="552"/>
      <c r="C22" s="534"/>
      <c r="D22" s="534"/>
      <c r="E22" s="531" t="s">
        <v>1282</v>
      </c>
      <c r="F22" s="531"/>
      <c r="G22" s="1244"/>
      <c r="I22" s="1244"/>
      <c r="J22" s="1244"/>
      <c r="K22" s="1340">
        <v>100.32510000000001</v>
      </c>
      <c r="L22" s="1237"/>
      <c r="M22" s="1241"/>
      <c r="N22" s="1392"/>
      <c r="O22" s="1393"/>
      <c r="P22" s="1244"/>
      <c r="Q22" s="1244"/>
      <c r="R22" s="1278"/>
      <c r="U22" s="552">
        <v>0.24</v>
      </c>
      <c r="V22" s="1243">
        <v>5</v>
      </c>
      <c r="W22" s="1530"/>
      <c r="X22" s="1530"/>
      <c r="Y22" s="1530"/>
      <c r="Z22" s="1530"/>
      <c r="AA22" s="1295"/>
      <c r="AB22" s="526" t="s">
        <v>1469</v>
      </c>
    </row>
    <row r="23" spans="2:35">
      <c r="B23" s="1231"/>
      <c r="C23" s="1246"/>
      <c r="D23" s="1246"/>
      <c r="E23" s="1247" t="s">
        <v>1283</v>
      </c>
      <c r="F23" s="1247"/>
      <c r="G23" s="1248"/>
      <c r="H23" s="1231"/>
      <c r="I23" s="1248"/>
      <c r="J23" s="1248"/>
      <c r="K23" s="1345">
        <v>116.3678</v>
      </c>
      <c r="L23" s="1249"/>
      <c r="M23" s="1251"/>
      <c r="N23" s="1394"/>
      <c r="O23" s="1395"/>
      <c r="P23" s="1248"/>
      <c r="Q23" s="1248"/>
      <c r="R23" s="1279"/>
      <c r="S23" s="1231"/>
      <c r="T23" s="1231"/>
      <c r="U23" s="1231">
        <v>0.19</v>
      </c>
      <c r="V23" s="1249">
        <v>5</v>
      </c>
      <c r="W23" s="1530"/>
      <c r="X23" s="1530"/>
      <c r="Y23" s="1530"/>
      <c r="Z23" s="1530"/>
      <c r="AA23" s="1295"/>
      <c r="AB23" s="526" t="s">
        <v>1469</v>
      </c>
    </row>
    <row r="24" spans="2:35">
      <c r="B24" s="550" t="str">
        <f>"TFT"&amp;MID(C24,4,3)&amp;MID(C25,4,2)&amp;"2N"</f>
        <v>TFTNGB2N</v>
      </c>
      <c r="C24" s="1157" t="s">
        <v>521</v>
      </c>
      <c r="D24" s="534"/>
      <c r="E24" s="531" t="s">
        <v>880</v>
      </c>
      <c r="F24" s="531">
        <v>2020</v>
      </c>
      <c r="G24" s="1237" t="s">
        <v>519</v>
      </c>
      <c r="I24" s="1244">
        <v>3.45</v>
      </c>
      <c r="J24" s="1244">
        <v>24625</v>
      </c>
      <c r="K24" s="1367">
        <v>98.777000000000001</v>
      </c>
      <c r="L24" s="1237">
        <v>7</v>
      </c>
      <c r="M24" s="1239"/>
      <c r="N24" s="1392">
        <f>0.2*O24</f>
        <v>215</v>
      </c>
      <c r="O24" s="1393">
        <v>1075</v>
      </c>
      <c r="P24" s="1244">
        <v>1E-3</v>
      </c>
      <c r="Q24" s="1238"/>
      <c r="R24" s="1238"/>
      <c r="U24" s="552">
        <v>0.37</v>
      </c>
      <c r="V24" s="1243">
        <v>5</v>
      </c>
      <c r="W24" s="1530">
        <f t="array" ref="W24">INDEX(EMIS_factors!$G$6:$O$152,MATCH($F24&amp;$AB24,EMIS_factors!$E$6:$E$152&amp;EMIS_factors!$D$6:$D$152,0),MATCH(RIGHT(W$3,6),EMIS_factors!$G$4:$O$4,0))</f>
        <v>0</v>
      </c>
      <c r="X24" s="1530">
        <f t="array" ref="X24">INDEX(EMIS_factors!$G$6:$O$152,MATCH($F24&amp;$AB24,EMIS_factors!$E$6:$E$152&amp;EMIS_factors!$D$6:$D$152,0),MATCH(RIGHT(X$3,6),EMIS_factors!$G$4:$O$4,0))</f>
        <v>1.7917753944774433</v>
      </c>
      <c r="Y24" s="1530">
        <f t="array" ref="Y24">INDEX(EMIS_factors!$G$6:$O$152,MATCH($F24&amp;$AB24,EMIS_factors!$E$6:$E$152&amp;EMIS_factors!$D$6:$D$152,0),MATCH(RIGHT(Y$3,6),EMIS_factors!$G$4:$O$4,0))</f>
        <v>4.2576585260129772E-3</v>
      </c>
      <c r="Z24" s="1530">
        <f t="array" ref="Z24">INDEX(EMIS_factors!$G$6:$O$152,MATCH($F24&amp;$AB24,EMIS_factors!$E$6:$E$152&amp;EMIS_factors!$D$6:$D$152,0),MATCH(RIGHT(Z$3,6),EMIS_factors!$G$4:$O$4,0))</f>
        <v>174.0383943909471</v>
      </c>
      <c r="AA24" s="1295"/>
      <c r="AB24" s="526" t="s">
        <v>1488</v>
      </c>
    </row>
    <row r="25" spans="2:35">
      <c r="B25" s="552"/>
      <c r="C25" s="534"/>
      <c r="D25" s="534"/>
      <c r="E25" s="531" t="s">
        <v>1282</v>
      </c>
      <c r="F25" s="531"/>
      <c r="G25" s="1237"/>
      <c r="I25" s="1244"/>
      <c r="J25" s="1244"/>
      <c r="K25" s="1367">
        <v>123.46567441860465</v>
      </c>
      <c r="L25" s="1237"/>
      <c r="M25" s="1239"/>
      <c r="N25" s="1392"/>
      <c r="O25" s="1396"/>
      <c r="P25" s="1237"/>
      <c r="Q25" s="1237"/>
      <c r="R25" s="1238"/>
      <c r="U25" s="552">
        <v>0.24</v>
      </c>
      <c r="V25" s="1243">
        <v>5</v>
      </c>
      <c r="W25" s="1530"/>
      <c r="X25" s="1530"/>
      <c r="Y25" s="1530"/>
      <c r="Z25" s="1530"/>
      <c r="AA25" s="1295"/>
      <c r="AB25" s="526" t="s">
        <v>1488</v>
      </c>
      <c r="AF25" s="549" t="s">
        <v>1308</v>
      </c>
    </row>
    <row r="26" spans="2:35">
      <c r="B26" s="1231"/>
      <c r="C26" s="1246"/>
      <c r="D26" s="1246"/>
      <c r="E26" s="1247" t="s">
        <v>1283</v>
      </c>
      <c r="F26" s="1247"/>
      <c r="G26" s="1249"/>
      <c r="H26" s="1231"/>
      <c r="I26" s="1248"/>
      <c r="J26" s="1248"/>
      <c r="K26" s="1345">
        <v>143.22553488372094</v>
      </c>
      <c r="L26" s="1249"/>
      <c r="M26" s="1252"/>
      <c r="N26" s="1397"/>
      <c r="O26" s="1398"/>
      <c r="P26" s="1249"/>
      <c r="Q26" s="1249"/>
      <c r="R26" s="1250"/>
      <c r="S26" s="1231"/>
      <c r="T26" s="1231"/>
      <c r="U26" s="1231">
        <v>0.19</v>
      </c>
      <c r="V26" s="1249">
        <v>5</v>
      </c>
      <c r="W26" s="1530"/>
      <c r="X26" s="1530"/>
      <c r="Y26" s="1530"/>
      <c r="Z26" s="1530"/>
      <c r="AA26" s="1295"/>
      <c r="AB26" s="526" t="s">
        <v>1488</v>
      </c>
      <c r="AF26" s="549" t="s">
        <v>602</v>
      </c>
      <c r="AG26" s="549" t="s">
        <v>152</v>
      </c>
    </row>
    <row r="27" spans="2:35">
      <c r="B27" s="550" t="str">
        <f>"TFT"&amp;MID(C27,4,3)&amp;MID(C28,4,2)&amp;"3N"</f>
        <v>TFTNGB3N</v>
      </c>
      <c r="C27" s="1157" t="s">
        <v>521</v>
      </c>
      <c r="D27" s="534"/>
      <c r="E27" s="531" t="s">
        <v>880</v>
      </c>
      <c r="F27" s="531">
        <v>2020</v>
      </c>
      <c r="G27" s="1237" t="s">
        <v>519</v>
      </c>
      <c r="I27" s="1244">
        <v>10.82</v>
      </c>
      <c r="J27" s="1244">
        <v>91500</v>
      </c>
      <c r="K27" s="1367">
        <v>65.323511627906981</v>
      </c>
      <c r="L27" s="1237">
        <v>7</v>
      </c>
      <c r="M27" s="1239"/>
      <c r="N27" s="1392">
        <f>0.2*O27</f>
        <v>380.16000000000008</v>
      </c>
      <c r="O27" s="1393">
        <f>1.1*O18</f>
        <v>1900.8000000000002</v>
      </c>
      <c r="P27" s="1237">
        <v>1E-3</v>
      </c>
      <c r="Q27" s="1238"/>
      <c r="R27" s="1238"/>
      <c r="S27" s="1237"/>
      <c r="T27" s="1240"/>
      <c r="U27" s="552">
        <v>0.37</v>
      </c>
      <c r="V27" s="1243">
        <v>5</v>
      </c>
      <c r="W27" s="1530">
        <f t="array" ref="W27">INDEX(EMIS_factors!$G$6:$O$152,MATCH($F27&amp;$AB27,EMIS_factors!$E$6:$E$152&amp;EMIS_factors!$D$6:$D$152,0),MATCH(RIGHT(W$3,6),EMIS_factors!$G$4:$O$4,0))</f>
        <v>0</v>
      </c>
      <c r="X27" s="1530">
        <f t="array" ref="X27">INDEX(EMIS_factors!$G$6:$O$152,MATCH($F27&amp;$AB27,EMIS_factors!$E$6:$E$152&amp;EMIS_factors!$D$6:$D$152,0),MATCH(RIGHT(X$3,6),EMIS_factors!$G$4:$O$4,0))</f>
        <v>1.7917753944774433</v>
      </c>
      <c r="Y27" s="1530">
        <f t="array" ref="Y27">INDEX(EMIS_factors!$G$6:$O$152,MATCH($F27&amp;$AB27,EMIS_factors!$E$6:$E$152&amp;EMIS_factors!$D$6:$D$152,0),MATCH(RIGHT(Y$3,6),EMIS_factors!$G$4:$O$4,0))</f>
        <v>4.2576585260129772E-3</v>
      </c>
      <c r="Z27" s="1530">
        <f t="array" ref="Z27">INDEX(EMIS_factors!$G$6:$O$152,MATCH($F27&amp;$AB27,EMIS_factors!$E$6:$E$152&amp;EMIS_factors!$D$6:$D$152,0),MATCH(RIGHT(Z$3,6),EMIS_factors!$G$4:$O$4,0))</f>
        <v>174.0383943909471</v>
      </c>
      <c r="AA27" s="1295"/>
      <c r="AB27" s="526" t="s">
        <v>1488</v>
      </c>
      <c r="AF27" s="1290">
        <v>83.693065951742639</v>
      </c>
      <c r="AG27" s="549">
        <f>1000/AF27</f>
        <v>11.948421158051485</v>
      </c>
      <c r="AH27" s="549" t="s">
        <v>1307</v>
      </c>
      <c r="AI27" s="549" t="s">
        <v>1310</v>
      </c>
    </row>
    <row r="28" spans="2:35">
      <c r="B28" s="552"/>
      <c r="C28" s="1457"/>
      <c r="D28" s="534"/>
      <c r="E28" s="531" t="s">
        <v>1282</v>
      </c>
      <c r="F28" s="531"/>
      <c r="G28" s="1237"/>
      <c r="I28" s="1244"/>
      <c r="J28" s="1244"/>
      <c r="K28" s="1367">
        <v>81.659965116279068</v>
      </c>
      <c r="L28" s="1237"/>
      <c r="M28" s="1239"/>
      <c r="N28" s="1392"/>
      <c r="O28" s="1393"/>
      <c r="P28" s="1237"/>
      <c r="Q28" s="1237"/>
      <c r="R28" s="1238"/>
      <c r="S28" s="1237"/>
      <c r="U28" s="552">
        <v>0.24</v>
      </c>
      <c r="V28" s="1243">
        <v>5</v>
      </c>
      <c r="W28" s="1530"/>
      <c r="X28" s="1530"/>
      <c r="Y28" s="1530"/>
      <c r="Z28" s="1530"/>
      <c r="AA28" s="1295"/>
      <c r="AB28" s="526" t="s">
        <v>1488</v>
      </c>
      <c r="AE28" s="549">
        <f>SUM(AF27:AF28)/2</f>
        <v>69.521633685091189</v>
      </c>
      <c r="AF28" s="1290">
        <v>55.350201418439724</v>
      </c>
      <c r="AG28" s="549">
        <f>1000/AF28</f>
        <v>18.066781590190448</v>
      </c>
      <c r="AH28" s="549" t="s">
        <v>1309</v>
      </c>
      <c r="AI28" s="549" t="s">
        <v>1310</v>
      </c>
    </row>
    <row r="29" spans="2:35">
      <c r="B29" s="1231"/>
      <c r="C29" s="1246"/>
      <c r="D29" s="1246"/>
      <c r="E29" s="1247" t="s">
        <v>1283</v>
      </c>
      <c r="F29" s="1247"/>
      <c r="G29" s="1249"/>
      <c r="H29" s="1231"/>
      <c r="I29" s="1248"/>
      <c r="J29" s="1248"/>
      <c r="K29" s="1345">
        <v>94.717976744186046</v>
      </c>
      <c r="L29" s="1249"/>
      <c r="M29" s="1252"/>
      <c r="N29" s="1394"/>
      <c r="O29" s="1395"/>
      <c r="P29" s="1249"/>
      <c r="Q29" s="1249"/>
      <c r="R29" s="1250"/>
      <c r="S29" s="1249"/>
      <c r="T29" s="1231"/>
      <c r="U29" s="1231">
        <v>0.19</v>
      </c>
      <c r="V29" s="1249">
        <v>5</v>
      </c>
      <c r="W29" s="1530"/>
      <c r="X29" s="1530"/>
      <c r="Y29" s="1530"/>
      <c r="Z29" s="1530"/>
      <c r="AA29" s="1295"/>
      <c r="AB29" s="526" t="s">
        <v>1488</v>
      </c>
      <c r="AF29" s="1290">
        <v>80.040064343163522</v>
      </c>
      <c r="AG29" s="549">
        <f>1000/AF29</f>
        <v>12.493743079873139</v>
      </c>
      <c r="AH29" s="549" t="s">
        <v>1307</v>
      </c>
      <c r="AI29" s="549" t="s">
        <v>496</v>
      </c>
    </row>
    <row r="30" spans="2:35">
      <c r="B30" s="550" t="str">
        <f>"TFT"&amp;MID(C30,4,3)&amp;MID(C31,4,2)&amp;"2N"</f>
        <v>TFTELC2N</v>
      </c>
      <c r="C30" s="990" t="s">
        <v>779</v>
      </c>
      <c r="D30" s="552"/>
      <c r="E30" s="534" t="s">
        <v>880</v>
      </c>
      <c r="F30" s="534">
        <v>2020</v>
      </c>
      <c r="G30" s="1370" t="s">
        <v>519</v>
      </c>
      <c r="H30" s="534"/>
      <c r="I30" s="1370">
        <v>3.45</v>
      </c>
      <c r="J30" s="1370">
        <v>24625</v>
      </c>
      <c r="K30" s="1421">
        <f>1000/$AG$44*$AF$27/$AE$28</f>
        <v>187.26431874777657</v>
      </c>
      <c r="L30" s="1370">
        <v>7</v>
      </c>
      <c r="M30" s="1371"/>
      <c r="N30" s="1399">
        <f>0.05*O30</f>
        <v>50.436525000000003</v>
      </c>
      <c r="O30" s="1400">
        <f>O9+(42*1160.25)/1000</f>
        <v>1008.7305</v>
      </c>
      <c r="P30" s="1370">
        <v>1E-3</v>
      </c>
      <c r="Q30" s="1373"/>
      <c r="R30" s="1373"/>
      <c r="U30" s="534">
        <v>0.37</v>
      </c>
      <c r="V30" s="1374">
        <v>5</v>
      </c>
      <c r="W30" s="1530">
        <f t="array" ref="W30">INDEX(EMIS_factors!$G$6:$O$152,MATCH($F30&amp;$AB30,EMIS_factors!$E$6:$E$152&amp;EMIS_factors!$D$6:$D$152,0),MATCH(RIGHT(W$3,6),EMIS_factors!$G$4:$O$4,0))</f>
        <v>0</v>
      </c>
      <c r="X30" s="1530">
        <f t="array" ref="X30">INDEX(EMIS_factors!$G$6:$O$152,MATCH($F30&amp;$AB30,EMIS_factors!$E$6:$E$152&amp;EMIS_factors!$D$6:$D$152,0),MATCH(RIGHT(X$3,6),EMIS_factors!$G$4:$O$4,0))</f>
        <v>0</v>
      </c>
      <c r="Y30" s="1530">
        <f t="array" ref="Y30">INDEX(EMIS_factors!$G$6:$O$152,MATCH($F30&amp;$AB30,EMIS_factors!$E$6:$E$152&amp;EMIS_factors!$D$6:$D$152,0),MATCH(RIGHT(Y$3,6),EMIS_factors!$G$4:$O$4,0))</f>
        <v>0</v>
      </c>
      <c r="Z30" s="1530">
        <f t="array" ref="Z30">INDEX(EMIS_factors!$G$6:$O$152,MATCH($F30&amp;$AB30,EMIS_factors!$E$6:$E$152&amp;EMIS_factors!$D$6:$D$152,0),MATCH(RIGHT(Z$3,6),EMIS_factors!$G$4:$O$4,0))</f>
        <v>174.0383943909471</v>
      </c>
      <c r="AA30" s="1295"/>
      <c r="AB30" s="526" t="s">
        <v>1472</v>
      </c>
      <c r="AF30" s="1290">
        <v>52.348482269503542</v>
      </c>
      <c r="AG30" s="549">
        <f>1000/AF30</f>
        <v>19.102750579314623</v>
      </c>
      <c r="AH30" s="549" t="s">
        <v>1309</v>
      </c>
      <c r="AI30" s="549" t="s">
        <v>496</v>
      </c>
    </row>
    <row r="31" spans="2:35">
      <c r="B31" s="552"/>
      <c r="C31" s="534"/>
      <c r="D31" s="552"/>
      <c r="E31" s="534" t="s">
        <v>1282</v>
      </c>
      <c r="F31" s="534"/>
      <c r="G31" s="1370"/>
      <c r="H31" s="534"/>
      <c r="I31" s="1370"/>
      <c r="J31" s="1370"/>
      <c r="K31" s="1421">
        <f>K30</f>
        <v>187.26431874777657</v>
      </c>
      <c r="L31" s="1370"/>
      <c r="M31" s="1371"/>
      <c r="N31" s="1399"/>
      <c r="O31" s="1401"/>
      <c r="P31" s="1370"/>
      <c r="Q31" s="1372"/>
      <c r="R31" s="1373"/>
      <c r="U31" s="534">
        <v>0.24</v>
      </c>
      <c r="V31" s="1375">
        <v>5</v>
      </c>
      <c r="W31" s="1530"/>
      <c r="X31" s="1530"/>
      <c r="Y31" s="1530"/>
      <c r="Z31" s="1530"/>
      <c r="AA31" s="1295"/>
      <c r="AB31" s="526" t="s">
        <v>1472</v>
      </c>
    </row>
    <row r="32" spans="2:35">
      <c r="B32" s="1231"/>
      <c r="C32" s="1246"/>
      <c r="D32" s="1231"/>
      <c r="E32" s="1246" t="s">
        <v>1283</v>
      </c>
      <c r="F32" s="1246"/>
      <c r="G32" s="1376"/>
      <c r="H32" s="1246"/>
      <c r="I32" s="1376"/>
      <c r="J32" s="1376"/>
      <c r="K32" s="1422">
        <f>K31</f>
        <v>187.26431874777657</v>
      </c>
      <c r="L32" s="1376"/>
      <c r="M32" s="1377"/>
      <c r="N32" s="1402"/>
      <c r="O32" s="1403"/>
      <c r="P32" s="1376"/>
      <c r="Q32" s="1378"/>
      <c r="R32" s="1379"/>
      <c r="S32" s="1231"/>
      <c r="T32" s="1231"/>
      <c r="U32" s="1246">
        <v>0.19</v>
      </c>
      <c r="V32" s="1376">
        <v>5</v>
      </c>
      <c r="W32" s="1530"/>
      <c r="X32" s="1530"/>
      <c r="Y32" s="1530"/>
      <c r="Z32" s="1530"/>
      <c r="AA32" s="1295"/>
      <c r="AB32" s="526" t="s">
        <v>1472</v>
      </c>
    </row>
    <row r="33" spans="2:38">
      <c r="B33" s="552"/>
      <c r="C33" s="990" t="s">
        <v>779</v>
      </c>
      <c r="D33" s="552"/>
      <c r="E33" s="534" t="s">
        <v>880</v>
      </c>
      <c r="F33" s="534">
        <v>2035</v>
      </c>
      <c r="G33" s="1370" t="s">
        <v>519</v>
      </c>
      <c r="H33" s="534"/>
      <c r="I33" s="1370">
        <v>3.45</v>
      </c>
      <c r="J33" s="1370">
        <v>24625</v>
      </c>
      <c r="K33" s="1421">
        <f>1000/$AH$44*$AF$27/$AE$28</f>
        <v>204.12986803235916</v>
      </c>
      <c r="L33" s="1370">
        <v>7</v>
      </c>
      <c r="M33" s="1371"/>
      <c r="N33" s="1399">
        <f>+O33*0.05</f>
        <v>49.75</v>
      </c>
      <c r="O33" s="1401">
        <v>995</v>
      </c>
      <c r="P33" s="1370">
        <v>1E-3</v>
      </c>
      <c r="Q33" s="1372"/>
      <c r="R33" s="1373"/>
      <c r="U33" s="534">
        <v>0.37</v>
      </c>
      <c r="V33" s="1374">
        <v>5</v>
      </c>
      <c r="W33" s="1530">
        <f t="array" ref="W33">INDEX(EMIS_factors!$G$6:$O$152,MATCH($F33&amp;$AB33,EMIS_factors!$E$6:$E$152&amp;EMIS_factors!$D$6:$D$152,0),MATCH(RIGHT(W$3,6),EMIS_factors!$G$4:$O$4,0))</f>
        <v>0</v>
      </c>
      <c r="X33" s="1530">
        <f t="array" ref="X33">INDEX(EMIS_factors!$G$6:$O$152,MATCH($F33&amp;$AB33,EMIS_factors!$E$6:$E$152&amp;EMIS_factors!$D$6:$D$152,0),MATCH(RIGHT(X$3,6),EMIS_factors!$G$4:$O$4,0))</f>
        <v>0</v>
      </c>
      <c r="Y33" s="1530">
        <f t="array" ref="Y33">INDEX(EMIS_factors!$G$6:$O$152,MATCH($F33&amp;$AB33,EMIS_factors!$E$6:$E$152&amp;EMIS_factors!$D$6:$D$152,0),MATCH(RIGHT(Y$3,6),EMIS_factors!$G$4:$O$4,0))</f>
        <v>0</v>
      </c>
      <c r="Z33" s="1530">
        <f t="array" ref="Z33">INDEX(EMIS_factors!$G$6:$O$152,MATCH($F33&amp;$AB33,EMIS_factors!$E$6:$E$152&amp;EMIS_factors!$D$6:$D$152,0),MATCH(RIGHT(Z$3,6),EMIS_factors!$G$4:$O$4,0))</f>
        <v>176.20517963245305</v>
      </c>
      <c r="AA33" s="1295"/>
      <c r="AB33" s="526" t="s">
        <v>1472</v>
      </c>
    </row>
    <row r="34" spans="2:38" ht="13.8">
      <c r="B34" s="552"/>
      <c r="C34" s="534"/>
      <c r="D34" s="552"/>
      <c r="E34" s="534" t="s">
        <v>1282</v>
      </c>
      <c r="F34" s="1423"/>
      <c r="G34" s="1370"/>
      <c r="H34" s="534"/>
      <c r="I34" s="1370"/>
      <c r="J34" s="1370"/>
      <c r="K34" s="1421">
        <f>K33</f>
        <v>204.12986803235916</v>
      </c>
      <c r="L34" s="1370"/>
      <c r="M34" s="1371"/>
      <c r="N34" s="1399"/>
      <c r="O34" s="1401"/>
      <c r="P34" s="1370"/>
      <c r="Q34" s="1372"/>
      <c r="R34" s="1373"/>
      <c r="U34" s="534">
        <v>0.24</v>
      </c>
      <c r="V34" s="1375">
        <v>5</v>
      </c>
      <c r="W34" s="1530"/>
      <c r="X34" s="1530"/>
      <c r="Y34" s="1530"/>
      <c r="Z34" s="1530"/>
      <c r="AA34" s="1295"/>
      <c r="AB34" s="526" t="s">
        <v>1472</v>
      </c>
      <c r="AF34" s="1410">
        <v>2015</v>
      </c>
      <c r="AG34" s="1411">
        <v>2020</v>
      </c>
      <c r="AH34" s="1411">
        <v>2035</v>
      </c>
      <c r="AI34" s="1411">
        <v>2050</v>
      </c>
      <c r="AJ34" s="1411" t="s">
        <v>100</v>
      </c>
      <c r="AK34" s="1412"/>
      <c r="AL34" s="1413"/>
    </row>
    <row r="35" spans="2:38" ht="13.8">
      <c r="B35" s="1231"/>
      <c r="C35" s="1246"/>
      <c r="D35" s="1231"/>
      <c r="E35" s="1246" t="s">
        <v>1283</v>
      </c>
      <c r="F35" s="1246"/>
      <c r="G35" s="1376"/>
      <c r="H35" s="1246"/>
      <c r="I35" s="1376"/>
      <c r="J35" s="1376"/>
      <c r="K35" s="1422">
        <f>K34</f>
        <v>204.12986803235916</v>
      </c>
      <c r="L35" s="1376"/>
      <c r="M35" s="1377"/>
      <c r="N35" s="1402"/>
      <c r="O35" s="1403"/>
      <c r="P35" s="1376"/>
      <c r="Q35" s="1378"/>
      <c r="R35" s="1379"/>
      <c r="S35" s="1231"/>
      <c r="T35" s="1231"/>
      <c r="U35" s="1246">
        <v>0.19</v>
      </c>
      <c r="V35" s="1376">
        <v>5</v>
      </c>
      <c r="W35" s="1530"/>
      <c r="X35" s="1530"/>
      <c r="Y35" s="1530"/>
      <c r="Z35" s="1530"/>
      <c r="AA35" s="1295"/>
      <c r="AB35" s="526" t="s">
        <v>1472</v>
      </c>
      <c r="AF35" s="1414"/>
      <c r="AG35" s="1054"/>
      <c r="AH35" s="1054"/>
      <c r="AI35" s="1054"/>
      <c r="AJ35" s="1054"/>
      <c r="AK35" s="1033"/>
      <c r="AL35" s="1415"/>
    </row>
    <row r="36" spans="2:38" ht="13.8">
      <c r="B36" s="550" t="str">
        <f>"TFT"&amp;MID(C36,4,3)&amp;MID(C37,4,2)&amp;"3N"</f>
        <v>TFTELC3N</v>
      </c>
      <c r="C36" s="990" t="s">
        <v>779</v>
      </c>
      <c r="D36" s="552"/>
      <c r="E36" s="534" t="s">
        <v>880</v>
      </c>
      <c r="F36" s="534">
        <v>2020</v>
      </c>
      <c r="G36" s="1370" t="s">
        <v>519</v>
      </c>
      <c r="H36" s="534"/>
      <c r="I36" s="1370">
        <f>10.82*$AF$49</f>
        <v>9.1553846153846159</v>
      </c>
      <c r="J36" s="1370">
        <v>91500</v>
      </c>
      <c r="K36" s="1421">
        <f>1000/$AG$44*$AF$28/$AE$28</f>
        <v>123.84679236333449</v>
      </c>
      <c r="L36" s="1370">
        <v>7</v>
      </c>
      <c r="M36" s="1371"/>
      <c r="N36" s="1399">
        <f>0.05*O36</f>
        <v>100.0329375</v>
      </c>
      <c r="O36" s="1400">
        <f>O18+(235*1160.25)/1000</f>
        <v>2000.6587500000001</v>
      </c>
      <c r="P36" s="1370">
        <v>1E-3</v>
      </c>
      <c r="Q36" s="1373"/>
      <c r="R36" s="1373"/>
      <c r="U36" s="534">
        <v>0.37</v>
      </c>
      <c r="V36" s="1375">
        <v>5</v>
      </c>
      <c r="W36" s="1530">
        <f t="array" ref="W36">INDEX(EMIS_factors!$G$6:$O$152,MATCH($F36&amp;$AB36,EMIS_factors!$E$6:$E$152&amp;EMIS_factors!$D$6:$D$152,0),MATCH(RIGHT(W$3,6),EMIS_factors!$G$4:$O$4,0))</f>
        <v>0</v>
      </c>
      <c r="X36" s="1530">
        <f t="array" ref="X36">INDEX(EMIS_factors!$G$6:$O$152,MATCH($F36&amp;$AB36,EMIS_factors!$E$6:$E$152&amp;EMIS_factors!$D$6:$D$152,0),MATCH(RIGHT(X$3,6),EMIS_factors!$G$4:$O$4,0))</f>
        <v>0</v>
      </c>
      <c r="Y36" s="1530">
        <f t="array" ref="Y36">INDEX(EMIS_factors!$G$6:$O$152,MATCH($F36&amp;$AB36,EMIS_factors!$E$6:$E$152&amp;EMIS_factors!$D$6:$D$152,0),MATCH(RIGHT(Y$3,6),EMIS_factors!$G$4:$O$4,0))</f>
        <v>0</v>
      </c>
      <c r="Z36" s="1530">
        <f t="array" ref="Z36">INDEX(EMIS_factors!$G$6:$O$152,MATCH($F36&amp;$AB36,EMIS_factors!$E$6:$E$152&amp;EMIS_factors!$D$6:$D$152,0),MATCH(RIGHT(Z$3,6),EMIS_factors!$G$4:$O$4,0))</f>
        <v>174.0383943909471</v>
      </c>
      <c r="AA36" s="1295"/>
      <c r="AB36" s="526" t="s">
        <v>1472</v>
      </c>
      <c r="AF36" s="1414"/>
      <c r="AG36" s="1054"/>
      <c r="AH36" s="1054"/>
      <c r="AI36" s="1054"/>
      <c r="AJ36" s="1054"/>
      <c r="AK36" s="1033"/>
      <c r="AL36" s="1415"/>
    </row>
    <row r="37" spans="2:38" ht="13.8">
      <c r="B37" s="552"/>
      <c r="C37" s="531"/>
      <c r="D37" s="552"/>
      <c r="E37" s="534" t="s">
        <v>1282</v>
      </c>
      <c r="F37" s="534"/>
      <c r="G37" s="1370"/>
      <c r="H37" s="534"/>
      <c r="I37" s="1370"/>
      <c r="J37" s="1370"/>
      <c r="K37" s="1421">
        <f>K36</f>
        <v>123.84679236333449</v>
      </c>
      <c r="L37" s="1370"/>
      <c r="M37" s="1371"/>
      <c r="N37" s="1399"/>
      <c r="O37" s="1401"/>
      <c r="P37" s="1370"/>
      <c r="Q37" s="1380"/>
      <c r="R37" s="1370"/>
      <c r="U37" s="534">
        <v>0.24</v>
      </c>
      <c r="V37" s="1375">
        <v>5</v>
      </c>
      <c r="W37" s="1530"/>
      <c r="X37" s="1530"/>
      <c r="Y37" s="1530"/>
      <c r="Z37" s="1530"/>
      <c r="AA37" s="1295"/>
      <c r="AB37" s="526" t="s">
        <v>1472</v>
      </c>
      <c r="AF37" s="1414"/>
      <c r="AG37" s="1054"/>
      <c r="AH37" s="1054"/>
      <c r="AI37" s="1054"/>
      <c r="AJ37" s="1054"/>
      <c r="AK37" s="1033"/>
      <c r="AL37" s="1415"/>
    </row>
    <row r="38" spans="2:38" ht="13.8">
      <c r="B38" s="1231"/>
      <c r="C38" s="1247"/>
      <c r="D38" s="1231"/>
      <c r="E38" s="1246" t="s">
        <v>1283</v>
      </c>
      <c r="F38" s="1246"/>
      <c r="G38" s="1376"/>
      <c r="H38" s="1246"/>
      <c r="I38" s="1376"/>
      <c r="J38" s="1376"/>
      <c r="K38" s="1422">
        <f>K37</f>
        <v>123.84679236333449</v>
      </c>
      <c r="L38" s="1376"/>
      <c r="M38" s="1377"/>
      <c r="N38" s="1402"/>
      <c r="O38" s="1403"/>
      <c r="P38" s="1376"/>
      <c r="Q38" s="1381"/>
      <c r="R38" s="1376"/>
      <c r="S38" s="1231"/>
      <c r="T38" s="1231"/>
      <c r="U38" s="1246">
        <v>0.19</v>
      </c>
      <c r="V38" s="1376">
        <v>5</v>
      </c>
      <c r="W38" s="1530"/>
      <c r="X38" s="1530"/>
      <c r="Y38" s="1530"/>
      <c r="Z38" s="1530"/>
      <c r="AA38" s="1295"/>
      <c r="AB38" s="526" t="s">
        <v>1472</v>
      </c>
      <c r="AF38" s="1414"/>
      <c r="AG38" s="1054"/>
      <c r="AH38" s="1054"/>
      <c r="AI38" s="1054"/>
      <c r="AJ38" s="1054"/>
      <c r="AK38" s="1033"/>
      <c r="AL38" s="1415"/>
    </row>
    <row r="39" spans="2:38" ht="13.8">
      <c r="B39" s="552"/>
      <c r="C39" s="990" t="s">
        <v>779</v>
      </c>
      <c r="D39" s="552"/>
      <c r="E39" s="534" t="s">
        <v>880</v>
      </c>
      <c r="F39" s="534">
        <v>2035</v>
      </c>
      <c r="G39" s="1370" t="s">
        <v>519</v>
      </c>
      <c r="H39" s="534"/>
      <c r="I39" s="1370">
        <f>10.82</f>
        <v>10.82</v>
      </c>
      <c r="J39" s="1370">
        <v>91500</v>
      </c>
      <c r="K39" s="1421">
        <f>1000/$AH$44*$AF$28/$AE$28</f>
        <v>135.00078151785453</v>
      </c>
      <c r="L39" s="1370">
        <v>7</v>
      </c>
      <c r="M39" s="1371"/>
      <c r="N39" s="1399">
        <f>+O39*0.05</f>
        <v>96.300000000000011</v>
      </c>
      <c r="O39" s="1401">
        <v>1926</v>
      </c>
      <c r="P39" s="1370">
        <v>1E-3</v>
      </c>
      <c r="Q39" s="1373"/>
      <c r="R39" s="1370"/>
      <c r="U39" s="534">
        <v>0.37</v>
      </c>
      <c r="V39" s="1374">
        <v>5</v>
      </c>
      <c r="W39" s="1530">
        <f t="array" ref="W39">INDEX(EMIS_factors!$G$6:$O$152,MATCH($F39&amp;$AB39,EMIS_factors!$E$6:$E$152&amp;EMIS_factors!$D$6:$D$152,0),MATCH(RIGHT(W$3,6),EMIS_factors!$G$4:$O$4,0))</f>
        <v>0</v>
      </c>
      <c r="X39" s="1530">
        <f t="array" ref="X39">INDEX(EMIS_factors!$G$6:$O$152,MATCH($F39&amp;$AB39,EMIS_factors!$E$6:$E$152&amp;EMIS_factors!$D$6:$D$152,0),MATCH(RIGHT(X$3,6),EMIS_factors!$G$4:$O$4,0))</f>
        <v>0</v>
      </c>
      <c r="Y39" s="1530">
        <f t="array" ref="Y39">INDEX(EMIS_factors!$G$6:$O$152,MATCH($F39&amp;$AB39,EMIS_factors!$E$6:$E$152&amp;EMIS_factors!$D$6:$D$152,0),MATCH(RIGHT(Y$3,6),EMIS_factors!$G$4:$O$4,0))</f>
        <v>0</v>
      </c>
      <c r="Z39" s="1530">
        <f t="array" ref="Z39">INDEX(EMIS_factors!$G$6:$O$152,MATCH($F39&amp;$AB39,EMIS_factors!$E$6:$E$152&amp;EMIS_factors!$D$6:$D$152,0),MATCH(RIGHT(Z$3,6),EMIS_factors!$G$4:$O$4,0))</f>
        <v>176.20517963245305</v>
      </c>
      <c r="AA39" s="1295"/>
      <c r="AB39" s="526" t="s">
        <v>1472</v>
      </c>
      <c r="AF39" s="1414"/>
      <c r="AG39" s="1054"/>
      <c r="AH39" s="1054"/>
      <c r="AI39" s="1054"/>
      <c r="AJ39" s="1054"/>
      <c r="AK39" s="1033"/>
      <c r="AL39" s="1415"/>
    </row>
    <row r="40" spans="2:38" ht="13.8">
      <c r="B40" s="552"/>
      <c r="C40" s="531"/>
      <c r="D40" s="552"/>
      <c r="E40" s="534" t="s">
        <v>1282</v>
      </c>
      <c r="F40" s="534"/>
      <c r="G40" s="1370"/>
      <c r="H40" s="534"/>
      <c r="I40" s="1370"/>
      <c r="J40" s="1370"/>
      <c r="K40" s="1421">
        <f>K39</f>
        <v>135.00078151785453</v>
      </c>
      <c r="L40" s="1370"/>
      <c r="M40" s="1371"/>
      <c r="N40" s="1399"/>
      <c r="O40" s="1401"/>
      <c r="P40" s="1370"/>
      <c r="Q40" s="1380"/>
      <c r="R40" s="1370"/>
      <c r="U40" s="534">
        <v>0.24</v>
      </c>
      <c r="V40" s="1375">
        <v>5</v>
      </c>
      <c r="W40" s="1530"/>
      <c r="X40" s="1530"/>
      <c r="Y40" s="1530"/>
      <c r="Z40" s="1530"/>
      <c r="AA40" s="1295"/>
      <c r="AB40" s="526" t="s">
        <v>1472</v>
      </c>
      <c r="AF40" s="1414"/>
      <c r="AG40" s="1054"/>
      <c r="AH40" s="1054"/>
      <c r="AI40" s="1054"/>
      <c r="AJ40" s="1054"/>
      <c r="AK40" s="1033"/>
      <c r="AL40" s="1415"/>
    </row>
    <row r="41" spans="2:38" ht="13.8">
      <c r="B41" s="1231"/>
      <c r="C41" s="1247"/>
      <c r="D41" s="1231"/>
      <c r="E41" s="1246" t="s">
        <v>1283</v>
      </c>
      <c r="F41" s="1246"/>
      <c r="G41" s="1376"/>
      <c r="H41" s="1246"/>
      <c r="I41" s="1376"/>
      <c r="J41" s="1376"/>
      <c r="K41" s="1422">
        <f>K40</f>
        <v>135.00078151785453</v>
      </c>
      <c r="L41" s="1376"/>
      <c r="M41" s="1377"/>
      <c r="N41" s="1402"/>
      <c r="O41" s="1403"/>
      <c r="P41" s="1376"/>
      <c r="Q41" s="1381"/>
      <c r="R41" s="1376"/>
      <c r="S41" s="1231"/>
      <c r="T41" s="1231"/>
      <c r="U41" s="1246">
        <v>0.19</v>
      </c>
      <c r="V41" s="1376">
        <v>5</v>
      </c>
      <c r="W41" s="1530"/>
      <c r="X41" s="1530"/>
      <c r="Y41" s="1530"/>
      <c r="Z41" s="1530"/>
      <c r="AA41" s="1295"/>
      <c r="AB41" s="526" t="s">
        <v>1472</v>
      </c>
      <c r="AF41" s="1414"/>
      <c r="AG41" s="1054"/>
      <c r="AH41" s="1054"/>
      <c r="AI41" s="1054"/>
      <c r="AJ41" s="1054"/>
      <c r="AK41" s="1033"/>
      <c r="AL41" s="1415"/>
    </row>
    <row r="42" spans="2:38" ht="13.8">
      <c r="B42" s="550" t="str">
        <f>"TFT"&amp;MID(C42,4,3)&amp;MID(C43,4,2)&amp;"2N"</f>
        <v>TFTELCDS2N</v>
      </c>
      <c r="C42" s="990" t="s">
        <v>779</v>
      </c>
      <c r="E42" s="531" t="s">
        <v>880</v>
      </c>
      <c r="F42" s="531">
        <v>2020</v>
      </c>
      <c r="G42" s="1244" t="s">
        <v>1284</v>
      </c>
      <c r="I42" s="1244">
        <v>3.45</v>
      </c>
      <c r="J42" s="1244">
        <v>24625</v>
      </c>
      <c r="K42" s="1424">
        <f>K30</f>
        <v>187.26431874777657</v>
      </c>
      <c r="L42" s="1341">
        <v>7</v>
      </c>
      <c r="M42" s="1342"/>
      <c r="N42" s="1404">
        <f>0.05*O42</f>
        <v>60.201909677419351</v>
      </c>
      <c r="O42" s="1404">
        <v>1204.038193548387</v>
      </c>
      <c r="P42" s="1244">
        <v>1E-3</v>
      </c>
      <c r="Q42" s="1278"/>
      <c r="R42" s="1278"/>
      <c r="S42" s="1277">
        <v>0.6</v>
      </c>
      <c r="T42" s="526">
        <v>5</v>
      </c>
      <c r="U42" s="531">
        <v>0.37</v>
      </c>
      <c r="V42" s="1382">
        <v>5</v>
      </c>
      <c r="W42" s="1530">
        <f t="array" ref="W42">INDEX(EMIS_factors!$G$6:$O$152,MATCH($F42&amp;$AB42,EMIS_factors!$E$6:$E$152&amp;EMIS_factors!$D$6:$D$152,0),MATCH(RIGHT(W$3,6),EMIS_factors!$G$4:$O$4,0))</f>
        <v>2.4776650935430598E-4</v>
      </c>
      <c r="X42" s="1530">
        <f t="array" ref="X42">INDEX(EMIS_factors!$G$6:$O$152,MATCH($F42&amp;$AB42,EMIS_factors!$E$6:$E$152&amp;EMIS_factors!$D$6:$D$152,0),MATCH(RIGHT(X$3,6),EMIS_factors!$G$4:$O$4,0))</f>
        <v>1.7917753944774433</v>
      </c>
      <c r="Y42" s="1530">
        <f t="array" ref="Y42">INDEX(EMIS_factors!$G$6:$O$152,MATCH($F42&amp;$AB42,EMIS_factors!$E$6:$E$152&amp;EMIS_factors!$D$6:$D$152,0),MATCH(RIGHT(Y$3,6),EMIS_factors!$G$4:$O$4,0))</f>
        <v>4.2576585260129772E-3</v>
      </c>
      <c r="Z42" s="1530">
        <f t="array" ref="Z42">INDEX(EMIS_factors!$G$6:$O$152,MATCH($F42&amp;$AB42,EMIS_factors!$E$6:$E$152&amp;EMIS_factors!$D$6:$D$152,0),MATCH(RIGHT(Z$3,6),EMIS_factors!$G$4:$O$4,0))</f>
        <v>185.02351552780914</v>
      </c>
      <c r="AA42" s="1295"/>
      <c r="AB42" s="526" t="s">
        <v>1489</v>
      </c>
      <c r="AF42" s="1416">
        <v>0.19</v>
      </c>
      <c r="AG42" s="1057">
        <v>0.2</v>
      </c>
      <c r="AH42" s="1057">
        <v>0.22</v>
      </c>
      <c r="AI42" s="1057">
        <v>0.24</v>
      </c>
      <c r="AJ42" s="1058"/>
      <c r="AK42" s="1059"/>
      <c r="AL42" s="1415"/>
    </row>
    <row r="43" spans="2:38" ht="13.8">
      <c r="B43" s="531"/>
      <c r="C43" s="531" t="s">
        <v>225</v>
      </c>
      <c r="E43" s="531" t="s">
        <v>1282</v>
      </c>
      <c r="F43" s="531"/>
      <c r="G43" s="531"/>
      <c r="I43" s="1244"/>
      <c r="J43" s="1244"/>
      <c r="K43" s="1340">
        <v>151.68640000000002</v>
      </c>
      <c r="L43" s="1244"/>
      <c r="M43" s="526"/>
      <c r="N43" s="1404"/>
      <c r="O43" s="1405"/>
      <c r="P43" s="1244"/>
      <c r="Q43" s="531"/>
      <c r="R43" s="531"/>
      <c r="S43" s="526"/>
      <c r="T43" s="526"/>
      <c r="U43" s="531">
        <v>0.24</v>
      </c>
      <c r="V43" s="1382">
        <v>5</v>
      </c>
      <c r="W43" s="1530"/>
      <c r="X43" s="1530"/>
      <c r="Y43" s="1530"/>
      <c r="Z43" s="1530"/>
      <c r="AA43" s="1295"/>
      <c r="AB43" s="526" t="s">
        <v>1489</v>
      </c>
      <c r="AF43" s="1417">
        <f>AF42</f>
        <v>0.19</v>
      </c>
      <c r="AG43" s="1062">
        <f>AG42</f>
        <v>0.2</v>
      </c>
      <c r="AH43" s="1062">
        <f>AH42</f>
        <v>0.22</v>
      </c>
      <c r="AI43" s="1062">
        <f>AI42</f>
        <v>0.24</v>
      </c>
      <c r="AJ43" s="1058"/>
      <c r="AK43" s="1059"/>
      <c r="AL43" s="1415"/>
    </row>
    <row r="44" spans="2:38" ht="13.8">
      <c r="B44" s="42"/>
      <c r="C44" s="531"/>
      <c r="E44" s="1247" t="s">
        <v>1283</v>
      </c>
      <c r="F44" s="531"/>
      <c r="G44" s="1244"/>
      <c r="J44" s="531"/>
      <c r="K44" s="1244"/>
      <c r="L44" s="531"/>
      <c r="M44" s="1342"/>
      <c r="N44" s="1404"/>
      <c r="O44" s="1405"/>
      <c r="P44" s="531"/>
      <c r="Q44" s="531"/>
      <c r="R44" s="531"/>
      <c r="S44" s="531"/>
      <c r="T44" s="526"/>
      <c r="U44" s="1247">
        <v>0.19</v>
      </c>
      <c r="V44" s="1248">
        <v>5</v>
      </c>
      <c r="W44" s="1530"/>
      <c r="X44" s="1530"/>
      <c r="Y44" s="1530"/>
      <c r="Z44" s="1530"/>
      <c r="AA44" s="1295"/>
      <c r="AB44" s="526" t="s">
        <v>1489</v>
      </c>
      <c r="AE44" s="549" t="s">
        <v>152</v>
      </c>
      <c r="AF44" s="1418">
        <f>AG44</f>
        <v>6.4285714285714288</v>
      </c>
      <c r="AG44" s="1419">
        <f>2*3.6/1.6/0.7</f>
        <v>6.4285714285714288</v>
      </c>
      <c r="AH44" s="1419">
        <v>5.8974321626564397</v>
      </c>
      <c r="AI44" s="1419">
        <v>5.4083283087707121</v>
      </c>
      <c r="AJ44" s="1064"/>
      <c r="AK44" s="1065" t="s">
        <v>920</v>
      </c>
      <c r="AL44" s="1415"/>
    </row>
    <row r="45" spans="2:38">
      <c r="B45" s="42"/>
      <c r="C45" s="990" t="s">
        <v>779</v>
      </c>
      <c r="E45" s="531" t="s">
        <v>880</v>
      </c>
      <c r="F45" s="526">
        <v>2030</v>
      </c>
      <c r="G45" s="1244" t="s">
        <v>1284</v>
      </c>
      <c r="I45" s="1244">
        <v>3.45</v>
      </c>
      <c r="J45" s="1244">
        <v>24625</v>
      </c>
      <c r="K45" s="1424">
        <f>K33</f>
        <v>204.12986803235916</v>
      </c>
      <c r="L45" s="1244">
        <v>7</v>
      </c>
      <c r="M45" s="1244"/>
      <c r="N45" s="1407">
        <v>56.092162361623608</v>
      </c>
      <c r="O45" s="1405">
        <v>1121.8399999999999</v>
      </c>
      <c r="P45" s="1383">
        <v>1E-3</v>
      </c>
      <c r="Q45" s="1383"/>
      <c r="R45" s="531"/>
      <c r="S45" s="1244">
        <v>0.6</v>
      </c>
      <c r="T45" s="526">
        <v>5</v>
      </c>
      <c r="U45" s="531">
        <v>0.37</v>
      </c>
      <c r="V45" s="1382">
        <v>5</v>
      </c>
      <c r="W45" s="1530">
        <f t="array" ref="W45">INDEX(EMIS_factors!$G$6:$O$152,MATCH($F45&amp;$AB45,EMIS_factors!$E$6:$E$152&amp;EMIS_factors!$D$6:$D$152,0),MATCH(RIGHT(W$3,6),EMIS_factors!$G$4:$O$4,0))</f>
        <v>2.5075742983615701E-4</v>
      </c>
      <c r="X45" s="1530">
        <f t="array" ref="X45">INDEX(EMIS_factors!$G$6:$O$152,MATCH($F45&amp;$AB45,EMIS_factors!$E$6:$E$152&amp;EMIS_factors!$D$6:$D$152,0),MATCH(RIGHT(X$3,6),EMIS_factors!$G$4:$O$4,0))</f>
        <v>0.55110436847006916</v>
      </c>
      <c r="Y45" s="1530">
        <f t="array" ref="Y45">INDEX(EMIS_factors!$G$6:$O$152,MATCH($F45&amp;$AB45,EMIS_factors!$E$6:$E$152&amp;EMIS_factors!$D$6:$D$152,0),MATCH(RIGHT(Y$3,6),EMIS_factors!$G$4:$O$4,0))</f>
        <v>1.4829754890210707E-3</v>
      </c>
      <c r="Z45" s="1530">
        <f t="array" ref="Z45">INDEX(EMIS_factors!$G$6:$O$152,MATCH($F45&amp;$AB45,EMIS_factors!$E$6:$E$152&amp;EMIS_factors!$D$6:$D$152,0),MATCH(RIGHT(Z$3,6),EMIS_factors!$G$4:$O$4,0))</f>
        <v>182.98005976593151</v>
      </c>
      <c r="AA45" s="1295"/>
      <c r="AB45" s="526" t="s">
        <v>1489</v>
      </c>
      <c r="AF45" s="1290">
        <f>11/13</f>
        <v>0.84615384615384615</v>
      </c>
      <c r="AG45" s="959" t="s">
        <v>914</v>
      </c>
    </row>
    <row r="46" spans="2:38">
      <c r="B46" s="42"/>
      <c r="C46" s="531" t="s">
        <v>225</v>
      </c>
      <c r="E46" s="531" t="s">
        <v>1282</v>
      </c>
      <c r="F46" s="526"/>
      <c r="G46" s="1244"/>
      <c r="I46" s="1244"/>
      <c r="J46" s="1244"/>
      <c r="K46" s="1244">
        <v>151.69</v>
      </c>
      <c r="L46" s="1244"/>
      <c r="M46" s="1244"/>
      <c r="N46" s="1407"/>
      <c r="O46" s="1405"/>
      <c r="P46" s="1244"/>
      <c r="Q46" s="1244"/>
      <c r="R46" s="531"/>
      <c r="S46" s="531"/>
      <c r="T46" s="526"/>
      <c r="U46" s="531">
        <v>0.24</v>
      </c>
      <c r="V46" s="1382">
        <v>5</v>
      </c>
      <c r="W46" s="1530"/>
      <c r="X46" s="1530"/>
      <c r="Y46" s="1530"/>
      <c r="Z46" s="1530"/>
      <c r="AA46" s="1295"/>
      <c r="AB46" s="526" t="s">
        <v>1489</v>
      </c>
      <c r="AF46" s="1290"/>
      <c r="AG46" s="1290"/>
    </row>
    <row r="47" spans="2:38">
      <c r="B47" s="42"/>
      <c r="C47" s="531"/>
      <c r="E47" s="1247" t="s">
        <v>1283</v>
      </c>
      <c r="F47" s="526"/>
      <c r="G47" s="1244"/>
      <c r="J47" s="1244"/>
      <c r="K47" s="1244"/>
      <c r="L47" s="1244"/>
      <c r="M47" s="1244"/>
      <c r="N47" s="1407"/>
      <c r="O47" s="1405"/>
      <c r="P47" s="1244"/>
      <c r="Q47" s="1244"/>
      <c r="R47" s="531"/>
      <c r="S47" s="531"/>
      <c r="T47" s="526"/>
      <c r="U47" s="1247">
        <v>0.19</v>
      </c>
      <c r="V47" s="1248">
        <v>5</v>
      </c>
      <c r="W47" s="1530"/>
      <c r="X47" s="1530"/>
      <c r="Y47" s="1530"/>
      <c r="Z47" s="1530"/>
      <c r="AA47" s="1295"/>
      <c r="AB47" s="526" t="s">
        <v>1489</v>
      </c>
      <c r="AF47" s="1290"/>
      <c r="AG47" s="959" t="s">
        <v>913</v>
      </c>
    </row>
    <row r="48" spans="2:38">
      <c r="B48" s="550" t="str">
        <f>"TFT"&amp;MID(C48,4,3)&amp;MID(C49,4,2)&amp;"3N"</f>
        <v>TFTELCDS3N</v>
      </c>
      <c r="C48" s="990" t="s">
        <v>779</v>
      </c>
      <c r="E48" s="531" t="s">
        <v>880</v>
      </c>
      <c r="F48" s="531">
        <v>2020</v>
      </c>
      <c r="G48" s="1244" t="s">
        <v>1284</v>
      </c>
      <c r="I48" s="1244">
        <v>10.82</v>
      </c>
      <c r="J48" s="1244">
        <v>91500</v>
      </c>
      <c r="K48" s="1340">
        <f>K36</f>
        <v>123.84679236333449</v>
      </c>
      <c r="L48" s="1341">
        <v>7</v>
      </c>
      <c r="M48" s="1342"/>
      <c r="N48" s="1404">
        <f>0.05*O48</f>
        <v>108.36343741935485</v>
      </c>
      <c r="O48" s="1404">
        <v>2167.2687483870968</v>
      </c>
      <c r="P48" s="1244">
        <v>1E-3</v>
      </c>
      <c r="Q48" s="1278"/>
      <c r="R48" s="1278"/>
      <c r="S48" s="1277">
        <v>0.6</v>
      </c>
      <c r="T48" s="526">
        <v>5</v>
      </c>
      <c r="U48" s="531">
        <v>0.37</v>
      </c>
      <c r="V48" s="1382">
        <v>5</v>
      </c>
      <c r="W48" s="1530">
        <f t="array" ref="W48">INDEX(EMIS_factors!$G$6:$O$152,MATCH($F48&amp;$AB48,EMIS_factors!$E$6:$E$152&amp;EMIS_factors!$D$6:$D$152,0),MATCH(RIGHT(W$3,6),EMIS_factors!$G$4:$O$4,0))</f>
        <v>2.4776650935430598E-4</v>
      </c>
      <c r="X48" s="1530">
        <f t="array" ref="X48">INDEX(EMIS_factors!$G$6:$O$152,MATCH($F48&amp;$AB48,EMIS_factors!$E$6:$E$152&amp;EMIS_factors!$D$6:$D$152,0),MATCH(RIGHT(X$3,6),EMIS_factors!$G$4:$O$4,0))</f>
        <v>1.7917753944774433</v>
      </c>
      <c r="Y48" s="1530">
        <f t="array" ref="Y48">INDEX(EMIS_factors!$G$6:$O$152,MATCH($F48&amp;$AB48,EMIS_factors!$E$6:$E$152&amp;EMIS_factors!$D$6:$D$152,0),MATCH(RIGHT(Y$3,6),EMIS_factors!$G$4:$O$4,0))</f>
        <v>4.2576585260129772E-3</v>
      </c>
      <c r="Z48" s="1530">
        <f t="array" ref="Z48">INDEX(EMIS_factors!$G$6:$O$152,MATCH($F48&amp;$AB48,EMIS_factors!$E$6:$E$152&amp;EMIS_factors!$D$6:$D$152,0),MATCH(RIGHT(Z$3,6),EMIS_factors!$G$4:$O$4,0))</f>
        <v>185.02351552780914</v>
      </c>
      <c r="AA48" s="1295"/>
      <c r="AB48" s="526" t="s">
        <v>1489</v>
      </c>
      <c r="AF48" s="1290"/>
      <c r="AG48" s="1290"/>
    </row>
    <row r="49" spans="2:35">
      <c r="B49" s="531"/>
      <c r="C49" s="531" t="s">
        <v>225</v>
      </c>
      <c r="E49" s="531" t="s">
        <v>1282</v>
      </c>
      <c r="F49" s="531"/>
      <c r="G49" s="531"/>
      <c r="I49" s="1244"/>
      <c r="J49" s="1244"/>
      <c r="K49" s="1340">
        <v>100.32510000000001</v>
      </c>
      <c r="L49" s="1244"/>
      <c r="M49" s="1382"/>
      <c r="N49" s="1404"/>
      <c r="O49" s="1405"/>
      <c r="P49" s="1244"/>
      <c r="Q49" s="1244"/>
      <c r="R49" s="531"/>
      <c r="S49" s="526"/>
      <c r="T49" s="526"/>
      <c r="U49" s="531">
        <v>0.24</v>
      </c>
      <c r="V49" s="1382">
        <v>5</v>
      </c>
      <c r="W49" s="1530"/>
      <c r="X49" s="1530"/>
      <c r="Y49" s="1530"/>
      <c r="Z49" s="1530"/>
      <c r="AA49" s="1295"/>
      <c r="AB49" s="526" t="s">
        <v>1489</v>
      </c>
      <c r="AF49" s="1290">
        <f>11/13</f>
        <v>0.84615384615384615</v>
      </c>
      <c r="AG49" s="959" t="s">
        <v>915</v>
      </c>
    </row>
    <row r="50" spans="2:35">
      <c r="B50" s="531"/>
      <c r="C50" s="531"/>
      <c r="E50" s="1247" t="s">
        <v>1283</v>
      </c>
      <c r="F50" s="531"/>
      <c r="G50" s="531"/>
      <c r="J50" s="1244"/>
      <c r="K50" s="1341"/>
      <c r="L50" s="1244"/>
      <c r="M50" s="1382"/>
      <c r="N50" s="1393"/>
      <c r="O50" s="1405"/>
      <c r="P50" s="1244"/>
      <c r="Q50" s="1244"/>
      <c r="R50" s="531"/>
      <c r="S50" s="526"/>
      <c r="T50" s="526"/>
      <c r="U50" s="1247">
        <v>0.19</v>
      </c>
      <c r="V50" s="1248">
        <v>5</v>
      </c>
      <c r="W50" s="1530"/>
      <c r="X50" s="1530"/>
      <c r="Y50" s="1530"/>
      <c r="Z50" s="1530"/>
      <c r="AA50" s="1295"/>
      <c r="AB50" s="526" t="s">
        <v>1489</v>
      </c>
    </row>
    <row r="51" spans="2:35">
      <c r="B51" s="552"/>
      <c r="C51" s="990" t="s">
        <v>779</v>
      </c>
      <c r="E51" s="531" t="s">
        <v>880</v>
      </c>
      <c r="F51" s="531">
        <v>2030</v>
      </c>
      <c r="G51" s="1244" t="s">
        <v>1284</v>
      </c>
      <c r="I51" s="1244">
        <v>10.82</v>
      </c>
      <c r="J51" s="1244">
        <v>91500</v>
      </c>
      <c r="K51" s="1424">
        <f>K39</f>
        <v>135.00078151785453</v>
      </c>
      <c r="L51" s="1244">
        <v>7</v>
      </c>
      <c r="M51" s="1342"/>
      <c r="N51" s="1393">
        <v>100.96589225092248</v>
      </c>
      <c r="O51" s="1392">
        <v>2019.32</v>
      </c>
      <c r="P51" s="1244">
        <v>1E-3</v>
      </c>
      <c r="Q51" s="1244"/>
      <c r="R51" s="531"/>
      <c r="S51" s="1277">
        <v>0.6</v>
      </c>
      <c r="T51" s="526">
        <v>5</v>
      </c>
      <c r="U51" s="531">
        <v>0.37</v>
      </c>
      <c r="V51" s="1382">
        <v>5</v>
      </c>
      <c r="W51" s="1530">
        <f t="array" ref="W51">INDEX(EMIS_factors!$G$6:$O$152,MATCH($F51&amp;$AB51,EMIS_factors!$E$6:$E$152&amp;EMIS_factors!$D$6:$D$152,0),MATCH(RIGHT(W$3,6),EMIS_factors!$G$4:$O$4,0))</f>
        <v>2.5075742983615701E-4</v>
      </c>
      <c r="X51" s="1530">
        <f t="array" ref="X51">INDEX(EMIS_factors!$G$6:$O$152,MATCH($F51&amp;$AB51,EMIS_factors!$E$6:$E$152&amp;EMIS_factors!$D$6:$D$152,0),MATCH(RIGHT(X$3,6),EMIS_factors!$G$4:$O$4,0))</f>
        <v>0.55110436847006916</v>
      </c>
      <c r="Y51" s="1530">
        <f t="array" ref="Y51">INDEX(EMIS_factors!$G$6:$O$152,MATCH($F51&amp;$AB51,EMIS_factors!$E$6:$E$152&amp;EMIS_factors!$D$6:$D$152,0),MATCH(RIGHT(Y$3,6),EMIS_factors!$G$4:$O$4,0))</f>
        <v>1.4829754890210707E-3</v>
      </c>
      <c r="Z51" s="1530">
        <f t="array" ref="Z51">INDEX(EMIS_factors!$G$6:$O$152,MATCH($F51&amp;$AB51,EMIS_factors!$E$6:$E$152&amp;EMIS_factors!$D$6:$D$152,0),MATCH(RIGHT(Z$3,6),EMIS_factors!$G$4:$O$4,0))</f>
        <v>182.98005976593151</v>
      </c>
      <c r="AA51" s="1295"/>
      <c r="AB51" s="526" t="s">
        <v>1489</v>
      </c>
    </row>
    <row r="52" spans="2:35">
      <c r="B52" s="552"/>
      <c r="C52" s="531" t="s">
        <v>225</v>
      </c>
      <c r="E52" s="531" t="s">
        <v>1282</v>
      </c>
      <c r="F52" s="531"/>
      <c r="G52" s="1244"/>
      <c r="I52" s="1244"/>
      <c r="J52" s="1244"/>
      <c r="K52" s="1244">
        <v>100.33</v>
      </c>
      <c r="L52" s="531"/>
      <c r="M52" s="1342"/>
      <c r="N52" s="1393"/>
      <c r="O52" s="1392"/>
      <c r="P52" s="531"/>
      <c r="Q52" s="531"/>
      <c r="R52" s="531"/>
      <c r="U52" s="531">
        <v>0.24</v>
      </c>
      <c r="V52" s="1382">
        <v>5</v>
      </c>
      <c r="W52" s="1530"/>
      <c r="X52" s="1530"/>
      <c r="Y52" s="1530"/>
      <c r="Z52" s="1530"/>
      <c r="AA52" s="1295"/>
      <c r="AB52" s="526" t="s">
        <v>1489</v>
      </c>
      <c r="AF52" s="1421"/>
      <c r="AH52" s="1421"/>
      <c r="AI52" s="1421"/>
    </row>
    <row r="53" spans="2:35">
      <c r="B53" s="552"/>
      <c r="C53" s="531"/>
      <c r="E53" s="1247" t="s">
        <v>1283</v>
      </c>
      <c r="F53" s="531"/>
      <c r="G53" s="1244"/>
      <c r="J53" s="1244"/>
      <c r="K53" s="1244"/>
      <c r="L53" s="531"/>
      <c r="M53" s="1342"/>
      <c r="N53" s="1393"/>
      <c r="O53" s="1392"/>
      <c r="P53" s="531"/>
      <c r="Q53" s="531"/>
      <c r="R53" s="531"/>
      <c r="U53" s="1247">
        <v>0.19</v>
      </c>
      <c r="V53" s="1248">
        <v>5</v>
      </c>
      <c r="W53" s="1530"/>
      <c r="X53" s="1530"/>
      <c r="Y53" s="1530"/>
      <c r="Z53" s="1530"/>
      <c r="AA53" s="1295"/>
      <c r="AB53" s="526" t="s">
        <v>1489</v>
      </c>
    </row>
    <row r="54" spans="2:35">
      <c r="B54" s="550" t="str">
        <f>"TFT"&amp;MID(C54,4,3)&amp;MID(C55,4,2)&amp;"2N"</f>
        <v>TFTH2C2N</v>
      </c>
      <c r="C54" s="534" t="s">
        <v>1341</v>
      </c>
      <c r="E54" s="531" t="s">
        <v>880</v>
      </c>
      <c r="F54" s="531">
        <v>2020</v>
      </c>
      <c r="G54" s="1237" t="s">
        <v>519</v>
      </c>
      <c r="I54" s="1244">
        <v>3.45</v>
      </c>
      <c r="J54" s="1244">
        <v>24625</v>
      </c>
      <c r="K54" s="1340">
        <f t="shared" ref="K54:K65" si="0">$AF$72*K30</f>
        <v>149.81145499822125</v>
      </c>
      <c r="L54" s="1244">
        <v>7</v>
      </c>
      <c r="M54" s="1341"/>
      <c r="N54" s="1392">
        <f>0.05*O54</f>
        <v>63.300000000000004</v>
      </c>
      <c r="O54" s="1392">
        <v>1266</v>
      </c>
      <c r="P54" s="1244">
        <v>1E-3</v>
      </c>
      <c r="Q54" s="1238"/>
      <c r="R54" s="1238"/>
      <c r="U54" s="552">
        <v>0.37</v>
      </c>
      <c r="V54" s="1243">
        <v>5</v>
      </c>
      <c r="W54" s="1530">
        <f t="array" ref="W54">INDEX(EMIS_factors!$G$6:$O$152,MATCH($F54&amp;$AB54,EMIS_factors!$E$6:$E$152&amp;EMIS_factors!$D$6:$D$152,0),MATCH(RIGHT(W$3,6),EMIS_factors!$G$4:$O$4,0))</f>
        <v>0</v>
      </c>
      <c r="X54" s="1530">
        <f t="array" ref="X54">INDEX(EMIS_factors!$G$6:$O$152,MATCH($F54&amp;$AB54,EMIS_factors!$E$6:$E$152&amp;EMIS_factors!$D$6:$D$152,0),MATCH(RIGHT(X$3,6),EMIS_factors!$G$4:$O$4,0))</f>
        <v>0</v>
      </c>
      <c r="Y54" s="1530">
        <f t="array" ref="Y54">INDEX(EMIS_factors!$G$6:$O$152,MATCH($F54&amp;$AB54,EMIS_factors!$E$6:$E$152&amp;EMIS_factors!$D$6:$D$152,0),MATCH(RIGHT(Y$3,6),EMIS_factors!$G$4:$O$4,0))</f>
        <v>0</v>
      </c>
      <c r="Z54" s="1530">
        <f t="array" ref="Z54">INDEX(EMIS_factors!$G$6:$O$152,MATCH($F54&amp;$AB54,EMIS_factors!$E$6:$E$152&amp;EMIS_factors!$D$6:$D$152,0),MATCH(RIGHT(Z$3,6),EMIS_factors!$G$4:$O$4,0))</f>
        <v>174.0383943909471</v>
      </c>
      <c r="AA54" s="1295"/>
      <c r="AB54" s="526" t="s">
        <v>1472</v>
      </c>
    </row>
    <row r="55" spans="2:35">
      <c r="B55" s="552"/>
      <c r="C55" s="534"/>
      <c r="E55" s="531" t="s">
        <v>1282</v>
      </c>
      <c r="F55" s="531"/>
      <c r="G55" s="1237"/>
      <c r="I55" s="1244"/>
      <c r="J55" s="1244"/>
      <c r="K55" s="1340">
        <f t="shared" si="0"/>
        <v>149.81145499822125</v>
      </c>
      <c r="L55" s="1244"/>
      <c r="M55" s="1341"/>
      <c r="N55" s="1392"/>
      <c r="O55" s="1392"/>
      <c r="P55" s="1244"/>
      <c r="Q55" s="1237"/>
      <c r="R55" s="1238"/>
      <c r="U55" s="552">
        <v>0.24</v>
      </c>
      <c r="V55" s="1243">
        <v>5</v>
      </c>
      <c r="W55" s="1530"/>
      <c r="X55" s="1530"/>
      <c r="Y55" s="1530"/>
      <c r="Z55" s="1530"/>
      <c r="AA55" s="1295"/>
      <c r="AB55" s="526" t="s">
        <v>1472</v>
      </c>
    </row>
    <row r="56" spans="2:35">
      <c r="B56" s="1231"/>
      <c r="C56" s="1246"/>
      <c r="D56" s="1231"/>
      <c r="E56" s="1247" t="s">
        <v>1283</v>
      </c>
      <c r="F56" s="1247"/>
      <c r="G56" s="1249"/>
      <c r="H56" s="1231"/>
      <c r="I56" s="1248"/>
      <c r="J56" s="1248"/>
      <c r="K56" s="1340">
        <f t="shared" si="0"/>
        <v>149.81145499822125</v>
      </c>
      <c r="L56" s="1248"/>
      <c r="M56" s="1364"/>
      <c r="N56" s="1394"/>
      <c r="O56" s="1394"/>
      <c r="P56" s="1248"/>
      <c r="Q56" s="1249"/>
      <c r="R56" s="1250"/>
      <c r="S56" s="1231"/>
      <c r="T56" s="1231"/>
      <c r="U56" s="1231">
        <v>0.19</v>
      </c>
      <c r="V56" s="1249">
        <v>5</v>
      </c>
      <c r="W56" s="1530"/>
      <c r="X56" s="1530"/>
      <c r="Y56" s="1530"/>
      <c r="Z56" s="1530"/>
      <c r="AA56" s="1295"/>
      <c r="AB56" s="526" t="s">
        <v>1472</v>
      </c>
      <c r="AF56" s="1420"/>
    </row>
    <row r="57" spans="2:35">
      <c r="B57" s="552"/>
      <c r="C57" s="534" t="s">
        <v>1341</v>
      </c>
      <c r="E57" s="531" t="s">
        <v>880</v>
      </c>
      <c r="F57" s="531">
        <v>2030</v>
      </c>
      <c r="G57" s="1237" t="s">
        <v>519</v>
      </c>
      <c r="I57" s="1244">
        <v>3.45</v>
      </c>
      <c r="J57" s="1244">
        <v>24625</v>
      </c>
      <c r="K57" s="1340">
        <f t="shared" si="0"/>
        <v>163.30389442588734</v>
      </c>
      <c r="L57" s="1244">
        <v>7</v>
      </c>
      <c r="M57" s="1341"/>
      <c r="N57" s="1392">
        <f>O57*0.05</f>
        <v>62.45</v>
      </c>
      <c r="O57" s="1392">
        <v>1249</v>
      </c>
      <c r="P57" s="1244">
        <v>1E-3</v>
      </c>
      <c r="Q57" s="1238"/>
      <c r="R57" s="1238"/>
      <c r="U57" s="552">
        <v>0.37</v>
      </c>
      <c r="V57" s="1243">
        <v>5</v>
      </c>
      <c r="W57" s="1530">
        <f t="array" ref="W57">INDEX(EMIS_factors!$G$6:$O$152,MATCH($F57&amp;$AB57,EMIS_factors!$E$6:$E$152&amp;EMIS_factors!$D$6:$D$152,0),MATCH(RIGHT(W$3,6),EMIS_factors!$G$4:$O$4,0))</f>
        <v>0</v>
      </c>
      <c r="X57" s="1530">
        <f t="array" ref="X57">INDEX(EMIS_factors!$G$6:$O$152,MATCH($F57&amp;$AB57,EMIS_factors!$E$6:$E$152&amp;EMIS_factors!$D$6:$D$152,0),MATCH(RIGHT(X$3,6),EMIS_factors!$G$4:$O$4,0))</f>
        <v>0</v>
      </c>
      <c r="Y57" s="1530">
        <f t="array" ref="Y57">INDEX(EMIS_factors!$G$6:$O$152,MATCH($F57&amp;$AB57,EMIS_factors!$E$6:$E$152&amp;EMIS_factors!$D$6:$D$152,0),MATCH(RIGHT(Y$3,6),EMIS_factors!$G$4:$O$4,0))</f>
        <v>0</v>
      </c>
      <c r="Z57" s="1530">
        <f t="array" ref="Z57">INDEX(EMIS_factors!$G$6:$O$152,MATCH($F57&amp;$AB57,EMIS_factors!$E$6:$E$152&amp;EMIS_factors!$D$6:$D$152,0),MATCH(RIGHT(Z$3,6),EMIS_factors!$G$4:$O$4,0))</f>
        <v>176.20517963245305</v>
      </c>
      <c r="AB57" s="526" t="s">
        <v>1472</v>
      </c>
      <c r="AF57" s="1420"/>
    </row>
    <row r="58" spans="2:35">
      <c r="B58" s="552"/>
      <c r="C58" s="534"/>
      <c r="E58" s="531" t="s">
        <v>1282</v>
      </c>
      <c r="F58" s="531"/>
      <c r="G58" s="1237"/>
      <c r="I58" s="1244"/>
      <c r="J58" s="1244"/>
      <c r="K58" s="1340">
        <f t="shared" si="0"/>
        <v>163.30389442588734</v>
      </c>
      <c r="L58" s="1244"/>
      <c r="M58" s="1341"/>
      <c r="N58" s="1392"/>
      <c r="O58" s="1392"/>
      <c r="P58" s="1244"/>
      <c r="Q58" s="1237"/>
      <c r="R58" s="1238"/>
      <c r="U58" s="552">
        <v>0.24</v>
      </c>
      <c r="V58" s="1243">
        <v>5</v>
      </c>
      <c r="W58" s="1530"/>
      <c r="X58" s="1530"/>
      <c r="Y58" s="1530"/>
      <c r="Z58" s="1530"/>
      <c r="AB58" s="526" t="s">
        <v>1472</v>
      </c>
      <c r="AF58" s="1420"/>
    </row>
    <row r="59" spans="2:35">
      <c r="B59" s="1231"/>
      <c r="C59" s="1246"/>
      <c r="D59" s="1231"/>
      <c r="E59" s="1247" t="s">
        <v>1283</v>
      </c>
      <c r="F59" s="1247"/>
      <c r="G59" s="1249"/>
      <c r="H59" s="1231"/>
      <c r="I59" s="1248"/>
      <c r="J59" s="1248"/>
      <c r="K59" s="1340">
        <f t="shared" si="0"/>
        <v>163.30389442588734</v>
      </c>
      <c r="L59" s="1248"/>
      <c r="M59" s="1364"/>
      <c r="N59" s="1394"/>
      <c r="O59" s="1394"/>
      <c r="P59" s="1248"/>
      <c r="Q59" s="1249"/>
      <c r="R59" s="1250"/>
      <c r="S59" s="1231"/>
      <c r="T59" s="1231"/>
      <c r="U59" s="1231">
        <v>0.19</v>
      </c>
      <c r="V59" s="1249">
        <v>5</v>
      </c>
      <c r="W59" s="1530"/>
      <c r="X59" s="1530"/>
      <c r="Y59" s="1530"/>
      <c r="Z59" s="1530"/>
      <c r="AB59" s="526" t="s">
        <v>1472</v>
      </c>
      <c r="AF59" s="1420"/>
    </row>
    <row r="60" spans="2:35">
      <c r="B60" s="550" t="str">
        <f>"TFT"&amp;MID(C60,4,3)&amp;MID(C61,4,2)&amp;"3N"</f>
        <v>TFTH2C3N</v>
      </c>
      <c r="C60" s="534" t="s">
        <v>1341</v>
      </c>
      <c r="E60" s="531" t="s">
        <v>880</v>
      </c>
      <c r="F60" s="531">
        <v>2020</v>
      </c>
      <c r="G60" s="1237" t="s">
        <v>519</v>
      </c>
      <c r="I60" s="1244">
        <v>10.82</v>
      </c>
      <c r="J60" s="1244">
        <v>91500</v>
      </c>
      <c r="K60" s="1340">
        <f t="shared" si="0"/>
        <v>99.077433890667592</v>
      </c>
      <c r="L60" s="1244">
        <v>7</v>
      </c>
      <c r="M60" s="1341"/>
      <c r="N60" s="1392">
        <f>0.05*O60</f>
        <v>113.95</v>
      </c>
      <c r="O60" s="1392">
        <v>2279</v>
      </c>
      <c r="P60" s="1244">
        <v>1E-3</v>
      </c>
      <c r="Q60" s="1244"/>
      <c r="R60" s="1278"/>
      <c r="U60" s="552">
        <v>0.37</v>
      </c>
      <c r="V60" s="1243">
        <v>5</v>
      </c>
      <c r="W60" s="1530">
        <f t="array" ref="W60">INDEX(EMIS_factors!$G$6:$O$152,MATCH($F60&amp;$AB60,EMIS_factors!$E$6:$E$152&amp;EMIS_factors!$D$6:$D$152,0),MATCH(RIGHT(W$3,6),EMIS_factors!$G$4:$O$4,0))</f>
        <v>0</v>
      </c>
      <c r="X60" s="1530">
        <f t="array" ref="X60">INDEX(EMIS_factors!$G$6:$O$152,MATCH($F60&amp;$AB60,EMIS_factors!$E$6:$E$152&amp;EMIS_factors!$D$6:$D$152,0),MATCH(RIGHT(X$3,6),EMIS_factors!$G$4:$O$4,0))</f>
        <v>0</v>
      </c>
      <c r="Y60" s="1530">
        <f t="array" ref="Y60">INDEX(EMIS_factors!$G$6:$O$152,MATCH($F60&amp;$AB60,EMIS_factors!$E$6:$E$152&amp;EMIS_factors!$D$6:$D$152,0),MATCH(RIGHT(Y$3,6),EMIS_factors!$G$4:$O$4,0))</f>
        <v>0</v>
      </c>
      <c r="Z60" s="1530">
        <f t="array" ref="Z60">INDEX(EMIS_factors!$G$6:$O$152,MATCH($F60&amp;$AB60,EMIS_factors!$E$6:$E$152&amp;EMIS_factors!$D$6:$D$152,0),MATCH(RIGHT(Z$3,6),EMIS_factors!$G$4:$O$4,0))</f>
        <v>174.0383943909471</v>
      </c>
      <c r="AB60" s="526" t="s">
        <v>1472</v>
      </c>
    </row>
    <row r="61" spans="2:35">
      <c r="B61" s="552"/>
      <c r="C61" s="534"/>
      <c r="E61" s="531" t="s">
        <v>1282</v>
      </c>
      <c r="F61" s="531"/>
      <c r="G61" s="1237"/>
      <c r="I61" s="1244"/>
      <c r="J61" s="1244"/>
      <c r="K61" s="1340">
        <f t="shared" si="0"/>
        <v>99.077433890667592</v>
      </c>
      <c r="L61" s="1244"/>
      <c r="M61" s="1341"/>
      <c r="N61" s="1392"/>
      <c r="O61" s="1392"/>
      <c r="P61" s="1244"/>
      <c r="Q61" s="1244"/>
      <c r="R61" s="1278"/>
      <c r="U61" s="552">
        <v>0.24</v>
      </c>
      <c r="V61" s="1243">
        <v>5</v>
      </c>
      <c r="W61" s="1530"/>
      <c r="X61" s="1530"/>
      <c r="Y61" s="1530"/>
      <c r="Z61" s="1530"/>
      <c r="AB61" s="526" t="s">
        <v>1472</v>
      </c>
    </row>
    <row r="62" spans="2:35">
      <c r="B62" s="1231"/>
      <c r="C62" s="1246"/>
      <c r="D62" s="1231"/>
      <c r="E62" s="1247" t="s">
        <v>1283</v>
      </c>
      <c r="F62" s="1247"/>
      <c r="G62" s="1248"/>
      <c r="H62" s="1231"/>
      <c r="I62" s="1248"/>
      <c r="J62" s="1248"/>
      <c r="K62" s="1340">
        <f t="shared" si="0"/>
        <v>99.077433890667592</v>
      </c>
      <c r="L62" s="1368"/>
      <c r="M62" s="1384"/>
      <c r="N62" s="1408"/>
      <c r="O62" s="1397"/>
      <c r="P62" s="1248"/>
      <c r="Q62" s="1248"/>
      <c r="R62" s="1279"/>
      <c r="S62" s="1231"/>
      <c r="T62" s="1231"/>
      <c r="U62" s="1231">
        <v>0.19</v>
      </c>
      <c r="V62" s="1249">
        <v>5</v>
      </c>
      <c r="W62" s="1530"/>
      <c r="X62" s="1530"/>
      <c r="Y62" s="1530"/>
      <c r="Z62" s="1530"/>
      <c r="AB62" s="526" t="s">
        <v>1472</v>
      </c>
    </row>
    <row r="63" spans="2:35">
      <c r="B63" s="552"/>
      <c r="C63" s="534" t="s">
        <v>1341</v>
      </c>
      <c r="E63" s="531" t="s">
        <v>880</v>
      </c>
      <c r="F63" s="531">
        <v>2030</v>
      </c>
      <c r="G63" s="1244" t="s">
        <v>519</v>
      </c>
      <c r="I63" s="1244">
        <v>10.82</v>
      </c>
      <c r="J63" s="1244">
        <v>91500</v>
      </c>
      <c r="K63" s="1340">
        <f t="shared" si="0"/>
        <v>108.00062521428363</v>
      </c>
      <c r="L63" s="1244">
        <v>7</v>
      </c>
      <c r="M63" s="1385"/>
      <c r="N63" s="1405">
        <f>+O63*0.05</f>
        <v>112.4</v>
      </c>
      <c r="O63" s="1392">
        <v>2248</v>
      </c>
      <c r="P63" s="1244">
        <v>1E-3</v>
      </c>
      <c r="Q63" s="1244"/>
      <c r="R63" s="1278"/>
      <c r="U63" s="552">
        <v>0.37</v>
      </c>
      <c r="V63" s="1243">
        <v>5</v>
      </c>
      <c r="W63" s="1530">
        <f t="array" ref="W63">INDEX(EMIS_factors!$G$6:$O$152,MATCH($F63&amp;$AB63,EMIS_factors!$E$6:$E$152&amp;EMIS_factors!$D$6:$D$152,0),MATCH(RIGHT(W$3,6),EMIS_factors!$G$4:$O$4,0))</f>
        <v>0</v>
      </c>
      <c r="X63" s="1530">
        <f t="array" ref="X63">INDEX(EMIS_factors!$G$6:$O$152,MATCH($F63&amp;$AB63,EMIS_factors!$E$6:$E$152&amp;EMIS_factors!$D$6:$D$152,0),MATCH(RIGHT(X$3,6),EMIS_factors!$G$4:$O$4,0))</f>
        <v>0</v>
      </c>
      <c r="Y63" s="1530">
        <f t="array" ref="Y63">INDEX(EMIS_factors!$G$6:$O$152,MATCH($F63&amp;$AB63,EMIS_factors!$E$6:$E$152&amp;EMIS_factors!$D$6:$D$152,0),MATCH(RIGHT(Y$3,6),EMIS_factors!$G$4:$O$4,0))</f>
        <v>0</v>
      </c>
      <c r="Z63" s="1530">
        <f t="array" ref="Z63">INDEX(EMIS_factors!$G$6:$O$152,MATCH($F63&amp;$AB63,EMIS_factors!$E$6:$E$152&amp;EMIS_factors!$D$6:$D$152,0),MATCH(RIGHT(Z$3,6),EMIS_factors!$G$4:$O$4,0))</f>
        <v>176.20517963245305</v>
      </c>
      <c r="AB63" s="526" t="s">
        <v>1472</v>
      </c>
    </row>
    <row r="64" spans="2:35">
      <c r="B64" s="552"/>
      <c r="C64" s="534"/>
      <c r="E64" s="531" t="s">
        <v>1282</v>
      </c>
      <c r="F64" s="531"/>
      <c r="G64" s="1244"/>
      <c r="I64" s="1244"/>
      <c r="J64" s="1244"/>
      <c r="K64" s="1340">
        <f t="shared" si="0"/>
        <v>108.00062521428363</v>
      </c>
      <c r="L64" s="1355"/>
      <c r="M64" s="1385"/>
      <c r="N64" s="1385"/>
      <c r="O64" s="1369"/>
      <c r="P64" s="1244"/>
      <c r="Q64" s="1244"/>
      <c r="R64" s="1278"/>
      <c r="U64" s="552">
        <v>0.24</v>
      </c>
      <c r="V64" s="1243">
        <v>5</v>
      </c>
      <c r="W64" s="1530"/>
      <c r="X64" s="1530"/>
      <c r="Y64" s="1530"/>
      <c r="Z64" s="1530"/>
      <c r="AB64" s="526" t="s">
        <v>1472</v>
      </c>
    </row>
    <row r="65" spans="2:33" ht="13.8" thickBot="1">
      <c r="B65" s="1259"/>
      <c r="C65" s="1260"/>
      <c r="D65" s="1259"/>
      <c r="E65" s="1261" t="s">
        <v>1283</v>
      </c>
      <c r="F65" s="1261"/>
      <c r="G65" s="1352"/>
      <c r="H65" s="1259"/>
      <c r="I65" s="1352"/>
      <c r="J65" s="1352"/>
      <c r="K65" s="1438">
        <f t="shared" si="0"/>
        <v>108.00062521428363</v>
      </c>
      <c r="L65" s="1439"/>
      <c r="M65" s="1440"/>
      <c r="N65" s="1440"/>
      <c r="O65" s="1440"/>
      <c r="P65" s="1352"/>
      <c r="Q65" s="1352"/>
      <c r="R65" s="1441"/>
      <c r="S65" s="1259"/>
      <c r="T65" s="1259"/>
      <c r="U65" s="1259">
        <v>0.19</v>
      </c>
      <c r="V65" s="1262">
        <v>5</v>
      </c>
      <c r="W65" s="1530"/>
      <c r="X65" s="1530"/>
      <c r="Y65" s="1530"/>
      <c r="Z65" s="1530"/>
      <c r="AB65" s="526" t="s">
        <v>1472</v>
      </c>
    </row>
    <row r="66" spans="2:33">
      <c r="B66" s="550" t="str">
        <f>"TFTI"&amp;MID(C66,4,5)&amp;MID(C67,4,2)&amp;"2N"</f>
        <v>TFTIDSBL22N</v>
      </c>
      <c r="C66" s="534" t="str">
        <f>C6</f>
        <v>TRADSBL2</v>
      </c>
      <c r="E66" s="531" t="s">
        <v>1304</v>
      </c>
      <c r="F66" s="531">
        <v>2012</v>
      </c>
      <c r="G66" s="1237" t="s">
        <v>519</v>
      </c>
      <c r="I66" s="1237">
        <v>3.45</v>
      </c>
      <c r="J66" s="1244">
        <v>24133</v>
      </c>
      <c r="K66" s="1340">
        <f>(K69+AE84)/2</f>
        <v>104.96684423592494</v>
      </c>
      <c r="L66" s="1237">
        <v>7</v>
      </c>
      <c r="M66" s="1239"/>
      <c r="N66" s="1392">
        <f>0.2*O66</f>
        <v>192</v>
      </c>
      <c r="O66" s="1393">
        <v>960</v>
      </c>
      <c r="P66" s="1244">
        <v>1E-3</v>
      </c>
      <c r="Q66" s="1278"/>
      <c r="R66" s="1278"/>
      <c r="S66" s="1393"/>
      <c r="T66" s="1245"/>
      <c r="U66" s="552">
        <v>0.46</v>
      </c>
      <c r="V66" s="549">
        <v>5</v>
      </c>
      <c r="W66" s="1530">
        <f t="array" ref="W66">INDEX(EMIS_factors!$G$6:$O$152,MATCH($F66&amp;$AB66,EMIS_factors!$E$6:$E$152&amp;EMIS_factors!$D$6:$D$152,0),MATCH(RIGHT(W$3,6),EMIS_factors!$G$4:$O$4,0))</f>
        <v>5.1655578490392379E-4</v>
      </c>
      <c r="X66" s="1530">
        <f t="array" ref="X66">INDEX(EMIS_factors!$G$6:$O$152,MATCH($F66&amp;$AB66,EMIS_factors!$E$6:$E$152&amp;EMIS_factors!$D$6:$D$152,0),MATCH(RIGHT(X$3,6),EMIS_factors!$G$4:$O$4,0))</f>
        <v>5.7708683434936319</v>
      </c>
      <c r="Y66" s="1530">
        <f t="array" ref="Y66">INDEX(EMIS_factors!$G$6:$O$152,MATCH($F66&amp;$AB66,EMIS_factors!$E$6:$E$152&amp;EMIS_factors!$D$6:$D$152,0),MATCH(RIGHT(Y$3,6),EMIS_factors!$G$4:$O$4,0))</f>
        <v>3.8833991389945893E-2</v>
      </c>
      <c r="Z66" s="1530">
        <f t="array" ref="Z66">INDEX(EMIS_factors!$G$6:$O$152,MATCH($F66&amp;$AB66,EMIS_factors!$E$6:$E$152&amp;EMIS_factors!$D$6:$D$152,0),MATCH(RIGHT(Z$3,6),EMIS_factors!$G$4:$O$4,0))</f>
        <v>267.20910621155974</v>
      </c>
      <c r="AB66" s="526" t="s">
        <v>1469</v>
      </c>
    </row>
    <row r="67" spans="2:33">
      <c r="C67" s="534"/>
      <c r="E67" s="531" t="s">
        <v>1305</v>
      </c>
      <c r="F67" s="531"/>
      <c r="G67" s="1237"/>
      <c r="I67" s="1237"/>
      <c r="J67" s="1244"/>
      <c r="K67" s="1340">
        <f>(K70+AE85)/2</f>
        <v>131.20513029490618</v>
      </c>
      <c r="L67" s="1237"/>
      <c r="M67" s="1239"/>
      <c r="N67" s="1392"/>
      <c r="O67" s="1393"/>
      <c r="P67" s="1244"/>
      <c r="Q67" s="1278"/>
      <c r="R67" s="1278"/>
      <c r="S67" s="1393"/>
      <c r="T67" s="1243"/>
      <c r="U67" s="552">
        <v>0.28999999999999998</v>
      </c>
      <c r="V67" s="549">
        <v>5</v>
      </c>
      <c r="W67" s="1530"/>
      <c r="X67" s="1530"/>
      <c r="Y67" s="1530"/>
      <c r="Z67" s="1530"/>
      <c r="AB67" s="526" t="s">
        <v>1469</v>
      </c>
    </row>
    <row r="68" spans="2:33">
      <c r="B68" s="1428"/>
      <c r="C68" s="1429"/>
      <c r="D68" s="1428"/>
      <c r="E68" s="1430" t="s">
        <v>1306</v>
      </c>
      <c r="F68" s="1430"/>
      <c r="G68" s="1431"/>
      <c r="H68" s="1428"/>
      <c r="I68" s="1431"/>
      <c r="J68" s="1432"/>
      <c r="K68" s="1433">
        <f>(K71+AE86)/2</f>
        <v>152.20123914209117</v>
      </c>
      <c r="L68" s="1431"/>
      <c r="M68" s="1434"/>
      <c r="N68" s="1435"/>
      <c r="O68" s="1436"/>
      <c r="P68" s="1431"/>
      <c r="Q68" s="1437"/>
      <c r="R68" s="1437"/>
      <c r="S68" s="1436"/>
      <c r="T68" s="1431"/>
      <c r="U68" s="1428">
        <v>0.05</v>
      </c>
      <c r="V68" s="1428">
        <v>5</v>
      </c>
      <c r="W68" s="1530"/>
      <c r="X68" s="1530"/>
      <c r="Y68" s="1530"/>
      <c r="Z68" s="1530"/>
      <c r="AB68" s="526" t="s">
        <v>1469</v>
      </c>
    </row>
    <row r="69" spans="2:33">
      <c r="B69" s="550" t="str">
        <f>"TFTI"&amp;MID(C69,4,5)&amp;MID(C70,4,2)&amp;"2N"</f>
        <v>TFTIDSBL32N</v>
      </c>
      <c r="C69" s="534" t="str">
        <f>C9</f>
        <v>TRADSBL3</v>
      </c>
      <c r="E69" s="531" t="s">
        <v>1304</v>
      </c>
      <c r="F69" s="531">
        <v>2020</v>
      </c>
      <c r="G69" s="1237" t="s">
        <v>519</v>
      </c>
      <c r="I69" s="1237">
        <v>3.45</v>
      </c>
      <c r="J69" s="1244">
        <v>24133</v>
      </c>
      <c r="K69" s="1340">
        <v>121.3546</v>
      </c>
      <c r="L69" s="1237">
        <v>7</v>
      </c>
      <c r="M69" s="1239"/>
      <c r="N69" s="1392">
        <f>0.2*O69</f>
        <v>192</v>
      </c>
      <c r="O69" s="1393">
        <v>960</v>
      </c>
      <c r="P69" s="1244">
        <v>1E-3</v>
      </c>
      <c r="Q69" s="1278"/>
      <c r="R69" s="1278"/>
      <c r="S69" s="1393"/>
      <c r="T69" s="1245"/>
      <c r="U69" s="552">
        <v>0.46</v>
      </c>
      <c r="V69" s="549">
        <v>5</v>
      </c>
      <c r="W69" s="1530">
        <f t="array" ref="W69">INDEX(EMIS_factors!$G$6:$O$152,MATCH($F69&amp;$AB69,EMIS_factors!$E$6:$E$152&amp;EMIS_factors!$D$6:$D$152,0),MATCH(RIGHT(W$3,6),EMIS_factors!$G$4:$O$4,0))</f>
        <v>4.9553301870861196E-4</v>
      </c>
      <c r="X69" s="1530">
        <f t="array" ref="X69">INDEX(EMIS_factors!$G$6:$O$152,MATCH($F69&amp;$AB69,EMIS_factors!$E$6:$E$152&amp;EMIS_factors!$D$6:$D$152,0),MATCH(RIGHT(X$3,6),EMIS_factors!$G$4:$O$4,0))</f>
        <v>1.7917753944774433</v>
      </c>
      <c r="Y69" s="1530">
        <f t="array" ref="Y69">INDEX(EMIS_factors!$G$6:$O$152,MATCH($F69&amp;$AB69,EMIS_factors!$E$6:$E$152&amp;EMIS_factors!$D$6:$D$152,0),MATCH(RIGHT(Y$3,6),EMIS_factors!$G$4:$O$4,0))</f>
        <v>4.2576585260129772E-3</v>
      </c>
      <c r="Z69" s="1530">
        <f t="array" ref="Z69">INDEX(EMIS_factors!$G$6:$O$152,MATCH($F69&amp;$AB69,EMIS_factors!$E$6:$E$152&amp;EMIS_factors!$D$6:$D$152,0),MATCH(RIGHT(Z$3,6),EMIS_factors!$G$4:$O$4,0))</f>
        <v>196.0086366646712</v>
      </c>
      <c r="AB69" s="526" t="s">
        <v>1469</v>
      </c>
    </row>
    <row r="70" spans="2:33">
      <c r="C70" s="534"/>
      <c r="E70" s="531" t="s">
        <v>1305</v>
      </c>
      <c r="F70" s="531"/>
      <c r="G70" s="1237"/>
      <c r="I70" s="1237"/>
      <c r="J70" s="1244"/>
      <c r="K70" s="1340">
        <v>151.68640000000002</v>
      </c>
      <c r="L70" s="1237"/>
      <c r="M70" s="1239"/>
      <c r="N70" s="1392"/>
      <c r="O70" s="1393"/>
      <c r="P70" s="1244"/>
      <c r="Q70" s="1278"/>
      <c r="R70" s="1278"/>
      <c r="S70" s="1393"/>
      <c r="T70" s="1243"/>
      <c r="U70" s="552">
        <v>0.28999999999999998</v>
      </c>
      <c r="V70" s="549">
        <v>5</v>
      </c>
      <c r="W70" s="1530"/>
      <c r="X70" s="1530"/>
      <c r="Y70" s="1530"/>
      <c r="Z70" s="1530"/>
      <c r="AB70" s="526" t="s">
        <v>1469</v>
      </c>
    </row>
    <row r="71" spans="2:33">
      <c r="B71" s="1231"/>
      <c r="C71" s="1246"/>
      <c r="D71" s="1231"/>
      <c r="E71" s="1247" t="s">
        <v>1306</v>
      </c>
      <c r="F71" s="1247"/>
      <c r="G71" s="1249"/>
      <c r="H71" s="1231"/>
      <c r="I71" s="1249"/>
      <c r="J71" s="1248"/>
      <c r="K71" s="1345">
        <v>175.96280000000002</v>
      </c>
      <c r="L71" s="1249"/>
      <c r="M71" s="1252"/>
      <c r="N71" s="1394"/>
      <c r="O71" s="1395"/>
      <c r="P71" s="1249"/>
      <c r="Q71" s="1365"/>
      <c r="R71" s="1365"/>
      <c r="S71" s="1395"/>
      <c r="T71" s="1249"/>
      <c r="U71" s="1231">
        <v>0.05</v>
      </c>
      <c r="V71" s="1231">
        <v>5</v>
      </c>
      <c r="W71" s="1530"/>
      <c r="X71" s="1530"/>
      <c r="Y71" s="1530"/>
      <c r="Z71" s="1530"/>
      <c r="AB71" s="526" t="s">
        <v>1469</v>
      </c>
    </row>
    <row r="72" spans="2:33">
      <c r="B72" s="550" t="str">
        <f>"TFTI"&amp;MID(C72,4,5)&amp;MID(C73,4,2)&amp;"2N"</f>
        <v>TFTIDSBL42N</v>
      </c>
      <c r="C72" s="534" t="str">
        <f>C12</f>
        <v>TRADSBL4</v>
      </c>
      <c r="E72" s="531" t="s">
        <v>1304</v>
      </c>
      <c r="F72" s="531">
        <v>2030</v>
      </c>
      <c r="G72" s="1237" t="s">
        <v>519</v>
      </c>
      <c r="I72" s="1237">
        <v>3.45</v>
      </c>
      <c r="J72" s="1244">
        <v>24133</v>
      </c>
      <c r="K72" s="1340">
        <v>121.3546</v>
      </c>
      <c r="L72" s="1237">
        <v>7</v>
      </c>
      <c r="M72" s="1239"/>
      <c r="N72" s="1392">
        <f>0.2*O72</f>
        <v>188.16</v>
      </c>
      <c r="O72" s="1392">
        <v>940.8</v>
      </c>
      <c r="P72" s="1244">
        <v>1E-3</v>
      </c>
      <c r="Q72" s="1278"/>
      <c r="S72" s="1392"/>
      <c r="T72" s="1245"/>
      <c r="U72" s="552">
        <v>0.46</v>
      </c>
      <c r="V72" s="549">
        <v>5</v>
      </c>
      <c r="W72" s="1530">
        <f t="array" ref="W72">INDEX(EMIS_factors!$G$6:$O$152,MATCH($F72&amp;$AB72,EMIS_factors!$E$6:$E$152&amp;EMIS_factors!$D$6:$D$152,0),MATCH(RIGHT(W$3,6),EMIS_factors!$G$4:$O$4,0))</f>
        <v>5.0151485967231402E-4</v>
      </c>
      <c r="X72" s="1530">
        <f t="array" ref="X72">INDEX(EMIS_factors!$G$6:$O$152,MATCH($F72&amp;$AB72,EMIS_factors!$E$6:$E$152&amp;EMIS_factors!$D$6:$D$152,0),MATCH(RIGHT(X$3,6),EMIS_factors!$G$4:$O$4,0))</f>
        <v>0.55110436847006916</v>
      </c>
      <c r="Y72" s="1530">
        <f t="array" ref="Y72">INDEX(EMIS_factors!$G$6:$O$152,MATCH($F72&amp;$AB72,EMIS_factors!$E$6:$E$152&amp;EMIS_factors!$D$6:$D$152,0),MATCH(RIGHT(Y$3,6),EMIS_factors!$G$4:$O$4,0))</f>
        <v>1.4829754890210707E-3</v>
      </c>
      <c r="Z72" s="1530">
        <f t="array" ref="Z72">INDEX(EMIS_factors!$G$6:$O$152,MATCH($F72&amp;$AB72,EMIS_factors!$E$6:$E$152&amp;EMIS_factors!$D$6:$D$152,0),MATCH(RIGHT(Z$3,6),EMIS_factors!$G$4:$O$4,0))</f>
        <v>189.75493989940995</v>
      </c>
      <c r="AB72" s="526" t="s">
        <v>1469</v>
      </c>
      <c r="AF72" s="549">
        <v>0.8</v>
      </c>
      <c r="AG72" s="549" t="s">
        <v>1311</v>
      </c>
    </row>
    <row r="73" spans="2:33">
      <c r="B73" s="552"/>
      <c r="C73" s="534"/>
      <c r="E73" s="531" t="s">
        <v>1305</v>
      </c>
      <c r="F73" s="531"/>
      <c r="G73" s="1237"/>
      <c r="I73" s="1237"/>
      <c r="J73" s="1244"/>
      <c r="K73" s="1340">
        <v>151.68640000000002</v>
      </c>
      <c r="L73" s="1237"/>
      <c r="M73" s="1239"/>
      <c r="N73" s="1392"/>
      <c r="O73" s="1392"/>
      <c r="P73" s="1341"/>
      <c r="Q73" s="1244"/>
      <c r="R73" s="1244"/>
      <c r="S73" s="1392"/>
      <c r="T73" s="1237"/>
      <c r="U73" s="552">
        <v>0.28999999999999998</v>
      </c>
      <c r="V73" s="549">
        <v>5</v>
      </c>
      <c r="W73" s="1530"/>
      <c r="X73" s="1530"/>
      <c r="Y73" s="1530"/>
      <c r="Z73" s="1530"/>
      <c r="AB73" s="526" t="s">
        <v>1469</v>
      </c>
    </row>
    <row r="74" spans="2:33" ht="13.8" thickBot="1">
      <c r="B74" s="1231"/>
      <c r="C74" s="1246"/>
      <c r="D74" s="1231"/>
      <c r="E74" s="1247" t="s">
        <v>1306</v>
      </c>
      <c r="F74" s="1247"/>
      <c r="G74" s="1249"/>
      <c r="H74" s="1231"/>
      <c r="I74" s="1249"/>
      <c r="J74" s="1248"/>
      <c r="K74" s="1345">
        <v>175.96280000000002</v>
      </c>
      <c r="L74" s="1249"/>
      <c r="M74" s="1252"/>
      <c r="N74" s="1394"/>
      <c r="O74" s="1394"/>
      <c r="P74" s="1364"/>
      <c r="Q74" s="1248"/>
      <c r="R74" s="1249"/>
      <c r="S74" s="1394"/>
      <c r="T74" s="1249"/>
      <c r="U74" s="1231">
        <v>0.05</v>
      </c>
      <c r="V74" s="1231">
        <v>5</v>
      </c>
      <c r="W74" s="1530"/>
      <c r="X74" s="1530"/>
      <c r="Y74" s="1530"/>
      <c r="Z74" s="1530"/>
      <c r="AB74" s="526" t="s">
        <v>1469</v>
      </c>
    </row>
    <row r="75" spans="2:33">
      <c r="B75" s="550" t="str">
        <f>"TFTI"&amp;MID(C75,4,5)&amp;MID(C76,4,2)&amp;"3N"</f>
        <v>TFTIDSBL23N</v>
      </c>
      <c r="C75" s="534" t="str">
        <f>C15</f>
        <v>TRADSBL2</v>
      </c>
      <c r="E75" s="531" t="s">
        <v>1304</v>
      </c>
      <c r="F75" s="1353">
        <v>2012</v>
      </c>
      <c r="G75" s="1237" t="s">
        <v>519</v>
      </c>
      <c r="I75" s="1237">
        <v>10.82</v>
      </c>
      <c r="J75" s="1244">
        <v>89670</v>
      </c>
      <c r="K75" s="1340">
        <f>(K78+AE93)/2</f>
        <v>69.418080141843973</v>
      </c>
      <c r="L75" s="1237">
        <v>7</v>
      </c>
      <c r="M75" s="1239"/>
      <c r="N75" s="1392">
        <f>0.2*O75</f>
        <v>345.6</v>
      </c>
      <c r="O75" s="1392">
        <f>1.8*O66</f>
        <v>1728</v>
      </c>
      <c r="P75" s="1237">
        <v>1E-3</v>
      </c>
      <c r="Q75" s="1278"/>
      <c r="R75" s="1278"/>
      <c r="S75" s="1392"/>
      <c r="T75" s="1243"/>
      <c r="U75" s="552">
        <v>0.46</v>
      </c>
      <c r="V75" s="549">
        <v>5</v>
      </c>
      <c r="W75" s="1530">
        <f t="array" ref="W75">INDEX(EMIS_factors!$G$6:$O$152,MATCH($F75&amp;$AB75,EMIS_factors!$E$6:$E$152&amp;EMIS_factors!$D$6:$D$152,0),MATCH(RIGHT(W$3,6),EMIS_factors!$G$4:$O$4,0))</f>
        <v>5.1655578490392379E-4</v>
      </c>
      <c r="X75" s="1530">
        <f t="array" ref="X75">INDEX(EMIS_factors!$G$6:$O$152,MATCH($F75&amp;$AB75,EMIS_factors!$E$6:$E$152&amp;EMIS_factors!$D$6:$D$152,0),MATCH(RIGHT(X$3,6),EMIS_factors!$G$4:$O$4,0))</f>
        <v>5.7708683434936319</v>
      </c>
      <c r="Y75" s="1530">
        <f t="array" ref="Y75">INDEX(EMIS_factors!$G$6:$O$152,MATCH($F75&amp;$AB75,EMIS_factors!$E$6:$E$152&amp;EMIS_factors!$D$6:$D$152,0),MATCH(RIGHT(Y$3,6),EMIS_factors!$G$4:$O$4,0))</f>
        <v>3.8833991389945893E-2</v>
      </c>
      <c r="Z75" s="1530">
        <f t="array" ref="Z75">INDEX(EMIS_factors!$G$6:$O$152,MATCH($F75&amp;$AB75,EMIS_factors!$E$6:$E$152&amp;EMIS_factors!$D$6:$D$152,0),MATCH(RIGHT(Z$3,6),EMIS_factors!$G$4:$O$4,0))</f>
        <v>267.20910621155974</v>
      </c>
      <c r="AB75" s="526" t="s">
        <v>1469</v>
      </c>
    </row>
    <row r="76" spans="2:33">
      <c r="C76" s="534"/>
      <c r="E76" s="531" t="s">
        <v>1305</v>
      </c>
      <c r="F76" s="531"/>
      <c r="G76" s="1237"/>
      <c r="I76" s="1237"/>
      <c r="J76" s="1244"/>
      <c r="K76" s="1340">
        <f>(K79+AE94)/2</f>
        <v>86.776025177304973</v>
      </c>
      <c r="L76" s="1237"/>
      <c r="M76" s="1239"/>
      <c r="N76" s="1392"/>
      <c r="O76" s="1392"/>
      <c r="P76" s="1237"/>
      <c r="Q76" s="1366"/>
      <c r="R76" s="1366"/>
      <c r="S76" s="1392"/>
      <c r="T76" s="1243"/>
      <c r="U76" s="552">
        <v>0.28999999999999998</v>
      </c>
      <c r="V76" s="549">
        <v>5</v>
      </c>
      <c r="W76" s="1530"/>
      <c r="X76" s="1530"/>
      <c r="Y76" s="1530"/>
      <c r="Z76" s="1530"/>
      <c r="AB76" s="526" t="s">
        <v>1469</v>
      </c>
    </row>
    <row r="77" spans="2:33">
      <c r="B77" s="1231"/>
      <c r="C77" s="1246"/>
      <c r="D77" s="1231"/>
      <c r="E77" s="1247" t="s">
        <v>1306</v>
      </c>
      <c r="F77" s="1247"/>
      <c r="G77" s="1248"/>
      <c r="H77" s="1231"/>
      <c r="I77" s="1249"/>
      <c r="J77" s="1248"/>
      <c r="K77" s="1345">
        <f>(K80+AE95)/2</f>
        <v>100.65553120567375</v>
      </c>
      <c r="L77" s="1249"/>
      <c r="M77" s="1251"/>
      <c r="N77" s="1394"/>
      <c r="O77" s="1395"/>
      <c r="P77" s="1249"/>
      <c r="Q77" s="1250"/>
      <c r="R77" s="1250"/>
      <c r="S77" s="1395"/>
      <c r="T77" s="1249"/>
      <c r="U77" s="1231">
        <v>0.05</v>
      </c>
      <c r="V77" s="1231">
        <v>5</v>
      </c>
      <c r="W77" s="1530"/>
      <c r="X77" s="1530"/>
      <c r="Y77" s="1530"/>
      <c r="Z77" s="1530"/>
      <c r="AB77" s="526" t="s">
        <v>1469</v>
      </c>
    </row>
    <row r="78" spans="2:33">
      <c r="B78" s="550" t="str">
        <f>"TFTI"&amp;MID(C78,4,5)&amp;MID(C79,4,2)&amp;"3N"</f>
        <v>TFTIDSBL33N</v>
      </c>
      <c r="C78" s="534" t="str">
        <f>C18</f>
        <v>TRADSBL3</v>
      </c>
      <c r="E78" s="531" t="s">
        <v>1304</v>
      </c>
      <c r="F78" s="531">
        <v>2020</v>
      </c>
      <c r="G78" s="1237" t="s">
        <v>519</v>
      </c>
      <c r="I78" s="1237">
        <v>10.82</v>
      </c>
      <c r="J78" s="1244">
        <v>89670</v>
      </c>
      <c r="K78" s="1340">
        <v>80.254600000000011</v>
      </c>
      <c r="L78" s="1237">
        <v>7</v>
      </c>
      <c r="M78" s="1239"/>
      <c r="N78" s="1392">
        <f>0.2*O78</f>
        <v>345.6</v>
      </c>
      <c r="O78" s="1392">
        <f>1.8*O69</f>
        <v>1728</v>
      </c>
      <c r="P78" s="1237">
        <v>1E-3</v>
      </c>
      <c r="Q78" s="1278"/>
      <c r="R78" s="1278"/>
      <c r="S78" s="1392"/>
      <c r="T78" s="1243"/>
      <c r="U78" s="552">
        <v>0.46</v>
      </c>
      <c r="V78" s="549">
        <v>5</v>
      </c>
      <c r="W78" s="1530">
        <f t="array" ref="W78">INDEX(EMIS_factors!$G$6:$O$152,MATCH($F78&amp;$AB78,EMIS_factors!$E$6:$E$152&amp;EMIS_factors!$D$6:$D$152,0),MATCH(RIGHT(W$3,6),EMIS_factors!$G$4:$O$4,0))</f>
        <v>4.9553301870861196E-4</v>
      </c>
      <c r="X78" s="1530">
        <f t="array" ref="X78">INDEX(EMIS_factors!$G$6:$O$152,MATCH($F78&amp;$AB78,EMIS_factors!$E$6:$E$152&amp;EMIS_factors!$D$6:$D$152,0),MATCH(RIGHT(X$3,6),EMIS_factors!$G$4:$O$4,0))</f>
        <v>1.7917753944774433</v>
      </c>
      <c r="Y78" s="1530">
        <f t="array" ref="Y78">INDEX(EMIS_factors!$G$6:$O$152,MATCH($F78&amp;$AB78,EMIS_factors!$E$6:$E$152&amp;EMIS_factors!$D$6:$D$152,0),MATCH(RIGHT(Y$3,6),EMIS_factors!$G$4:$O$4,0))</f>
        <v>4.2576585260129772E-3</v>
      </c>
      <c r="Z78" s="1530">
        <f t="array" ref="Z78">INDEX(EMIS_factors!$G$6:$O$152,MATCH($F78&amp;$AB78,EMIS_factors!$E$6:$E$152&amp;EMIS_factors!$D$6:$D$152,0),MATCH(RIGHT(Z$3,6),EMIS_factors!$G$4:$O$4,0))</f>
        <v>196.0086366646712</v>
      </c>
      <c r="AB78" s="526" t="s">
        <v>1469</v>
      </c>
    </row>
    <row r="79" spans="2:33">
      <c r="C79" s="534"/>
      <c r="E79" s="531" t="s">
        <v>1305</v>
      </c>
      <c r="F79" s="531"/>
      <c r="G79" s="1237"/>
      <c r="I79" s="1237"/>
      <c r="J79" s="1244"/>
      <c r="K79" s="1340">
        <v>100.32510000000001</v>
      </c>
      <c r="L79" s="1237"/>
      <c r="M79" s="1239"/>
      <c r="N79" s="1392"/>
      <c r="O79" s="1392"/>
      <c r="P79" s="1237"/>
      <c r="Q79" s="1366"/>
      <c r="R79" s="1366"/>
      <c r="S79" s="1392"/>
      <c r="T79" s="1243"/>
      <c r="U79" s="552">
        <v>0.28999999999999998</v>
      </c>
      <c r="V79" s="549">
        <v>5</v>
      </c>
      <c r="W79" s="1530"/>
      <c r="X79" s="1530"/>
      <c r="Y79" s="1530"/>
      <c r="Z79" s="1530"/>
      <c r="AB79" s="526" t="s">
        <v>1469</v>
      </c>
    </row>
    <row r="80" spans="2:33">
      <c r="B80" s="1231"/>
      <c r="C80" s="1246"/>
      <c r="D80" s="1231"/>
      <c r="E80" s="1247" t="s">
        <v>1306</v>
      </c>
      <c r="F80" s="1247"/>
      <c r="G80" s="1248"/>
      <c r="H80" s="1231"/>
      <c r="I80" s="1249"/>
      <c r="J80" s="1248"/>
      <c r="K80" s="1345">
        <v>116.3678</v>
      </c>
      <c r="L80" s="1249"/>
      <c r="M80" s="1251"/>
      <c r="N80" s="1394"/>
      <c r="O80" s="1395"/>
      <c r="P80" s="1249"/>
      <c r="Q80" s="1250"/>
      <c r="R80" s="1250"/>
      <c r="S80" s="1395"/>
      <c r="T80" s="1249"/>
      <c r="U80" s="1231">
        <v>0.05</v>
      </c>
      <c r="V80" s="1231">
        <v>5</v>
      </c>
      <c r="W80" s="1530"/>
      <c r="X80" s="1530"/>
      <c r="Y80" s="1530"/>
      <c r="Z80" s="1530"/>
      <c r="AB80" s="526" t="s">
        <v>1469</v>
      </c>
    </row>
    <row r="81" spans="2:31">
      <c r="B81" s="550" t="str">
        <f>"TFTI"&amp;MID(C81,4,5)&amp;MID(C82,4,2)&amp;"3N"</f>
        <v>TFTIDSBL43N</v>
      </c>
      <c r="C81" s="534" t="str">
        <f>C21</f>
        <v>TRADSBL4</v>
      </c>
      <c r="E81" s="531" t="s">
        <v>1304</v>
      </c>
      <c r="F81" s="531">
        <v>2030</v>
      </c>
      <c r="G81" s="1237" t="s">
        <v>519</v>
      </c>
      <c r="I81" s="1237">
        <v>10.82</v>
      </c>
      <c r="J81" s="1244">
        <v>89670</v>
      </c>
      <c r="K81" s="1340">
        <v>80.254600000000011</v>
      </c>
      <c r="L81" s="1237">
        <v>7</v>
      </c>
      <c r="M81" s="1241"/>
      <c r="N81" s="1392">
        <f>+O81*0.2</f>
        <v>338.6</v>
      </c>
      <c r="O81" s="1393">
        <v>1693</v>
      </c>
      <c r="P81" s="1237">
        <v>1E-3</v>
      </c>
      <c r="Q81" s="1278"/>
      <c r="R81" s="1278"/>
      <c r="S81" s="1393"/>
      <c r="T81" s="1243"/>
      <c r="U81" s="552">
        <v>0.46</v>
      </c>
      <c r="V81" s="549">
        <v>5</v>
      </c>
      <c r="W81" s="1530">
        <f t="array" ref="W81">INDEX(EMIS_factors!$G$6:$O$152,MATCH($F81&amp;$AB81,EMIS_factors!$E$6:$E$152&amp;EMIS_factors!$D$6:$D$152,0),MATCH(RIGHT(W$3,6),EMIS_factors!$G$4:$O$4,0))</f>
        <v>5.0151485967231402E-4</v>
      </c>
      <c r="X81" s="1530">
        <f t="array" ref="X81">INDEX(EMIS_factors!$G$6:$O$152,MATCH($F81&amp;$AB81,EMIS_factors!$E$6:$E$152&amp;EMIS_factors!$D$6:$D$152,0),MATCH(RIGHT(X$3,6),EMIS_factors!$G$4:$O$4,0))</f>
        <v>0.55110436847006916</v>
      </c>
      <c r="Y81" s="1530">
        <f t="array" ref="Y81">INDEX(EMIS_factors!$G$6:$O$152,MATCH($F81&amp;$AB81,EMIS_factors!$E$6:$E$152&amp;EMIS_factors!$D$6:$D$152,0),MATCH(RIGHT(Y$3,6),EMIS_factors!$G$4:$O$4,0))</f>
        <v>1.4829754890210707E-3</v>
      </c>
      <c r="Z81" s="1530">
        <f t="array" ref="Z81">INDEX(EMIS_factors!$G$6:$O$152,MATCH($F81&amp;$AB81,EMIS_factors!$E$6:$E$152&amp;EMIS_factors!$D$6:$D$152,0),MATCH(RIGHT(Z$3,6),EMIS_factors!$G$4:$O$4,0))</f>
        <v>189.75493989940995</v>
      </c>
      <c r="AB81" s="526" t="s">
        <v>1469</v>
      </c>
    </row>
    <row r="82" spans="2:31">
      <c r="B82" s="552"/>
      <c r="C82" s="534"/>
      <c r="E82" s="531" t="s">
        <v>1305</v>
      </c>
      <c r="F82" s="531"/>
      <c r="G82" s="1237"/>
      <c r="I82" s="1237"/>
      <c r="J82" s="1244"/>
      <c r="K82" s="1340">
        <v>100.32510000000001</v>
      </c>
      <c r="L82" s="1237"/>
      <c r="M82" s="1241"/>
      <c r="N82" s="1392"/>
      <c r="O82" s="1393"/>
      <c r="P82" s="1237"/>
      <c r="Q82" s="1366"/>
      <c r="R82" s="1366"/>
      <c r="S82" s="1393"/>
      <c r="T82" s="1243"/>
      <c r="U82" s="552">
        <v>0.28999999999999998</v>
      </c>
      <c r="V82" s="549">
        <v>5</v>
      </c>
      <c r="W82" s="1530"/>
      <c r="X82" s="1530"/>
      <c r="Y82" s="1530"/>
      <c r="Z82" s="1530"/>
      <c r="AB82" s="526" t="s">
        <v>1469</v>
      </c>
    </row>
    <row r="83" spans="2:31">
      <c r="B83" s="1231"/>
      <c r="C83" s="1246"/>
      <c r="D83" s="1231"/>
      <c r="E83" s="1247" t="s">
        <v>1306</v>
      </c>
      <c r="F83" s="1247"/>
      <c r="G83" s="1248"/>
      <c r="H83" s="1231"/>
      <c r="I83" s="1249"/>
      <c r="J83" s="1248"/>
      <c r="K83" s="1345">
        <v>116.3678</v>
      </c>
      <c r="L83" s="1249"/>
      <c r="M83" s="1251"/>
      <c r="N83" s="1394"/>
      <c r="O83" s="1395"/>
      <c r="P83" s="1249"/>
      <c r="Q83" s="1250"/>
      <c r="R83" s="1250"/>
      <c r="S83" s="1395"/>
      <c r="T83" s="1249"/>
      <c r="U83" s="1231">
        <v>0.05</v>
      </c>
      <c r="V83" s="1231">
        <v>5</v>
      </c>
      <c r="W83" s="1530"/>
      <c r="X83" s="1530"/>
      <c r="Y83" s="1530"/>
      <c r="Z83" s="1530"/>
      <c r="AB83" s="526" t="s">
        <v>1469</v>
      </c>
      <c r="AE83" s="549" t="s">
        <v>1340</v>
      </c>
    </row>
    <row r="84" spans="2:31" ht="14.4">
      <c r="B84" s="550" t="str">
        <f>"TFTI"&amp;MID(C84,4,3)&amp;MID(C85,4,2)&amp;"2N"</f>
        <v>TFTINGB2N</v>
      </c>
      <c r="C84" s="534" t="str">
        <f>C24</f>
        <v>TRANGBL3</v>
      </c>
      <c r="E84" s="531" t="s">
        <v>1304</v>
      </c>
      <c r="F84" s="531">
        <v>2020</v>
      </c>
      <c r="G84" s="1237" t="s">
        <v>519</v>
      </c>
      <c r="I84" s="1237">
        <v>3.45</v>
      </c>
      <c r="J84" s="1244">
        <v>24133</v>
      </c>
      <c r="K84" s="1367">
        <v>98.776999999999987</v>
      </c>
      <c r="L84" s="1237">
        <v>7</v>
      </c>
      <c r="M84" s="1239"/>
      <c r="N84" s="1392">
        <f>0.2*O84</f>
        <v>215</v>
      </c>
      <c r="O84" s="1393">
        <v>1075</v>
      </c>
      <c r="P84" s="1237">
        <v>1E-3</v>
      </c>
      <c r="Q84" s="1238"/>
      <c r="R84" s="1238"/>
      <c r="S84" s="1393"/>
      <c r="T84" s="1243"/>
      <c r="U84" s="552">
        <v>0.46</v>
      </c>
      <c r="V84" s="549">
        <v>5</v>
      </c>
      <c r="W84" s="1530">
        <f t="array" ref="W84">INDEX(EMIS_factors!$G$6:$O$152,MATCH($F84&amp;$AB84,EMIS_factors!$E$6:$E$152&amp;EMIS_factors!$D$6:$D$152,0),MATCH(RIGHT(W$3,6),EMIS_factors!$G$4:$O$4,0))</f>
        <v>0</v>
      </c>
      <c r="X84" s="1530">
        <f t="array" ref="X84">INDEX(EMIS_factors!$G$6:$O$152,MATCH($F84&amp;$AB84,EMIS_factors!$E$6:$E$152&amp;EMIS_factors!$D$6:$D$152,0),MATCH(RIGHT(X$3,6),EMIS_factors!$G$4:$O$4,0))</f>
        <v>1.7917753944774433</v>
      </c>
      <c r="Y84" s="1530">
        <f t="array" ref="Y84">INDEX(EMIS_factors!$G$6:$O$152,MATCH($F84&amp;$AB84,EMIS_factors!$E$6:$E$152&amp;EMIS_factors!$D$6:$D$152,0),MATCH(RIGHT(Y$3,6),EMIS_factors!$G$4:$O$4,0))</f>
        <v>4.2576585260129772E-3</v>
      </c>
      <c r="Z84" s="1530">
        <f t="array" ref="Z84">INDEX(EMIS_factors!$G$6:$O$152,MATCH($F84&amp;$AB84,EMIS_factors!$E$6:$E$152&amp;EMIS_factors!$D$6:$D$152,0),MATCH(RIGHT(Z$3,6),EMIS_factors!$G$4:$O$4,0))</f>
        <v>174.0383943909471</v>
      </c>
      <c r="AB84" s="526" t="s">
        <v>1488</v>
      </c>
      <c r="AE84" s="1426">
        <f>(1*1000*0.826)/(7.46*1.25)</f>
        <v>88.579088471849872</v>
      </c>
    </row>
    <row r="85" spans="2:31" ht="14.4">
      <c r="B85" s="552"/>
      <c r="C85" s="534"/>
      <c r="E85" s="531" t="s">
        <v>1305</v>
      </c>
      <c r="F85" s="531"/>
      <c r="G85" s="1237"/>
      <c r="I85" s="1237"/>
      <c r="J85" s="1244"/>
      <c r="K85" s="1367">
        <v>123.46567441860465</v>
      </c>
      <c r="L85" s="1237"/>
      <c r="M85" s="1239"/>
      <c r="N85" s="1392"/>
      <c r="O85" s="1396"/>
      <c r="P85" s="1237"/>
      <c r="Q85" s="1238"/>
      <c r="R85" s="1238"/>
      <c r="S85" s="1396"/>
      <c r="T85" s="1243"/>
      <c r="U85" s="552">
        <v>0.28999999999999998</v>
      </c>
      <c r="V85" s="549">
        <v>5</v>
      </c>
      <c r="W85" s="1530"/>
      <c r="X85" s="1530"/>
      <c r="Y85" s="1530"/>
      <c r="Z85" s="1530"/>
      <c r="AB85" s="526" t="s">
        <v>1488</v>
      </c>
      <c r="AE85" s="1426">
        <f>(1*1000*0.826)/7.46</f>
        <v>110.72386058981233</v>
      </c>
    </row>
    <row r="86" spans="2:31" ht="14.4">
      <c r="B86" s="1231"/>
      <c r="C86" s="1246"/>
      <c r="D86" s="1231"/>
      <c r="E86" s="1247" t="s">
        <v>1306</v>
      </c>
      <c r="F86" s="1247"/>
      <c r="G86" s="1249"/>
      <c r="H86" s="1231"/>
      <c r="I86" s="1249"/>
      <c r="J86" s="1249"/>
      <c r="K86" s="1345">
        <v>143.22553488372094</v>
      </c>
      <c r="L86" s="1249"/>
      <c r="M86" s="1252"/>
      <c r="N86" s="1397"/>
      <c r="O86" s="1398"/>
      <c r="P86" s="1249"/>
      <c r="Q86" s="1250"/>
      <c r="R86" s="1250"/>
      <c r="S86" s="1398"/>
      <c r="T86" s="1249"/>
      <c r="U86" s="1231">
        <v>0.05</v>
      </c>
      <c r="V86" s="1231">
        <v>5</v>
      </c>
      <c r="W86" s="1530"/>
      <c r="X86" s="1530"/>
      <c r="Y86" s="1530"/>
      <c r="Z86" s="1530"/>
      <c r="AB86" s="526" t="s">
        <v>1488</v>
      </c>
      <c r="AE86" s="1427">
        <f>(1*1.45*1000*0.826)/(7.46*1.25)</f>
        <v>128.43967828418232</v>
      </c>
    </row>
    <row r="87" spans="2:31">
      <c r="B87" s="550" t="str">
        <f>"TFTI"&amp;MID(C87,4,3)&amp;MID(C88,4,2)&amp;"3N"</f>
        <v>TFTINGB3N</v>
      </c>
      <c r="C87" s="534" t="str">
        <f>C27</f>
        <v>TRANGBL3</v>
      </c>
      <c r="E87" s="531" t="s">
        <v>1304</v>
      </c>
      <c r="F87" s="531">
        <v>2020</v>
      </c>
      <c r="G87" s="1237" t="s">
        <v>519</v>
      </c>
      <c r="I87" s="1237">
        <v>10.82</v>
      </c>
      <c r="J87" s="1244">
        <v>89670</v>
      </c>
      <c r="K87" s="1367">
        <v>65.323511627906981</v>
      </c>
      <c r="L87" s="1244">
        <v>7</v>
      </c>
      <c r="M87" s="1341"/>
      <c r="N87" s="1392">
        <f>0.2*O87</f>
        <v>380.16000000000008</v>
      </c>
      <c r="O87" s="1393">
        <f>1.1*O78</f>
        <v>1900.8000000000002</v>
      </c>
      <c r="P87" s="1237">
        <v>1E-3</v>
      </c>
      <c r="Q87" s="1238"/>
      <c r="R87" s="1238"/>
      <c r="S87" s="1393"/>
      <c r="T87" s="1243"/>
      <c r="U87" s="552">
        <v>0.46</v>
      </c>
      <c r="V87" s="1240">
        <v>5</v>
      </c>
      <c r="W87" s="1530">
        <f t="array" ref="W87">INDEX(EMIS_factors!$G$6:$O$152,MATCH($F87&amp;$AB87,EMIS_factors!$E$6:$E$152&amp;EMIS_factors!$D$6:$D$152,0),MATCH(RIGHT(W$3,6),EMIS_factors!$G$4:$O$4,0))</f>
        <v>0</v>
      </c>
      <c r="X87" s="1530">
        <f t="array" ref="X87">INDEX(EMIS_factors!$G$6:$O$152,MATCH($F87&amp;$AB87,EMIS_factors!$E$6:$E$152&amp;EMIS_factors!$D$6:$D$152,0),MATCH(RIGHT(X$3,6),EMIS_factors!$G$4:$O$4,0))</f>
        <v>1.7917753944774433</v>
      </c>
      <c r="Y87" s="1530">
        <f t="array" ref="Y87">INDEX(EMIS_factors!$G$6:$O$152,MATCH($F87&amp;$AB87,EMIS_factors!$E$6:$E$152&amp;EMIS_factors!$D$6:$D$152,0),MATCH(RIGHT(Y$3,6),EMIS_factors!$G$4:$O$4,0))</f>
        <v>4.2576585260129772E-3</v>
      </c>
      <c r="Z87" s="1530">
        <f t="array" ref="Z87">INDEX(EMIS_factors!$G$6:$O$152,MATCH($F87&amp;$AB87,EMIS_factors!$E$6:$E$152&amp;EMIS_factors!$D$6:$D$152,0),MATCH(RIGHT(Z$3,6),EMIS_factors!$G$4:$O$4,0))</f>
        <v>174.0383943909471</v>
      </c>
      <c r="AB87" s="526" t="s">
        <v>1488</v>
      </c>
    </row>
    <row r="88" spans="2:31">
      <c r="B88" s="552"/>
      <c r="C88" s="1457"/>
      <c r="E88" s="531" t="s">
        <v>1305</v>
      </c>
      <c r="F88" s="531"/>
      <c r="G88" s="1237"/>
      <c r="I88" s="1237"/>
      <c r="J88" s="1244"/>
      <c r="K88" s="1367">
        <v>81.659965116279068</v>
      </c>
      <c r="L88" s="1244"/>
      <c r="M88" s="1341"/>
      <c r="N88" s="1392"/>
      <c r="O88" s="1393"/>
      <c r="P88" s="1237"/>
      <c r="Q88" s="1238"/>
      <c r="R88" s="1238"/>
      <c r="S88" s="1393"/>
      <c r="T88" s="1245"/>
      <c r="U88" s="552">
        <v>0.28999999999999998</v>
      </c>
      <c r="V88" s="549">
        <v>5</v>
      </c>
      <c r="W88" s="1530"/>
      <c r="X88" s="1530"/>
      <c r="Y88" s="1530"/>
      <c r="Z88" s="1530"/>
      <c r="AB88" s="526" t="s">
        <v>1488</v>
      </c>
    </row>
    <row r="89" spans="2:31">
      <c r="B89" s="552"/>
      <c r="C89" s="534"/>
      <c r="D89" s="1231"/>
      <c r="E89" s="1247" t="s">
        <v>1306</v>
      </c>
      <c r="F89" s="1247"/>
      <c r="G89" s="1249"/>
      <c r="H89" s="1231"/>
      <c r="I89" s="1249"/>
      <c r="J89" s="1248"/>
      <c r="K89" s="1345">
        <v>94.717976744186046</v>
      </c>
      <c r="L89" s="1248"/>
      <c r="M89" s="1364"/>
      <c r="N89" s="1394"/>
      <c r="O89" s="1395"/>
      <c r="P89" s="1249"/>
      <c r="Q89" s="1250"/>
      <c r="R89" s="1250"/>
      <c r="S89" s="1395"/>
      <c r="T89" s="1249"/>
      <c r="U89" s="1231">
        <v>0.05</v>
      </c>
      <c r="V89" s="1231">
        <v>5</v>
      </c>
      <c r="W89" s="1530"/>
      <c r="X89" s="1530"/>
      <c r="Y89" s="1530"/>
      <c r="Z89" s="1530"/>
      <c r="AB89" s="526" t="s">
        <v>1488</v>
      </c>
    </row>
    <row r="90" spans="2:31">
      <c r="B90" s="550" t="str">
        <f>"TFTI"&amp;MID(C90,4,3)&amp;MID(C91,4,2)&amp;"2N"</f>
        <v>TFTIELC2N</v>
      </c>
      <c r="C90" s="534" t="str">
        <f>C30</f>
        <v>TRAELCEV</v>
      </c>
      <c r="D90" s="552"/>
      <c r="E90" s="531" t="s">
        <v>1304</v>
      </c>
      <c r="F90" s="534">
        <v>2020</v>
      </c>
      <c r="G90" s="1244" t="s">
        <v>519</v>
      </c>
      <c r="H90" s="552"/>
      <c r="I90" s="1237">
        <v>3.45</v>
      </c>
      <c r="J90" s="1244">
        <v>24133</v>
      </c>
      <c r="K90" s="1421">
        <f>1000/$AG$44*$AF$29/$AE$28</f>
        <v>179.09068034851492</v>
      </c>
      <c r="L90" s="1237">
        <v>7</v>
      </c>
      <c r="M90" s="1340"/>
      <c r="N90" s="1404">
        <f>0.05*O90</f>
        <v>50.436525000000003</v>
      </c>
      <c r="O90" s="1392">
        <f>O69+(42*1160.25/1000)</f>
        <v>1008.7305</v>
      </c>
      <c r="P90" s="1237">
        <v>1E-3</v>
      </c>
      <c r="Q90" s="1278"/>
      <c r="R90" s="1278"/>
      <c r="S90" s="1392"/>
      <c r="T90" s="1245"/>
      <c r="U90" s="552">
        <v>0.46</v>
      </c>
      <c r="V90" s="549">
        <v>5</v>
      </c>
      <c r="W90" s="1530">
        <f t="array" ref="W90">INDEX(EMIS_factors!$G$6:$O$152,MATCH($F90&amp;$AB90,EMIS_factors!$E$6:$E$152&amp;EMIS_factors!$D$6:$D$152,0),MATCH(RIGHT(W$3,6),EMIS_factors!$G$4:$O$4,0))</f>
        <v>0</v>
      </c>
      <c r="X90" s="1530">
        <f t="array" ref="X90">INDEX(EMIS_factors!$G$6:$O$152,MATCH($F90&amp;$AB90,EMIS_factors!$E$6:$E$152&amp;EMIS_factors!$D$6:$D$152,0),MATCH(RIGHT(X$3,6),EMIS_factors!$G$4:$O$4,0))</f>
        <v>0</v>
      </c>
      <c r="Y90" s="1530">
        <f t="array" ref="Y90">INDEX(EMIS_factors!$G$6:$O$152,MATCH($F90&amp;$AB90,EMIS_factors!$E$6:$E$152&amp;EMIS_factors!$D$6:$D$152,0),MATCH(RIGHT(Y$3,6),EMIS_factors!$G$4:$O$4,0))</f>
        <v>0</v>
      </c>
      <c r="Z90" s="1530">
        <f t="array" ref="Z90">INDEX(EMIS_factors!$G$6:$O$152,MATCH($F90&amp;$AB90,EMIS_factors!$E$6:$E$152&amp;EMIS_factors!$D$6:$D$152,0),MATCH(RIGHT(Z$3,6),EMIS_factors!$G$4:$O$4,0))</f>
        <v>174.0383943909471</v>
      </c>
      <c r="AB90" s="526" t="s">
        <v>1472</v>
      </c>
    </row>
    <row r="91" spans="2:31">
      <c r="B91" s="552"/>
      <c r="C91" s="534"/>
      <c r="D91" s="552"/>
      <c r="E91" s="531" t="s">
        <v>1305</v>
      </c>
      <c r="F91" s="534"/>
      <c r="G91" s="1244"/>
      <c r="H91" s="552"/>
      <c r="I91" s="1237"/>
      <c r="J91" s="1237"/>
      <c r="K91" s="1421">
        <f>K90</f>
        <v>179.09068034851492</v>
      </c>
      <c r="L91" s="1237"/>
      <c r="M91" s="1340"/>
      <c r="N91" s="1404"/>
      <c r="O91" s="1393"/>
      <c r="P91" s="1237"/>
      <c r="Q91" s="1244"/>
      <c r="R91" s="1244"/>
      <c r="S91" s="1393"/>
      <c r="T91" s="1245"/>
      <c r="U91" s="552">
        <v>0.28999999999999998</v>
      </c>
      <c r="V91" s="549">
        <v>5</v>
      </c>
      <c r="W91" s="1530"/>
      <c r="X91" s="1530"/>
      <c r="Y91" s="1530"/>
      <c r="Z91" s="1530"/>
      <c r="AB91" s="526" t="s">
        <v>1472</v>
      </c>
    </row>
    <row r="92" spans="2:31">
      <c r="B92" s="1231"/>
      <c r="C92" s="1246"/>
      <c r="D92" s="1231"/>
      <c r="E92" s="1247" t="s">
        <v>1306</v>
      </c>
      <c r="F92" s="1246"/>
      <c r="G92" s="1248"/>
      <c r="H92" s="1231"/>
      <c r="I92" s="1249"/>
      <c r="J92" s="1249"/>
      <c r="K92" s="1422">
        <f>K91</f>
        <v>179.09068034851492</v>
      </c>
      <c r="L92" s="1249"/>
      <c r="M92" s="1345"/>
      <c r="N92" s="1406"/>
      <c r="O92" s="1395"/>
      <c r="P92" s="1249"/>
      <c r="Q92" s="1248"/>
      <c r="R92" s="1248"/>
      <c r="S92" s="1395"/>
      <c r="T92" s="1387"/>
      <c r="U92" s="1231">
        <v>0.05</v>
      </c>
      <c r="V92" s="1231">
        <v>5</v>
      </c>
      <c r="W92" s="1530"/>
      <c r="X92" s="1530"/>
      <c r="Y92" s="1530"/>
      <c r="Z92" s="1530"/>
      <c r="AB92" s="526" t="s">
        <v>1472</v>
      </c>
      <c r="AE92" s="549" t="s">
        <v>1340</v>
      </c>
    </row>
    <row r="93" spans="2:31" ht="14.4">
      <c r="B93" s="552"/>
      <c r="C93" s="534" t="str">
        <f>C33</f>
        <v>TRAELCEV</v>
      </c>
      <c r="D93" s="552"/>
      <c r="E93" s="531" t="s">
        <v>1304</v>
      </c>
      <c r="F93" s="531">
        <v>2035</v>
      </c>
      <c r="G93" s="1244" t="s">
        <v>519</v>
      </c>
      <c r="H93" s="552"/>
      <c r="I93" s="1237">
        <v>3.45</v>
      </c>
      <c r="J93" s="1244">
        <v>24133</v>
      </c>
      <c r="K93" s="1421">
        <f>1000/$AH$44*$AF$29/$AE$28</f>
        <v>195.22008885529789</v>
      </c>
      <c r="L93" s="1237">
        <v>7</v>
      </c>
      <c r="M93" s="1340"/>
      <c r="N93" s="1404">
        <f>+O93*0.05</f>
        <v>49.75</v>
      </c>
      <c r="O93" s="1393">
        <v>995</v>
      </c>
      <c r="P93" s="1237">
        <v>1E-3</v>
      </c>
      <c r="Q93" s="1244"/>
      <c r="R93" s="1244"/>
      <c r="S93" s="1393"/>
      <c r="T93" s="1245"/>
      <c r="U93" s="552">
        <v>0.46</v>
      </c>
      <c r="V93" s="549">
        <v>5</v>
      </c>
      <c r="W93" s="1530">
        <f t="array" ref="W93">INDEX(EMIS_factors!$G$6:$O$152,MATCH($F93&amp;$AB93,EMIS_factors!$E$6:$E$152&amp;EMIS_factors!$D$6:$D$152,0),MATCH(RIGHT(W$3,6),EMIS_factors!$G$4:$O$4,0))</f>
        <v>0</v>
      </c>
      <c r="X93" s="1530">
        <f t="array" ref="X93">INDEX(EMIS_factors!$G$6:$O$152,MATCH($F93&amp;$AB93,EMIS_factors!$E$6:$E$152&amp;EMIS_factors!$D$6:$D$152,0),MATCH(RIGHT(X$3,6),EMIS_factors!$G$4:$O$4,0))</f>
        <v>0</v>
      </c>
      <c r="Y93" s="1530">
        <f t="array" ref="Y93">INDEX(EMIS_factors!$G$6:$O$152,MATCH($F93&amp;$AB93,EMIS_factors!$E$6:$E$152&amp;EMIS_factors!$D$6:$D$152,0),MATCH(RIGHT(Y$3,6),EMIS_factors!$G$4:$O$4,0))</f>
        <v>0</v>
      </c>
      <c r="Z93" s="1530">
        <f t="array" ref="Z93">INDEX(EMIS_factors!$G$6:$O$152,MATCH($F93&amp;$AB93,EMIS_factors!$E$6:$E$152&amp;EMIS_factors!$D$6:$D$152,0),MATCH(RIGHT(Z$3,6),EMIS_factors!$G$4:$O$4,0))</f>
        <v>176.20517963245305</v>
      </c>
      <c r="AB93" s="526" t="s">
        <v>1472</v>
      </c>
      <c r="AE93" s="1426">
        <f>1*1000*0.826/(11.28*1.25)</f>
        <v>58.581560283687942</v>
      </c>
    </row>
    <row r="94" spans="2:31" ht="14.4">
      <c r="B94" s="552"/>
      <c r="C94" s="534"/>
      <c r="D94" s="552"/>
      <c r="E94" s="531" t="s">
        <v>1305</v>
      </c>
      <c r="F94" s="534"/>
      <c r="G94" s="1244"/>
      <c r="H94" s="552"/>
      <c r="I94" s="1237"/>
      <c r="J94" s="1237"/>
      <c r="K94" s="1421">
        <f>K93</f>
        <v>195.22008885529789</v>
      </c>
      <c r="L94" s="1237"/>
      <c r="M94" s="1340"/>
      <c r="N94" s="1404"/>
      <c r="O94" s="1393"/>
      <c r="P94" s="1237"/>
      <c r="Q94" s="1244"/>
      <c r="R94" s="1244"/>
      <c r="S94" s="1393"/>
      <c r="T94" s="1245"/>
      <c r="U94" s="552">
        <v>0.28999999999999998</v>
      </c>
      <c r="V94" s="549">
        <v>5</v>
      </c>
      <c r="W94" s="1530"/>
      <c r="X94" s="1530"/>
      <c r="Y94" s="1530"/>
      <c r="Z94" s="1530"/>
      <c r="AB94" s="526" t="s">
        <v>1472</v>
      </c>
      <c r="AE94" s="1426">
        <f>1*1000*0.826/11.28</f>
        <v>73.22695035460994</v>
      </c>
    </row>
    <row r="95" spans="2:31" ht="14.4">
      <c r="B95" s="1231"/>
      <c r="C95" s="1246"/>
      <c r="D95" s="1231"/>
      <c r="E95" s="1247" t="s">
        <v>1306</v>
      </c>
      <c r="F95" s="1246"/>
      <c r="G95" s="1248"/>
      <c r="H95" s="1231"/>
      <c r="I95" s="1249"/>
      <c r="J95" s="1249"/>
      <c r="K95" s="1422">
        <f>K94</f>
        <v>195.22008885529789</v>
      </c>
      <c r="L95" s="1249"/>
      <c r="M95" s="1345"/>
      <c r="N95" s="1406"/>
      <c r="O95" s="1395"/>
      <c r="P95" s="1249"/>
      <c r="Q95" s="1248"/>
      <c r="R95" s="1248"/>
      <c r="S95" s="1395"/>
      <c r="T95" s="1387"/>
      <c r="U95" s="1231">
        <v>0.05</v>
      </c>
      <c r="V95" s="1231">
        <v>5</v>
      </c>
      <c r="W95" s="1530"/>
      <c r="X95" s="1530"/>
      <c r="Y95" s="1530"/>
      <c r="Z95" s="1530"/>
      <c r="AB95" s="526" t="s">
        <v>1472</v>
      </c>
      <c r="AE95" s="1427">
        <f>1*1.45*1000*0.826/(11.28*1.25)</f>
        <v>84.943262411347519</v>
      </c>
    </row>
    <row r="96" spans="2:31">
      <c r="B96" s="550" t="str">
        <f>"TFTI"&amp;MID(C96,4,3)&amp;MID(C97,4,2)&amp;"3N"</f>
        <v>TFTIELC3N</v>
      </c>
      <c r="C96" s="534" t="str">
        <f>C36</f>
        <v>TRAELCEV</v>
      </c>
      <c r="D96" s="552"/>
      <c r="E96" s="531" t="s">
        <v>1304</v>
      </c>
      <c r="F96" s="534">
        <v>2020</v>
      </c>
      <c r="G96" s="1244" t="s">
        <v>519</v>
      </c>
      <c r="H96" s="552"/>
      <c r="I96" s="1237">
        <f>10.82*$AF$49</f>
        <v>9.1553846153846159</v>
      </c>
      <c r="J96" s="1244">
        <v>89670</v>
      </c>
      <c r="K96" s="1421">
        <f>1000/$AG$44*$AF$30/$AE$28</f>
        <v>117.13040690050769</v>
      </c>
      <c r="L96" s="1237">
        <v>7</v>
      </c>
      <c r="M96" s="1340"/>
      <c r="N96" s="1404">
        <f>0.05*O96</f>
        <v>99.742875000000012</v>
      </c>
      <c r="O96" s="1392">
        <f>O78+(230*1160.25/1000)</f>
        <v>1994.8575000000001</v>
      </c>
      <c r="P96" s="1237">
        <v>1E-3</v>
      </c>
      <c r="Q96" s="1278"/>
      <c r="R96" s="1278"/>
      <c r="S96" s="1392"/>
      <c r="T96" s="1245"/>
      <c r="U96" s="552">
        <v>0.46</v>
      </c>
      <c r="V96" s="549">
        <v>5</v>
      </c>
      <c r="W96" s="1530">
        <f t="array" ref="W96">INDEX(EMIS_factors!$G$6:$O$152,MATCH($F96&amp;$AB96,EMIS_factors!$E$6:$E$152&amp;EMIS_factors!$D$6:$D$152,0),MATCH(RIGHT(W$3,6),EMIS_factors!$G$4:$O$4,0))</f>
        <v>0</v>
      </c>
      <c r="X96" s="1530">
        <f t="array" ref="X96">INDEX(EMIS_factors!$G$6:$O$152,MATCH($F96&amp;$AB96,EMIS_factors!$E$6:$E$152&amp;EMIS_factors!$D$6:$D$152,0),MATCH(RIGHT(X$3,6),EMIS_factors!$G$4:$O$4,0))</f>
        <v>0</v>
      </c>
      <c r="Y96" s="1530">
        <f t="array" ref="Y96">INDEX(EMIS_factors!$G$6:$O$152,MATCH($F96&amp;$AB96,EMIS_factors!$E$6:$E$152&amp;EMIS_factors!$D$6:$D$152,0),MATCH(RIGHT(Y$3,6),EMIS_factors!$G$4:$O$4,0))</f>
        <v>0</v>
      </c>
      <c r="Z96" s="1530">
        <f t="array" ref="Z96">INDEX(EMIS_factors!$G$6:$O$152,MATCH($F96&amp;$AB96,EMIS_factors!$E$6:$E$152&amp;EMIS_factors!$D$6:$D$152,0),MATCH(RIGHT(Z$3,6),EMIS_factors!$G$4:$O$4,0))</f>
        <v>174.0383943909471</v>
      </c>
      <c r="AB96" s="526" t="s">
        <v>1472</v>
      </c>
    </row>
    <row r="97" spans="2:28">
      <c r="B97" s="552"/>
      <c r="C97" s="531"/>
      <c r="D97" s="552"/>
      <c r="E97" s="531" t="s">
        <v>1305</v>
      </c>
      <c r="F97" s="531"/>
      <c r="G97" s="1355"/>
      <c r="H97" s="531"/>
      <c r="I97" s="1237"/>
      <c r="J97" s="1237"/>
      <c r="K97" s="1421">
        <f>K96</f>
        <v>117.13040690050769</v>
      </c>
      <c r="L97" s="1237"/>
      <c r="M97" s="1340"/>
      <c r="N97" s="1404"/>
      <c r="O97" s="1393"/>
      <c r="P97" s="1237"/>
      <c r="Q97" s="1244"/>
      <c r="R97" s="1244"/>
      <c r="S97" s="1393"/>
      <c r="T97" s="1245"/>
      <c r="U97" s="552">
        <v>0.28999999999999998</v>
      </c>
      <c r="V97" s="549">
        <v>5</v>
      </c>
      <c r="W97" s="1530"/>
      <c r="X97" s="1530"/>
      <c r="Y97" s="1530"/>
      <c r="Z97" s="1530"/>
      <c r="AB97" s="526" t="s">
        <v>1472</v>
      </c>
    </row>
    <row r="98" spans="2:28">
      <c r="B98" s="1231"/>
      <c r="C98" s="1247"/>
      <c r="D98" s="1231"/>
      <c r="E98" s="1247" t="s">
        <v>1306</v>
      </c>
      <c r="F98" s="531"/>
      <c r="G98" s="1368"/>
      <c r="H98" s="1247"/>
      <c r="I98" s="1249"/>
      <c r="J98" s="1249"/>
      <c r="K98" s="1422">
        <f>K97</f>
        <v>117.13040690050769</v>
      </c>
      <c r="L98" s="1249"/>
      <c r="M98" s="1345"/>
      <c r="N98" s="1406"/>
      <c r="O98" s="1395"/>
      <c r="P98" s="1249"/>
      <c r="Q98" s="1248"/>
      <c r="R98" s="1248"/>
      <c r="S98" s="1395"/>
      <c r="T98" s="1387"/>
      <c r="U98" s="1231">
        <v>0.05</v>
      </c>
      <c r="V98" s="1231">
        <v>5</v>
      </c>
      <c r="W98" s="1530"/>
      <c r="X98" s="1530"/>
      <c r="Y98" s="1530"/>
      <c r="Z98" s="1530"/>
      <c r="AB98" s="526" t="s">
        <v>1472</v>
      </c>
    </row>
    <row r="99" spans="2:28">
      <c r="B99" s="552"/>
      <c r="C99" s="534" t="str">
        <f>C39</f>
        <v>TRAELCEV</v>
      </c>
      <c r="D99" s="552"/>
      <c r="E99" s="531" t="s">
        <v>1304</v>
      </c>
      <c r="F99" s="531">
        <v>2035</v>
      </c>
      <c r="G99" s="1244" t="s">
        <v>519</v>
      </c>
      <c r="H99" s="531"/>
      <c r="I99" s="1237">
        <v>10.82</v>
      </c>
      <c r="J99" s="1237">
        <v>89670</v>
      </c>
      <c r="K99" s="1421">
        <f>1000/$AH$44*$AF$30/$AE$28</f>
        <v>127.67949956008933</v>
      </c>
      <c r="L99" s="1237">
        <v>7</v>
      </c>
      <c r="M99" s="1340"/>
      <c r="N99" s="1404">
        <f>+O99*0.05</f>
        <v>96.050000000000011</v>
      </c>
      <c r="O99" s="1393">
        <v>1921</v>
      </c>
      <c r="P99" s="1237">
        <v>1E-3</v>
      </c>
      <c r="Q99" s="1244"/>
      <c r="R99" s="1244"/>
      <c r="S99" s="1393"/>
      <c r="T99" s="1245"/>
      <c r="U99" s="552">
        <v>0.46</v>
      </c>
      <c r="V99" s="549">
        <v>5</v>
      </c>
      <c r="W99" s="1530">
        <f t="array" ref="W99">INDEX(EMIS_factors!$G$6:$O$152,MATCH($F99&amp;$AB99,EMIS_factors!$E$6:$E$152&amp;EMIS_factors!$D$6:$D$152,0),MATCH(RIGHT(W$3,6),EMIS_factors!$G$4:$O$4,0))</f>
        <v>0</v>
      </c>
      <c r="X99" s="1530">
        <f t="array" ref="X99">INDEX(EMIS_factors!$G$6:$O$152,MATCH($F99&amp;$AB99,EMIS_factors!$E$6:$E$152&amp;EMIS_factors!$D$6:$D$152,0),MATCH(RIGHT(X$3,6),EMIS_factors!$G$4:$O$4,0))</f>
        <v>0</v>
      </c>
      <c r="Y99" s="1530">
        <f t="array" ref="Y99">INDEX(EMIS_factors!$G$6:$O$152,MATCH($F99&amp;$AB99,EMIS_factors!$E$6:$E$152&amp;EMIS_factors!$D$6:$D$152,0),MATCH(RIGHT(Y$3,6),EMIS_factors!$G$4:$O$4,0))</f>
        <v>0</v>
      </c>
      <c r="Z99" s="1530">
        <f t="array" ref="Z99">INDEX(EMIS_factors!$G$6:$O$152,MATCH($F99&amp;$AB99,EMIS_factors!$E$6:$E$152&amp;EMIS_factors!$D$6:$D$152,0),MATCH(RIGHT(Z$3,6),EMIS_factors!$G$4:$O$4,0))</f>
        <v>176.20517963245305</v>
      </c>
      <c r="AB99" s="526" t="s">
        <v>1472</v>
      </c>
    </row>
    <row r="100" spans="2:28">
      <c r="B100" s="552"/>
      <c r="C100" s="531"/>
      <c r="D100" s="552"/>
      <c r="E100" s="531" t="s">
        <v>1305</v>
      </c>
      <c r="F100" s="531"/>
      <c r="G100" s="1355"/>
      <c r="H100" s="531"/>
      <c r="I100" s="1237"/>
      <c r="J100" s="1237"/>
      <c r="K100" s="1421">
        <f>K99</f>
        <v>127.67949956008933</v>
      </c>
      <c r="L100" s="1237"/>
      <c r="M100" s="1340"/>
      <c r="N100" s="1404"/>
      <c r="O100" s="1393"/>
      <c r="P100" s="1237"/>
      <c r="Q100" s="1244"/>
      <c r="R100" s="1244"/>
      <c r="S100" s="1393"/>
      <c r="T100" s="1245"/>
      <c r="U100" s="552">
        <v>0.28999999999999998</v>
      </c>
      <c r="V100" s="549">
        <v>5</v>
      </c>
      <c r="W100" s="1530"/>
      <c r="X100" s="1530"/>
      <c r="Y100" s="1530"/>
      <c r="Z100" s="1530"/>
      <c r="AB100" s="526" t="s">
        <v>1472</v>
      </c>
    </row>
    <row r="101" spans="2:28">
      <c r="B101" s="552"/>
      <c r="C101" s="1430"/>
      <c r="D101" s="552"/>
      <c r="E101" s="531" t="s">
        <v>1306</v>
      </c>
      <c r="F101" s="531"/>
      <c r="G101" s="1368"/>
      <c r="H101" s="1247"/>
      <c r="I101" s="1249"/>
      <c r="J101" s="1249"/>
      <c r="K101" s="1422">
        <f>K100</f>
        <v>127.67949956008933</v>
      </c>
      <c r="L101" s="1249"/>
      <c r="M101" s="1345"/>
      <c r="N101" s="1406"/>
      <c r="O101" s="1395"/>
      <c r="P101" s="1249"/>
      <c r="Q101" s="1248"/>
      <c r="R101" s="1248"/>
      <c r="S101" s="1395"/>
      <c r="T101" s="1387"/>
      <c r="U101" s="1231">
        <v>0.05</v>
      </c>
      <c r="V101" s="1231">
        <v>5</v>
      </c>
      <c r="W101" s="1530"/>
      <c r="X101" s="1530"/>
      <c r="Y101" s="1530"/>
      <c r="Z101" s="1530"/>
      <c r="AB101" s="526" t="s">
        <v>1472</v>
      </c>
    </row>
    <row r="102" spans="2:28">
      <c r="B102" s="550" t="str">
        <f>"TFTI"&amp;MID(C102,4,3)&amp;MID(C103,4,2)&amp;"2N"</f>
        <v>TFTIELCDS2N</v>
      </c>
      <c r="C102" s="534" t="str">
        <f>C42</f>
        <v>TRAELCEV</v>
      </c>
      <c r="E102" s="531" t="s">
        <v>1304</v>
      </c>
      <c r="F102" s="1280">
        <v>2020</v>
      </c>
      <c r="G102" s="1388" t="s">
        <v>1284</v>
      </c>
      <c r="H102" s="549">
        <v>0.5</v>
      </c>
      <c r="I102" s="1237">
        <v>3.45</v>
      </c>
      <c r="J102" s="1244">
        <v>24133</v>
      </c>
      <c r="K102" s="1424">
        <f>K66/2+K90/2</f>
        <v>142.02876229221994</v>
      </c>
      <c r="L102" s="1239">
        <v>7</v>
      </c>
      <c r="M102" s="1348"/>
      <c r="N102" s="1404">
        <f>0.05*O102</f>
        <v>60.201909677419351</v>
      </c>
      <c r="O102" s="1392">
        <v>1204.038193548387</v>
      </c>
      <c r="P102" s="1244">
        <v>1E-3</v>
      </c>
      <c r="Q102" s="1389"/>
      <c r="R102" s="1389"/>
      <c r="S102" s="1405"/>
      <c r="T102" s="1240"/>
      <c r="U102" s="552">
        <v>0.46</v>
      </c>
      <c r="V102" s="549">
        <v>5</v>
      </c>
      <c r="W102" s="1530">
        <f t="array" ref="W102">INDEX(EMIS_factors!$G$6:$O$152,MATCH($F102&amp;$AB102,EMIS_factors!$E$6:$E$152&amp;EMIS_factors!$D$6:$D$152,0),MATCH(RIGHT(W$3,6),EMIS_factors!$G$4:$O$4,0))</f>
        <v>2.4776650935430598E-4</v>
      </c>
      <c r="X102" s="1530">
        <f t="array" ref="X102">INDEX(EMIS_factors!$G$6:$O$152,MATCH($F102&amp;$AB102,EMIS_factors!$E$6:$E$152&amp;EMIS_factors!$D$6:$D$152,0),MATCH(RIGHT(X$3,6),EMIS_factors!$G$4:$O$4,0))</f>
        <v>1.7917753944774433</v>
      </c>
      <c r="Y102" s="1530">
        <f t="array" ref="Y102">INDEX(EMIS_factors!$G$6:$O$152,MATCH($F102&amp;$AB102,EMIS_factors!$E$6:$E$152&amp;EMIS_factors!$D$6:$D$152,0),MATCH(RIGHT(Y$3,6),EMIS_factors!$G$4:$O$4,0))</f>
        <v>4.2576585260129772E-3</v>
      </c>
      <c r="Z102" s="1530">
        <f t="array" ref="Z102">INDEX(EMIS_factors!$G$6:$O$152,MATCH($F102&amp;$AB102,EMIS_factors!$E$6:$E$152&amp;EMIS_factors!$D$6:$D$152,0),MATCH(RIGHT(Z$3,6),EMIS_factors!$G$4:$O$4,0))</f>
        <v>185.02351552780914</v>
      </c>
      <c r="AB102" s="526" t="s">
        <v>1489</v>
      </c>
    </row>
    <row r="103" spans="2:28">
      <c r="B103" s="531"/>
      <c r="C103" s="534" t="str">
        <f>C43</f>
        <v>TRADSBL3</v>
      </c>
      <c r="E103" s="531" t="s">
        <v>1305</v>
      </c>
      <c r="F103" s="552"/>
      <c r="G103" s="552"/>
      <c r="H103" s="549">
        <v>0.5</v>
      </c>
      <c r="I103" s="1237"/>
      <c r="J103" s="1237"/>
      <c r="K103" s="1424">
        <f>K67/2+K91/2</f>
        <v>155.14790532171054</v>
      </c>
      <c r="L103" s="1237"/>
      <c r="N103" s="1393"/>
      <c r="O103" s="1405"/>
      <c r="P103" s="1244"/>
      <c r="Q103" s="1237"/>
      <c r="R103" s="552"/>
      <c r="S103" s="1405"/>
      <c r="T103" s="1243"/>
      <c r="U103" s="552">
        <v>0.28999999999999998</v>
      </c>
      <c r="V103" s="549">
        <v>5</v>
      </c>
      <c r="W103" s="1530"/>
      <c r="X103" s="1530"/>
      <c r="Y103" s="1530"/>
      <c r="Z103" s="1530"/>
      <c r="AB103" s="526" t="s">
        <v>1489</v>
      </c>
    </row>
    <row r="104" spans="2:28">
      <c r="B104" s="42"/>
      <c r="C104" s="42"/>
      <c r="E104" s="1247" t="s">
        <v>1306</v>
      </c>
      <c r="F104" s="531"/>
      <c r="G104" s="1244"/>
      <c r="J104" s="552"/>
      <c r="K104" s="1424">
        <f>K68/2+K92/2</f>
        <v>165.64595974530306</v>
      </c>
      <c r="L104" s="552"/>
      <c r="M104" s="1348"/>
      <c r="N104" s="1393"/>
      <c r="O104" s="1405"/>
      <c r="P104" s="1244"/>
      <c r="Q104" s="1237"/>
      <c r="R104" s="552"/>
      <c r="S104" s="1405"/>
      <c r="T104" s="1765"/>
      <c r="U104" s="1231">
        <v>0.05</v>
      </c>
      <c r="V104" s="1231">
        <v>5</v>
      </c>
      <c r="W104" s="1530"/>
      <c r="X104" s="1530"/>
      <c r="Y104" s="1530"/>
      <c r="Z104" s="1530"/>
      <c r="AB104" s="526" t="s">
        <v>1489</v>
      </c>
    </row>
    <row r="105" spans="2:28">
      <c r="B105" s="42"/>
      <c r="C105" s="534" t="str">
        <f>C45</f>
        <v>TRAELCEV</v>
      </c>
      <c r="E105" s="531" t="s">
        <v>1304</v>
      </c>
      <c r="F105" s="531">
        <v>2030</v>
      </c>
      <c r="G105" s="1244" t="s">
        <v>1284</v>
      </c>
      <c r="H105" s="549">
        <v>0.5</v>
      </c>
      <c r="I105" s="1237">
        <v>3.45</v>
      </c>
      <c r="J105" s="1244">
        <v>24133</v>
      </c>
      <c r="K105" s="1424">
        <f>K69/2+K93/2</f>
        <v>158.28734442764895</v>
      </c>
      <c r="L105" s="1239">
        <v>7</v>
      </c>
      <c r="M105" s="1348"/>
      <c r="N105" s="1393">
        <f>+O105*0.05</f>
        <v>56.1</v>
      </c>
      <c r="O105" s="1405">
        <v>1122</v>
      </c>
      <c r="P105" s="1244">
        <v>1E-3</v>
      </c>
      <c r="Q105" s="1237"/>
      <c r="R105" s="552"/>
      <c r="S105" s="1405"/>
      <c r="T105" s="1240"/>
      <c r="U105" s="552">
        <v>0.46</v>
      </c>
      <c r="V105" s="549">
        <v>5</v>
      </c>
      <c r="W105" s="1530">
        <f t="array" ref="W105">INDEX(EMIS_factors!$G$6:$O$152,MATCH($F105&amp;$AB105,EMIS_factors!$E$6:$E$152&amp;EMIS_factors!$D$6:$D$152,0),MATCH(RIGHT(W$3,6),EMIS_factors!$G$4:$O$4,0))</f>
        <v>2.5075742983615701E-4</v>
      </c>
      <c r="X105" s="1530">
        <f t="array" ref="X105">INDEX(EMIS_factors!$G$6:$O$152,MATCH($F105&amp;$AB105,EMIS_factors!$E$6:$E$152&amp;EMIS_factors!$D$6:$D$152,0),MATCH(RIGHT(X$3,6),EMIS_factors!$G$4:$O$4,0))</f>
        <v>0.55110436847006916</v>
      </c>
      <c r="Y105" s="1530">
        <f t="array" ref="Y105">INDEX(EMIS_factors!$G$6:$O$152,MATCH($F105&amp;$AB105,EMIS_factors!$E$6:$E$152&amp;EMIS_factors!$D$6:$D$152,0),MATCH(RIGHT(Y$3,6),EMIS_factors!$G$4:$O$4,0))</f>
        <v>1.4829754890210707E-3</v>
      </c>
      <c r="Z105" s="1530">
        <f t="array" ref="Z105">INDEX(EMIS_factors!$G$6:$O$152,MATCH($F105&amp;$AB105,EMIS_factors!$E$6:$E$152&amp;EMIS_factors!$D$6:$D$152,0),MATCH(RIGHT(Z$3,6),EMIS_factors!$G$4:$O$4,0))</f>
        <v>182.98005976593151</v>
      </c>
      <c r="AB105" s="526" t="s">
        <v>1489</v>
      </c>
    </row>
    <row r="106" spans="2:28">
      <c r="B106" s="42"/>
      <c r="C106" s="534" t="str">
        <f>C46</f>
        <v>TRADSBL3</v>
      </c>
      <c r="E106" s="531" t="s">
        <v>1305</v>
      </c>
      <c r="F106" s="531"/>
      <c r="G106" s="552"/>
      <c r="H106" s="549">
        <v>0.5</v>
      </c>
      <c r="I106" s="1237"/>
      <c r="J106" s="1237"/>
      <c r="K106" s="1424">
        <f>K70/2+K94/2</f>
        <v>173.45324442764894</v>
      </c>
      <c r="L106" s="1237"/>
      <c r="N106" s="1393"/>
      <c r="O106" s="1405"/>
      <c r="P106" s="1244"/>
      <c r="Q106" s="1237"/>
      <c r="R106" s="552"/>
      <c r="S106" s="1405"/>
      <c r="T106" s="1243"/>
      <c r="U106" s="552">
        <v>0.28999999999999998</v>
      </c>
      <c r="V106" s="549">
        <v>5</v>
      </c>
      <c r="W106" s="1530"/>
      <c r="X106" s="1530"/>
      <c r="Y106" s="1530"/>
      <c r="Z106" s="1530"/>
      <c r="AB106" s="526" t="s">
        <v>1489</v>
      </c>
    </row>
    <row r="107" spans="2:28">
      <c r="B107" s="42"/>
      <c r="C107" s="42"/>
      <c r="E107" s="1247" t="s">
        <v>1306</v>
      </c>
      <c r="F107" s="531"/>
      <c r="G107" s="1244"/>
      <c r="I107" s="1237"/>
      <c r="J107" s="552"/>
      <c r="K107" s="1424">
        <f>K71/2+K95/2</f>
        <v>185.59144442764895</v>
      </c>
      <c r="L107" s="552"/>
      <c r="M107" s="1348"/>
      <c r="N107" s="1393"/>
      <c r="O107" s="1405"/>
      <c r="P107" s="1244"/>
      <c r="Q107" s="1237"/>
      <c r="R107" s="552"/>
      <c r="S107" s="1405"/>
      <c r="T107" s="1243"/>
      <c r="U107" s="1231">
        <v>0.05</v>
      </c>
      <c r="V107" s="1231">
        <v>5</v>
      </c>
      <c r="W107" s="1530"/>
      <c r="X107" s="1530"/>
      <c r="Y107" s="1530"/>
      <c r="Z107" s="1530"/>
      <c r="AB107" s="526" t="s">
        <v>1489</v>
      </c>
    </row>
    <row r="108" spans="2:28">
      <c r="B108" s="550" t="str">
        <f>"TFTI"&amp;MID(C108,4,3)&amp;MID(C109,4,2)&amp;"3N"</f>
        <v>TFTIELCDS3N</v>
      </c>
      <c r="C108" s="534" t="str">
        <f>C48</f>
        <v>TRAELCEV</v>
      </c>
      <c r="E108" s="531" t="s">
        <v>1304</v>
      </c>
      <c r="F108" s="552">
        <v>2020</v>
      </c>
      <c r="G108" s="1244" t="s">
        <v>1284</v>
      </c>
      <c r="H108" s="549">
        <v>0.5</v>
      </c>
      <c r="I108" s="1237">
        <v>10.82</v>
      </c>
      <c r="J108" s="1244">
        <v>89670</v>
      </c>
      <c r="K108" s="1424">
        <f>K75/2+K96/2</f>
        <v>93.274243521175833</v>
      </c>
      <c r="L108" s="1239">
        <v>7</v>
      </c>
      <c r="M108" s="1348"/>
      <c r="N108" s="1404">
        <f>0.05*O108</f>
        <v>108.36343741935485</v>
      </c>
      <c r="O108" s="1392">
        <v>2167.2687483870968</v>
      </c>
      <c r="P108" s="1244">
        <v>1E-3</v>
      </c>
      <c r="Q108" s="1238"/>
      <c r="R108" s="1238"/>
      <c r="S108" s="1405"/>
      <c r="T108" s="1240"/>
      <c r="U108" s="552">
        <v>0.46</v>
      </c>
      <c r="V108" s="549">
        <v>5</v>
      </c>
      <c r="W108" s="1530">
        <f t="array" ref="W108">INDEX(EMIS_factors!$G$6:$O$152,MATCH($F108&amp;$AB108,EMIS_factors!$E$6:$E$152&amp;EMIS_factors!$D$6:$D$152,0),MATCH(RIGHT(W$3,6),EMIS_factors!$G$4:$O$4,0))</f>
        <v>2.4776650935430598E-4</v>
      </c>
      <c r="X108" s="1530">
        <f t="array" ref="X108">INDEX(EMIS_factors!$G$6:$O$152,MATCH($F108&amp;$AB108,EMIS_factors!$E$6:$E$152&amp;EMIS_factors!$D$6:$D$152,0),MATCH(RIGHT(X$3,6),EMIS_factors!$G$4:$O$4,0))</f>
        <v>1.7917753944774433</v>
      </c>
      <c r="Y108" s="1530">
        <f t="array" ref="Y108">INDEX(EMIS_factors!$G$6:$O$152,MATCH($F108&amp;$AB108,EMIS_factors!$E$6:$E$152&amp;EMIS_factors!$D$6:$D$152,0),MATCH(RIGHT(Y$3,6),EMIS_factors!$G$4:$O$4,0))</f>
        <v>4.2576585260129772E-3</v>
      </c>
      <c r="Z108" s="1530">
        <f t="array" ref="Z108">INDEX(EMIS_factors!$G$6:$O$152,MATCH($F108&amp;$AB108,EMIS_factors!$E$6:$E$152&amp;EMIS_factors!$D$6:$D$152,0),MATCH(RIGHT(Z$3,6),EMIS_factors!$G$4:$O$4,0))</f>
        <v>185.02351552780914</v>
      </c>
      <c r="AB108" s="526" t="s">
        <v>1489</v>
      </c>
    </row>
    <row r="109" spans="2:28">
      <c r="B109" s="531"/>
      <c r="C109" s="534" t="str">
        <f>C49</f>
        <v>TRADSBL3</v>
      </c>
      <c r="E109" s="531" t="s">
        <v>1305</v>
      </c>
      <c r="F109" s="552"/>
      <c r="G109" s="552"/>
      <c r="H109" s="549">
        <v>0.5</v>
      </c>
      <c r="I109" s="1237"/>
      <c r="J109" s="1237"/>
      <c r="K109" s="1424">
        <f>K76/2+K97/2</f>
        <v>101.95321603890633</v>
      </c>
      <c r="L109" s="1237"/>
      <c r="N109" s="1393"/>
      <c r="O109" s="1405"/>
      <c r="P109" s="1244"/>
      <c r="Q109" s="1237"/>
      <c r="R109" s="552"/>
      <c r="S109" s="1405"/>
      <c r="T109" s="1243"/>
      <c r="U109" s="552">
        <v>0.28999999999999998</v>
      </c>
      <c r="V109" s="549">
        <v>5</v>
      </c>
      <c r="W109" s="1530"/>
      <c r="X109" s="1530"/>
      <c r="Y109" s="1530"/>
      <c r="Z109" s="1530"/>
      <c r="AB109" s="526" t="s">
        <v>1489</v>
      </c>
    </row>
    <row r="110" spans="2:28">
      <c r="B110" s="531"/>
      <c r="C110" s="531"/>
      <c r="E110" s="1247" t="s">
        <v>1306</v>
      </c>
      <c r="F110" s="531"/>
      <c r="G110" s="552"/>
      <c r="I110" s="1237"/>
      <c r="J110" s="1237"/>
      <c r="K110" s="1424">
        <f>K77/2+K98/2</f>
        <v>108.89296905309072</v>
      </c>
      <c r="L110" s="1237"/>
      <c r="N110" s="1393"/>
      <c r="O110" s="1405"/>
      <c r="P110" s="1244"/>
      <c r="Q110" s="1237"/>
      <c r="R110" s="552"/>
      <c r="S110" s="1405"/>
      <c r="T110" s="1243"/>
      <c r="U110" s="1231">
        <v>0.05</v>
      </c>
      <c r="V110" s="1231">
        <v>5</v>
      </c>
      <c r="W110" s="1530"/>
      <c r="X110" s="1530"/>
      <c r="Y110" s="1530"/>
      <c r="Z110" s="1530"/>
      <c r="AB110" s="526" t="s">
        <v>1489</v>
      </c>
    </row>
    <row r="111" spans="2:28">
      <c r="B111" s="552"/>
      <c r="C111" s="534" t="str">
        <f>C51</f>
        <v>TRAELCEV</v>
      </c>
      <c r="E111" s="531" t="s">
        <v>1304</v>
      </c>
      <c r="F111" s="552">
        <v>2030</v>
      </c>
      <c r="G111" s="1244" t="s">
        <v>1284</v>
      </c>
      <c r="H111" s="549">
        <v>0.5</v>
      </c>
      <c r="I111" s="1237">
        <v>10.82</v>
      </c>
      <c r="J111" s="1244">
        <v>89670</v>
      </c>
      <c r="K111" s="1424">
        <f>K78/2+K99/2</f>
        <v>103.96704978004468</v>
      </c>
      <c r="L111" s="1239">
        <v>7</v>
      </c>
      <c r="M111" s="1348"/>
      <c r="N111" s="1393">
        <f>+O111*0.05</f>
        <v>100.95</v>
      </c>
      <c r="O111" s="1392">
        <v>2019</v>
      </c>
      <c r="P111" s="1244">
        <v>1E-3</v>
      </c>
      <c r="Q111" s="1244"/>
      <c r="R111" s="552"/>
      <c r="S111" s="1405"/>
      <c r="T111" s="1240"/>
      <c r="U111" s="552">
        <v>0.46</v>
      </c>
      <c r="V111" s="549">
        <v>5</v>
      </c>
      <c r="W111" s="1530">
        <f t="array" ref="W111">INDEX(EMIS_factors!$G$6:$O$152,MATCH($F111&amp;$AB111,EMIS_factors!$E$6:$E$152&amp;EMIS_factors!$D$6:$D$152,0),MATCH(RIGHT(W$3,6),EMIS_factors!$G$4:$O$4,0))</f>
        <v>2.5075742983615701E-4</v>
      </c>
      <c r="X111" s="1530">
        <f t="array" ref="X111">INDEX(EMIS_factors!$G$6:$O$152,MATCH($F111&amp;$AB111,EMIS_factors!$E$6:$E$152&amp;EMIS_factors!$D$6:$D$152,0),MATCH(RIGHT(X$3,6),EMIS_factors!$G$4:$O$4,0))</f>
        <v>0.55110436847006916</v>
      </c>
      <c r="Y111" s="1530">
        <f t="array" ref="Y111">INDEX(EMIS_factors!$G$6:$O$152,MATCH($F111&amp;$AB111,EMIS_factors!$E$6:$E$152&amp;EMIS_factors!$D$6:$D$152,0),MATCH(RIGHT(Y$3,6),EMIS_factors!$G$4:$O$4,0))</f>
        <v>1.4829754890210707E-3</v>
      </c>
      <c r="Z111" s="1530">
        <f t="array" ref="Z111">INDEX(EMIS_factors!$G$6:$O$152,MATCH($F111&amp;$AB111,EMIS_factors!$E$6:$E$152&amp;EMIS_factors!$D$6:$D$152,0),MATCH(RIGHT(Z$3,6),EMIS_factors!$G$4:$O$4,0))</f>
        <v>182.98005976593151</v>
      </c>
      <c r="AB111" s="526" t="s">
        <v>1489</v>
      </c>
    </row>
    <row r="112" spans="2:28">
      <c r="B112" s="552"/>
      <c r="C112" s="534" t="str">
        <f>C52</f>
        <v>TRADSBL3</v>
      </c>
      <c r="E112" s="531" t="s">
        <v>1305</v>
      </c>
      <c r="F112" s="552"/>
      <c r="G112" s="552"/>
      <c r="H112" s="549">
        <v>0.5</v>
      </c>
      <c r="I112" s="1237"/>
      <c r="J112" s="1237"/>
      <c r="K112" s="1424">
        <f>K79/2+K100/2</f>
        <v>114.00229978004467</v>
      </c>
      <c r="L112" s="1237"/>
      <c r="M112" s="1348"/>
      <c r="N112" s="1393"/>
      <c r="O112" s="1392"/>
      <c r="P112" s="1244"/>
      <c r="Q112" s="1244"/>
      <c r="R112" s="552"/>
      <c r="S112" s="1405"/>
      <c r="T112" s="1243"/>
      <c r="U112" s="552">
        <v>0.28999999999999998</v>
      </c>
      <c r="V112" s="549">
        <v>5</v>
      </c>
      <c r="W112" s="1530"/>
      <c r="X112" s="1530"/>
      <c r="Y112" s="1530"/>
      <c r="Z112" s="1530"/>
      <c r="AB112" s="526" t="s">
        <v>1489</v>
      </c>
    </row>
    <row r="113" spans="2:28">
      <c r="B113" s="552"/>
      <c r="C113" s="531"/>
      <c r="E113" s="1247" t="s">
        <v>1306</v>
      </c>
      <c r="F113" s="531"/>
      <c r="G113" s="552"/>
      <c r="J113" s="1237"/>
      <c r="K113" s="1424">
        <f>K80/2+K101/2</f>
        <v>122.02364978004466</v>
      </c>
      <c r="L113" s="1237"/>
      <c r="M113" s="1348"/>
      <c r="N113" s="1393"/>
      <c r="O113" s="1392"/>
      <c r="P113" s="1244"/>
      <c r="Q113" s="1244"/>
      <c r="R113" s="552"/>
      <c r="S113" s="1392"/>
      <c r="T113" s="1243"/>
      <c r="U113" s="1231">
        <v>0.05</v>
      </c>
      <c r="V113" s="1231">
        <v>5</v>
      </c>
      <c r="W113" s="1530"/>
      <c r="X113" s="1530"/>
      <c r="Y113" s="1530"/>
      <c r="Z113" s="1530"/>
      <c r="AB113" s="526" t="s">
        <v>1489</v>
      </c>
    </row>
    <row r="114" spans="2:28">
      <c r="B114" s="550" t="str">
        <f>"TFTI"&amp;MID(C114,4,3)&amp;MID(C115,4,2)&amp;"2N"</f>
        <v>TFTIH2C2N</v>
      </c>
      <c r="C114" s="534" t="str">
        <f>C54</f>
        <v>TRAH2C</v>
      </c>
      <c r="E114" s="531" t="s">
        <v>1304</v>
      </c>
      <c r="F114" s="531">
        <v>2020</v>
      </c>
      <c r="G114" s="1237" t="s">
        <v>519</v>
      </c>
      <c r="I114" s="1237">
        <v>3.45</v>
      </c>
      <c r="J114" s="1244">
        <v>24133</v>
      </c>
      <c r="K114" s="1340">
        <f t="shared" ref="K114:K125" si="1">K90*$AF$132</f>
        <v>143.27254427881195</v>
      </c>
      <c r="L114" s="1237">
        <v>7</v>
      </c>
      <c r="M114" s="1239"/>
      <c r="N114" s="1392">
        <f>0.05*O114</f>
        <v>63.300000000000004</v>
      </c>
      <c r="O114" s="1392">
        <v>1266</v>
      </c>
      <c r="P114" s="1237">
        <v>1E-3</v>
      </c>
      <c r="Q114" s="1238"/>
      <c r="R114" s="1238"/>
      <c r="S114" s="1392"/>
      <c r="T114" s="1243"/>
      <c r="U114" s="552">
        <v>0.46</v>
      </c>
      <c r="V114" s="549">
        <v>5</v>
      </c>
      <c r="W114" s="1530">
        <f t="array" ref="W114">INDEX(EMIS_factors!$G$6:$O$152,MATCH($F114&amp;$AB114,EMIS_factors!$E$6:$E$152&amp;EMIS_factors!$D$6:$D$152,0),MATCH(RIGHT(W$3,6),EMIS_factors!$G$4:$O$4,0))</f>
        <v>0</v>
      </c>
      <c r="X114" s="1530">
        <f t="array" ref="X114">INDEX(EMIS_factors!$G$6:$O$152,MATCH($F114&amp;$AB114,EMIS_factors!$E$6:$E$152&amp;EMIS_factors!$D$6:$D$152,0),MATCH(RIGHT(X$3,6),EMIS_factors!$G$4:$O$4,0))</f>
        <v>0</v>
      </c>
      <c r="Y114" s="1530">
        <f t="array" ref="Y114">INDEX(EMIS_factors!$G$6:$O$152,MATCH($F114&amp;$AB114,EMIS_factors!$E$6:$E$152&amp;EMIS_factors!$D$6:$D$152,0),MATCH(RIGHT(Y$3,6),EMIS_factors!$G$4:$O$4,0))</f>
        <v>0</v>
      </c>
      <c r="Z114" s="1530">
        <f t="array" ref="Z114">INDEX(EMIS_factors!$G$6:$O$152,MATCH($F114&amp;$AB114,EMIS_factors!$E$6:$E$152&amp;EMIS_factors!$D$6:$D$152,0),MATCH(RIGHT(Z$3,6),EMIS_factors!$G$4:$O$4,0))</f>
        <v>174.0383943909471</v>
      </c>
      <c r="AB114" s="526" t="s">
        <v>1472</v>
      </c>
    </row>
    <row r="115" spans="2:28">
      <c r="B115" s="552"/>
      <c r="C115" s="534"/>
      <c r="E115" s="531" t="s">
        <v>1305</v>
      </c>
      <c r="F115" s="531"/>
      <c r="G115" s="1237"/>
      <c r="I115" s="1237"/>
      <c r="J115" s="1244"/>
      <c r="K115" s="1340">
        <f t="shared" si="1"/>
        <v>143.27254427881195</v>
      </c>
      <c r="L115" s="1237"/>
      <c r="M115" s="1239"/>
      <c r="N115" s="1392"/>
      <c r="O115" s="1392"/>
      <c r="P115" s="1237"/>
      <c r="Q115" s="1238"/>
      <c r="R115" s="1238"/>
      <c r="S115" s="1392"/>
      <c r="T115" s="1243"/>
      <c r="U115" s="552">
        <v>0.28999999999999998</v>
      </c>
      <c r="V115" s="549">
        <v>5</v>
      </c>
      <c r="W115" s="1530"/>
      <c r="X115" s="1530"/>
      <c r="Y115" s="1530"/>
      <c r="Z115" s="1530"/>
      <c r="AB115" s="526" t="s">
        <v>1472</v>
      </c>
    </row>
    <row r="116" spans="2:28">
      <c r="B116" s="1231"/>
      <c r="C116" s="1246"/>
      <c r="D116" s="1231"/>
      <c r="E116" s="1247" t="s">
        <v>1306</v>
      </c>
      <c r="F116" s="1247"/>
      <c r="G116" s="1249"/>
      <c r="H116" s="1231"/>
      <c r="I116" s="1249"/>
      <c r="J116" s="1249"/>
      <c r="K116" s="1340">
        <f t="shared" si="1"/>
        <v>143.27254427881195</v>
      </c>
      <c r="L116" s="1249"/>
      <c r="M116" s="1252"/>
      <c r="N116" s="1394"/>
      <c r="O116" s="1394"/>
      <c r="P116" s="1249"/>
      <c r="Q116" s="1250"/>
      <c r="R116" s="1250"/>
      <c r="S116" s="1394"/>
      <c r="T116" s="1249"/>
      <c r="U116" s="1231">
        <v>0.05</v>
      </c>
      <c r="V116" s="1231">
        <v>5</v>
      </c>
      <c r="W116" s="1530"/>
      <c r="X116" s="1530"/>
      <c r="Y116" s="1530"/>
      <c r="Z116" s="1530"/>
      <c r="AB116" s="526" t="s">
        <v>1472</v>
      </c>
    </row>
    <row r="117" spans="2:28">
      <c r="B117" s="552"/>
      <c r="C117" s="534" t="str">
        <f>C57</f>
        <v>TRAH2C</v>
      </c>
      <c r="E117" s="531" t="s">
        <v>1304</v>
      </c>
      <c r="F117" s="531">
        <v>2030</v>
      </c>
      <c r="G117" s="1237" t="s">
        <v>519</v>
      </c>
      <c r="I117" s="1237">
        <v>3.45</v>
      </c>
      <c r="J117" s="1237">
        <v>24133</v>
      </c>
      <c r="K117" s="1340">
        <f t="shared" si="1"/>
        <v>156.17607108423832</v>
      </c>
      <c r="L117" s="1237">
        <v>7</v>
      </c>
      <c r="M117" s="1239"/>
      <c r="N117" s="1392">
        <f>+O117*0.05</f>
        <v>62.45</v>
      </c>
      <c r="O117" s="1392">
        <v>1249</v>
      </c>
      <c r="P117" s="1237">
        <v>1E-3</v>
      </c>
      <c r="Q117" s="1238"/>
      <c r="R117" s="1238"/>
      <c r="S117" s="1392"/>
      <c r="T117" s="1243"/>
      <c r="U117" s="552">
        <v>0.46</v>
      </c>
      <c r="V117" s="549">
        <v>5</v>
      </c>
      <c r="W117" s="1530">
        <f t="array" ref="W117">INDEX(EMIS_factors!$G$6:$O$152,MATCH($F117&amp;$AB117,EMIS_factors!$E$6:$E$152&amp;EMIS_factors!$D$6:$D$152,0),MATCH(RIGHT(W$3,6),EMIS_factors!$G$4:$O$4,0))</f>
        <v>0</v>
      </c>
      <c r="X117" s="1530">
        <f t="array" ref="X117">INDEX(EMIS_factors!$G$6:$O$152,MATCH($F117&amp;$AB117,EMIS_factors!$E$6:$E$152&amp;EMIS_factors!$D$6:$D$152,0),MATCH(RIGHT(X$3,6),EMIS_factors!$G$4:$O$4,0))</f>
        <v>0</v>
      </c>
      <c r="Y117" s="1530">
        <f t="array" ref="Y117">INDEX(EMIS_factors!$G$6:$O$152,MATCH($F117&amp;$AB117,EMIS_factors!$E$6:$E$152&amp;EMIS_factors!$D$6:$D$152,0),MATCH(RIGHT(Y$3,6),EMIS_factors!$G$4:$O$4,0))</f>
        <v>0</v>
      </c>
      <c r="Z117" s="1530">
        <f t="array" ref="Z117">INDEX(EMIS_factors!$G$6:$O$152,MATCH($F117&amp;$AB117,EMIS_factors!$E$6:$E$152&amp;EMIS_factors!$D$6:$D$152,0),MATCH(RIGHT(Z$3,6),EMIS_factors!$G$4:$O$4,0))</f>
        <v>176.20517963245305</v>
      </c>
      <c r="AB117" s="526" t="s">
        <v>1472</v>
      </c>
    </row>
    <row r="118" spans="2:28">
      <c r="B118" s="552"/>
      <c r="C118" s="534"/>
      <c r="E118" s="531" t="s">
        <v>1305</v>
      </c>
      <c r="F118" s="531"/>
      <c r="G118" s="1237"/>
      <c r="I118" s="1237"/>
      <c r="J118" s="1237"/>
      <c r="K118" s="1340">
        <f t="shared" si="1"/>
        <v>156.17607108423832</v>
      </c>
      <c r="L118" s="1237"/>
      <c r="M118" s="1239"/>
      <c r="N118" s="1392"/>
      <c r="O118" s="1392"/>
      <c r="P118" s="1237"/>
      <c r="Q118" s="1238"/>
      <c r="R118" s="1238"/>
      <c r="S118" s="1392"/>
      <c r="T118" s="1243"/>
      <c r="U118" s="552">
        <v>0.28999999999999998</v>
      </c>
      <c r="V118" s="549">
        <v>5</v>
      </c>
      <c r="W118" s="1530"/>
      <c r="X118" s="1530"/>
      <c r="Y118" s="1530"/>
      <c r="Z118" s="1530"/>
      <c r="AB118" s="526" t="s">
        <v>1472</v>
      </c>
    </row>
    <row r="119" spans="2:28">
      <c r="B119" s="552"/>
      <c r="C119" s="534"/>
      <c r="D119" s="1231"/>
      <c r="E119" s="1247" t="s">
        <v>1306</v>
      </c>
      <c r="F119" s="1247"/>
      <c r="G119" s="1249"/>
      <c r="H119" s="1231"/>
      <c r="I119" s="1249"/>
      <c r="J119" s="1249"/>
      <c r="K119" s="1340">
        <f t="shared" si="1"/>
        <v>156.17607108423832</v>
      </c>
      <c r="L119" s="1249"/>
      <c r="M119" s="1252"/>
      <c r="N119" s="1394"/>
      <c r="O119" s="1394"/>
      <c r="P119" s="1249"/>
      <c r="Q119" s="1250"/>
      <c r="R119" s="1250"/>
      <c r="S119" s="1394"/>
      <c r="T119" s="1249"/>
      <c r="U119" s="1231">
        <v>0.05</v>
      </c>
      <c r="V119" s="1231">
        <v>5</v>
      </c>
      <c r="W119" s="1530"/>
      <c r="X119" s="1530"/>
      <c r="Y119" s="1530"/>
      <c r="Z119" s="1530"/>
      <c r="AB119" s="526" t="s">
        <v>1472</v>
      </c>
    </row>
    <row r="120" spans="2:28">
      <c r="B120" s="550" t="str">
        <f>"TFTI"&amp;MID(C120,4,3)&amp;MID(C121,4,2)&amp;"3N"</f>
        <v>TFTIH2C3N</v>
      </c>
      <c r="C120" s="534" t="str">
        <f>C60</f>
        <v>TRAH2C</v>
      </c>
      <c r="E120" s="531" t="s">
        <v>1304</v>
      </c>
      <c r="F120" s="531">
        <v>2020</v>
      </c>
      <c r="G120" s="1237" t="s">
        <v>519</v>
      </c>
      <c r="I120" s="1237">
        <v>10.82</v>
      </c>
      <c r="J120" s="1244">
        <v>89670</v>
      </c>
      <c r="K120" s="1340">
        <f t="shared" si="1"/>
        <v>93.704325520406158</v>
      </c>
      <c r="L120" s="1237">
        <v>7</v>
      </c>
      <c r="M120" s="1239"/>
      <c r="N120" s="1392">
        <f>0.05*O120</f>
        <v>113.95</v>
      </c>
      <c r="O120" s="1392">
        <v>2279</v>
      </c>
      <c r="P120" s="1237">
        <v>1E-3</v>
      </c>
      <c r="Q120" s="1278"/>
      <c r="R120" s="1278"/>
      <c r="S120" s="1392"/>
      <c r="T120" s="1243"/>
      <c r="U120" s="552">
        <v>0.46</v>
      </c>
      <c r="V120" s="549">
        <v>5</v>
      </c>
      <c r="W120" s="1530">
        <f t="array" ref="W120">INDEX(EMIS_factors!$G$6:$O$152,MATCH($F120&amp;$AB120,EMIS_factors!$E$6:$E$152&amp;EMIS_factors!$D$6:$D$152,0),MATCH(RIGHT(W$3,6),EMIS_factors!$G$4:$O$4,0))</f>
        <v>0</v>
      </c>
      <c r="X120" s="1530">
        <f t="array" ref="X120">INDEX(EMIS_factors!$G$6:$O$152,MATCH($F120&amp;$AB120,EMIS_factors!$E$6:$E$152&amp;EMIS_factors!$D$6:$D$152,0),MATCH(RIGHT(X$3,6),EMIS_factors!$G$4:$O$4,0))</f>
        <v>0</v>
      </c>
      <c r="Y120" s="1530">
        <f t="array" ref="Y120">INDEX(EMIS_factors!$G$6:$O$152,MATCH($F120&amp;$AB120,EMIS_factors!$E$6:$E$152&amp;EMIS_factors!$D$6:$D$152,0),MATCH(RIGHT(Y$3,6),EMIS_factors!$G$4:$O$4,0))</f>
        <v>0</v>
      </c>
      <c r="Z120" s="1530">
        <f t="array" ref="Z120">INDEX(EMIS_factors!$G$6:$O$152,MATCH($F120&amp;$AB120,EMIS_factors!$E$6:$E$152&amp;EMIS_factors!$D$6:$D$152,0),MATCH(RIGHT(Z$3,6),EMIS_factors!$G$4:$O$4,0))</f>
        <v>174.0383943909471</v>
      </c>
      <c r="AB120" s="526" t="s">
        <v>1472</v>
      </c>
    </row>
    <row r="121" spans="2:28">
      <c r="B121" s="552"/>
      <c r="C121" s="534"/>
      <c r="E121" s="531" t="s">
        <v>1305</v>
      </c>
      <c r="F121" s="531"/>
      <c r="G121" s="1237"/>
      <c r="I121" s="1237"/>
      <c r="J121" s="1244"/>
      <c r="K121" s="1340">
        <f t="shared" si="1"/>
        <v>93.704325520406158</v>
      </c>
      <c r="L121" s="1237"/>
      <c r="M121" s="1239"/>
      <c r="N121" s="1392"/>
      <c r="O121" s="1392"/>
      <c r="P121" s="1237"/>
      <c r="Q121" s="1366"/>
      <c r="R121" s="1366"/>
      <c r="S121" s="1392"/>
      <c r="T121" s="1237"/>
      <c r="U121" s="552">
        <v>0.28999999999999998</v>
      </c>
      <c r="V121" s="549">
        <v>5</v>
      </c>
      <c r="W121" s="1530"/>
      <c r="X121" s="1530"/>
      <c r="Y121" s="1530"/>
      <c r="Z121" s="1530"/>
      <c r="AB121" s="526" t="s">
        <v>1472</v>
      </c>
    </row>
    <row r="122" spans="2:28">
      <c r="B122" s="1231"/>
      <c r="C122" s="1246"/>
      <c r="D122" s="1231"/>
      <c r="E122" s="1247" t="s">
        <v>1306</v>
      </c>
      <c r="F122" s="1247"/>
      <c r="G122" s="1248"/>
      <c r="H122" s="1231"/>
      <c r="I122" s="1249"/>
      <c r="J122" s="1248"/>
      <c r="K122" s="1340">
        <f t="shared" si="1"/>
        <v>93.704325520406158</v>
      </c>
      <c r="L122" s="1249"/>
      <c r="M122" s="1251"/>
      <c r="N122" s="1408"/>
      <c r="O122" s="1397"/>
      <c r="P122" s="1249"/>
      <c r="Q122" s="1250"/>
      <c r="R122" s="1250"/>
      <c r="S122" s="1397"/>
      <c r="T122" s="1249"/>
      <c r="U122" s="1231">
        <v>0.05</v>
      </c>
      <c r="V122" s="1231">
        <v>5</v>
      </c>
      <c r="W122" s="1530"/>
      <c r="X122" s="1530"/>
      <c r="Y122" s="1530"/>
      <c r="Z122" s="1530"/>
      <c r="AB122" s="526" t="s">
        <v>1472</v>
      </c>
    </row>
    <row r="123" spans="2:28">
      <c r="B123" s="552"/>
      <c r="C123" s="534" t="str">
        <f>C63</f>
        <v>TRAH2C</v>
      </c>
      <c r="E123" s="531" t="s">
        <v>1304</v>
      </c>
      <c r="F123" s="531">
        <v>2030</v>
      </c>
      <c r="G123" s="1244" t="s">
        <v>519</v>
      </c>
      <c r="I123" s="1237">
        <v>10.82</v>
      </c>
      <c r="J123" s="1237">
        <v>89670</v>
      </c>
      <c r="K123" s="1340">
        <f t="shared" si="1"/>
        <v>102.14359964807147</v>
      </c>
      <c r="L123" s="1237">
        <v>7</v>
      </c>
      <c r="M123" s="1348"/>
      <c r="N123" s="1393">
        <f>+O123*0.05</f>
        <v>112.4</v>
      </c>
      <c r="O123" s="1393">
        <v>2248</v>
      </c>
      <c r="P123" s="1237">
        <v>1E-3</v>
      </c>
      <c r="Q123" s="1237"/>
      <c r="R123" s="552"/>
      <c r="S123" s="1393"/>
      <c r="T123" s="1243"/>
      <c r="U123" s="552">
        <v>0.46</v>
      </c>
      <c r="V123" s="549">
        <v>5</v>
      </c>
      <c r="W123" s="1530">
        <f t="array" ref="W123">INDEX(EMIS_factors!$G$6:$O$152,MATCH($F123&amp;$AB123,EMIS_factors!$E$6:$E$152&amp;EMIS_factors!$D$6:$D$152,0),MATCH(RIGHT(W$3,6),EMIS_factors!$G$4:$O$4,0))</f>
        <v>0</v>
      </c>
      <c r="X123" s="1530">
        <f t="array" ref="X123">INDEX(EMIS_factors!$G$6:$O$152,MATCH($F123&amp;$AB123,EMIS_factors!$E$6:$E$152&amp;EMIS_factors!$D$6:$D$152,0),MATCH(RIGHT(X$3,6),EMIS_factors!$G$4:$O$4,0))</f>
        <v>0</v>
      </c>
      <c r="Y123" s="1530">
        <f t="array" ref="Y123">INDEX(EMIS_factors!$G$6:$O$152,MATCH($F123&amp;$AB123,EMIS_factors!$E$6:$E$152&amp;EMIS_factors!$D$6:$D$152,0),MATCH(RIGHT(Y$3,6),EMIS_factors!$G$4:$O$4,0))</f>
        <v>0</v>
      </c>
      <c r="Z123" s="1530">
        <f t="array" ref="Z123">INDEX(EMIS_factors!$G$6:$O$152,MATCH($F123&amp;$AB123,EMIS_factors!$E$6:$E$152&amp;EMIS_factors!$D$6:$D$152,0),MATCH(RIGHT(Z$3,6),EMIS_factors!$G$4:$O$4,0))</f>
        <v>176.20517963245305</v>
      </c>
      <c r="AB123" s="526" t="s">
        <v>1472</v>
      </c>
    </row>
    <row r="124" spans="2:28">
      <c r="B124" s="552"/>
      <c r="C124" s="552"/>
      <c r="E124" s="531" t="s">
        <v>1305</v>
      </c>
      <c r="F124" s="531"/>
      <c r="G124" s="1244"/>
      <c r="I124" s="552"/>
      <c r="J124" s="552"/>
      <c r="K124" s="1340">
        <f t="shared" si="1"/>
        <v>102.14359964807147</v>
      </c>
      <c r="L124" s="552"/>
      <c r="M124" s="1348"/>
      <c r="N124" s="1355"/>
      <c r="O124" s="531"/>
      <c r="P124" s="552"/>
      <c r="Q124" s="552"/>
      <c r="R124" s="552"/>
      <c r="S124" s="531"/>
      <c r="T124" s="1237"/>
      <c r="U124" s="552">
        <v>0.28999999999999998</v>
      </c>
      <c r="V124" s="549">
        <v>5</v>
      </c>
      <c r="W124" s="1530"/>
      <c r="X124" s="1530"/>
      <c r="Y124" s="1530"/>
      <c r="Z124" s="1530"/>
      <c r="AB124" s="526" t="s">
        <v>1472</v>
      </c>
    </row>
    <row r="125" spans="2:28">
      <c r="B125" s="1231"/>
      <c r="C125" s="1231"/>
      <c r="D125" s="1231"/>
      <c r="E125" s="1247" t="s">
        <v>1306</v>
      </c>
      <c r="F125" s="1247"/>
      <c r="G125" s="1248"/>
      <c r="H125" s="1231"/>
      <c r="I125" s="1231"/>
      <c r="J125" s="1231"/>
      <c r="K125" s="1340">
        <f t="shared" si="1"/>
        <v>102.14359964807147</v>
      </c>
      <c r="L125" s="1231"/>
      <c r="M125" s="1351"/>
      <c r="N125" s="1368"/>
      <c r="O125" s="1247"/>
      <c r="P125" s="1231"/>
      <c r="Q125" s="1231"/>
      <c r="R125" s="1231"/>
      <c r="S125" s="1409"/>
      <c r="T125" s="1249"/>
      <c r="U125" s="1231">
        <v>0.05</v>
      </c>
      <c r="V125" s="1231">
        <v>5</v>
      </c>
      <c r="W125" s="1530"/>
      <c r="X125" s="1530"/>
      <c r="Y125" s="1530"/>
      <c r="Z125" s="1530"/>
      <c r="AB125" s="526" t="s">
        <v>1472</v>
      </c>
    </row>
    <row r="126" spans="2:28">
      <c r="B126" s="552"/>
      <c r="C126" s="552"/>
      <c r="D126" s="531"/>
      <c r="E126" s="531"/>
      <c r="F126" s="1244"/>
      <c r="G126" s="552"/>
      <c r="H126" s="552"/>
      <c r="I126" s="1355"/>
      <c r="J126" s="552"/>
      <c r="K126" s="1348"/>
      <c r="L126" s="1355"/>
      <c r="M126" s="1369"/>
      <c r="N126" s="531"/>
      <c r="O126" s="531"/>
      <c r="P126" s="552"/>
      <c r="Q126" s="552"/>
      <c r="R126" s="552"/>
      <c r="S126" s="552"/>
      <c r="W126" s="1530"/>
      <c r="X126" s="1530"/>
      <c r="Y126" s="1530"/>
      <c r="Z126" s="1530"/>
      <c r="AB126" s="526"/>
    </row>
    <row r="127" spans="2:28">
      <c r="B127" s="552"/>
      <c r="C127" s="552"/>
      <c r="D127" s="531"/>
      <c r="E127" s="531"/>
      <c r="F127" s="1244"/>
      <c r="G127" s="552"/>
      <c r="H127" s="552"/>
      <c r="I127" s="1355"/>
      <c r="J127" s="552"/>
      <c r="K127" s="1348"/>
      <c r="L127" s="1355"/>
      <c r="M127" s="1369"/>
      <c r="N127" s="531"/>
      <c r="O127" s="531"/>
      <c r="P127" s="552"/>
      <c r="Q127" s="552"/>
      <c r="R127" s="552"/>
      <c r="S127" s="552"/>
      <c r="W127" s="1530"/>
      <c r="X127" s="1530"/>
      <c r="Y127" s="1530"/>
      <c r="Z127" s="1530"/>
      <c r="AB127" s="526"/>
    </row>
    <row r="128" spans="2:28">
      <c r="B128" s="552"/>
      <c r="C128" s="552"/>
      <c r="D128" s="531"/>
      <c r="E128" s="531"/>
      <c r="F128" s="1244"/>
      <c r="G128" s="552"/>
      <c r="H128" s="552"/>
      <c r="I128" s="1355"/>
      <c r="J128" s="552"/>
      <c r="K128" s="1348"/>
      <c r="L128" s="1355"/>
      <c r="M128" s="1369"/>
      <c r="N128" s="531"/>
      <c r="O128" s="531"/>
      <c r="P128" s="552"/>
      <c r="Q128" s="552"/>
      <c r="R128" s="552"/>
      <c r="S128" s="552"/>
      <c r="W128" s="1530"/>
      <c r="X128" s="1530"/>
      <c r="Y128" s="1530"/>
      <c r="Z128" s="1530"/>
      <c r="AB128" s="526"/>
    </row>
    <row r="129" spans="2:33">
      <c r="B129" s="552"/>
      <c r="C129" s="552"/>
      <c r="D129" s="531"/>
      <c r="E129" s="531"/>
      <c r="F129" s="1244"/>
      <c r="G129" s="552"/>
      <c r="H129" s="552"/>
      <c r="I129" s="1355"/>
      <c r="J129" s="552"/>
      <c r="K129" s="1348"/>
      <c r="L129" s="1355"/>
      <c r="M129" s="1369"/>
      <c r="N129" s="531"/>
      <c r="O129" s="531"/>
      <c r="P129" s="552"/>
      <c r="Q129" s="552"/>
      <c r="R129" s="552"/>
      <c r="S129" s="552"/>
      <c r="W129" s="1530"/>
      <c r="X129" s="1530"/>
      <c r="Y129" s="1530"/>
      <c r="Z129" s="1530"/>
      <c r="AB129" s="526"/>
    </row>
    <row r="130" spans="2:33">
      <c r="B130" s="552"/>
      <c r="C130" s="534"/>
      <c r="D130" s="531"/>
      <c r="E130" s="531"/>
      <c r="F130" s="1244"/>
      <c r="G130" s="1244"/>
      <c r="H130" s="1244"/>
      <c r="I130" s="1340"/>
      <c r="J130" s="1355"/>
      <c r="K130" s="1385"/>
      <c r="L130" s="1385"/>
      <c r="M130" s="1385"/>
      <c r="N130" s="1369"/>
      <c r="O130" s="1369"/>
      <c r="P130" s="1278"/>
      <c r="Q130" s="552"/>
      <c r="R130" s="1237"/>
      <c r="S130" s="1244"/>
      <c r="U130" s="1243"/>
      <c r="W130" s="1530"/>
      <c r="X130" s="1530"/>
      <c r="Y130" s="1530"/>
      <c r="Z130" s="1530"/>
      <c r="AB130" s="526"/>
    </row>
    <row r="131" spans="2:33">
      <c r="B131" s="552"/>
      <c r="C131" s="534"/>
      <c r="D131" s="531"/>
      <c r="E131" s="531"/>
      <c r="F131" s="1244"/>
      <c r="G131" s="1244"/>
      <c r="H131" s="1244"/>
      <c r="I131" s="1340"/>
      <c r="J131" s="1355"/>
      <c r="K131" s="1385"/>
      <c r="L131" s="1385"/>
      <c r="M131" s="1385"/>
      <c r="N131" s="1369"/>
      <c r="O131" s="1369"/>
      <c r="P131" s="1278"/>
      <c r="Q131" s="552"/>
      <c r="R131" s="1237"/>
      <c r="S131" s="1244"/>
      <c r="U131" s="1243"/>
      <c r="W131" s="1530"/>
      <c r="X131" s="1530"/>
      <c r="Y131" s="1530"/>
      <c r="Z131" s="1530"/>
      <c r="AB131" s="526"/>
    </row>
    <row r="132" spans="2:33">
      <c r="B132" s="536"/>
      <c r="C132" s="552"/>
      <c r="D132" s="531"/>
      <c r="E132" s="531"/>
      <c r="F132" s="531"/>
      <c r="G132" s="552"/>
      <c r="H132" s="552"/>
      <c r="I132" s="552"/>
      <c r="J132" s="552"/>
      <c r="K132" s="552"/>
      <c r="L132" s="1305"/>
      <c r="M132" s="539"/>
      <c r="N132" s="539"/>
      <c r="O132" s="552"/>
      <c r="P132" s="552"/>
      <c r="S132" s="552"/>
      <c r="W132" s="1530"/>
      <c r="X132" s="1530"/>
      <c r="Y132" s="1530"/>
      <c r="Z132" s="1530"/>
      <c r="AB132" s="526"/>
      <c r="AF132" s="549">
        <f>AF72</f>
        <v>0.8</v>
      </c>
      <c r="AG132" s="549" t="s">
        <v>1311</v>
      </c>
    </row>
    <row r="133" spans="2:33">
      <c r="B133" s="536"/>
      <c r="C133" s="552"/>
      <c r="D133" s="531"/>
      <c r="E133" s="531"/>
      <c r="F133" s="531"/>
      <c r="G133" s="552"/>
      <c r="H133" s="552"/>
      <c r="I133" s="552"/>
      <c r="J133" s="552"/>
      <c r="K133" s="552"/>
      <c r="L133" s="1305"/>
      <c r="M133" s="539"/>
      <c r="N133" s="539"/>
      <c r="O133" s="552"/>
      <c r="P133" s="552"/>
      <c r="S133" s="552"/>
      <c r="W133" s="1530"/>
      <c r="X133" s="1530"/>
      <c r="Y133" s="1530"/>
      <c r="Z133" s="1530"/>
      <c r="AB133" s="526"/>
    </row>
    <row r="134" spans="2:33">
      <c r="B134" s="536"/>
      <c r="C134" s="552"/>
      <c r="D134" s="531"/>
      <c r="E134" s="531"/>
      <c r="F134" s="531"/>
      <c r="G134" s="552"/>
      <c r="H134" s="552"/>
      <c r="I134" s="552"/>
      <c r="J134" s="552"/>
      <c r="K134" s="552"/>
      <c r="L134" s="1305"/>
      <c r="M134" s="539"/>
      <c r="N134" s="539"/>
      <c r="O134" s="552"/>
      <c r="P134" s="552"/>
      <c r="S134" s="552"/>
      <c r="W134" s="1530"/>
      <c r="X134" s="1530"/>
      <c r="Y134" s="1530"/>
      <c r="Z134" s="1530"/>
      <c r="AB134" s="526"/>
    </row>
    <row r="135" spans="2:33">
      <c r="F135" s="526"/>
      <c r="L135" s="1305"/>
      <c r="M135" s="519"/>
      <c r="W135" s="1530"/>
      <c r="X135" s="1530"/>
      <c r="Y135" s="1530"/>
      <c r="Z135" s="1530"/>
      <c r="AB135" s="526"/>
    </row>
    <row r="136" spans="2:33">
      <c r="B136" s="18" t="s">
        <v>62</v>
      </c>
      <c r="C136" s="18"/>
      <c r="D136" s="553"/>
      <c r="E136" s="553"/>
      <c r="F136" s="553"/>
      <c r="G136" s="553"/>
      <c r="H136" s="553"/>
      <c r="I136" s="553"/>
      <c r="J136" s="553"/>
      <c r="M136" s="1386"/>
      <c r="W136" s="1530"/>
      <c r="X136" s="1530"/>
      <c r="Y136" s="1530"/>
      <c r="Z136" s="1530"/>
      <c r="AB136" s="526"/>
    </row>
    <row r="137" spans="2:33" ht="13.8">
      <c r="B137" s="1267" t="s">
        <v>63</v>
      </c>
      <c r="C137" s="1267" t="s">
        <v>1</v>
      </c>
      <c r="D137" s="1267" t="s">
        <v>64</v>
      </c>
      <c r="E137" s="1267" t="s">
        <v>65</v>
      </c>
      <c r="F137" s="1267" t="s">
        <v>66</v>
      </c>
      <c r="G137" s="1267" t="s">
        <v>67</v>
      </c>
      <c r="H137" s="1267" t="s">
        <v>68</v>
      </c>
      <c r="I137" s="1267" t="s">
        <v>69</v>
      </c>
      <c r="L137" s="519"/>
      <c r="O137" s="552"/>
      <c r="W137" s="1530"/>
      <c r="X137" s="1530"/>
      <c r="Y137" s="1530"/>
      <c r="Z137" s="1530"/>
      <c r="AB137" s="526"/>
    </row>
    <row r="138" spans="2:33" ht="31.2" thickBot="1">
      <c r="B138" s="20" t="s">
        <v>70</v>
      </c>
      <c r="C138" s="20" t="s">
        <v>71</v>
      </c>
      <c r="D138" s="20" t="s">
        <v>72</v>
      </c>
      <c r="E138" s="20" t="s">
        <v>73</v>
      </c>
      <c r="F138" s="20" t="s">
        <v>74</v>
      </c>
      <c r="G138" s="20" t="s">
        <v>75</v>
      </c>
      <c r="H138" s="20" t="s">
        <v>76</v>
      </c>
      <c r="I138" s="20" t="s">
        <v>77</v>
      </c>
      <c r="L138" s="519"/>
      <c r="O138" s="552"/>
      <c r="W138" s="1530"/>
      <c r="X138" s="1530"/>
      <c r="Y138" s="1530"/>
      <c r="Z138" s="1530"/>
      <c r="AB138" s="526"/>
    </row>
    <row r="139" spans="2:33">
      <c r="B139" s="545" t="s">
        <v>78</v>
      </c>
      <c r="C139" s="553" t="str">
        <f>B6</f>
        <v>TFTDSBL22N</v>
      </c>
      <c r="D139" s="546" t="s">
        <v>1285</v>
      </c>
      <c r="E139" s="545" t="s">
        <v>86</v>
      </c>
      <c r="F139" s="547" t="s">
        <v>82</v>
      </c>
      <c r="G139" s="545"/>
      <c r="H139" s="545"/>
      <c r="I139" s="548"/>
      <c r="L139" s="519"/>
      <c r="O139" s="552"/>
      <c r="W139" s="1530"/>
      <c r="X139" s="1530"/>
      <c r="Y139" s="1530"/>
      <c r="Z139" s="1530"/>
      <c r="AB139" s="526"/>
    </row>
    <row r="140" spans="2:33">
      <c r="B140" s="545"/>
      <c r="C140" s="553" t="str">
        <f>B9</f>
        <v>TFTDSBL32N</v>
      </c>
      <c r="D140" s="553" t="str">
        <f>D139</f>
        <v xml:space="preserve">Transport Freight Short &amp; Medium Distance - 2axle DICI </v>
      </c>
      <c r="E140" s="545" t="s">
        <v>86</v>
      </c>
      <c r="F140" s="547" t="s">
        <v>82</v>
      </c>
      <c r="G140" s="545"/>
      <c r="H140" s="545"/>
      <c r="I140" s="548"/>
      <c r="L140" s="519"/>
      <c r="O140" s="552"/>
      <c r="W140" s="1530"/>
      <c r="X140" s="1530"/>
      <c r="Y140" s="1530"/>
      <c r="Z140" s="1530"/>
      <c r="AB140" s="526"/>
    </row>
    <row r="141" spans="2:33">
      <c r="B141" s="545"/>
      <c r="C141" s="553" t="str">
        <f>B12</f>
        <v>TFTDSBL42N</v>
      </c>
      <c r="D141" s="553" t="str">
        <f>D140</f>
        <v xml:space="preserve">Transport Freight Short &amp; Medium Distance - 2axle DICI </v>
      </c>
      <c r="E141" s="545" t="s">
        <v>86</v>
      </c>
      <c r="F141" s="547" t="s">
        <v>82</v>
      </c>
      <c r="G141" s="545"/>
      <c r="H141" s="545"/>
      <c r="I141" s="548"/>
      <c r="L141" s="519"/>
      <c r="O141" s="552"/>
      <c r="W141" s="1530"/>
      <c r="X141" s="1530"/>
      <c r="Y141" s="1530"/>
      <c r="Z141" s="1530"/>
      <c r="AB141" s="526"/>
    </row>
    <row r="142" spans="2:33">
      <c r="B142" s="57"/>
      <c r="C142" s="553" t="str">
        <f>B15</f>
        <v>TFTDSBL23N</v>
      </c>
      <c r="D142" s="546" t="s">
        <v>1286</v>
      </c>
      <c r="E142" s="545" t="s">
        <v>86</v>
      </c>
      <c r="F142" s="547" t="s">
        <v>82</v>
      </c>
      <c r="G142" s="553"/>
      <c r="H142" s="553"/>
      <c r="I142" s="548"/>
      <c r="L142" s="519"/>
      <c r="O142" s="552"/>
      <c r="W142" s="1530"/>
      <c r="X142" s="1530"/>
      <c r="Y142" s="1530"/>
      <c r="Z142" s="1530"/>
      <c r="AB142" s="526"/>
    </row>
    <row r="143" spans="2:33">
      <c r="B143" s="57"/>
      <c r="C143" s="553" t="str">
        <f>B18</f>
        <v>TFTDSBL33N</v>
      </c>
      <c r="D143" s="546" t="str">
        <f>D142</f>
        <v xml:space="preserve">Transport Freight Short &amp; Medium Distance - 3axle DICI </v>
      </c>
      <c r="E143" s="545" t="s">
        <v>86</v>
      </c>
      <c r="F143" s="547" t="s">
        <v>82</v>
      </c>
      <c r="G143" s="553"/>
      <c r="H143" s="553"/>
      <c r="I143" s="548"/>
      <c r="L143" s="519"/>
      <c r="O143" s="552"/>
      <c r="W143" s="1530"/>
      <c r="X143" s="1530"/>
      <c r="Y143" s="1530"/>
      <c r="Z143" s="1530"/>
      <c r="AB143" s="526"/>
    </row>
    <row r="144" spans="2:33">
      <c r="B144" s="57"/>
      <c r="C144" s="553" t="str">
        <f>B21</f>
        <v>TFTDSBL43N</v>
      </c>
      <c r="D144" s="546" t="str">
        <f>D143</f>
        <v xml:space="preserve">Transport Freight Short &amp; Medium Distance - 3axle DICI </v>
      </c>
      <c r="E144" s="545" t="s">
        <v>86</v>
      </c>
      <c r="F144" s="547" t="s">
        <v>82</v>
      </c>
      <c r="G144" s="553"/>
      <c r="H144" s="553"/>
      <c r="I144" s="548"/>
      <c r="L144" s="519"/>
      <c r="O144" s="552"/>
      <c r="W144" s="1530"/>
      <c r="X144" s="1530"/>
      <c r="Y144" s="1530"/>
      <c r="Z144" s="1530"/>
      <c r="AB144" s="526"/>
    </row>
    <row r="145" spans="2:28">
      <c r="B145" s="57"/>
      <c r="C145" s="553" t="str">
        <f>B24</f>
        <v>TFTNGB2N</v>
      </c>
      <c r="D145" s="546" t="s">
        <v>1287</v>
      </c>
      <c r="E145" s="545" t="s">
        <v>86</v>
      </c>
      <c r="F145" s="547" t="s">
        <v>82</v>
      </c>
      <c r="G145" s="553"/>
      <c r="H145" s="553"/>
      <c r="I145" s="548"/>
      <c r="L145" s="519"/>
      <c r="O145" s="552"/>
      <c r="W145" s="1530"/>
      <c r="X145" s="1530"/>
      <c r="Y145" s="1530"/>
      <c r="Z145" s="1530"/>
      <c r="AB145" s="526"/>
    </row>
    <row r="146" spans="2:28">
      <c r="B146" s="57"/>
      <c r="C146" s="553" t="str">
        <f>B27</f>
        <v>TFTNGB3N</v>
      </c>
      <c r="D146" s="546" t="s">
        <v>1288</v>
      </c>
      <c r="E146" s="545" t="s">
        <v>86</v>
      </c>
      <c r="F146" s="547" t="s">
        <v>82</v>
      </c>
      <c r="G146" s="553"/>
      <c r="H146" s="553"/>
      <c r="I146" s="548"/>
      <c r="L146" s="519"/>
      <c r="O146" s="552"/>
      <c r="W146" s="1530"/>
      <c r="X146" s="1530"/>
      <c r="Y146" s="1530"/>
      <c r="Z146" s="1530"/>
      <c r="AB146" s="526"/>
    </row>
    <row r="147" spans="2:28">
      <c r="B147" s="57"/>
      <c r="C147" s="553" t="str">
        <f>B30</f>
        <v>TFTELC2N</v>
      </c>
      <c r="D147" s="546" t="s">
        <v>1289</v>
      </c>
      <c r="E147" s="545" t="s">
        <v>86</v>
      </c>
      <c r="F147" s="547" t="s">
        <v>82</v>
      </c>
      <c r="G147" s="553"/>
      <c r="H147" s="553"/>
      <c r="I147" s="548"/>
      <c r="L147" s="519"/>
      <c r="O147" s="552"/>
      <c r="W147" s="1530"/>
      <c r="X147" s="1530"/>
      <c r="Y147" s="1530"/>
      <c r="Z147" s="1530"/>
      <c r="AB147" s="526"/>
    </row>
    <row r="148" spans="2:28">
      <c r="B148" s="57"/>
      <c r="C148" s="553" t="str">
        <f>B36</f>
        <v>TFTELC3N</v>
      </c>
      <c r="D148" s="546" t="s">
        <v>1290</v>
      </c>
      <c r="E148" s="545" t="s">
        <v>86</v>
      </c>
      <c r="F148" s="547" t="s">
        <v>82</v>
      </c>
      <c r="G148" s="553"/>
      <c r="H148" s="553"/>
      <c r="I148" s="548"/>
      <c r="L148" s="519"/>
      <c r="O148" s="552"/>
      <c r="W148" s="1530"/>
      <c r="X148" s="1530"/>
      <c r="Y148" s="1530"/>
      <c r="Z148" s="1530"/>
      <c r="AB148" s="526"/>
    </row>
    <row r="149" spans="2:28">
      <c r="C149" s="549" t="str">
        <f>B42</f>
        <v>TFTELCDS2N</v>
      </c>
      <c r="D149" s="546" t="s">
        <v>1291</v>
      </c>
      <c r="E149" s="545" t="s">
        <v>86</v>
      </c>
      <c r="F149" s="547" t="s">
        <v>82</v>
      </c>
      <c r="G149" s="547"/>
      <c r="I149" s="547"/>
      <c r="O149" s="552"/>
      <c r="W149" s="1530"/>
      <c r="X149" s="1530"/>
      <c r="Y149" s="1530"/>
      <c r="Z149" s="1530"/>
      <c r="AB149" s="526"/>
    </row>
    <row r="150" spans="2:28">
      <c r="C150" s="549" t="str">
        <f>B48</f>
        <v>TFTELCDS3N</v>
      </c>
      <c r="D150" s="546" t="s">
        <v>1292</v>
      </c>
      <c r="E150" s="545" t="s">
        <v>86</v>
      </c>
      <c r="F150" s="547" t="s">
        <v>82</v>
      </c>
      <c r="G150" s="547"/>
      <c r="I150" s="547"/>
      <c r="O150" s="552"/>
      <c r="W150" s="1530"/>
      <c r="X150" s="1530"/>
      <c r="Y150" s="1530"/>
      <c r="Z150" s="1530"/>
      <c r="AB150" s="526"/>
    </row>
    <row r="151" spans="2:28">
      <c r="C151" s="549" t="str">
        <f>B54</f>
        <v>TFTH2C2N</v>
      </c>
      <c r="D151" s="546" t="s">
        <v>1293</v>
      </c>
      <c r="E151" s="545" t="s">
        <v>86</v>
      </c>
      <c r="F151" s="547" t="s">
        <v>82</v>
      </c>
      <c r="O151" s="552"/>
      <c r="W151" s="1530"/>
      <c r="X151" s="1530"/>
      <c r="Y151" s="1530"/>
      <c r="Z151" s="1530"/>
      <c r="AB151" s="526"/>
    </row>
    <row r="152" spans="2:28">
      <c r="C152" s="549" t="str">
        <f>B60</f>
        <v>TFTH2C3N</v>
      </c>
      <c r="D152" s="546" t="s">
        <v>1293</v>
      </c>
      <c r="E152" s="545" t="s">
        <v>86</v>
      </c>
      <c r="F152" s="547" t="s">
        <v>82</v>
      </c>
      <c r="O152" s="552"/>
      <c r="W152" s="1530"/>
      <c r="X152" s="1530"/>
      <c r="Y152" s="1530"/>
      <c r="Z152" s="1530"/>
      <c r="AB152" s="526"/>
    </row>
    <row r="153" spans="2:28">
      <c r="B153" s="545" t="s">
        <v>78</v>
      </c>
      <c r="C153" s="553" t="str">
        <f>B66</f>
        <v>TFTIDSBL22N</v>
      </c>
      <c r="D153" s="546" t="s">
        <v>1294</v>
      </c>
      <c r="E153" s="545" t="s">
        <v>86</v>
      </c>
      <c r="F153" s="547" t="s">
        <v>82</v>
      </c>
      <c r="G153" s="545"/>
      <c r="H153" s="545"/>
      <c r="I153" s="548"/>
    </row>
    <row r="154" spans="2:28">
      <c r="B154" s="545"/>
      <c r="C154" s="553" t="str">
        <f>B69</f>
        <v>TFTIDSBL32N</v>
      </c>
      <c r="D154" s="546" t="str">
        <f>D153</f>
        <v xml:space="preserve">Transport Freight Short &amp; Medium International Distance - 2axle DICI </v>
      </c>
      <c r="E154" s="545" t="s">
        <v>86</v>
      </c>
      <c r="F154" s="547" t="s">
        <v>82</v>
      </c>
      <c r="G154" s="545"/>
      <c r="H154" s="545"/>
      <c r="I154" s="548"/>
    </row>
    <row r="155" spans="2:28">
      <c r="B155" s="545"/>
      <c r="C155" s="553" t="str">
        <f>B72</f>
        <v>TFTIDSBL42N</v>
      </c>
      <c r="D155" s="546" t="str">
        <f>D154</f>
        <v xml:space="preserve">Transport Freight Short &amp; Medium International Distance - 2axle DICI </v>
      </c>
      <c r="E155" s="545" t="s">
        <v>86</v>
      </c>
      <c r="F155" s="547" t="s">
        <v>82</v>
      </c>
      <c r="G155" s="545"/>
      <c r="H155" s="545"/>
      <c r="I155" s="548"/>
    </row>
    <row r="156" spans="2:28">
      <c r="B156" s="57"/>
      <c r="C156" s="553" t="str">
        <f>B75</f>
        <v>TFTIDSBL23N</v>
      </c>
      <c r="D156" s="546" t="s">
        <v>1295</v>
      </c>
      <c r="E156" s="545" t="s">
        <v>86</v>
      </c>
      <c r="F156" s="547" t="s">
        <v>82</v>
      </c>
      <c r="G156" s="553"/>
      <c r="H156" s="553"/>
      <c r="I156" s="548"/>
    </row>
    <row r="157" spans="2:28">
      <c r="B157" s="57"/>
      <c r="C157" s="553" t="str">
        <f>B78</f>
        <v>TFTIDSBL33N</v>
      </c>
      <c r="D157" s="546" t="str">
        <f>D156</f>
        <v xml:space="preserve">Transport Freight Short &amp; Medium International Distance - 3axle DICI </v>
      </c>
      <c r="E157" s="545" t="s">
        <v>86</v>
      </c>
      <c r="F157" s="547" t="s">
        <v>82</v>
      </c>
      <c r="G157" s="553"/>
      <c r="H157" s="553"/>
      <c r="I157" s="548"/>
    </row>
    <row r="158" spans="2:28">
      <c r="B158" s="57"/>
      <c r="C158" s="553" t="str">
        <f>B81</f>
        <v>TFTIDSBL43N</v>
      </c>
      <c r="D158" s="546" t="str">
        <f>D157</f>
        <v xml:space="preserve">Transport Freight Short &amp; Medium International Distance - 3axle DICI </v>
      </c>
      <c r="E158" s="545" t="s">
        <v>86</v>
      </c>
      <c r="F158" s="547" t="s">
        <v>82</v>
      </c>
      <c r="G158" s="553"/>
      <c r="H158" s="553"/>
      <c r="I158" s="548"/>
    </row>
    <row r="159" spans="2:28">
      <c r="B159" s="57"/>
      <c r="C159" s="553" t="str">
        <f>B84</f>
        <v>TFTINGB2N</v>
      </c>
      <c r="D159" s="546" t="s">
        <v>1296</v>
      </c>
      <c r="E159" s="545" t="s">
        <v>86</v>
      </c>
      <c r="F159" s="547" t="s">
        <v>82</v>
      </c>
      <c r="G159" s="553"/>
      <c r="H159" s="553"/>
      <c r="I159" s="548"/>
    </row>
    <row r="160" spans="2:28">
      <c r="B160" s="57"/>
      <c r="C160" s="553" t="str">
        <f>B87</f>
        <v>TFTINGB3N</v>
      </c>
      <c r="D160" s="546" t="s">
        <v>1297</v>
      </c>
      <c r="E160" s="545" t="s">
        <v>86</v>
      </c>
      <c r="F160" s="547" t="s">
        <v>82</v>
      </c>
      <c r="G160" s="553"/>
      <c r="H160" s="553"/>
      <c r="I160" s="548"/>
    </row>
    <row r="161" spans="2:9">
      <c r="B161" s="57"/>
      <c r="C161" s="553" t="str">
        <f>B90</f>
        <v>TFTIELC2N</v>
      </c>
      <c r="D161" s="546" t="s">
        <v>1298</v>
      </c>
      <c r="E161" s="545" t="s">
        <v>86</v>
      </c>
      <c r="F161" s="547" t="s">
        <v>82</v>
      </c>
      <c r="G161" s="553"/>
      <c r="H161" s="553"/>
      <c r="I161" s="548"/>
    </row>
    <row r="162" spans="2:9">
      <c r="B162" s="57"/>
      <c r="C162" s="553" t="str">
        <f>B96</f>
        <v>TFTIELC3N</v>
      </c>
      <c r="D162" s="546" t="s">
        <v>1299</v>
      </c>
      <c r="E162" s="545" t="s">
        <v>86</v>
      </c>
      <c r="F162" s="547" t="s">
        <v>82</v>
      </c>
      <c r="G162" s="553"/>
      <c r="H162" s="553"/>
      <c r="I162" s="548"/>
    </row>
    <row r="163" spans="2:9">
      <c r="C163" s="549" t="str">
        <f>B102</f>
        <v>TFTIELCDS2N</v>
      </c>
      <c r="D163" s="546" t="s">
        <v>1300</v>
      </c>
      <c r="E163" s="545" t="s">
        <v>86</v>
      </c>
      <c r="F163" s="547" t="s">
        <v>82</v>
      </c>
      <c r="G163" s="547"/>
      <c r="H163" s="547"/>
      <c r="I163" s="547"/>
    </row>
    <row r="164" spans="2:9">
      <c r="C164" s="549" t="str">
        <f>B108</f>
        <v>TFTIELCDS3N</v>
      </c>
      <c r="D164" s="546" t="s">
        <v>1301</v>
      </c>
      <c r="E164" s="545" t="s">
        <v>86</v>
      </c>
      <c r="F164" s="547" t="s">
        <v>82</v>
      </c>
      <c r="G164" s="547"/>
      <c r="H164" s="547"/>
      <c r="I164" s="547"/>
    </row>
    <row r="165" spans="2:9">
      <c r="C165" s="549" t="str">
        <f>B114</f>
        <v>TFTIH2C2N</v>
      </c>
      <c r="D165" s="546" t="s">
        <v>1302</v>
      </c>
      <c r="E165" s="545" t="s">
        <v>86</v>
      </c>
      <c r="F165" s="547" t="s">
        <v>82</v>
      </c>
    </row>
    <row r="166" spans="2:9">
      <c r="C166" s="549" t="str">
        <f>B120</f>
        <v>TFTIH2C3N</v>
      </c>
      <c r="D166" s="546" t="s">
        <v>1303</v>
      </c>
      <c r="E166" s="545" t="s">
        <v>86</v>
      </c>
      <c r="F166" s="547" t="s">
        <v>82</v>
      </c>
    </row>
  </sheetData>
  <pageMargins left="0.7" right="0.7" top="0.75" bottom="0.75" header="0.3" footer="0.3"/>
  <pageSetup paperSize="0" orientation="portrait" horizontalDpi="0" verticalDpi="0" copie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
    <tabColor rgb="FFFF0000"/>
  </sheetPr>
  <dimension ref="A1:W92"/>
  <sheetViews>
    <sheetView topLeftCell="A21" zoomScale="70" zoomScaleNormal="70" workbookViewId="0">
      <selection activeCell="G14" sqref="G14"/>
    </sheetView>
  </sheetViews>
  <sheetFormatPr defaultRowHeight="13.2"/>
  <cols>
    <col min="1" max="1" width="1.88671875" style="3" customWidth="1"/>
    <col min="2" max="2" width="13.33203125" style="3" bestFit="1" customWidth="1"/>
    <col min="3" max="3" width="13.44140625" bestFit="1" customWidth="1"/>
    <col min="4" max="4" width="50.44140625" bestFit="1" customWidth="1"/>
    <col min="5" max="5" width="16.88671875" bestFit="1" customWidth="1"/>
    <col min="6" max="6" width="12.6640625" customWidth="1"/>
    <col min="7" max="7" width="10" bestFit="1" customWidth="1"/>
    <col min="8" max="8" width="12.5546875" bestFit="1" customWidth="1"/>
    <col min="9" max="9" width="13.33203125" bestFit="1" customWidth="1"/>
    <col min="10" max="10" width="13.6640625" customWidth="1"/>
    <col min="11" max="11" width="12.44140625" bestFit="1" customWidth="1"/>
    <col min="12" max="13" width="10.33203125" bestFit="1" customWidth="1"/>
    <col min="14" max="14" width="9.6640625" bestFit="1" customWidth="1"/>
    <col min="15" max="15" width="12" customWidth="1"/>
    <col min="16" max="16" width="10.88671875" style="16" customWidth="1"/>
    <col min="17" max="17" width="10.44140625" bestFit="1" customWidth="1"/>
    <col min="18" max="18" width="6" bestFit="1" customWidth="1"/>
    <col min="19" max="19" width="11.33203125" bestFit="1" customWidth="1"/>
    <col min="20" max="21" width="14.88671875" bestFit="1" customWidth="1"/>
    <col min="23" max="23" width="17.109375" bestFit="1" customWidth="1"/>
    <col min="25" max="25" width="16" bestFit="1" customWidth="1"/>
  </cols>
  <sheetData>
    <row r="1" spans="1:20">
      <c r="N1" s="16"/>
      <c r="O1" s="16"/>
      <c r="P1"/>
    </row>
    <row r="2" spans="1:20">
      <c r="E2" s="1"/>
      <c r="H2" s="2"/>
      <c r="I2" t="s">
        <v>88</v>
      </c>
      <c r="J2" s="3"/>
      <c r="M2" s="5"/>
      <c r="N2" s="5"/>
      <c r="O2" s="5"/>
      <c r="P2"/>
    </row>
    <row r="3" spans="1:20" ht="27.6">
      <c r="C3" s="6" t="s">
        <v>1</v>
      </c>
      <c r="D3" s="6" t="s">
        <v>8</v>
      </c>
      <c r="E3" s="6" t="s">
        <v>2</v>
      </c>
      <c r="F3" s="6" t="s">
        <v>3</v>
      </c>
      <c r="G3" s="6" t="s">
        <v>28</v>
      </c>
      <c r="H3" s="6" t="s">
        <v>219</v>
      </c>
      <c r="I3" s="6" t="s">
        <v>5</v>
      </c>
      <c r="J3" s="6" t="s">
        <v>222</v>
      </c>
      <c r="K3" s="6" t="s">
        <v>9</v>
      </c>
      <c r="L3" s="6" t="s">
        <v>10</v>
      </c>
      <c r="M3" s="8" t="s">
        <v>6</v>
      </c>
      <c r="N3" s="15" t="s">
        <v>4</v>
      </c>
      <c r="O3" s="7" t="s">
        <v>7</v>
      </c>
      <c r="P3" s="43" t="s">
        <v>90</v>
      </c>
      <c r="Q3" s="16"/>
      <c r="R3" t="s">
        <v>221</v>
      </c>
      <c r="T3" s="58">
        <v>3</v>
      </c>
    </row>
    <row r="4" spans="1:20" ht="24.75" customHeight="1" thickBot="1">
      <c r="C4" s="4" t="s">
        <v>11</v>
      </c>
      <c r="D4" s="4"/>
      <c r="E4" s="4"/>
      <c r="F4" s="4"/>
      <c r="G4" s="4"/>
      <c r="H4" s="4" t="s">
        <v>218</v>
      </c>
      <c r="I4" s="4" t="s">
        <v>13</v>
      </c>
      <c r="J4" s="4" t="s">
        <v>223</v>
      </c>
      <c r="K4" s="4" t="s">
        <v>220</v>
      </c>
      <c r="L4" s="4" t="s">
        <v>14</v>
      </c>
      <c r="M4" s="4" t="s">
        <v>83</v>
      </c>
      <c r="N4" s="4" t="s">
        <v>12</v>
      </c>
      <c r="O4" s="4" t="s">
        <v>12</v>
      </c>
      <c r="P4" s="4" t="s">
        <v>91</v>
      </c>
      <c r="Q4" s="16"/>
      <c r="R4" s="28"/>
    </row>
    <row r="5" spans="1:20">
      <c r="C5" s="19" t="s">
        <v>879</v>
      </c>
      <c r="D5" s="526" t="s">
        <v>581</v>
      </c>
      <c r="E5" s="524" t="s">
        <v>224</v>
      </c>
      <c r="F5" s="549" t="s">
        <v>880</v>
      </c>
      <c r="G5" s="523">
        <v>2015</v>
      </c>
      <c r="H5" s="523" t="s">
        <v>519</v>
      </c>
      <c r="I5" s="523">
        <v>2012</v>
      </c>
      <c r="J5" s="523">
        <v>2019</v>
      </c>
      <c r="K5" s="535">
        <f>$V$26/'EU Lastbil'!$D$25</f>
        <v>0.76936323304341925</v>
      </c>
      <c r="L5" s="523">
        <v>6</v>
      </c>
      <c r="M5" s="540"/>
      <c r="N5" s="523">
        <v>156</v>
      </c>
      <c r="O5" s="527">
        <v>751.0189130831742</v>
      </c>
      <c r="P5" s="530">
        <v>5</v>
      </c>
      <c r="R5" s="1662" t="s">
        <v>84</v>
      </c>
      <c r="S5" s="1663"/>
      <c r="T5" s="1664"/>
    </row>
    <row r="6" spans="1:20">
      <c r="B6" s="19"/>
      <c r="C6" s="526"/>
      <c r="D6" s="526"/>
      <c r="E6" s="523"/>
      <c r="F6" s="533" t="s">
        <v>881</v>
      </c>
      <c r="G6" s="523"/>
      <c r="H6" s="523"/>
      <c r="I6" s="523"/>
      <c r="J6" s="523"/>
      <c r="K6" s="535">
        <f>$V$26/'EU Lastbil'!$D$25</f>
        <v>0.76936323304341925</v>
      </c>
      <c r="L6" s="523"/>
      <c r="M6" s="540"/>
      <c r="N6" s="523"/>
      <c r="O6" s="523"/>
      <c r="P6" s="530">
        <v>5</v>
      </c>
      <c r="R6" s="29" t="s">
        <v>85</v>
      </c>
      <c r="S6" s="52">
        <f>10^-3</f>
        <v>1E-3</v>
      </c>
      <c r="T6" s="53" t="s">
        <v>12</v>
      </c>
    </row>
    <row r="7" spans="1:20" s="486" customFormat="1">
      <c r="A7" s="3"/>
      <c r="B7" s="488"/>
      <c r="C7" s="526"/>
      <c r="D7" s="526"/>
      <c r="E7" s="523"/>
      <c r="F7" s="533" t="s">
        <v>882</v>
      </c>
      <c r="G7" s="523"/>
      <c r="H7" s="523"/>
      <c r="I7" s="523"/>
      <c r="J7" s="523"/>
      <c r="K7" s="535">
        <f>$V$26/'EU Lastbil'!$D$25</f>
        <v>0.76936323304341925</v>
      </c>
      <c r="L7" s="523"/>
      <c r="M7" s="540"/>
      <c r="N7" s="523"/>
      <c r="O7" s="523"/>
      <c r="P7" s="530">
        <v>5</v>
      </c>
    </row>
    <row r="8" spans="1:20" s="486" customFormat="1">
      <c r="A8" s="3"/>
      <c r="B8" s="488"/>
      <c r="C8" s="553" t="s">
        <v>883</v>
      </c>
      <c r="D8" s="526" t="s">
        <v>582</v>
      </c>
      <c r="E8" s="524" t="s">
        <v>225</v>
      </c>
      <c r="F8" s="549" t="s">
        <v>880</v>
      </c>
      <c r="G8" s="523">
        <v>2020</v>
      </c>
      <c r="H8" s="523" t="s">
        <v>519</v>
      </c>
      <c r="I8" s="523">
        <v>2020</v>
      </c>
      <c r="J8" s="523">
        <v>2034</v>
      </c>
      <c r="K8" s="535">
        <f>$V$26/'EU Lastbil'!$E$25</f>
        <v>0.84827228258633403</v>
      </c>
      <c r="L8" s="523">
        <v>6</v>
      </c>
      <c r="M8" s="540"/>
      <c r="N8" s="523">
        <v>156</v>
      </c>
      <c r="O8" s="527">
        <v>751.0189130831742</v>
      </c>
      <c r="P8" s="536">
        <v>5</v>
      </c>
    </row>
    <row r="9" spans="1:20">
      <c r="B9" s="19"/>
      <c r="C9" s="526"/>
      <c r="D9" s="526"/>
      <c r="E9" s="523"/>
      <c r="F9" s="533" t="s">
        <v>881</v>
      </c>
      <c r="G9" s="523"/>
      <c r="H9" s="523"/>
      <c r="I9" s="523"/>
      <c r="J9" s="523"/>
      <c r="K9" s="535">
        <f>$V$26/'EU Lastbil'!$E$25</f>
        <v>0.84827228258633403</v>
      </c>
      <c r="L9" s="523"/>
      <c r="M9" s="540"/>
      <c r="N9" s="523"/>
      <c r="O9" s="523"/>
      <c r="P9" s="536">
        <v>5</v>
      </c>
    </row>
    <row r="10" spans="1:20">
      <c r="B10" s="19"/>
      <c r="C10" s="531"/>
      <c r="D10" s="526"/>
      <c r="E10" s="523"/>
      <c r="F10" s="533" t="s">
        <v>882</v>
      </c>
      <c r="G10" s="523"/>
      <c r="H10" s="523"/>
      <c r="I10" s="523"/>
      <c r="J10" s="523"/>
      <c r="K10" s="535">
        <f>$V$26/'EU Lastbil'!$E$25</f>
        <v>0.84827228258633403</v>
      </c>
      <c r="L10" s="523"/>
      <c r="M10" s="540"/>
      <c r="N10" s="523"/>
      <c r="O10" s="523"/>
      <c r="P10" s="536">
        <v>5</v>
      </c>
    </row>
    <row r="11" spans="1:20">
      <c r="C11" s="553" t="s">
        <v>884</v>
      </c>
      <c r="D11" s="526" t="s">
        <v>583</v>
      </c>
      <c r="E11" s="524" t="s">
        <v>226</v>
      </c>
      <c r="F11" s="549" t="s">
        <v>880</v>
      </c>
      <c r="G11" s="523">
        <v>2035</v>
      </c>
      <c r="H11" s="523" t="s">
        <v>519</v>
      </c>
      <c r="I11" s="523">
        <v>2035</v>
      </c>
      <c r="J11" s="523"/>
      <c r="K11" s="535">
        <f>$V$26/'EU Lastbil'!$F$25</f>
        <v>0.97952358132462058</v>
      </c>
      <c r="L11" s="523">
        <v>6</v>
      </c>
      <c r="M11" s="540"/>
      <c r="N11" s="523">
        <v>156</v>
      </c>
      <c r="O11" s="527">
        <v>751.0189130831742</v>
      </c>
      <c r="P11" s="536">
        <v>5</v>
      </c>
    </row>
    <row r="12" spans="1:20" s="486" customFormat="1">
      <c r="A12" s="3"/>
      <c r="B12" s="3"/>
      <c r="C12" s="531"/>
      <c r="D12" s="526"/>
      <c r="E12" s="523"/>
      <c r="F12" s="533" t="s">
        <v>881</v>
      </c>
      <c r="G12" s="523"/>
      <c r="H12" s="523"/>
      <c r="I12" s="523"/>
      <c r="J12" s="523"/>
      <c r="K12" s="535">
        <f>$V$26/'EU Lastbil'!$F$25</f>
        <v>0.97952358132462058</v>
      </c>
      <c r="L12" s="523"/>
      <c r="M12" s="540"/>
      <c r="N12" s="523"/>
      <c r="O12" s="523"/>
      <c r="P12" s="536">
        <v>5</v>
      </c>
    </row>
    <row r="13" spans="1:20" s="486" customFormat="1">
      <c r="A13" s="3"/>
      <c r="B13" s="3"/>
      <c r="C13" s="537"/>
      <c r="D13" s="537"/>
      <c r="E13" s="525"/>
      <c r="F13" s="533" t="s">
        <v>882</v>
      </c>
      <c r="G13" s="523"/>
      <c r="H13" s="525"/>
      <c r="I13" s="523"/>
      <c r="J13" s="523"/>
      <c r="K13" s="535">
        <f>$V$26/'EU Lastbil'!$F$25</f>
        <v>0.97952358132462058</v>
      </c>
      <c r="L13" s="523"/>
      <c r="M13" s="540"/>
      <c r="N13" s="523"/>
      <c r="O13" s="523"/>
      <c r="P13" s="543">
        <v>5</v>
      </c>
    </row>
    <row r="14" spans="1:20" s="516" customFormat="1">
      <c r="A14" s="517"/>
      <c r="B14" s="517"/>
      <c r="C14" s="546" t="s">
        <v>952</v>
      </c>
      <c r="D14" s="526" t="s">
        <v>584</v>
      </c>
      <c r="E14" s="524" t="s">
        <v>520</v>
      </c>
      <c r="F14" s="549" t="s">
        <v>880</v>
      </c>
      <c r="G14" s="528">
        <v>2015</v>
      </c>
      <c r="H14" s="523" t="s">
        <v>519</v>
      </c>
      <c r="I14" s="528">
        <v>2012</v>
      </c>
      <c r="J14" s="528">
        <v>2019</v>
      </c>
      <c r="K14" s="538">
        <f>$V$26/'EU Lastbil Gas'!$D$25</f>
        <v>0.64788482782603718</v>
      </c>
      <c r="L14" s="528">
        <v>6</v>
      </c>
      <c r="M14" s="541"/>
      <c r="N14" s="528">
        <v>162</v>
      </c>
      <c r="O14" s="529">
        <v>829.97563889800006</v>
      </c>
      <c r="P14" s="536">
        <v>5</v>
      </c>
    </row>
    <row r="15" spans="1:20" s="516" customFormat="1">
      <c r="A15" s="517"/>
      <c r="B15" s="517"/>
      <c r="C15" s="531" t="s">
        <v>953</v>
      </c>
      <c r="D15" s="531"/>
      <c r="E15" s="523"/>
      <c r="F15" s="533" t="s">
        <v>881</v>
      </c>
      <c r="G15" s="523"/>
      <c r="H15" s="523"/>
      <c r="I15" s="523"/>
      <c r="J15" s="523"/>
      <c r="K15" s="539">
        <f>$V$26/'EU Lastbil Gas'!$D$25</f>
        <v>0.64788482782603718</v>
      </c>
      <c r="L15" s="523"/>
      <c r="M15" s="540"/>
      <c r="N15" s="523"/>
      <c r="O15" s="523"/>
      <c r="P15" s="536">
        <v>5</v>
      </c>
    </row>
    <row r="16" spans="1:20" s="516" customFormat="1">
      <c r="A16" s="517"/>
      <c r="B16" s="517"/>
      <c r="C16" s="481" t="s">
        <v>953</v>
      </c>
      <c r="D16" s="531"/>
      <c r="E16" s="523"/>
      <c r="F16" s="533" t="s">
        <v>882</v>
      </c>
      <c r="G16" s="523"/>
      <c r="H16" s="523"/>
      <c r="I16" s="523"/>
      <c r="J16" s="523"/>
      <c r="K16" s="539">
        <f>$V$26/'EU Lastbil Gas'!$D$25</f>
        <v>0.64788482782603718</v>
      </c>
      <c r="L16" s="523"/>
      <c r="M16" s="540"/>
      <c r="N16" s="523"/>
      <c r="O16" s="523"/>
      <c r="P16" s="536">
        <v>5</v>
      </c>
    </row>
    <row r="17" spans="1:23" s="516" customFormat="1">
      <c r="A17" s="517"/>
      <c r="B17" s="517"/>
      <c r="C17" s="546" t="s">
        <v>954</v>
      </c>
      <c r="D17" s="526" t="s">
        <v>585</v>
      </c>
      <c r="E17" s="524" t="s">
        <v>521</v>
      </c>
      <c r="F17" s="549" t="s">
        <v>880</v>
      </c>
      <c r="G17" s="530">
        <v>2020</v>
      </c>
      <c r="H17" s="523" t="s">
        <v>519</v>
      </c>
      <c r="I17" s="523">
        <v>2020</v>
      </c>
      <c r="J17" s="523">
        <v>2034</v>
      </c>
      <c r="K17" s="539">
        <f>$V$26/'EU Lastbil Gas'!$E$25</f>
        <v>0.75072097008890559</v>
      </c>
      <c r="L17" s="530">
        <v>6</v>
      </c>
      <c r="M17" s="542"/>
      <c r="N17" s="530">
        <v>162</v>
      </c>
      <c r="O17" s="532">
        <v>829.97563889800006</v>
      </c>
      <c r="P17" s="536">
        <v>5</v>
      </c>
    </row>
    <row r="18" spans="1:23" s="516" customFormat="1">
      <c r="A18" s="517"/>
      <c r="B18" s="517"/>
      <c r="C18" s="481" t="s">
        <v>953</v>
      </c>
      <c r="D18" s="526"/>
      <c r="E18" s="523"/>
      <c r="F18" s="533" t="s">
        <v>881</v>
      </c>
      <c r="G18" s="523"/>
      <c r="H18" s="523"/>
      <c r="I18" s="523"/>
      <c r="J18" s="523"/>
      <c r="K18" s="539">
        <f>$V$26/'EU Lastbil Gas'!$E$25</f>
        <v>0.75072097008890559</v>
      </c>
      <c r="L18" s="523"/>
      <c r="M18" s="540"/>
      <c r="N18" s="523"/>
      <c r="O18" s="523"/>
      <c r="P18" s="536">
        <v>5</v>
      </c>
    </row>
    <row r="19" spans="1:23" s="516" customFormat="1">
      <c r="A19" s="517"/>
      <c r="B19" s="517"/>
      <c r="C19" s="481" t="s">
        <v>953</v>
      </c>
      <c r="D19" s="526"/>
      <c r="E19" s="523"/>
      <c r="F19" s="533" t="s">
        <v>882</v>
      </c>
      <c r="G19" s="523"/>
      <c r="H19" s="523"/>
      <c r="I19" s="523"/>
      <c r="J19" s="523"/>
      <c r="K19" s="539">
        <f>$V$26/'EU Lastbil Gas'!$E$25</f>
        <v>0.75072097008890559</v>
      </c>
      <c r="L19" s="523"/>
      <c r="M19" s="540"/>
      <c r="N19" s="523"/>
      <c r="O19" s="523"/>
      <c r="P19" s="536">
        <v>5</v>
      </c>
    </row>
    <row r="20" spans="1:23" s="516" customFormat="1">
      <c r="A20" s="517"/>
      <c r="B20" s="517"/>
      <c r="C20" s="546" t="s">
        <v>955</v>
      </c>
      <c r="D20" s="526" t="s">
        <v>586</v>
      </c>
      <c r="E20" s="524" t="s">
        <v>522</v>
      </c>
      <c r="F20" s="549" t="s">
        <v>880</v>
      </c>
      <c r="G20" s="530">
        <v>2035</v>
      </c>
      <c r="H20" s="523" t="s">
        <v>519</v>
      </c>
      <c r="I20" s="523">
        <v>2035</v>
      </c>
      <c r="J20" s="523"/>
      <c r="K20" s="539">
        <f>$V$26/'EU Lastbil Gas'!$F$25</f>
        <v>0.9171902625130538</v>
      </c>
      <c r="L20" s="530">
        <v>6</v>
      </c>
      <c r="M20" s="542"/>
      <c r="N20" s="530">
        <v>162</v>
      </c>
      <c r="O20" s="532">
        <v>829.97563889800006</v>
      </c>
      <c r="P20" s="536">
        <v>5</v>
      </c>
    </row>
    <row r="21" spans="1:23" s="516" customFormat="1">
      <c r="A21" s="517"/>
      <c r="B21" s="517"/>
      <c r="C21" s="481" t="s">
        <v>953</v>
      </c>
      <c r="D21" s="526"/>
      <c r="E21" s="523"/>
      <c r="F21" s="533" t="s">
        <v>881</v>
      </c>
      <c r="G21" s="523"/>
      <c r="H21" s="523"/>
      <c r="I21" s="523"/>
      <c r="J21" s="523"/>
      <c r="K21" s="980">
        <f>$V$26/'EU Lastbil Gas'!$F$25</f>
        <v>0.9171902625130538</v>
      </c>
      <c r="L21" s="523"/>
      <c r="M21" s="540"/>
      <c r="N21" s="523"/>
      <c r="O21" s="523"/>
      <c r="P21" s="536">
        <v>5</v>
      </c>
    </row>
    <row r="22" spans="1:23" s="516" customFormat="1">
      <c r="A22" s="517"/>
      <c r="B22" s="517"/>
      <c r="C22" s="537" t="s">
        <v>953</v>
      </c>
      <c r="D22" s="537"/>
      <c r="E22" s="525"/>
      <c r="F22" s="533" t="s">
        <v>882</v>
      </c>
      <c r="G22" s="556"/>
      <c r="H22" s="556"/>
      <c r="I22" s="556"/>
      <c r="J22" s="556"/>
      <c r="K22" s="980">
        <f>$V$26/'EU Lastbil Gas'!$F$25</f>
        <v>0.9171902625130538</v>
      </c>
      <c r="L22" s="556"/>
      <c r="M22" s="557"/>
      <c r="N22" s="556"/>
      <c r="O22" s="558"/>
      <c r="P22" s="559">
        <v>5</v>
      </c>
    </row>
    <row r="23" spans="1:23" s="516" customFormat="1">
      <c r="A23" s="517"/>
      <c r="B23" s="517"/>
      <c r="C23" s="987" t="s">
        <v>885</v>
      </c>
      <c r="D23" s="988" t="s">
        <v>587</v>
      </c>
      <c r="E23" s="989" t="s">
        <v>224</v>
      </c>
      <c r="F23" s="988" t="s">
        <v>886</v>
      </c>
      <c r="G23" s="988">
        <v>2015</v>
      </c>
      <c r="H23" s="988" t="s">
        <v>499</v>
      </c>
      <c r="I23" s="988">
        <v>2012</v>
      </c>
      <c r="J23" s="990">
        <v>2019</v>
      </c>
      <c r="K23" s="981">
        <f>$V$28/'EU varebil diesel'!$D$25</f>
        <v>1.3461315769702502</v>
      </c>
      <c r="L23" s="990">
        <v>16</v>
      </c>
      <c r="M23" s="991">
        <v>4.1999999999999996E-4</v>
      </c>
      <c r="N23" s="990"/>
      <c r="O23" s="992">
        <f>'EU varebil diesel'!D31/1000</f>
        <v>182.255</v>
      </c>
      <c r="P23" s="988">
        <v>5</v>
      </c>
    </row>
    <row r="24" spans="1:23" s="516" customFormat="1">
      <c r="A24" s="517"/>
      <c r="B24" s="517"/>
      <c r="C24" s="987"/>
      <c r="D24" s="988"/>
      <c r="E24" s="988"/>
      <c r="F24" s="988" t="s">
        <v>887</v>
      </c>
      <c r="G24" s="988"/>
      <c r="H24" s="988"/>
      <c r="I24" s="988"/>
      <c r="J24" s="988"/>
      <c r="K24" s="980">
        <f>$V$28/'EU varebil diesel'!$D$25</f>
        <v>1.3461315769702502</v>
      </c>
      <c r="L24" s="988"/>
      <c r="M24" s="993"/>
      <c r="N24" s="988"/>
      <c r="O24" s="988"/>
      <c r="P24" s="988">
        <v>5</v>
      </c>
      <c r="S24" s="476" t="s">
        <v>787</v>
      </c>
      <c r="T24" s="476"/>
      <c r="U24" s="579"/>
      <c r="V24" s="476"/>
      <c r="W24" s="476"/>
    </row>
    <row r="25" spans="1:23" s="516" customFormat="1">
      <c r="A25" s="517"/>
      <c r="B25" s="517"/>
      <c r="C25" s="987" t="s">
        <v>888</v>
      </c>
      <c r="D25" s="988" t="s">
        <v>588</v>
      </c>
      <c r="E25" s="989" t="s">
        <v>225</v>
      </c>
      <c r="F25" s="988" t="s">
        <v>886</v>
      </c>
      <c r="G25" s="988">
        <v>2020</v>
      </c>
      <c r="H25" s="988" t="s">
        <v>499</v>
      </c>
      <c r="I25" s="988">
        <v>2020</v>
      </c>
      <c r="J25" s="988">
        <v>2034</v>
      </c>
      <c r="K25" s="980">
        <f>$V$28/'EU varebil diesel'!$E$25</f>
        <v>1.4016426215991571</v>
      </c>
      <c r="L25" s="987">
        <v>16</v>
      </c>
      <c r="M25" s="994">
        <v>4.1999999999999996E-4</v>
      </c>
      <c r="N25" s="987"/>
      <c r="O25" s="995">
        <f>'EU varebil diesel'!E31/1000</f>
        <v>184.137</v>
      </c>
      <c r="P25" s="988">
        <v>5</v>
      </c>
      <c r="S25" s="476" t="s">
        <v>802</v>
      </c>
      <c r="T25" s="476" t="s">
        <v>677</v>
      </c>
      <c r="U25" s="476" t="s">
        <v>602</v>
      </c>
      <c r="V25" s="476" t="s">
        <v>152</v>
      </c>
      <c r="W25" s="476"/>
    </row>
    <row r="26" spans="1:23" s="516" customFormat="1">
      <c r="A26" s="517"/>
      <c r="B26" s="517"/>
      <c r="C26" s="987"/>
      <c r="D26" s="988"/>
      <c r="E26" s="988"/>
      <c r="F26" s="988" t="s">
        <v>887</v>
      </c>
      <c r="G26" s="988"/>
      <c r="H26" s="988"/>
      <c r="I26" s="988"/>
      <c r="J26" s="988"/>
      <c r="K26" s="980">
        <f>$V$28/'EU varebil diesel'!$E$25</f>
        <v>1.4016426215991571</v>
      </c>
      <c r="L26" s="988"/>
      <c r="M26" s="994"/>
      <c r="N26" s="988"/>
      <c r="O26" s="987"/>
      <c r="P26" s="988">
        <v>5</v>
      </c>
      <c r="S26" s="516" t="s">
        <v>808</v>
      </c>
      <c r="T26" s="516" t="s">
        <v>29</v>
      </c>
      <c r="U26" s="535">
        <v>97.507589999999993</v>
      </c>
      <c r="V26" s="979">
        <f>1000/U26</f>
        <v>10.255611896468778</v>
      </c>
    </row>
    <row r="27" spans="1:23" s="516" customFormat="1">
      <c r="A27" s="517"/>
      <c r="B27" s="517"/>
      <c r="C27" s="987" t="s">
        <v>889</v>
      </c>
      <c r="D27" s="988" t="s">
        <v>589</v>
      </c>
      <c r="E27" s="989" t="s">
        <v>226</v>
      </c>
      <c r="F27" s="988" t="s">
        <v>886</v>
      </c>
      <c r="G27" s="988">
        <v>2035</v>
      </c>
      <c r="H27" s="988" t="s">
        <v>499</v>
      </c>
      <c r="I27" s="988">
        <v>2035</v>
      </c>
      <c r="J27" s="988"/>
      <c r="K27" s="980">
        <f>$V$28/'EU varebil diesel'!$F$25</f>
        <v>1.5814760145590492</v>
      </c>
      <c r="L27" s="987">
        <v>16</v>
      </c>
      <c r="M27" s="994">
        <v>4.1999999999999996E-4</v>
      </c>
      <c r="N27" s="987"/>
      <c r="O27" s="995">
        <f>'EU varebil diesel'!F31/1000</f>
        <v>191.30699999999999</v>
      </c>
      <c r="P27" s="988">
        <v>5</v>
      </c>
      <c r="S27" s="516" t="s">
        <v>809</v>
      </c>
      <c r="T27" s="516" t="s">
        <v>810</v>
      </c>
      <c r="U27" s="535">
        <v>258.03300000000002</v>
      </c>
      <c r="V27" s="979">
        <f t="shared" ref="V27:V28" si="0">1000/U27</f>
        <v>3.8754732921758066</v>
      </c>
    </row>
    <row r="28" spans="1:23" s="516" customFormat="1">
      <c r="A28" s="517"/>
      <c r="B28" s="517"/>
      <c r="C28" s="996"/>
      <c r="D28" s="996"/>
      <c r="E28" s="996"/>
      <c r="F28" s="988" t="s">
        <v>887</v>
      </c>
      <c r="G28" s="988"/>
      <c r="H28" s="988"/>
      <c r="I28" s="988"/>
      <c r="J28" s="988"/>
      <c r="K28" s="980">
        <f>$V$28/'EU varebil diesel'!$F$25</f>
        <v>1.5814760145590492</v>
      </c>
      <c r="L28" s="988"/>
      <c r="M28" s="988"/>
      <c r="N28" s="988"/>
      <c r="O28" s="988"/>
      <c r="P28" s="988">
        <v>5</v>
      </c>
      <c r="S28" s="549" t="s">
        <v>809</v>
      </c>
      <c r="T28" s="516" t="s">
        <v>29</v>
      </c>
      <c r="U28" s="535">
        <v>238.61158</v>
      </c>
      <c r="V28" s="979">
        <f t="shared" si="0"/>
        <v>4.1909114385814803</v>
      </c>
    </row>
    <row r="29" spans="1:23" s="516" customFormat="1">
      <c r="A29" s="517"/>
      <c r="B29" s="517"/>
      <c r="C29" s="987" t="s">
        <v>890</v>
      </c>
      <c r="D29" s="987" t="s">
        <v>590</v>
      </c>
      <c r="E29" s="989" t="s">
        <v>227</v>
      </c>
      <c r="F29" s="988" t="s">
        <v>886</v>
      </c>
      <c r="G29" s="990">
        <v>2015</v>
      </c>
      <c r="H29" s="988" t="s">
        <v>499</v>
      </c>
      <c r="I29" s="990">
        <v>2012</v>
      </c>
      <c r="J29" s="990">
        <v>2019</v>
      </c>
      <c r="K29" s="981">
        <f>$V$27/'EU Varebil benzin'!$D$25</f>
        <v>0.97540352667265851</v>
      </c>
      <c r="L29" s="990">
        <v>16</v>
      </c>
      <c r="M29" s="991">
        <v>4.1999999999999996E-4</v>
      </c>
      <c r="N29" s="990"/>
      <c r="O29" s="992">
        <f>'EU Varebil benzin'!D31/1000</f>
        <v>177.74</v>
      </c>
      <c r="P29" s="990">
        <v>5</v>
      </c>
    </row>
    <row r="30" spans="1:23" s="516" customFormat="1">
      <c r="A30" s="517"/>
      <c r="B30" s="517"/>
      <c r="C30" s="987"/>
      <c r="D30" s="987"/>
      <c r="E30" s="988"/>
      <c r="F30" s="988" t="s">
        <v>887</v>
      </c>
      <c r="G30" s="988"/>
      <c r="H30" s="988"/>
      <c r="I30" s="988"/>
      <c r="J30" s="988"/>
      <c r="K30" s="980">
        <f>$V$27/'EU Varebil benzin'!$D$25</f>
        <v>0.97540352667265851</v>
      </c>
      <c r="L30" s="988"/>
      <c r="M30" s="993"/>
      <c r="N30" s="988"/>
      <c r="O30" s="988"/>
      <c r="P30" s="988">
        <v>5</v>
      </c>
    </row>
    <row r="31" spans="1:23" s="516" customFormat="1">
      <c r="A31" s="517"/>
      <c r="B31" s="517"/>
      <c r="C31" s="987" t="s">
        <v>891</v>
      </c>
      <c r="D31" s="987" t="s">
        <v>591</v>
      </c>
      <c r="E31" s="989" t="s">
        <v>228</v>
      </c>
      <c r="F31" s="988" t="s">
        <v>886</v>
      </c>
      <c r="G31" s="988">
        <v>2020</v>
      </c>
      <c r="H31" s="988" t="s">
        <v>499</v>
      </c>
      <c r="I31" s="988">
        <v>2020</v>
      </c>
      <c r="J31" s="988">
        <v>2034</v>
      </c>
      <c r="K31" s="980">
        <f>$V$27/'EU Varebil benzin'!$E$25</f>
        <v>1.0916826175143117</v>
      </c>
      <c r="L31" s="987">
        <v>16</v>
      </c>
      <c r="M31" s="994">
        <v>4.1999999999999996E-4</v>
      </c>
      <c r="N31" s="987"/>
      <c r="O31" s="995">
        <f>'EU Varebil benzin'!E31/1000</f>
        <v>182.29300000000001</v>
      </c>
      <c r="P31" s="988">
        <v>5</v>
      </c>
    </row>
    <row r="32" spans="1:23" s="516" customFormat="1">
      <c r="A32" s="517"/>
      <c r="B32" s="517"/>
      <c r="C32" s="987"/>
      <c r="D32" s="987"/>
      <c r="E32" s="988"/>
      <c r="F32" s="988" t="s">
        <v>887</v>
      </c>
      <c r="G32" s="988"/>
      <c r="H32" s="988"/>
      <c r="I32" s="988"/>
      <c r="J32" s="988"/>
      <c r="K32" s="980">
        <f>$V$27/'EU Varebil benzin'!$E$25</f>
        <v>1.0916826175143117</v>
      </c>
      <c r="L32" s="987"/>
      <c r="M32" s="994"/>
      <c r="N32" s="987"/>
      <c r="O32" s="995"/>
      <c r="P32" s="988">
        <v>5</v>
      </c>
    </row>
    <row r="33" spans="1:18" s="516" customFormat="1">
      <c r="A33" s="517"/>
      <c r="B33" s="517"/>
      <c r="C33" s="987" t="s">
        <v>892</v>
      </c>
      <c r="D33" s="987" t="s">
        <v>592</v>
      </c>
      <c r="E33" s="989" t="s">
        <v>229</v>
      </c>
      <c r="F33" s="988" t="s">
        <v>886</v>
      </c>
      <c r="G33" s="988">
        <v>2035</v>
      </c>
      <c r="H33" s="988" t="s">
        <v>499</v>
      </c>
      <c r="I33" s="988">
        <v>2035</v>
      </c>
      <c r="J33" s="988"/>
      <c r="K33" s="980">
        <f>$V$27/'EU Varebil benzin'!$F$25</f>
        <v>1.2342271631133142</v>
      </c>
      <c r="L33" s="987">
        <v>16</v>
      </c>
      <c r="M33" s="994">
        <v>4.1999999999999996E-4</v>
      </c>
      <c r="N33" s="987"/>
      <c r="O33" s="995">
        <f>'EU Varebil benzin'!F31/1000</f>
        <v>194.48500000000001</v>
      </c>
      <c r="P33" s="988">
        <v>5</v>
      </c>
    </row>
    <row r="34" spans="1:18" s="516" customFormat="1">
      <c r="A34" s="517"/>
      <c r="B34" s="517"/>
      <c r="C34" s="996"/>
      <c r="D34" s="996"/>
      <c r="E34" s="996"/>
      <c r="F34" s="996" t="s">
        <v>887</v>
      </c>
      <c r="G34" s="996"/>
      <c r="H34" s="996"/>
      <c r="I34" s="996"/>
      <c r="J34" s="996"/>
      <c r="K34" s="980">
        <f>$V$27/'EU Varebil benzin'!$F$25</f>
        <v>1.2342271631133142</v>
      </c>
      <c r="L34" s="996"/>
      <c r="M34" s="997"/>
      <c r="N34" s="996"/>
      <c r="O34" s="996"/>
      <c r="P34" s="996">
        <v>5</v>
      </c>
    </row>
    <row r="35" spans="1:18" s="516" customFormat="1">
      <c r="A35" s="517"/>
      <c r="B35" s="517"/>
      <c r="C35" s="998" t="s">
        <v>927</v>
      </c>
      <c r="D35" s="998" t="s">
        <v>922</v>
      </c>
      <c r="E35" s="526" t="s">
        <v>227</v>
      </c>
      <c r="F35" s="988" t="s">
        <v>880</v>
      </c>
      <c r="G35" s="1000">
        <v>2015</v>
      </c>
      <c r="H35" s="988" t="s">
        <v>499</v>
      </c>
      <c r="I35" s="1000">
        <v>2012</v>
      </c>
      <c r="J35" s="1000">
        <v>2019</v>
      </c>
      <c r="K35" s="982">
        <f>K5</f>
        <v>0.76936323304341925</v>
      </c>
      <c r="L35" s="1000">
        <f>L5</f>
        <v>6</v>
      </c>
      <c r="M35" s="1001"/>
      <c r="N35" s="1000">
        <f>N5</f>
        <v>156</v>
      </c>
      <c r="O35" s="1000">
        <f>O5</f>
        <v>751.0189130831742</v>
      </c>
      <c r="P35" s="1000">
        <f>P5</f>
        <v>5</v>
      </c>
      <c r="R35" s="526" t="s">
        <v>921</v>
      </c>
    </row>
    <row r="36" spans="1:18" s="516" customFormat="1">
      <c r="A36" s="517"/>
      <c r="B36" s="517"/>
      <c r="C36" s="998"/>
      <c r="D36" s="998"/>
      <c r="E36" s="549"/>
      <c r="F36" s="988" t="s">
        <v>881</v>
      </c>
      <c r="G36" s="998"/>
      <c r="H36" s="988"/>
      <c r="I36" s="998"/>
      <c r="J36" s="998"/>
      <c r="K36" s="983">
        <f t="shared" ref="K36:K43" si="1">K6</f>
        <v>0.76936323304341925</v>
      </c>
      <c r="L36" s="998"/>
      <c r="M36" s="1002"/>
      <c r="N36" s="998"/>
      <c r="O36" s="998"/>
      <c r="P36" s="998">
        <v>5</v>
      </c>
      <c r="R36" s="526" t="s">
        <v>921</v>
      </c>
    </row>
    <row r="37" spans="1:18" s="516" customFormat="1">
      <c r="A37" s="517"/>
      <c r="B37" s="517"/>
      <c r="C37" s="998"/>
      <c r="D37" s="998"/>
      <c r="E37" s="999"/>
      <c r="F37" s="988" t="s">
        <v>882</v>
      </c>
      <c r="G37" s="999"/>
      <c r="H37" s="988"/>
      <c r="I37" s="999"/>
      <c r="J37" s="999"/>
      <c r="K37" s="983">
        <f t="shared" si="1"/>
        <v>0.76936323304341925</v>
      </c>
      <c r="L37" s="998"/>
      <c r="M37" s="1002"/>
      <c r="N37" s="999"/>
      <c r="O37" s="999"/>
      <c r="P37" s="998">
        <v>5</v>
      </c>
      <c r="R37" s="526" t="s">
        <v>921</v>
      </c>
    </row>
    <row r="38" spans="1:18" s="516" customFormat="1">
      <c r="A38" s="517"/>
      <c r="B38" s="517"/>
      <c r="C38" s="998" t="s">
        <v>928</v>
      </c>
      <c r="D38" s="998" t="s">
        <v>924</v>
      </c>
      <c r="E38" s="526" t="s">
        <v>228</v>
      </c>
      <c r="F38" s="988" t="s">
        <v>880</v>
      </c>
      <c r="G38" s="999">
        <v>2020</v>
      </c>
      <c r="H38" s="988" t="s">
        <v>499</v>
      </c>
      <c r="I38" s="999">
        <v>2020</v>
      </c>
      <c r="J38" s="999">
        <v>2034</v>
      </c>
      <c r="K38" s="983">
        <f t="shared" si="1"/>
        <v>0.84827228258633403</v>
      </c>
      <c r="L38" s="998">
        <f>L8</f>
        <v>6</v>
      </c>
      <c r="M38" s="1002"/>
      <c r="N38" s="998">
        <f>N8</f>
        <v>156</v>
      </c>
      <c r="O38" s="998">
        <f>O8</f>
        <v>751.0189130831742</v>
      </c>
      <c r="P38" s="998">
        <v>5</v>
      </c>
      <c r="R38" s="526" t="s">
        <v>921</v>
      </c>
    </row>
    <row r="39" spans="1:18" s="516" customFormat="1">
      <c r="A39" s="517"/>
      <c r="B39" s="517"/>
      <c r="C39" s="998"/>
      <c r="D39" s="998"/>
      <c r="E39" s="549"/>
      <c r="F39" s="988" t="s">
        <v>881</v>
      </c>
      <c r="G39" s="999"/>
      <c r="H39" s="988"/>
      <c r="I39" s="999"/>
      <c r="J39" s="999"/>
      <c r="K39" s="983">
        <f t="shared" si="1"/>
        <v>0.84827228258633403</v>
      </c>
      <c r="L39" s="998"/>
      <c r="M39" s="1002"/>
      <c r="N39" s="998"/>
      <c r="O39" s="998"/>
      <c r="P39" s="998">
        <v>5</v>
      </c>
      <c r="R39" s="526" t="s">
        <v>921</v>
      </c>
    </row>
    <row r="40" spans="1:18" s="516" customFormat="1">
      <c r="A40" s="517"/>
      <c r="B40" s="517"/>
      <c r="C40" s="998"/>
      <c r="D40" s="998"/>
      <c r="E40" s="999"/>
      <c r="F40" s="988" t="s">
        <v>882</v>
      </c>
      <c r="G40" s="999"/>
      <c r="H40" s="999"/>
      <c r="I40" s="999"/>
      <c r="J40" s="999"/>
      <c r="K40" s="983">
        <f t="shared" si="1"/>
        <v>0.84827228258633403</v>
      </c>
      <c r="L40" s="998"/>
      <c r="M40" s="1002"/>
      <c r="N40" s="998"/>
      <c r="O40" s="998"/>
      <c r="P40" s="998">
        <v>5</v>
      </c>
      <c r="R40" s="526" t="s">
        <v>921</v>
      </c>
    </row>
    <row r="41" spans="1:18" s="516" customFormat="1">
      <c r="A41" s="517"/>
      <c r="B41" s="517"/>
      <c r="C41" s="998" t="s">
        <v>929</v>
      </c>
      <c r="D41" s="998" t="s">
        <v>923</v>
      </c>
      <c r="E41" s="549" t="s">
        <v>229</v>
      </c>
      <c r="F41" s="988" t="s">
        <v>880</v>
      </c>
      <c r="G41" s="999">
        <v>2035</v>
      </c>
      <c r="H41" s="988" t="s">
        <v>499</v>
      </c>
      <c r="I41" s="999">
        <v>2035</v>
      </c>
      <c r="J41" s="999"/>
      <c r="K41" s="983">
        <f t="shared" si="1"/>
        <v>0.97952358132462058</v>
      </c>
      <c r="L41" s="998">
        <f>L11</f>
        <v>6</v>
      </c>
      <c r="M41" s="1002"/>
      <c r="N41" s="998">
        <f>N11</f>
        <v>156</v>
      </c>
      <c r="O41" s="998">
        <f>O11</f>
        <v>751.0189130831742</v>
      </c>
      <c r="P41" s="998">
        <v>5</v>
      </c>
      <c r="R41" s="526" t="s">
        <v>921</v>
      </c>
    </row>
    <row r="42" spans="1:18" s="516" customFormat="1">
      <c r="A42" s="517"/>
      <c r="B42" s="517"/>
      <c r="C42" s="998"/>
      <c r="D42" s="998"/>
      <c r="E42" s="549"/>
      <c r="F42" s="988" t="s">
        <v>881</v>
      </c>
      <c r="G42" s="999"/>
      <c r="H42" s="988"/>
      <c r="I42" s="999"/>
      <c r="J42" s="999"/>
      <c r="K42" s="983">
        <f t="shared" si="1"/>
        <v>0.97952358132462058</v>
      </c>
      <c r="L42" s="998"/>
      <c r="M42" s="1002"/>
      <c r="N42" s="998"/>
      <c r="O42" s="1003"/>
      <c r="P42" s="998">
        <v>5</v>
      </c>
      <c r="R42" s="526" t="s">
        <v>921</v>
      </c>
    </row>
    <row r="43" spans="1:18" s="516" customFormat="1">
      <c r="A43" s="517"/>
      <c r="B43" s="517"/>
      <c r="C43" s="996"/>
      <c r="D43" s="988"/>
      <c r="E43" s="988"/>
      <c r="F43" s="996" t="s">
        <v>882</v>
      </c>
      <c r="G43" s="996"/>
      <c r="H43" s="996"/>
      <c r="I43" s="996"/>
      <c r="J43" s="996"/>
      <c r="K43" s="983">
        <f t="shared" si="1"/>
        <v>0.97952358132462058</v>
      </c>
      <c r="L43" s="996"/>
      <c r="M43" s="997"/>
      <c r="N43" s="996"/>
      <c r="O43" s="996"/>
      <c r="P43" s="996">
        <v>5</v>
      </c>
    </row>
    <row r="44" spans="1:18" s="516" customFormat="1">
      <c r="A44" s="517"/>
      <c r="B44" s="517"/>
      <c r="C44" s="1004" t="s">
        <v>893</v>
      </c>
      <c r="D44" s="990" t="s">
        <v>593</v>
      </c>
      <c r="E44" s="990" t="s">
        <v>779</v>
      </c>
      <c r="F44" s="988" t="s">
        <v>886</v>
      </c>
      <c r="G44" s="990">
        <v>2015</v>
      </c>
      <c r="H44" s="988" t="s">
        <v>499</v>
      </c>
      <c r="I44" s="990">
        <v>2012</v>
      </c>
      <c r="J44" s="990"/>
      <c r="K44" s="981">
        <f>K46</f>
        <v>2.2304806251714586</v>
      </c>
      <c r="L44" s="992">
        <f>'EU varebil el'!D27</f>
        <v>10.6</v>
      </c>
      <c r="M44" s="991">
        <v>9.2399999999999996E-5</v>
      </c>
      <c r="N44" s="981"/>
      <c r="O44" s="992">
        <f>TRA_Cars!P41/TRA_Cars!P5*'Old TRA_Trucks'!O23</f>
        <v>349.01944596289792</v>
      </c>
      <c r="P44" s="990">
        <v>5</v>
      </c>
      <c r="R44" s="516" t="s">
        <v>951</v>
      </c>
    </row>
    <row r="45" spans="1:18" s="516" customFormat="1">
      <c r="A45" s="517"/>
      <c r="B45" s="517"/>
      <c r="C45" s="987"/>
      <c r="D45" s="988"/>
      <c r="E45" s="988"/>
      <c r="F45" s="988" t="s">
        <v>887</v>
      </c>
      <c r="G45" s="988"/>
      <c r="H45" s="988"/>
      <c r="I45" s="988"/>
      <c r="J45" s="988"/>
      <c r="K45" s="980">
        <f>K47</f>
        <v>2.2304806251714586</v>
      </c>
      <c r="L45" s="988"/>
      <c r="M45" s="993"/>
      <c r="N45" s="993"/>
      <c r="O45" s="988"/>
      <c r="P45" s="988">
        <v>5</v>
      </c>
    </row>
    <row r="46" spans="1:18" s="516" customFormat="1">
      <c r="A46" s="517"/>
      <c r="B46" s="517"/>
      <c r="C46" s="987"/>
      <c r="D46" s="987"/>
      <c r="E46" s="987"/>
      <c r="F46" s="988" t="s">
        <v>886</v>
      </c>
      <c r="G46" s="988">
        <v>2020</v>
      </c>
      <c r="H46" s="988" t="s">
        <v>499</v>
      </c>
      <c r="I46" s="987"/>
      <c r="J46" s="987"/>
      <c r="K46" s="980">
        <f>K25*K60/(K8*U26)</f>
        <v>2.2304806251714586</v>
      </c>
      <c r="L46" s="987">
        <v>16</v>
      </c>
      <c r="M46" s="994">
        <v>9.2399999999999996E-5</v>
      </c>
      <c r="N46" s="980"/>
      <c r="O46" s="995">
        <f>TRA_Cars!P45/TRA_Cars!P9*'Old TRA_Trucks'!O25</f>
        <v>253.11089996279452</v>
      </c>
      <c r="P46" s="988">
        <v>5</v>
      </c>
      <c r="R46" s="549" t="s">
        <v>951</v>
      </c>
    </row>
    <row r="47" spans="1:18" s="516" customFormat="1">
      <c r="A47" s="517"/>
      <c r="B47" s="550"/>
      <c r="C47" s="987"/>
      <c r="D47" s="987"/>
      <c r="E47" s="987"/>
      <c r="F47" s="988" t="s">
        <v>887</v>
      </c>
      <c r="G47" s="988"/>
      <c r="H47" s="988"/>
      <c r="I47" s="988"/>
      <c r="J47" s="988"/>
      <c r="K47" s="980">
        <f>K46</f>
        <v>2.2304806251714586</v>
      </c>
      <c r="L47" s="988"/>
      <c r="M47" s="994"/>
      <c r="N47" s="994"/>
      <c r="O47" s="987"/>
      <c r="P47" s="988">
        <v>5</v>
      </c>
    </row>
    <row r="48" spans="1:18" s="516" customFormat="1">
      <c r="A48" s="517"/>
      <c r="B48" s="550"/>
      <c r="C48" s="987"/>
      <c r="D48" s="987"/>
      <c r="E48" s="987"/>
      <c r="F48" s="988" t="s">
        <v>886</v>
      </c>
      <c r="G48" s="988">
        <v>2035</v>
      </c>
      <c r="H48" s="988" t="s">
        <v>499</v>
      </c>
      <c r="I48" s="987"/>
      <c r="J48" s="987"/>
      <c r="K48" s="980">
        <f>K27*K62/(K11*U26)</f>
        <v>2.8076717825228594</v>
      </c>
      <c r="L48" s="987">
        <v>16</v>
      </c>
      <c r="M48" s="994">
        <v>9.2399999999999996E-5</v>
      </c>
      <c r="N48" s="980"/>
      <c r="O48" s="995">
        <f>TRA_Cars!P49/TRA_Cars!P13*'Old TRA_Trucks'!O27</f>
        <v>214.80689177163407</v>
      </c>
      <c r="P48" s="988">
        <v>5</v>
      </c>
      <c r="R48" s="549" t="s">
        <v>951</v>
      </c>
    </row>
    <row r="49" spans="1:19" s="516" customFormat="1" ht="13.8" thickBot="1">
      <c r="A49" s="517"/>
      <c r="B49" s="550"/>
      <c r="C49" s="987"/>
      <c r="D49" s="987"/>
      <c r="E49" s="987"/>
      <c r="F49" s="988" t="s">
        <v>887</v>
      </c>
      <c r="G49" s="988"/>
      <c r="H49" s="988"/>
      <c r="I49" s="988"/>
      <c r="J49" s="988"/>
      <c r="K49" s="980">
        <f>K48</f>
        <v>2.8076717825228594</v>
      </c>
      <c r="L49" s="988"/>
      <c r="M49" s="993"/>
      <c r="N49" s="993"/>
      <c r="O49" s="988"/>
      <c r="P49" s="1005">
        <v>5</v>
      </c>
    </row>
    <row r="50" spans="1:19" s="516" customFormat="1">
      <c r="A50" s="517"/>
      <c r="B50" s="550"/>
      <c r="C50" s="1004" t="s">
        <v>894</v>
      </c>
      <c r="D50" s="990" t="s">
        <v>494</v>
      </c>
      <c r="E50" s="990" t="s">
        <v>493</v>
      </c>
      <c r="F50" s="988" t="s">
        <v>880</v>
      </c>
      <c r="G50" s="990">
        <v>2015</v>
      </c>
      <c r="H50" s="992" t="str">
        <f>"MKr"&amp;RIGHT('EU Lastbil RME'!$H$38,2)</f>
        <v>MKr13</v>
      </c>
      <c r="I50" s="992">
        <f>G50</f>
        <v>2015</v>
      </c>
      <c r="J50" s="990"/>
      <c r="K50" s="984">
        <f>$V$26/'EU Lastbil'!$D$25</f>
        <v>0.76936323304341925</v>
      </c>
      <c r="L50" s="990">
        <f>'EU Lastbil RME'!D27</f>
        <v>6</v>
      </c>
      <c r="M50" s="990"/>
      <c r="N50" s="990">
        <f>N5</f>
        <v>156</v>
      </c>
      <c r="O50" s="992">
        <f>'EU Lastbil RME'!D38*'Old TRA_Trucks'!S6</f>
        <v>761.0189130831742</v>
      </c>
      <c r="P50" s="988">
        <v>5</v>
      </c>
    </row>
    <row r="51" spans="1:19">
      <c r="B51" s="550"/>
      <c r="C51" s="988"/>
      <c r="D51" s="988"/>
      <c r="E51" s="988"/>
      <c r="F51" s="988" t="s">
        <v>881</v>
      </c>
      <c r="G51" s="988"/>
      <c r="H51" s="995"/>
      <c r="I51" s="986"/>
      <c r="J51" s="988"/>
      <c r="K51" s="985">
        <f>$V$26/'EU Lastbil'!$D$25</f>
        <v>0.76936323304341925</v>
      </c>
      <c r="L51" s="988"/>
      <c r="M51" s="988"/>
      <c r="N51" s="987"/>
      <c r="O51" s="995"/>
      <c r="P51" s="988">
        <v>5</v>
      </c>
    </row>
    <row r="52" spans="1:19">
      <c r="B52" s="550"/>
      <c r="C52" s="988"/>
      <c r="D52" s="988"/>
      <c r="E52" s="988"/>
      <c r="F52" s="988" t="s">
        <v>882</v>
      </c>
      <c r="G52" s="988"/>
      <c r="H52" s="995"/>
      <c r="I52" s="986"/>
      <c r="J52" s="988"/>
      <c r="K52" s="985">
        <f>$V$26/'EU Lastbil'!$D$25</f>
        <v>0.76936323304341925</v>
      </c>
      <c r="L52" s="988"/>
      <c r="M52" s="988"/>
      <c r="N52" s="987"/>
      <c r="O52" s="995"/>
      <c r="P52" s="988">
        <v>5</v>
      </c>
    </row>
    <row r="53" spans="1:19">
      <c r="B53" s="517"/>
      <c r="C53" s="988"/>
      <c r="D53" s="988"/>
      <c r="E53" s="988"/>
      <c r="F53" s="988" t="s">
        <v>880</v>
      </c>
      <c r="G53" s="988">
        <f>'EU Lastbil RME'!E21</f>
        <v>2020</v>
      </c>
      <c r="H53" s="995" t="str">
        <f>"MKr"&amp;RIGHT('EU Lastbil RME'!$H$38,2)</f>
        <v>MKr13</v>
      </c>
      <c r="I53" s="1006"/>
      <c r="J53" s="988"/>
      <c r="K53" s="985">
        <f>$V$26/'EU Lastbil'!$E$25</f>
        <v>0.84827228258633403</v>
      </c>
      <c r="L53" s="988">
        <f>'EU Lastbil RME'!E27</f>
        <v>6</v>
      </c>
      <c r="M53" s="988"/>
      <c r="N53" s="987">
        <f>N8</f>
        <v>156</v>
      </c>
      <c r="O53" s="995">
        <f>'EU Lastbil RME'!E38*S6</f>
        <v>761.0189130831742</v>
      </c>
      <c r="P53" s="988">
        <v>5</v>
      </c>
    </row>
    <row r="54" spans="1:19">
      <c r="B54" s="517"/>
      <c r="C54" s="988"/>
      <c r="D54" s="988"/>
      <c r="E54" s="988"/>
      <c r="F54" s="988" t="s">
        <v>881</v>
      </c>
      <c r="G54" s="988"/>
      <c r="H54" s="995"/>
      <c r="I54" s="1006"/>
      <c r="J54" s="986"/>
      <c r="K54" s="985">
        <f>$V$26/'EU Lastbil'!$E$25</f>
        <v>0.84827228258633403</v>
      </c>
      <c r="L54" s="1007"/>
      <c r="M54" s="988"/>
      <c r="N54" s="987"/>
      <c r="O54" s="995"/>
      <c r="P54" s="988">
        <v>5</v>
      </c>
    </row>
    <row r="55" spans="1:19">
      <c r="B55" s="517"/>
      <c r="C55" s="988"/>
      <c r="D55" s="988"/>
      <c r="E55" s="988"/>
      <c r="F55" s="988" t="s">
        <v>882</v>
      </c>
      <c r="G55" s="988"/>
      <c r="H55" s="995"/>
      <c r="I55" s="1006"/>
      <c r="J55" s="988"/>
      <c r="K55" s="985">
        <f>$V$26/'EU Lastbil'!$E$25</f>
        <v>0.84827228258633403</v>
      </c>
      <c r="L55" s="988"/>
      <c r="M55" s="1007"/>
      <c r="N55" s="987"/>
      <c r="O55" s="1006"/>
      <c r="P55" s="988">
        <v>5</v>
      </c>
    </row>
    <row r="56" spans="1:19" s="549" customFormat="1">
      <c r="A56" s="550"/>
      <c r="B56" s="550"/>
      <c r="C56" s="988"/>
      <c r="D56" s="988"/>
      <c r="E56" s="988"/>
      <c r="F56" s="988" t="s">
        <v>880</v>
      </c>
      <c r="G56" s="988">
        <f>'EU Lastbil RME'!F21</f>
        <v>2035</v>
      </c>
      <c r="H56" s="995" t="str">
        <f>"MKr"&amp;RIGHT('EU Lastbil RME'!$H$38,2)</f>
        <v>MKr13</v>
      </c>
      <c r="I56" s="1006"/>
      <c r="J56" s="988"/>
      <c r="K56" s="985">
        <f>$V$26/'EU Lastbil'!$F$25</f>
        <v>0.97952358132462058</v>
      </c>
      <c r="L56" s="988">
        <f>'EU Lastbil RME'!F27</f>
        <v>6</v>
      </c>
      <c r="M56" s="1007"/>
      <c r="N56" s="987">
        <f>N11</f>
        <v>156</v>
      </c>
      <c r="O56" s="1006">
        <f>'EU Lastbil RME'!F38*S6</f>
        <v>761.0189130831742</v>
      </c>
      <c r="P56" s="988">
        <v>5</v>
      </c>
      <c r="R56" s="549">
        <f>11/13</f>
        <v>0.84615384615384615</v>
      </c>
      <c r="S56" s="526" t="s">
        <v>914</v>
      </c>
    </row>
    <row r="57" spans="1:19" s="549" customFormat="1">
      <c r="A57" s="550"/>
      <c r="B57" s="550"/>
      <c r="C57" s="988"/>
      <c r="D57" s="988"/>
      <c r="E57" s="988"/>
      <c r="F57" s="988" t="s">
        <v>881</v>
      </c>
      <c r="G57" s="988"/>
      <c r="H57" s="988"/>
      <c r="I57" s="988"/>
      <c r="J57" s="988"/>
      <c r="K57" s="985">
        <f>$V$26/'EU Lastbil'!$F$25</f>
        <v>0.97952358132462058</v>
      </c>
      <c r="L57" s="988"/>
      <c r="M57" s="1007"/>
      <c r="N57" s="988"/>
      <c r="O57" s="988"/>
      <c r="P57" s="988">
        <v>5</v>
      </c>
    </row>
    <row r="58" spans="1:19" s="549" customFormat="1">
      <c r="A58" s="550"/>
      <c r="B58" s="550"/>
      <c r="C58" s="988"/>
      <c r="D58" s="988"/>
      <c r="E58" s="996"/>
      <c r="F58" s="996" t="s">
        <v>882</v>
      </c>
      <c r="G58" s="996"/>
      <c r="H58" s="996"/>
      <c r="I58" s="996"/>
      <c r="J58" s="996"/>
      <c r="K58" s="1138">
        <f>$V$26/'EU Lastbil'!$F$25</f>
        <v>0.97952358132462058</v>
      </c>
      <c r="L58" s="996"/>
      <c r="M58" s="1139"/>
      <c r="N58" s="996"/>
      <c r="O58" s="996"/>
      <c r="P58" s="996">
        <v>5</v>
      </c>
      <c r="S58" s="526" t="s">
        <v>913</v>
      </c>
    </row>
    <row r="59" spans="1:19" s="549" customFormat="1">
      <c r="A59" s="550"/>
      <c r="B59" s="550"/>
      <c r="C59" s="1004" t="s">
        <v>895</v>
      </c>
      <c r="D59" s="990" t="s">
        <v>815</v>
      </c>
      <c r="E59" s="987" t="s">
        <v>779</v>
      </c>
      <c r="F59" s="988" t="s">
        <v>880</v>
      </c>
      <c r="G59" s="988">
        <f>G53</f>
        <v>2020</v>
      </c>
      <c r="H59" s="995" t="s">
        <v>912</v>
      </c>
      <c r="I59" s="1006">
        <v>2020</v>
      </c>
      <c r="J59" s="988"/>
      <c r="K59" s="985">
        <f>'Old TRA_Trucks'!$V$26/'EU Lastbil El'!$E$25*$R$56*$U$26</f>
        <v>131.62393162393161</v>
      </c>
      <c r="L59" s="987">
        <f>'EU Lastbil El'!E27</f>
        <v>6</v>
      </c>
      <c r="M59" s="987"/>
      <c r="N59" s="1022">
        <f>N5</f>
        <v>156</v>
      </c>
      <c r="O59" s="995">
        <f>'EU Lastbil El'!E31*$S$6</f>
        <v>1170</v>
      </c>
      <c r="P59" s="988">
        <v>5</v>
      </c>
    </row>
    <row r="60" spans="1:19" s="549" customFormat="1">
      <c r="A60" s="550"/>
      <c r="B60" s="550"/>
      <c r="C60" s="988"/>
      <c r="D60" s="988"/>
      <c r="E60" s="988"/>
      <c r="F60" s="988" t="s">
        <v>881</v>
      </c>
      <c r="G60" s="988"/>
      <c r="H60" s="995"/>
      <c r="I60" s="1006"/>
      <c r="J60" s="986"/>
      <c r="K60" s="985">
        <f>'Old TRA_Trucks'!$V$26/'EU Lastbil El'!$E$25*$R$56*$U$26</f>
        <v>131.62393162393161</v>
      </c>
      <c r="L60" s="1020"/>
      <c r="M60" s="987"/>
      <c r="N60" s="1022"/>
      <c r="O60" s="995"/>
      <c r="P60" s="988">
        <v>5</v>
      </c>
      <c r="R60" s="549">
        <f>11/13</f>
        <v>0.84615384615384615</v>
      </c>
      <c r="S60" s="526" t="s">
        <v>915</v>
      </c>
    </row>
    <row r="61" spans="1:19" s="549" customFormat="1">
      <c r="A61" s="550"/>
      <c r="B61" s="550"/>
      <c r="C61" s="988"/>
      <c r="D61" s="988"/>
      <c r="E61" s="988"/>
      <c r="F61" s="988" t="s">
        <v>882</v>
      </c>
      <c r="G61" s="988"/>
      <c r="H61" s="995"/>
      <c r="I61" s="1006"/>
      <c r="J61" s="988"/>
      <c r="K61" s="985">
        <f>'Old TRA_Trucks'!$V$26/'EU Lastbil El'!$E$25*$R$56*$U$26</f>
        <v>131.62393162393161</v>
      </c>
      <c r="L61" s="987"/>
      <c r="M61" s="1020"/>
      <c r="N61" s="1022"/>
      <c r="O61" s="1006"/>
      <c r="P61" s="988">
        <v>5</v>
      </c>
    </row>
    <row r="62" spans="1:19" s="549" customFormat="1">
      <c r="A62" s="550"/>
      <c r="B62" s="550"/>
      <c r="C62" s="988"/>
      <c r="D62" s="988"/>
      <c r="E62" s="988"/>
      <c r="F62" s="988" t="s">
        <v>880</v>
      </c>
      <c r="G62" s="988">
        <v>2030</v>
      </c>
      <c r="H62" s="995" t="s">
        <v>912</v>
      </c>
      <c r="I62" s="1006"/>
      <c r="J62" s="988"/>
      <c r="K62" s="985">
        <f>'Old TRA_Trucks'!$V$26/'EU Lastbil El'!$F$25*$U$26</f>
        <v>169.56532477510686</v>
      </c>
      <c r="L62" s="987">
        <f>'EU Lastbil El'!F27</f>
        <v>6</v>
      </c>
      <c r="M62" s="1020"/>
      <c r="N62" s="1022">
        <f>N8</f>
        <v>156</v>
      </c>
      <c r="O62" s="995">
        <f>'EU Lastbil El'!F31*$S$6</f>
        <v>867.55266054889353</v>
      </c>
      <c r="P62" s="988">
        <v>5</v>
      </c>
    </row>
    <row r="63" spans="1:19" s="549" customFormat="1">
      <c r="A63" s="550"/>
      <c r="B63" s="550"/>
      <c r="C63" s="988"/>
      <c r="D63" s="988"/>
      <c r="E63" s="988"/>
      <c r="F63" s="988" t="s">
        <v>881</v>
      </c>
      <c r="G63" s="988"/>
      <c r="H63" s="988"/>
      <c r="I63" s="988"/>
      <c r="J63" s="988"/>
      <c r="K63" s="985">
        <f>'Old TRA_Trucks'!$V$26/'EU Lastbil El'!$F$25*$U$26</f>
        <v>169.56532477510686</v>
      </c>
      <c r="L63" s="988"/>
      <c r="M63" s="1007"/>
      <c r="N63" s="987"/>
      <c r="O63" s="988"/>
      <c r="P63" s="988">
        <v>5</v>
      </c>
    </row>
    <row r="64" spans="1:19" s="549" customFormat="1">
      <c r="A64" s="550"/>
      <c r="B64" s="550"/>
      <c r="C64" s="988"/>
      <c r="D64" s="988"/>
      <c r="E64" s="988"/>
      <c r="F64" s="988" t="s">
        <v>882</v>
      </c>
      <c r="G64" s="988"/>
      <c r="H64" s="988"/>
      <c r="I64" s="988"/>
      <c r="J64" s="988"/>
      <c r="K64" s="985">
        <f>'Old TRA_Trucks'!$V$26/'EU Lastbil El'!$F$25*$U$26</f>
        <v>169.56532477510686</v>
      </c>
      <c r="L64" s="988"/>
      <c r="M64" s="1007"/>
      <c r="N64" s="988"/>
      <c r="O64" s="988"/>
      <c r="P64" s="988">
        <v>5</v>
      </c>
    </row>
    <row r="65" spans="2:16">
      <c r="B65" s="550"/>
      <c r="C65" s="988"/>
      <c r="D65" s="988"/>
      <c r="E65" s="988"/>
      <c r="F65" s="516"/>
      <c r="G65" s="516"/>
      <c r="H65" s="516"/>
      <c r="I65" s="516"/>
      <c r="J65" s="516"/>
      <c r="K65" s="519"/>
      <c r="L65" s="516"/>
      <c r="M65" s="520"/>
      <c r="N65" s="516"/>
      <c r="O65" s="516"/>
      <c r="P65" s="518"/>
    </row>
    <row r="66" spans="2:16">
      <c r="B66" s="550"/>
      <c r="C66" s="988"/>
      <c r="D66" s="988"/>
      <c r="E66" s="988"/>
      <c r="N66" s="14"/>
      <c r="O66" s="14"/>
    </row>
    <row r="67" spans="2:16">
      <c r="B67" s="550"/>
      <c r="C67" s="988"/>
      <c r="D67" s="988"/>
      <c r="E67" s="988"/>
      <c r="L67" s="10"/>
    </row>
    <row r="68" spans="2:16">
      <c r="B68" s="517"/>
      <c r="C68" s="516"/>
      <c r="D68" s="516"/>
      <c r="E68" s="518"/>
      <c r="F68" s="19"/>
      <c r="G68" s="19"/>
      <c r="H68" s="19"/>
      <c r="I68" s="19"/>
      <c r="L68" s="10"/>
    </row>
    <row r="69" spans="2:16">
      <c r="E69" s="9"/>
      <c r="L69" s="10"/>
    </row>
    <row r="70" spans="2:16">
      <c r="E70" s="9"/>
      <c r="L70" s="10"/>
    </row>
    <row r="71" spans="2:16">
      <c r="B71" s="18" t="s">
        <v>1260</v>
      </c>
      <c r="C71" s="18"/>
      <c r="D71" s="19"/>
      <c r="E71" s="19"/>
    </row>
    <row r="72" spans="2:16" ht="13.8">
      <c r="B72" s="17" t="s">
        <v>63</v>
      </c>
      <c r="C72" s="17" t="s">
        <v>1</v>
      </c>
      <c r="D72" s="17" t="s">
        <v>64</v>
      </c>
      <c r="E72" s="17" t="s">
        <v>65</v>
      </c>
      <c r="F72" s="17" t="s">
        <v>66</v>
      </c>
      <c r="G72" s="17" t="s">
        <v>67</v>
      </c>
      <c r="H72" s="17" t="s">
        <v>68</v>
      </c>
      <c r="I72" s="17" t="s">
        <v>69</v>
      </c>
    </row>
    <row r="73" spans="2:16" ht="31.2" thickBot="1">
      <c r="B73" s="20" t="s">
        <v>70</v>
      </c>
      <c r="C73" s="20" t="s">
        <v>71</v>
      </c>
      <c r="D73" s="20" t="s">
        <v>72</v>
      </c>
      <c r="E73" s="20" t="s">
        <v>73</v>
      </c>
      <c r="F73" s="20" t="s">
        <v>74</v>
      </c>
      <c r="G73" s="20" t="s">
        <v>75</v>
      </c>
      <c r="H73" s="20" t="s">
        <v>76</v>
      </c>
      <c r="I73" s="20" t="s">
        <v>77</v>
      </c>
    </row>
    <row r="74" spans="2:16">
      <c r="B74" s="21" t="s">
        <v>78</v>
      </c>
      <c r="C74" s="544" t="str">
        <f>C5</f>
        <v>TFTRDSBL2N</v>
      </c>
      <c r="D74" s="546" t="s">
        <v>581</v>
      </c>
      <c r="E74" s="545" t="s">
        <v>86</v>
      </c>
      <c r="F74" s="547" t="s">
        <v>82</v>
      </c>
      <c r="G74" s="545"/>
      <c r="H74" s="545"/>
      <c r="I74" s="548"/>
    </row>
    <row r="75" spans="2:16">
      <c r="C75" s="544" t="str">
        <f>C8</f>
        <v>TFTRDSBL3N</v>
      </c>
      <c r="D75" s="546" t="s">
        <v>582</v>
      </c>
      <c r="E75" s="545" t="s">
        <v>86</v>
      </c>
      <c r="F75" s="547" t="s">
        <v>82</v>
      </c>
      <c r="G75" s="545"/>
      <c r="H75" s="545"/>
      <c r="I75" s="548"/>
    </row>
    <row r="76" spans="2:16">
      <c r="C76" s="544" t="str">
        <f>C11</f>
        <v>TFTRDSBL4N</v>
      </c>
      <c r="D76" s="546" t="s">
        <v>583</v>
      </c>
      <c r="E76" s="545" t="s">
        <v>86</v>
      </c>
      <c r="F76" s="547" t="s">
        <v>82</v>
      </c>
      <c r="G76" s="545"/>
      <c r="H76" s="545"/>
      <c r="I76" s="548"/>
    </row>
    <row r="77" spans="2:16">
      <c r="C77" s="544" t="str">
        <f>C14</f>
        <v>*TFTRNGBL2N</v>
      </c>
      <c r="D77" s="544" t="s">
        <v>584</v>
      </c>
      <c r="E77" s="545" t="s">
        <v>86</v>
      </c>
      <c r="F77" s="547" t="s">
        <v>82</v>
      </c>
      <c r="G77" s="544"/>
      <c r="H77" s="544"/>
      <c r="I77" s="548"/>
    </row>
    <row r="78" spans="2:16">
      <c r="C78" s="544" t="str">
        <f>C17</f>
        <v>*TFTRNGBL3N</v>
      </c>
      <c r="D78" s="544" t="s">
        <v>585</v>
      </c>
      <c r="E78" s="545" t="s">
        <v>86</v>
      </c>
      <c r="F78" s="547" t="s">
        <v>82</v>
      </c>
      <c r="G78" s="544"/>
      <c r="H78" s="544"/>
      <c r="I78" s="548"/>
    </row>
    <row r="79" spans="2:16">
      <c r="C79" s="544" t="str">
        <f>C20</f>
        <v>*TFTRNGBL4N</v>
      </c>
      <c r="D79" s="544" t="s">
        <v>586</v>
      </c>
      <c r="E79" s="545" t="s">
        <v>86</v>
      </c>
      <c r="F79" s="547" t="s">
        <v>82</v>
      </c>
      <c r="G79" s="544"/>
      <c r="H79" s="544"/>
      <c r="I79" s="548"/>
    </row>
    <row r="80" spans="2:16">
      <c r="C80" s="544" t="str">
        <f>C23</f>
        <v>TFVADSBL2N</v>
      </c>
      <c r="D80" s="544" t="s">
        <v>587</v>
      </c>
      <c r="E80" s="545" t="s">
        <v>86</v>
      </c>
      <c r="F80" s="547" t="s">
        <v>82</v>
      </c>
      <c r="G80" s="544"/>
      <c r="H80" s="544"/>
      <c r="I80" s="548"/>
    </row>
    <row r="81" spans="3:9">
      <c r="C81" s="544" t="str">
        <f>C25</f>
        <v>TFVADSBL3N</v>
      </c>
      <c r="D81" s="544" t="s">
        <v>588</v>
      </c>
      <c r="E81" s="545" t="s">
        <v>86</v>
      </c>
      <c r="F81" s="547" t="s">
        <v>82</v>
      </c>
      <c r="G81" s="544"/>
      <c r="H81" s="544"/>
      <c r="I81" s="548"/>
    </row>
    <row r="82" spans="3:9">
      <c r="C82" s="544" t="str">
        <f>C27</f>
        <v>TFVADSBL4N</v>
      </c>
      <c r="D82" s="544" t="s">
        <v>589</v>
      </c>
      <c r="E82" s="545" t="s">
        <v>86</v>
      </c>
      <c r="F82" s="547" t="s">
        <v>82</v>
      </c>
      <c r="G82" s="544"/>
      <c r="H82" s="544"/>
      <c r="I82" s="548"/>
    </row>
    <row r="83" spans="3:9">
      <c r="C83" s="544" t="str">
        <f>C29</f>
        <v>TFVAGSBL2N</v>
      </c>
      <c r="D83" s="544" t="s">
        <v>590</v>
      </c>
      <c r="E83" s="545" t="s">
        <v>86</v>
      </c>
      <c r="F83" s="547" t="s">
        <v>82</v>
      </c>
      <c r="G83" s="544"/>
      <c r="H83" s="544"/>
      <c r="I83" s="548"/>
    </row>
    <row r="84" spans="3:9">
      <c r="C84" s="544" t="str">
        <f>C31</f>
        <v>TFVAGSBL3N</v>
      </c>
      <c r="D84" s="544" t="s">
        <v>591</v>
      </c>
      <c r="E84" s="545" t="s">
        <v>86</v>
      </c>
      <c r="F84" s="547" t="s">
        <v>82</v>
      </c>
      <c r="G84" s="544"/>
      <c r="H84" s="544"/>
      <c r="I84" s="548"/>
    </row>
    <row r="85" spans="3:9">
      <c r="C85" s="544" t="str">
        <f>C33</f>
        <v>TFVAGSBL4N</v>
      </c>
      <c r="D85" s="544" t="s">
        <v>592</v>
      </c>
      <c r="E85" s="545" t="s">
        <v>86</v>
      </c>
      <c r="F85" s="547" t="s">
        <v>82</v>
      </c>
      <c r="G85" s="544"/>
      <c r="H85" s="544"/>
      <c r="I85" s="548"/>
    </row>
    <row r="86" spans="3:9">
      <c r="C86" s="553" t="str">
        <f>C35</f>
        <v>TFTRGSBL2N</v>
      </c>
      <c r="D86" s="553" t="str">
        <f>D35</f>
        <v>Transport Freight Van - GSB Engine - Blending 2 - New</v>
      </c>
      <c r="E86" s="545" t="s">
        <v>86</v>
      </c>
      <c r="F86" s="547" t="s">
        <v>82</v>
      </c>
    </row>
    <row r="87" spans="3:9">
      <c r="C87" s="553" t="str">
        <f>C38</f>
        <v>TFTRGSBL3N</v>
      </c>
      <c r="D87" s="553" t="str">
        <f>D38</f>
        <v>Transport Freight Van - GSB Engine - Blending 3 - New</v>
      </c>
      <c r="E87" s="545" t="s">
        <v>86</v>
      </c>
      <c r="F87" s="547" t="s">
        <v>82</v>
      </c>
    </row>
    <row r="88" spans="3:9">
      <c r="C88" s="553" t="str">
        <f>C41</f>
        <v>TFTRGSBL4N</v>
      </c>
      <c r="D88" s="553" t="str">
        <f>D41</f>
        <v>Transport Freight Van - GSB Engine - Blending 4 - New</v>
      </c>
      <c r="E88" s="545" t="s">
        <v>86</v>
      </c>
      <c r="F88" s="547" t="s">
        <v>82</v>
      </c>
    </row>
    <row r="89" spans="3:9">
      <c r="C89" s="544" t="str">
        <f>C44</f>
        <v>TFVAELCX1N</v>
      </c>
      <c r="D89" s="544" t="s">
        <v>593</v>
      </c>
      <c r="E89" s="545" t="s">
        <v>86</v>
      </c>
      <c r="F89" s="547" t="s">
        <v>82</v>
      </c>
      <c r="G89" s="544"/>
      <c r="H89" s="544"/>
      <c r="I89" s="548" t="s">
        <v>79</v>
      </c>
    </row>
    <row r="90" spans="3:9">
      <c r="C90" s="491" t="str">
        <f>C50</f>
        <v>TFTRDSBX1N</v>
      </c>
      <c r="D90" s="487" t="str">
        <f>D50</f>
        <v>Transport Freight Truck -RME - New</v>
      </c>
      <c r="E90" s="490" t="s">
        <v>86</v>
      </c>
      <c r="F90" s="489" t="s">
        <v>82</v>
      </c>
      <c r="I90" s="548" t="s">
        <v>79</v>
      </c>
    </row>
    <row r="91" spans="3:9">
      <c r="C91" s="553" t="str">
        <f>C59</f>
        <v>TFTREVX1N</v>
      </c>
      <c r="D91" s="553" t="str">
        <f>D59</f>
        <v>Transport Freight Truck -Electric - New</v>
      </c>
      <c r="E91" s="545" t="s">
        <v>86</v>
      </c>
      <c r="F91" s="547" t="s">
        <v>82</v>
      </c>
      <c r="G91" s="549"/>
      <c r="H91" s="549"/>
      <c r="I91" s="548" t="s">
        <v>79</v>
      </c>
    </row>
    <row r="92" spans="3:9">
      <c r="E92" s="545"/>
    </row>
  </sheetData>
  <mergeCells count="1">
    <mergeCell ref="R5:T5"/>
  </mergeCells>
  <pageMargins left="0.7" right="0.7" top="0.75" bottom="0.75" header="0.3" footer="0.3"/>
  <pageSetup paperSize="9" orientation="portrait" verticalDpi="1200"/>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Ark4">
    <tabColor rgb="FF002060"/>
  </sheetPr>
  <dimension ref="B1:S102"/>
  <sheetViews>
    <sheetView topLeftCell="A13" workbookViewId="0">
      <selection activeCell="N5" sqref="N5:N27"/>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246</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0.20889962750427868</v>
      </c>
      <c r="E23" s="148">
        <f>+E67/E25</f>
        <v>0.22912676056338027</v>
      </c>
      <c r="F23" s="148">
        <f>+F67/F25</f>
        <v>0.24609235668789806</v>
      </c>
      <c r="G23" s="148">
        <f>+G67/G25</f>
        <v>0.25489357638888882</v>
      </c>
      <c r="H23" s="145"/>
      <c r="I23" s="97" t="s">
        <v>603</v>
      </c>
      <c r="J23" s="139"/>
    </row>
    <row r="24" spans="2:14">
      <c r="B24" s="143" t="s">
        <v>103</v>
      </c>
      <c r="C24" s="116" t="s">
        <v>133</v>
      </c>
      <c r="D24" s="147">
        <f>D23</f>
        <v>0.20889962750427868</v>
      </c>
      <c r="E24" s="146">
        <f>E23</f>
        <v>0.22912676056338027</v>
      </c>
      <c r="F24" s="146">
        <f>F23</f>
        <v>0.24609235668789806</v>
      </c>
      <c r="G24" s="146">
        <f>G23</f>
        <v>0.25489357638888882</v>
      </c>
      <c r="H24" s="145"/>
      <c r="I24" s="97"/>
      <c r="J24" s="139"/>
    </row>
    <row r="25" spans="2:14">
      <c r="B25" s="143" t="s">
        <v>104</v>
      </c>
      <c r="C25" s="116" t="s">
        <v>105</v>
      </c>
      <c r="D25" s="144">
        <v>3.9731999999999998</v>
      </c>
      <c r="E25" s="197">
        <v>3.55</v>
      </c>
      <c r="F25" s="183">
        <v>3.14</v>
      </c>
      <c r="G25" s="183">
        <v>2.88</v>
      </c>
      <c r="H25" s="140"/>
      <c r="I25" s="97" t="s">
        <v>603</v>
      </c>
      <c r="J25" s="139"/>
    </row>
    <row r="26" spans="2:14">
      <c r="B26" s="143" t="s">
        <v>106</v>
      </c>
      <c r="C26" s="116" t="s">
        <v>105</v>
      </c>
      <c r="D26" s="142"/>
      <c r="E26" s="141"/>
      <c r="F26" s="141"/>
      <c r="G26" s="141"/>
      <c r="H26" s="140"/>
      <c r="I26" s="97"/>
      <c r="J26" s="139"/>
    </row>
    <row r="27" spans="2:14">
      <c r="B27" s="131" t="s">
        <v>107</v>
      </c>
      <c r="C27" s="116" t="s">
        <v>108</v>
      </c>
      <c r="D27" s="211">
        <v>16.3</v>
      </c>
      <c r="E27" s="210">
        <v>16.3</v>
      </c>
      <c r="F27" s="210">
        <v>16.3</v>
      </c>
      <c r="G27" s="210">
        <v>16.3</v>
      </c>
      <c r="H27" s="123"/>
      <c r="I27" s="73" t="s">
        <v>578</v>
      </c>
      <c r="J27" s="72"/>
    </row>
    <row r="28" spans="2:14">
      <c r="B28" s="131" t="s">
        <v>109</v>
      </c>
      <c r="C28" s="116" t="s">
        <v>110</v>
      </c>
      <c r="D28" s="209">
        <f>D73</f>
        <v>14.94</v>
      </c>
      <c r="E28" s="209">
        <f>E73</f>
        <v>14.6412</v>
      </c>
      <c r="F28" s="209">
        <f>F73</f>
        <v>13.909139999999997</v>
      </c>
      <c r="G28" s="209">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177740</v>
      </c>
      <c r="E31" s="134">
        <v>182293</v>
      </c>
      <c r="F31" s="134">
        <v>194485</v>
      </c>
      <c r="G31" s="134">
        <v>194650</v>
      </c>
      <c r="H31" s="133">
        <v>2015</v>
      </c>
      <c r="I31" s="77"/>
      <c r="J31" s="72"/>
    </row>
    <row r="32" spans="2:14">
      <c r="B32" s="76" t="s">
        <v>16</v>
      </c>
      <c r="C32" s="116" t="s">
        <v>17</v>
      </c>
      <c r="D32" s="134">
        <v>1421.7563347350567</v>
      </c>
      <c r="E32" s="134">
        <v>1479.1169153328115</v>
      </c>
      <c r="F32" s="134">
        <v>1636.8625257442075</v>
      </c>
      <c r="G32" s="134">
        <v>1724.1513828658547</v>
      </c>
      <c r="H32" s="133">
        <v>2015</v>
      </c>
      <c r="I32" s="77"/>
      <c r="J32" s="72"/>
    </row>
    <row r="33" spans="2:10">
      <c r="B33" s="127" t="s">
        <v>18</v>
      </c>
      <c r="C33" s="116" t="s">
        <v>17</v>
      </c>
      <c r="D33" s="134">
        <v>1084.4069371446953</v>
      </c>
      <c r="E33" s="134">
        <v>1134.8828361589731</v>
      </c>
      <c r="F33" s="134">
        <v>1274.5108634559567</v>
      </c>
      <c r="G33" s="134">
        <v>1342.7285804571695</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208">
        <v>177740</v>
      </c>
      <c r="E38" s="207">
        <v>182293</v>
      </c>
      <c r="F38" s="207">
        <v>194485</v>
      </c>
      <c r="G38" s="207">
        <v>194650</v>
      </c>
      <c r="H38" s="128">
        <v>2015</v>
      </c>
      <c r="I38" s="97" t="s">
        <v>577</v>
      </c>
      <c r="J38" s="72"/>
    </row>
    <row r="39" spans="2:10">
      <c r="B39" s="76" t="s">
        <v>16</v>
      </c>
      <c r="C39" s="116" t="s">
        <v>17</v>
      </c>
      <c r="D39" s="124">
        <f>+SUM(D40:D43)</f>
        <v>1421.7563347350567</v>
      </c>
      <c r="E39" s="124">
        <f>+SUM(E40:E43)</f>
        <v>1479.1169153328115</v>
      </c>
      <c r="F39" s="124">
        <f>+SUM(F40:F43)</f>
        <v>1636.8625257442075</v>
      </c>
      <c r="G39" s="124">
        <f>+SUM(G40:G43)</f>
        <v>1724.1513828658547</v>
      </c>
      <c r="H39" s="128">
        <v>2015</v>
      </c>
      <c r="I39" s="97"/>
      <c r="J39" s="72"/>
    </row>
    <row r="40" spans="2:10">
      <c r="B40" s="127" t="s">
        <v>18</v>
      </c>
      <c r="C40" s="116" t="s">
        <v>17</v>
      </c>
      <c r="D40" s="124">
        <v>1084.4069371446953</v>
      </c>
      <c r="E40" s="124">
        <v>1134.8828361589731</v>
      </c>
      <c r="F40" s="124">
        <v>1274.5108634559567</v>
      </c>
      <c r="G40" s="124">
        <v>1342.7285804571695</v>
      </c>
      <c r="H40" s="128">
        <v>2015</v>
      </c>
      <c r="I40" s="97"/>
      <c r="J40" s="7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8.0539615423336364E-3</v>
      </c>
      <c r="E48" s="122">
        <f t="shared" si="0"/>
        <v>9.014084507042254E-3</v>
      </c>
      <c r="F48" s="122">
        <f t="shared" si="0"/>
        <v>1.019108280254777E-2</v>
      </c>
      <c r="G48" s="122">
        <f t="shared" si="0"/>
        <v>1.1111111111111112E-2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1.5101177891875567E-2</v>
      </c>
      <c r="E51" s="122">
        <f t="shared" si="0"/>
        <v>1.6901408450704227E-2</v>
      </c>
      <c r="F51" s="122">
        <f t="shared" si="0"/>
        <v>1.9108280254777069E-2</v>
      </c>
      <c r="G51" s="122">
        <f t="shared" si="0"/>
        <v>2.0833333333333332E-2</v>
      </c>
      <c r="H51" s="96"/>
      <c r="I51" s="97"/>
      <c r="J51" s="72"/>
    </row>
    <row r="52" spans="2:10">
      <c r="B52" s="76" t="s">
        <v>24</v>
      </c>
      <c r="C52" s="116" t="s">
        <v>134</v>
      </c>
      <c r="D52" s="122">
        <f t="shared" si="0"/>
        <v>1.2584314909896306E-3</v>
      </c>
      <c r="E52" s="122">
        <f t="shared" si="0"/>
        <v>1.4084507042253522E-3</v>
      </c>
      <c r="F52" s="122">
        <f t="shared" si="0"/>
        <v>1.592356687898089E-3</v>
      </c>
      <c r="G52" s="122">
        <f t="shared" si="0"/>
        <v>1.7361111111111112E-3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8.0539615423336364E-3</v>
      </c>
      <c r="E56" s="115">
        <f t="shared" si="1"/>
        <v>9.014084507042254E-3</v>
      </c>
      <c r="F56" s="115">
        <f t="shared" si="1"/>
        <v>1.019108280254777E-2</v>
      </c>
      <c r="G56" s="115">
        <f t="shared" si="1"/>
        <v>1.1111111111111112E-2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1.5101177891875567E-2</v>
      </c>
      <c r="E59" s="115">
        <f t="shared" si="1"/>
        <v>1.6901408450704227E-2</v>
      </c>
      <c r="F59" s="115">
        <f t="shared" si="1"/>
        <v>1.9108280254777069E-2</v>
      </c>
      <c r="G59" s="115">
        <f t="shared" si="1"/>
        <v>2.0833333333333332E-2</v>
      </c>
      <c r="H59" s="114"/>
      <c r="I59" s="97"/>
      <c r="J59" s="72"/>
    </row>
    <row r="60" spans="2:10">
      <c r="B60" s="76" t="s">
        <v>24</v>
      </c>
      <c r="C60" s="116" t="s">
        <v>134</v>
      </c>
      <c r="D60" s="115">
        <f t="shared" si="1"/>
        <v>1.2584314909896306E-3</v>
      </c>
      <c r="E60" s="115">
        <f t="shared" si="1"/>
        <v>1.4084507042253522E-3</v>
      </c>
      <c r="F60" s="115">
        <f t="shared" si="1"/>
        <v>1.592356687898089E-3</v>
      </c>
      <c r="G60" s="115">
        <f t="shared" si="1"/>
        <v>1.7361111111111112E-3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D68*D69/D70</f>
        <v>0.83</v>
      </c>
      <c r="E67" s="159">
        <f>D67*(1-E71)</f>
        <v>0.8133999999999999</v>
      </c>
      <c r="F67" s="159">
        <f>E67*(1-F71)</f>
        <v>0.77272999999999992</v>
      </c>
      <c r="G67" s="159">
        <f>F67*(1-G71)</f>
        <v>0.73409349999999984</v>
      </c>
      <c r="H67" s="98"/>
      <c r="I67" s="77"/>
      <c r="J67" s="72"/>
    </row>
    <row r="68" spans="2:10">
      <c r="B68" s="76" t="s">
        <v>136</v>
      </c>
      <c r="C68" s="93" t="s">
        <v>135</v>
      </c>
      <c r="D68" s="101">
        <v>0.83</v>
      </c>
      <c r="E68" s="101"/>
      <c r="F68" s="101"/>
      <c r="G68" s="101"/>
      <c r="H68" s="100"/>
      <c r="I68" s="97" t="s">
        <v>603</v>
      </c>
      <c r="J68" s="72"/>
    </row>
    <row r="69" spans="2:10">
      <c r="B69" s="76" t="s">
        <v>245</v>
      </c>
      <c r="C69" s="93" t="s">
        <v>119</v>
      </c>
      <c r="D69" s="101">
        <v>1975</v>
      </c>
      <c r="E69" s="101"/>
      <c r="F69" s="101"/>
      <c r="G69" s="101"/>
      <c r="H69" s="101"/>
      <c r="I69" s="77"/>
      <c r="J69" s="72"/>
    </row>
    <row r="70" spans="2:10">
      <c r="B70" s="76" t="s">
        <v>137</v>
      </c>
      <c r="C70" s="93" t="s">
        <v>119</v>
      </c>
      <c r="D70" s="101">
        <v>1975</v>
      </c>
      <c r="E70" s="101"/>
      <c r="F70" s="101"/>
      <c r="G70" s="101"/>
      <c r="H70" s="101"/>
      <c r="I70" s="97" t="s">
        <v>603</v>
      </c>
      <c r="J70" s="72"/>
    </row>
    <row r="71" spans="2:10">
      <c r="B71" s="76" t="s">
        <v>120</v>
      </c>
      <c r="C71" s="93" t="s">
        <v>26</v>
      </c>
      <c r="D71" s="101"/>
      <c r="E71" s="101">
        <v>0.02</v>
      </c>
      <c r="F71" s="101">
        <v>0.05</v>
      </c>
      <c r="G71" s="101">
        <v>0.05</v>
      </c>
      <c r="H71" s="101"/>
      <c r="I71" s="97"/>
      <c r="J71" s="72"/>
    </row>
    <row r="72" spans="2:10">
      <c r="B72" s="76" t="s">
        <v>121</v>
      </c>
      <c r="C72" s="93" t="s">
        <v>122</v>
      </c>
      <c r="D72" s="96">
        <v>18000</v>
      </c>
      <c r="E72" s="96">
        <v>18000</v>
      </c>
      <c r="F72" s="96">
        <v>18000</v>
      </c>
      <c r="G72" s="96">
        <v>18000</v>
      </c>
      <c r="H72" s="96"/>
      <c r="I72" s="77"/>
      <c r="J72" s="72"/>
    </row>
    <row r="73" spans="2:10">
      <c r="B73" s="76" t="s">
        <v>109</v>
      </c>
      <c r="C73" s="93" t="s">
        <v>110</v>
      </c>
      <c r="D73" s="206">
        <f>+D67*D72/1000</f>
        <v>14.94</v>
      </c>
      <c r="E73" s="206">
        <f>+E67*E72/1000</f>
        <v>14.6412</v>
      </c>
      <c r="F73" s="206">
        <f>+F67*F72/1000</f>
        <v>13.909139999999997</v>
      </c>
      <c r="G73" s="206">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c r="J74" s="72" t="s">
        <v>138</v>
      </c>
    </row>
    <row r="75" spans="2:10">
      <c r="B75" s="76" t="s">
        <v>124</v>
      </c>
      <c r="C75" s="93" t="s">
        <v>36</v>
      </c>
      <c r="D75" s="205">
        <v>0.28000000000000003</v>
      </c>
      <c r="E75" s="205">
        <v>0.28000000000000003</v>
      </c>
      <c r="F75" s="205">
        <v>0.28000000000000003</v>
      </c>
      <c r="G75" s="205">
        <v>0.28000000000000003</v>
      </c>
      <c r="H75" s="90"/>
      <c r="I75" s="73" t="s">
        <v>579</v>
      </c>
      <c r="J75" s="72"/>
    </row>
    <row r="76" spans="2:10">
      <c r="B76" s="76"/>
      <c r="C76" s="93"/>
      <c r="D76" s="92"/>
      <c r="E76" s="91"/>
      <c r="F76" s="204"/>
      <c r="G76" s="204"/>
      <c r="H76" s="90"/>
      <c r="I76" s="73"/>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t="s">
        <v>127</v>
      </c>
    </row>
    <row r="83" spans="2:10">
      <c r="B83" s="76" t="s">
        <v>21</v>
      </c>
      <c r="C83" s="75" t="s">
        <v>27</v>
      </c>
      <c r="D83" s="74">
        <v>3.2000000000000001E-2</v>
      </c>
      <c r="E83" s="74">
        <v>3.2000000000000001E-2</v>
      </c>
      <c r="F83" s="74">
        <v>3.2000000000000001E-2</v>
      </c>
      <c r="G83" s="74">
        <v>3.2000000000000001E-2</v>
      </c>
      <c r="H83" s="74"/>
      <c r="I83" s="73" t="s">
        <v>580</v>
      </c>
      <c r="J83" s="72" t="s">
        <v>128</v>
      </c>
    </row>
    <row r="84" spans="2:10">
      <c r="B84" s="76" t="s">
        <v>22</v>
      </c>
      <c r="C84" s="75" t="s">
        <v>27</v>
      </c>
      <c r="D84" s="74"/>
      <c r="E84" s="74"/>
      <c r="F84" s="74"/>
      <c r="G84" s="74"/>
      <c r="H84" s="74"/>
      <c r="I84" s="73" t="s">
        <v>580</v>
      </c>
      <c r="J84" s="72" t="s">
        <v>129</v>
      </c>
    </row>
    <row r="85" spans="2:10">
      <c r="B85" s="76" t="s">
        <v>23</v>
      </c>
      <c r="C85" s="75" t="s">
        <v>27</v>
      </c>
      <c r="D85" s="74"/>
      <c r="E85" s="74"/>
      <c r="F85" s="74"/>
      <c r="G85" s="74"/>
      <c r="H85" s="74"/>
      <c r="I85" s="73" t="s">
        <v>580</v>
      </c>
      <c r="J85" s="72" t="s">
        <v>130</v>
      </c>
    </row>
    <row r="86" spans="2:10">
      <c r="B86" s="76" t="s">
        <v>116</v>
      </c>
      <c r="C86" s="75" t="s">
        <v>27</v>
      </c>
      <c r="D86" s="74">
        <v>0.06</v>
      </c>
      <c r="E86" s="74">
        <v>0.06</v>
      </c>
      <c r="F86" s="74">
        <v>0.06</v>
      </c>
      <c r="G86" s="74">
        <v>0.06</v>
      </c>
      <c r="H86" s="74"/>
      <c r="I86" s="73" t="s">
        <v>580</v>
      </c>
      <c r="J86" s="72"/>
    </row>
    <row r="87" spans="2:10">
      <c r="B87" s="76" t="s">
        <v>24</v>
      </c>
      <c r="C87" s="75" t="s">
        <v>27</v>
      </c>
      <c r="D87" s="74">
        <v>5.0000000000000001E-3</v>
      </c>
      <c r="E87" s="74">
        <v>5.0000000000000001E-3</v>
      </c>
      <c r="F87" s="74">
        <v>5.0000000000000001E-3</v>
      </c>
      <c r="G87" s="74">
        <v>5.0000000000000001E-3</v>
      </c>
      <c r="H87" s="74"/>
      <c r="I87" s="73" t="s">
        <v>580</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800-000000000000}">
          <x14:formula1>
            <xm:f>'C:\Users\B003920\Desktop\[Kopi af alternativ_drivmiddelmodel_3.0_2.xlsm]Sheet1'!#REF!</xm:f>
          </x14:formula1>
          <xm:sqref>C9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Ark6">
    <tabColor rgb="FF002060"/>
  </sheetPr>
  <dimension ref="B1:S102"/>
  <sheetViews>
    <sheetView topLeftCell="A19" workbookViewId="0">
      <selection activeCell="E79" sqref="E79"/>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32</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t="s">
        <v>253</v>
      </c>
      <c r="C6" s="75"/>
      <c r="D6" s="75"/>
      <c r="E6" s="75"/>
      <c r="F6" s="75"/>
      <c r="G6" s="75"/>
      <c r="H6" s="75"/>
      <c r="I6" s="75"/>
      <c r="J6" s="75"/>
      <c r="K6" s="75"/>
      <c r="L6" s="75"/>
      <c r="M6" s="75"/>
      <c r="N6" s="72"/>
    </row>
    <row r="7" spans="2:19">
      <c r="B7" s="131" t="s">
        <v>252</v>
      </c>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t="s">
        <v>251</v>
      </c>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31" t="s">
        <v>250</v>
      </c>
      <c r="C15" s="75"/>
      <c r="D15" s="75"/>
      <c r="E15" s="75"/>
      <c r="F15" s="75"/>
      <c r="G15" s="75"/>
      <c r="H15" s="75"/>
      <c r="I15" s="75"/>
      <c r="J15" s="75"/>
      <c r="K15" s="75"/>
      <c r="L15" s="75"/>
      <c r="M15" s="75"/>
      <c r="N15" s="72"/>
    </row>
    <row r="16" spans="2:19">
      <c r="B16" s="131" t="s">
        <v>249</v>
      </c>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0.26659814344907329</v>
      </c>
      <c r="E23" s="148">
        <f>E67/E25</f>
        <v>0.27204013377926417</v>
      </c>
      <c r="F23" s="148">
        <f>F67/F25</f>
        <v>0.29159622641509431</v>
      </c>
      <c r="G23" s="148">
        <f>G67/G25</f>
        <v>0.30209609053497932</v>
      </c>
      <c r="H23" s="145">
        <f>'EU varebil diesel'!H3</f>
        <v>0</v>
      </c>
      <c r="I23" s="97" t="s">
        <v>603</v>
      </c>
      <c r="J23" s="139"/>
    </row>
    <row r="24" spans="2:14">
      <c r="B24" s="143" t="s">
        <v>103</v>
      </c>
      <c r="C24" s="116" t="s">
        <v>133</v>
      </c>
      <c r="D24" s="147">
        <f>D23</f>
        <v>0.26659814344907329</v>
      </c>
      <c r="E24" s="146">
        <f>E23</f>
        <v>0.27204013377926417</v>
      </c>
      <c r="F24" s="146">
        <f>F23</f>
        <v>0.29159622641509431</v>
      </c>
      <c r="G24" s="146">
        <f>G23</f>
        <v>0.30209609053497932</v>
      </c>
      <c r="H24" s="145"/>
      <c r="I24" s="97"/>
      <c r="J24" s="139"/>
    </row>
    <row r="25" spans="2:14">
      <c r="B25" s="143" t="s">
        <v>104</v>
      </c>
      <c r="C25" s="116" t="s">
        <v>105</v>
      </c>
      <c r="D25" s="217">
        <v>3.1133000000000002</v>
      </c>
      <c r="E25" s="216">
        <v>2.99</v>
      </c>
      <c r="F25" s="215">
        <v>2.65</v>
      </c>
      <c r="G25" s="215">
        <v>2.4300000000000002</v>
      </c>
      <c r="H25" s="140"/>
      <c r="I25" s="97" t="s">
        <v>603</v>
      </c>
      <c r="J25" s="139"/>
    </row>
    <row r="26" spans="2:14">
      <c r="B26" s="143" t="s">
        <v>106</v>
      </c>
      <c r="C26" s="116" t="s">
        <v>105</v>
      </c>
      <c r="D26" s="162"/>
      <c r="E26" s="161"/>
      <c r="F26" s="161"/>
      <c r="G26" s="161"/>
      <c r="H26" s="140"/>
      <c r="I26" s="97"/>
      <c r="J26" s="139"/>
    </row>
    <row r="27" spans="2:14">
      <c r="B27" s="131" t="s">
        <v>107</v>
      </c>
      <c r="C27" s="116" t="s">
        <v>108</v>
      </c>
      <c r="D27" s="138">
        <v>16.3</v>
      </c>
      <c r="E27" s="123">
        <v>16.3</v>
      </c>
      <c r="F27" s="123">
        <v>16.3</v>
      </c>
      <c r="G27" s="123">
        <v>16.3</v>
      </c>
      <c r="H27" s="123"/>
      <c r="I27" s="73" t="s">
        <v>578</v>
      </c>
      <c r="J27" s="72"/>
    </row>
    <row r="28" spans="2:14">
      <c r="B28" s="131" t="s">
        <v>109</v>
      </c>
      <c r="C28" s="116" t="s">
        <v>110</v>
      </c>
      <c r="D28" s="136">
        <f>+D73</f>
        <v>14.94</v>
      </c>
      <c r="E28" s="136">
        <f>+E73</f>
        <v>14.6412</v>
      </c>
      <c r="F28" s="136">
        <f>+F73</f>
        <v>13.909139999999997</v>
      </c>
      <c r="G28" s="136">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182255</v>
      </c>
      <c r="E31" s="134">
        <v>184137</v>
      </c>
      <c r="F31" s="134">
        <v>191307</v>
      </c>
      <c r="G31" s="134">
        <v>191433</v>
      </c>
      <c r="H31" s="133">
        <v>2015</v>
      </c>
      <c r="I31" s="77"/>
      <c r="J31" s="72"/>
    </row>
    <row r="32" spans="2:14">
      <c r="B32" s="76" t="s">
        <v>16</v>
      </c>
      <c r="C32" s="116" t="s">
        <v>17</v>
      </c>
      <c r="D32" s="134">
        <v>1449.3027357770748</v>
      </c>
      <c r="E32" s="134">
        <v>1490.5969170326962</v>
      </c>
      <c r="F32" s="134">
        <v>1616.0362639550565</v>
      </c>
      <c r="G32" s="134">
        <v>1701.9599734472533</v>
      </c>
      <c r="H32" s="133">
        <v>2015</v>
      </c>
      <c r="I32" s="77"/>
      <c r="J32" s="72"/>
    </row>
    <row r="33" spans="2:10">
      <c r="B33" s="127" t="s">
        <v>18</v>
      </c>
      <c r="C33" s="116" t="s">
        <v>17</v>
      </c>
      <c r="D33" s="134">
        <v>1111.9533381867134</v>
      </c>
      <c r="E33" s="134">
        <v>1146.362837858858</v>
      </c>
      <c r="F33" s="134">
        <v>1253.6846016668057</v>
      </c>
      <c r="G33" s="134">
        <v>1320.5371710385682</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v>182255</v>
      </c>
      <c r="E38" s="125">
        <v>184137</v>
      </c>
      <c r="F38" s="125">
        <v>191307</v>
      </c>
      <c r="G38" s="125">
        <v>191433</v>
      </c>
      <c r="H38" s="128">
        <v>2015</v>
      </c>
      <c r="I38" s="97" t="s">
        <v>603</v>
      </c>
      <c r="J38" s="72"/>
    </row>
    <row r="39" spans="2:10">
      <c r="B39" s="76" t="s">
        <v>16</v>
      </c>
      <c r="C39" s="116" t="s">
        <v>17</v>
      </c>
      <c r="D39" s="124">
        <f>+SUM(D40:D43)</f>
        <v>1449.3027357770748</v>
      </c>
      <c r="E39" s="124">
        <f>+SUM(E40:E43)</f>
        <v>1490.5969170326962</v>
      </c>
      <c r="F39" s="124">
        <f>+SUM(F40:F43)</f>
        <v>1616.0362639550565</v>
      </c>
      <c r="G39" s="124">
        <f>+SUM(G40:G43)</f>
        <v>1701.9599734472533</v>
      </c>
      <c r="H39" s="128">
        <v>2015</v>
      </c>
      <c r="I39" s="97"/>
      <c r="J39" s="72"/>
    </row>
    <row r="40" spans="2:10">
      <c r="B40" s="127" t="s">
        <v>18</v>
      </c>
      <c r="C40" s="116" t="s">
        <v>17</v>
      </c>
      <c r="D40" s="124">
        <v>1111.9533381867134</v>
      </c>
      <c r="E40" s="124">
        <v>1146.362837858858</v>
      </c>
      <c r="F40" s="124">
        <v>1253.6846016668057</v>
      </c>
      <c r="G40" s="124">
        <v>1320.5371710385682</v>
      </c>
      <c r="H40" s="128">
        <v>2015</v>
      </c>
      <c r="I40" s="97"/>
      <c r="J40" s="7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1.6060129123438151E-2</v>
      </c>
      <c r="E48" s="122">
        <f t="shared" si="0"/>
        <v>3.0100334448160532E-2</v>
      </c>
      <c r="F48" s="122">
        <f t="shared" si="0"/>
        <v>3.3962264150943396E-2</v>
      </c>
      <c r="G48" s="122">
        <f t="shared" si="0"/>
        <v>3.7037037037037035E-2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5.7816464844377344E-2</v>
      </c>
      <c r="E51" s="122">
        <f t="shared" si="0"/>
        <v>2.6755852842809364E-2</v>
      </c>
      <c r="F51" s="122">
        <f t="shared" si="0"/>
        <v>3.0188679245283019E-2</v>
      </c>
      <c r="G51" s="122">
        <f t="shared" si="0"/>
        <v>3.2921810699588473E-2</v>
      </c>
      <c r="H51" s="96"/>
      <c r="I51" s="97"/>
      <c r="J51" s="72"/>
    </row>
    <row r="52" spans="2:10">
      <c r="B52" s="76" t="s">
        <v>24</v>
      </c>
      <c r="C52" s="116" t="s">
        <v>134</v>
      </c>
      <c r="D52" s="122">
        <f t="shared" si="0"/>
        <v>1.6060129123438153E-3</v>
      </c>
      <c r="E52" s="122">
        <f t="shared" si="0"/>
        <v>1.6722408026755853E-3</v>
      </c>
      <c r="F52" s="122">
        <f t="shared" si="0"/>
        <v>1.8867924528301887E-3</v>
      </c>
      <c r="G52" s="122">
        <f t="shared" si="0"/>
        <v>2.0576131687242796E-3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1.6060129123438151E-2</v>
      </c>
      <c r="E56" s="115">
        <f t="shared" si="1"/>
        <v>3.0100334448160532E-2</v>
      </c>
      <c r="F56" s="115">
        <f t="shared" si="1"/>
        <v>3.3962264150943396E-2</v>
      </c>
      <c r="G56" s="115">
        <f t="shared" si="1"/>
        <v>3.7037037037037035E-2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5.7816464844377344E-2</v>
      </c>
      <c r="E59" s="115">
        <f t="shared" si="1"/>
        <v>2.6755852842809364E-2</v>
      </c>
      <c r="F59" s="115">
        <f t="shared" si="1"/>
        <v>3.0188679245283019E-2</v>
      </c>
      <c r="G59" s="115">
        <f t="shared" si="1"/>
        <v>3.2921810699588473E-2</v>
      </c>
      <c r="H59" s="114"/>
      <c r="I59" s="97"/>
      <c r="J59" s="72"/>
    </row>
    <row r="60" spans="2:10">
      <c r="B60" s="76" t="s">
        <v>24</v>
      </c>
      <c r="C60" s="116" t="s">
        <v>134</v>
      </c>
      <c r="D60" s="115">
        <f t="shared" si="1"/>
        <v>1.6060129123438153E-3</v>
      </c>
      <c r="E60" s="115">
        <f t="shared" si="1"/>
        <v>1.6722408026755853E-3</v>
      </c>
      <c r="F60" s="115">
        <f t="shared" si="1"/>
        <v>1.8867924528301887E-3</v>
      </c>
      <c r="G60" s="115">
        <f t="shared" si="1"/>
        <v>2.0576131687242796E-3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'EU Varebil benzin'!D67</f>
        <v>0.83</v>
      </c>
      <c r="E67" s="159">
        <f>'EU Varebil benzin'!E67</f>
        <v>0.8133999999999999</v>
      </c>
      <c r="F67" s="159">
        <f>'EU Varebil benzin'!F67</f>
        <v>0.77272999999999992</v>
      </c>
      <c r="G67" s="159">
        <f>'EU Varebil benzin'!G67</f>
        <v>0.73409349999999984</v>
      </c>
      <c r="H67" s="98"/>
      <c r="I67" s="77"/>
      <c r="J67" s="72" t="s">
        <v>247</v>
      </c>
    </row>
    <row r="68" spans="2:10">
      <c r="B68" s="76" t="s">
        <v>136</v>
      </c>
      <c r="C68" s="93" t="s">
        <v>135</v>
      </c>
      <c r="D68" s="101">
        <v>0.83</v>
      </c>
      <c r="E68" s="101"/>
      <c r="F68" s="101"/>
      <c r="G68" s="101"/>
      <c r="H68" s="100"/>
      <c r="I68" s="97"/>
      <c r="J68" s="72"/>
    </row>
    <row r="69" spans="2:10">
      <c r="B69" s="76" t="s">
        <v>248</v>
      </c>
      <c r="C69" s="93" t="s">
        <v>119</v>
      </c>
      <c r="D69" s="101">
        <v>1975</v>
      </c>
      <c r="E69" s="100"/>
      <c r="F69" s="100"/>
      <c r="G69" s="100"/>
      <c r="H69" s="99"/>
      <c r="I69" s="97" t="s">
        <v>603</v>
      </c>
      <c r="J69" s="72"/>
    </row>
    <row r="70" spans="2:10">
      <c r="B70" s="76" t="s">
        <v>137</v>
      </c>
      <c r="C70" s="93" t="s">
        <v>119</v>
      </c>
      <c r="D70" s="101">
        <v>1975</v>
      </c>
      <c r="E70" s="99"/>
      <c r="F70" s="99"/>
      <c r="G70" s="99"/>
      <c r="H70" s="98"/>
      <c r="I70" s="77"/>
      <c r="J70" s="72"/>
    </row>
    <row r="71" spans="2:10">
      <c r="B71" s="76" t="s">
        <v>120</v>
      </c>
      <c r="C71" s="93" t="s">
        <v>26</v>
      </c>
      <c r="D71" s="158"/>
      <c r="E71" s="101">
        <v>0.02</v>
      </c>
      <c r="F71" s="101">
        <v>0.05</v>
      </c>
      <c r="G71" s="101">
        <v>0.05</v>
      </c>
      <c r="H71" s="98"/>
      <c r="I71" s="97" t="s">
        <v>603</v>
      </c>
      <c r="J71" s="72"/>
    </row>
    <row r="72" spans="2:10">
      <c r="B72" s="76" t="s">
        <v>121</v>
      </c>
      <c r="C72" s="93" t="s">
        <v>122</v>
      </c>
      <c r="D72" s="96">
        <v>18000</v>
      </c>
      <c r="E72" s="96">
        <v>18000</v>
      </c>
      <c r="F72" s="96">
        <v>18000</v>
      </c>
      <c r="G72" s="96">
        <v>18000</v>
      </c>
      <c r="H72" s="96"/>
      <c r="I72" s="77"/>
      <c r="J72" s="72"/>
    </row>
    <row r="73" spans="2:10">
      <c r="B73" s="76" t="s">
        <v>109</v>
      </c>
      <c r="C73" s="93" t="s">
        <v>110</v>
      </c>
      <c r="D73" s="75">
        <f>+D67*D72/1000</f>
        <v>14.94</v>
      </c>
      <c r="E73" s="75">
        <f>+E67*E72/1000</f>
        <v>14.6412</v>
      </c>
      <c r="F73" s="75">
        <f>+F67*F72/1000</f>
        <v>13.909139999999997</v>
      </c>
      <c r="G73" s="75">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t="s">
        <v>603</v>
      </c>
      <c r="J74" s="72"/>
    </row>
    <row r="75" spans="2:10">
      <c r="B75" s="76" t="s">
        <v>124</v>
      </c>
      <c r="C75" s="93" t="s">
        <v>36</v>
      </c>
      <c r="D75" s="94">
        <v>0.28000000000000003</v>
      </c>
      <c r="E75" s="90">
        <v>0.28000000000000003</v>
      </c>
      <c r="F75" s="90">
        <v>0.28000000000000003</v>
      </c>
      <c r="G75" s="90">
        <v>0.28000000000000003</v>
      </c>
      <c r="H75" s="90"/>
      <c r="I75" s="97" t="s">
        <v>603</v>
      </c>
      <c r="J75" s="72"/>
    </row>
    <row r="76" spans="2:10">
      <c r="B76" s="76" t="s">
        <v>125</v>
      </c>
      <c r="C76" s="93" t="s">
        <v>26</v>
      </c>
      <c r="D76" s="92"/>
      <c r="E76" s="91">
        <v>0.215</v>
      </c>
      <c r="F76" s="204">
        <v>0.3</v>
      </c>
      <c r="G76" s="204">
        <v>0.3</v>
      </c>
      <c r="H76" s="90"/>
      <c r="I76" s="73"/>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row>
    <row r="83" spans="2:10">
      <c r="B83" s="76" t="s">
        <v>21</v>
      </c>
      <c r="C83" s="75" t="s">
        <v>27</v>
      </c>
      <c r="D83" s="74">
        <v>0.05</v>
      </c>
      <c r="E83" s="74">
        <v>0.09</v>
      </c>
      <c r="F83" s="74">
        <v>0.09</v>
      </c>
      <c r="G83" s="74">
        <v>0.09</v>
      </c>
      <c r="H83" s="74"/>
      <c r="I83" s="97" t="s">
        <v>603</v>
      </c>
      <c r="J83" s="72"/>
    </row>
    <row r="84" spans="2:10">
      <c r="B84" s="76" t="s">
        <v>22</v>
      </c>
      <c r="C84" s="75" t="s">
        <v>27</v>
      </c>
      <c r="D84" s="74"/>
      <c r="E84" s="74"/>
      <c r="F84" s="74"/>
      <c r="G84" s="74"/>
      <c r="H84" s="74"/>
      <c r="I84" s="73"/>
      <c r="J84" s="72" t="s">
        <v>129</v>
      </c>
    </row>
    <row r="85" spans="2:10">
      <c r="B85" s="76" t="s">
        <v>23</v>
      </c>
      <c r="C85" s="75" t="s">
        <v>27</v>
      </c>
      <c r="D85" s="74"/>
      <c r="E85" s="74"/>
      <c r="F85" s="74"/>
      <c r="G85" s="74"/>
      <c r="H85" s="74"/>
      <c r="I85" s="73"/>
      <c r="J85" s="72"/>
    </row>
    <row r="86" spans="2:10">
      <c r="B86" s="76" t="s">
        <v>116</v>
      </c>
      <c r="C86" s="75" t="s">
        <v>27</v>
      </c>
      <c r="D86" s="74">
        <v>0.18</v>
      </c>
      <c r="E86" s="74">
        <v>0.08</v>
      </c>
      <c r="F86" s="74">
        <v>0.08</v>
      </c>
      <c r="G86" s="74">
        <v>0.08</v>
      </c>
      <c r="H86" s="74"/>
      <c r="I86" s="97" t="s">
        <v>603</v>
      </c>
      <c r="J86" s="72"/>
    </row>
    <row r="87" spans="2:10">
      <c r="B87" s="76" t="s">
        <v>24</v>
      </c>
      <c r="C87" s="75" t="s">
        <v>27</v>
      </c>
      <c r="D87" s="74">
        <v>5.0000000000000001E-3</v>
      </c>
      <c r="E87" s="74">
        <v>5.0000000000000001E-3</v>
      </c>
      <c r="F87" s="74">
        <v>5.0000000000000001E-3</v>
      </c>
      <c r="G87" s="74">
        <v>5.0000000000000001E-3</v>
      </c>
      <c r="H87" s="74"/>
      <c r="I87" s="97" t="s">
        <v>603</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900-000000000000}">
          <x14:formula1>
            <xm:f>'C:\Users\B003920\Desktop\[Kopi af alternativ_drivmiddelmodel_3.0_2.xlsm]Sheet1'!#REF!</xm:f>
          </x14:formula1>
          <xm:sqref>C9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Ark5">
    <tabColor rgb="FF002060"/>
  </sheetPr>
  <dimension ref="B1:S102"/>
  <sheetViews>
    <sheetView topLeftCell="B13" workbookViewId="0">
      <selection activeCell="D25" sqref="D24:G25"/>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32</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t="s">
        <v>131</v>
      </c>
      <c r="C6" s="75"/>
      <c r="D6" s="75"/>
      <c r="E6" s="75"/>
      <c r="F6" s="75"/>
      <c r="G6" s="75"/>
      <c r="H6" s="75"/>
      <c r="I6" s="75"/>
      <c r="J6" s="75"/>
      <c r="K6" s="75"/>
      <c r="L6" s="75"/>
      <c r="M6" s="75"/>
      <c r="N6" s="72"/>
    </row>
    <row r="7" spans="2:19">
      <c r="B7" s="131" t="s">
        <v>132</v>
      </c>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0.2151652624756967</v>
      </c>
      <c r="E23" s="148">
        <f>E67/E25</f>
        <v>0.23645348837209298</v>
      </c>
      <c r="F23" s="148">
        <f>F67/F25</f>
        <v>0.2533540983606557</v>
      </c>
      <c r="G23" s="148">
        <f>G67/G25</f>
        <v>0.26217624999999994</v>
      </c>
      <c r="H23" s="145"/>
      <c r="I23" s="97" t="s">
        <v>603</v>
      </c>
      <c r="J23" s="139"/>
    </row>
    <row r="24" spans="2:14">
      <c r="B24" s="143" t="s">
        <v>103</v>
      </c>
      <c r="C24" s="116" t="s">
        <v>133</v>
      </c>
      <c r="D24" s="147">
        <f>D23</f>
        <v>0.2151652624756967</v>
      </c>
      <c r="E24" s="146">
        <f>E23</f>
        <v>0.23645348837209298</v>
      </c>
      <c r="F24" s="146">
        <f>F23</f>
        <v>0.2533540983606557</v>
      </c>
      <c r="G24" s="146">
        <f>G23</f>
        <v>0.26217624999999994</v>
      </c>
      <c r="H24" s="145"/>
      <c r="I24" s="97"/>
      <c r="J24" s="139"/>
    </row>
    <row r="25" spans="2:14">
      <c r="B25" s="143" t="s">
        <v>104</v>
      </c>
      <c r="C25" s="116" t="s">
        <v>105</v>
      </c>
      <c r="D25" s="217">
        <v>3.8574999999999999</v>
      </c>
      <c r="E25" s="216">
        <v>3.44</v>
      </c>
      <c r="F25" s="215">
        <v>3.05</v>
      </c>
      <c r="G25" s="215">
        <v>2.8</v>
      </c>
      <c r="H25" s="140"/>
      <c r="I25" s="97" t="s">
        <v>603</v>
      </c>
      <c r="J25" s="139"/>
    </row>
    <row r="26" spans="2:14">
      <c r="B26" s="143" t="s">
        <v>106</v>
      </c>
      <c r="C26" s="116" t="s">
        <v>105</v>
      </c>
      <c r="D26" s="162"/>
      <c r="E26" s="161"/>
      <c r="F26" s="161"/>
      <c r="G26" s="161"/>
      <c r="H26" s="140"/>
      <c r="I26" s="97"/>
      <c r="J26" s="139"/>
    </row>
    <row r="27" spans="2:14">
      <c r="B27" s="131" t="s">
        <v>107</v>
      </c>
      <c r="C27" s="116" t="s">
        <v>108</v>
      </c>
      <c r="D27" s="214">
        <v>16.3</v>
      </c>
      <c r="E27" s="148">
        <v>16.3</v>
      </c>
      <c r="F27" s="148">
        <v>16.3</v>
      </c>
      <c r="G27" s="148">
        <v>16.3</v>
      </c>
      <c r="H27" s="123"/>
      <c r="I27" s="73" t="s">
        <v>578</v>
      </c>
      <c r="J27" s="72"/>
    </row>
    <row r="28" spans="2:14">
      <c r="B28" s="131" t="s">
        <v>109</v>
      </c>
      <c r="C28" s="116" t="s">
        <v>110</v>
      </c>
      <c r="D28" s="213">
        <f>+D73</f>
        <v>14.94</v>
      </c>
      <c r="E28" s="213">
        <f>+E73</f>
        <v>14.6412</v>
      </c>
      <c r="F28" s="213">
        <f>+F73</f>
        <v>13.909139999999997</v>
      </c>
      <c r="G28" s="213">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211980</v>
      </c>
      <c r="E31" s="134">
        <v>216118</v>
      </c>
      <c r="F31" s="134">
        <v>224351</v>
      </c>
      <c r="G31" s="134">
        <v>224457</v>
      </c>
      <c r="H31" s="133">
        <v>2015</v>
      </c>
      <c r="I31" s="77"/>
      <c r="J31" s="72"/>
    </row>
    <row r="32" spans="2:14">
      <c r="B32" s="76" t="s">
        <v>16</v>
      </c>
      <c r="C32" s="116" t="s">
        <v>17</v>
      </c>
      <c r="D32" s="134">
        <v>1630.657502327238</v>
      </c>
      <c r="E32" s="134">
        <v>1689.6977491173079</v>
      </c>
      <c r="F32" s="134">
        <v>1832.5822030868078</v>
      </c>
      <c r="G32" s="134">
        <v>1929.7651038917313</v>
      </c>
      <c r="H32" s="133">
        <v>2015</v>
      </c>
      <c r="I32" s="77"/>
      <c r="J32" s="72"/>
    </row>
    <row r="33" spans="2:10">
      <c r="B33" s="127" t="s">
        <v>18</v>
      </c>
      <c r="C33" s="116" t="s">
        <v>17</v>
      </c>
      <c r="D33" s="134">
        <v>1293.3081047368767</v>
      </c>
      <c r="E33" s="134">
        <v>1345.4636699434698</v>
      </c>
      <c r="F33" s="134">
        <v>1470.2305407985571</v>
      </c>
      <c r="G33" s="134">
        <v>1548.3423014830462</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v>211980</v>
      </c>
      <c r="E38" s="125">
        <v>216118</v>
      </c>
      <c r="F38" s="125">
        <v>224351</v>
      </c>
      <c r="G38" s="125">
        <v>224457</v>
      </c>
      <c r="H38" s="128">
        <v>2015</v>
      </c>
      <c r="I38" s="97" t="s">
        <v>577</v>
      </c>
      <c r="J38" s="72"/>
    </row>
    <row r="39" spans="2:10">
      <c r="B39" s="76" t="s">
        <v>16</v>
      </c>
      <c r="C39" s="116" t="s">
        <v>17</v>
      </c>
      <c r="D39" s="124">
        <f>+SUM(D40:D43)</f>
        <v>1630.657502327238</v>
      </c>
      <c r="E39" s="124">
        <f>+SUM(E40:E43)</f>
        <v>1689.6977491173079</v>
      </c>
      <c r="F39" s="124">
        <f>+SUM(F40:F43)</f>
        <v>1832.5822030868078</v>
      </c>
      <c r="G39" s="124">
        <f>+SUM(G40:G43)</f>
        <v>1929.7651038917313</v>
      </c>
      <c r="H39" s="128">
        <v>2015</v>
      </c>
      <c r="I39" s="97"/>
      <c r="J39" s="72"/>
    </row>
    <row r="40" spans="2:10">
      <c r="B40" s="127" t="s">
        <v>18</v>
      </c>
      <c r="C40" s="116" t="s">
        <v>17</v>
      </c>
      <c r="D40" s="124">
        <v>1293.3081047368767</v>
      </c>
      <c r="E40" s="124">
        <v>1345.4636699434698</v>
      </c>
      <c r="F40" s="124">
        <v>1470.2305407985571</v>
      </c>
      <c r="G40" s="124">
        <v>1548.3423014830462</v>
      </c>
      <c r="H40" s="128">
        <v>2015</v>
      </c>
      <c r="I40" s="97"/>
      <c r="J40" s="21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2.2216461438755671E-2</v>
      </c>
      <c r="E48" s="122">
        <f t="shared" si="0"/>
        <v>2.4912790697674419E-2</v>
      </c>
      <c r="F48" s="122">
        <f t="shared" si="0"/>
        <v>2.8098360655737706E-2</v>
      </c>
      <c r="G48" s="122">
        <f t="shared" si="0"/>
        <v>3.0607142857142857E-2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1.5554115359688918E-2</v>
      </c>
      <c r="E51" s="122">
        <f t="shared" si="0"/>
        <v>1.7441860465116279E-2</v>
      </c>
      <c r="F51" s="122">
        <f t="shared" si="0"/>
        <v>1.9672131147540985E-2</v>
      </c>
      <c r="G51" s="122">
        <f t="shared" si="0"/>
        <v>2.1428571428571429E-2</v>
      </c>
      <c r="H51" s="96"/>
      <c r="I51" s="97"/>
      <c r="J51" s="72"/>
    </row>
    <row r="52" spans="2:10">
      <c r="B52" s="76" t="s">
        <v>24</v>
      </c>
      <c r="C52" s="116" t="s">
        <v>134</v>
      </c>
      <c r="D52" s="122">
        <f t="shared" si="0"/>
        <v>1.2961762799740765E-3</v>
      </c>
      <c r="E52" s="122">
        <f t="shared" si="0"/>
        <v>1.4534883720930232E-3</v>
      </c>
      <c r="F52" s="122">
        <f t="shared" si="0"/>
        <v>1.6393442622950822E-3</v>
      </c>
      <c r="G52" s="122">
        <f t="shared" si="0"/>
        <v>1.7857142857142859E-3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2.2216461438755671E-2</v>
      </c>
      <c r="E56" s="115">
        <f t="shared" si="1"/>
        <v>2.4912790697674419E-2</v>
      </c>
      <c r="F56" s="115">
        <f t="shared" si="1"/>
        <v>2.8098360655737706E-2</v>
      </c>
      <c r="G56" s="115">
        <f t="shared" si="1"/>
        <v>3.0607142857142857E-2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1.5554115359688918E-2</v>
      </c>
      <c r="E59" s="115">
        <f t="shared" si="1"/>
        <v>1.7441860465116279E-2</v>
      </c>
      <c r="F59" s="115">
        <f t="shared" si="1"/>
        <v>1.9672131147540985E-2</v>
      </c>
      <c r="G59" s="115">
        <f t="shared" si="1"/>
        <v>2.1428571428571429E-2</v>
      </c>
      <c r="H59" s="114"/>
      <c r="I59" s="97"/>
      <c r="J59" s="72"/>
    </row>
    <row r="60" spans="2:10">
      <c r="B60" s="76" t="s">
        <v>24</v>
      </c>
      <c r="C60" s="116" t="s">
        <v>134</v>
      </c>
      <c r="D60" s="115">
        <f t="shared" si="1"/>
        <v>1.2961762799740765E-3</v>
      </c>
      <c r="E60" s="115">
        <f t="shared" si="1"/>
        <v>1.4534883720930232E-3</v>
      </c>
      <c r="F60" s="115">
        <f t="shared" si="1"/>
        <v>1.6393442622950822E-3</v>
      </c>
      <c r="G60" s="115">
        <f t="shared" si="1"/>
        <v>1.7857142857142859E-3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'EU Varebil benzin'!D67</f>
        <v>0.83</v>
      </c>
      <c r="E67" s="159">
        <f>'EU Varebil benzin'!E67</f>
        <v>0.8133999999999999</v>
      </c>
      <c r="F67" s="159">
        <f>'EU Varebil benzin'!F67</f>
        <v>0.77272999999999992</v>
      </c>
      <c r="G67" s="159">
        <f>'EU Varebil benzin'!G67</f>
        <v>0.73409349999999984</v>
      </c>
      <c r="H67" s="98"/>
      <c r="I67" s="77"/>
      <c r="J67" s="72" t="s">
        <v>247</v>
      </c>
    </row>
    <row r="68" spans="2:10">
      <c r="B68" s="76" t="s">
        <v>136</v>
      </c>
      <c r="C68" s="93" t="s">
        <v>135</v>
      </c>
      <c r="D68" s="101">
        <f>'EU varebil diesel'!D67</f>
        <v>0.83</v>
      </c>
      <c r="E68" s="101"/>
      <c r="F68" s="101"/>
      <c r="G68" s="101"/>
      <c r="H68" s="100"/>
      <c r="I68" s="97" t="s">
        <v>603</v>
      </c>
      <c r="J68" s="72"/>
    </row>
    <row r="69" spans="2:10">
      <c r="B69" s="76" t="s">
        <v>118</v>
      </c>
      <c r="C69" s="93" t="s">
        <v>119</v>
      </c>
      <c r="D69" s="101">
        <v>1975</v>
      </c>
      <c r="E69" s="100"/>
      <c r="F69" s="100"/>
      <c r="G69" s="100"/>
      <c r="H69" s="99"/>
      <c r="I69" s="77"/>
      <c r="J69" s="72"/>
    </row>
    <row r="70" spans="2:10">
      <c r="B70" s="76" t="s">
        <v>137</v>
      </c>
      <c r="C70" s="93" t="s">
        <v>119</v>
      </c>
      <c r="D70" s="101">
        <v>1975</v>
      </c>
      <c r="E70" s="99"/>
      <c r="F70" s="99"/>
      <c r="G70" s="99"/>
      <c r="H70" s="98"/>
      <c r="I70" s="97" t="s">
        <v>603</v>
      </c>
      <c r="J70" s="72"/>
    </row>
    <row r="71" spans="2:10">
      <c r="B71" s="76" t="s">
        <v>120</v>
      </c>
      <c r="C71" s="93" t="s">
        <v>26</v>
      </c>
      <c r="D71" s="158"/>
      <c r="E71" s="101">
        <v>0.02</v>
      </c>
      <c r="F71" s="101">
        <v>0.05</v>
      </c>
      <c r="G71" s="101">
        <v>0.05</v>
      </c>
      <c r="H71" s="98"/>
      <c r="I71" s="97"/>
      <c r="J71" s="72"/>
    </row>
    <row r="72" spans="2:10">
      <c r="B72" s="76" t="s">
        <v>121</v>
      </c>
      <c r="C72" s="93" t="s">
        <v>122</v>
      </c>
      <c r="D72" s="96">
        <v>18000</v>
      </c>
      <c r="E72" s="96">
        <v>18000</v>
      </c>
      <c r="F72" s="96">
        <v>18000</v>
      </c>
      <c r="G72" s="96">
        <v>18000</v>
      </c>
      <c r="H72" s="96"/>
      <c r="I72" s="77"/>
      <c r="J72" s="72"/>
    </row>
    <row r="73" spans="2:10">
      <c r="B73" s="76" t="s">
        <v>109</v>
      </c>
      <c r="C73" s="93" t="s">
        <v>110</v>
      </c>
      <c r="D73" s="75">
        <f>+D67*D72/1000</f>
        <v>14.94</v>
      </c>
      <c r="E73" s="75">
        <f>+E67*E72/1000</f>
        <v>14.6412</v>
      </c>
      <c r="F73" s="75">
        <f>+F67*F72/1000</f>
        <v>13.909139999999997</v>
      </c>
      <c r="G73" s="75">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c r="J74" s="72" t="s">
        <v>138</v>
      </c>
    </row>
    <row r="75" spans="2:10">
      <c r="B75" s="76" t="s">
        <v>124</v>
      </c>
      <c r="C75" s="93" t="s">
        <v>36</v>
      </c>
      <c r="D75" s="94">
        <f>'EU varebil diesel'!D75</f>
        <v>0.28000000000000003</v>
      </c>
      <c r="E75" s="94">
        <f>'EU varebil diesel'!E75</f>
        <v>0.28000000000000003</v>
      </c>
      <c r="F75" s="94">
        <f>'EU varebil diesel'!F75</f>
        <v>0.28000000000000003</v>
      </c>
      <c r="G75" s="94">
        <f>'EU varebil diesel'!G75</f>
        <v>0.28000000000000003</v>
      </c>
      <c r="H75" s="90"/>
      <c r="I75" s="73" t="s">
        <v>579</v>
      </c>
      <c r="J75" s="72"/>
    </row>
    <row r="76" spans="2:10">
      <c r="B76" s="76" t="s">
        <v>125</v>
      </c>
      <c r="C76" s="93" t="s">
        <v>26</v>
      </c>
      <c r="D76" s="92"/>
      <c r="E76" s="91">
        <v>0.215</v>
      </c>
      <c r="F76" s="204">
        <v>0.3</v>
      </c>
      <c r="G76" s="204">
        <v>0.3</v>
      </c>
      <c r="H76" s="90"/>
      <c r="I76" s="73" t="s">
        <v>580</v>
      </c>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t="s">
        <v>127</v>
      </c>
    </row>
    <row r="83" spans="2:10">
      <c r="B83" s="76" t="s">
        <v>21</v>
      </c>
      <c r="C83" s="75" t="s">
        <v>27</v>
      </c>
      <c r="D83" s="74">
        <v>8.5699999999999998E-2</v>
      </c>
      <c r="E83" s="74">
        <v>8.5699999999999998E-2</v>
      </c>
      <c r="F83" s="74">
        <v>8.5699999999999998E-2</v>
      </c>
      <c r="G83" s="74">
        <v>8.5699999999999998E-2</v>
      </c>
      <c r="H83" s="74"/>
      <c r="I83" s="73" t="s">
        <v>580</v>
      </c>
      <c r="J83" s="72" t="s">
        <v>128</v>
      </c>
    </row>
    <row r="84" spans="2:10">
      <c r="B84" s="76" t="s">
        <v>22</v>
      </c>
      <c r="C84" s="75" t="s">
        <v>27</v>
      </c>
      <c r="D84" s="74"/>
      <c r="E84" s="74"/>
      <c r="F84" s="74"/>
      <c r="G84" s="74"/>
      <c r="H84" s="74"/>
      <c r="I84" s="73" t="s">
        <v>580</v>
      </c>
      <c r="J84" s="72" t="s">
        <v>129</v>
      </c>
    </row>
    <row r="85" spans="2:10">
      <c r="B85" s="76" t="s">
        <v>23</v>
      </c>
      <c r="C85" s="75" t="s">
        <v>27</v>
      </c>
      <c r="D85" s="74"/>
      <c r="E85" s="74"/>
      <c r="F85" s="74"/>
      <c r="G85" s="74"/>
      <c r="H85" s="74"/>
      <c r="I85" s="73" t="s">
        <v>580</v>
      </c>
      <c r="J85" s="72" t="s">
        <v>130</v>
      </c>
    </row>
    <row r="86" spans="2:10">
      <c r="B86" s="76" t="s">
        <v>116</v>
      </c>
      <c r="C86" s="75" t="s">
        <v>27</v>
      </c>
      <c r="D86" s="74">
        <v>0.06</v>
      </c>
      <c r="E86" s="74">
        <v>0.06</v>
      </c>
      <c r="F86" s="74">
        <v>0.06</v>
      </c>
      <c r="G86" s="74">
        <v>0.06</v>
      </c>
      <c r="H86" s="74"/>
      <c r="I86" s="73" t="s">
        <v>580</v>
      </c>
      <c r="J86" s="72"/>
    </row>
    <row r="87" spans="2:10">
      <c r="B87" s="76" t="s">
        <v>24</v>
      </c>
      <c r="C87" s="75" t="s">
        <v>27</v>
      </c>
      <c r="D87" s="74">
        <v>5.0000000000000001E-3</v>
      </c>
      <c r="E87" s="74">
        <v>5.0000000000000001E-3</v>
      </c>
      <c r="F87" s="74">
        <v>5.0000000000000001E-3</v>
      </c>
      <c r="G87" s="74">
        <v>5.0000000000000001E-3</v>
      </c>
      <c r="H87" s="74"/>
      <c r="I87" s="73" t="s">
        <v>580</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A00-000000000000}">
          <x14:formula1>
            <xm:f>'C:\Users\B003920\Desktop\[Kopi af alternativ_drivmiddelmodel_3.0_2.xlsm]Sheet1'!#REF!</xm:f>
          </x14:formula1>
          <xm:sqref>C9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Ark7">
    <tabColor rgb="FF002060"/>
  </sheetPr>
  <dimension ref="B1:S97"/>
  <sheetViews>
    <sheetView topLeftCell="A20" workbookViewId="0">
      <selection activeCell="I82" sqref="I81:I82"/>
    </sheetView>
  </sheetViews>
  <sheetFormatPr defaultColWidth="8.88671875" defaultRowHeight="13.8"/>
  <cols>
    <col min="1" max="1" width="2.88671875" style="63" customWidth="1"/>
    <col min="2" max="2" width="35" style="63" customWidth="1"/>
    <col min="3" max="3" width="18" style="63" customWidth="1"/>
    <col min="4" max="7" width="15.88671875" style="63" customWidth="1"/>
    <col min="8" max="8" width="7.109375" style="63" customWidth="1"/>
    <col min="9" max="9" width="45.88671875" style="63" customWidth="1"/>
    <col min="10" max="10" width="10.6640625" style="63" customWidth="1"/>
    <col min="11" max="11" width="9.109375" style="63" customWidth="1"/>
    <col min="12" max="12" width="30.6640625" style="63" customWidth="1"/>
    <col min="13" max="13" width="8.88671875" style="63"/>
    <col min="14" max="14" width="37.88671875" style="63" customWidth="1"/>
    <col min="15" max="17" width="8.88671875" style="63"/>
    <col min="18" max="18" width="9.109375" style="63" customWidth="1"/>
    <col min="19" max="16384" width="8.88671875" style="63"/>
  </cols>
  <sheetData>
    <row r="1" spans="2:18" s="60" customFormat="1" ht="21">
      <c r="B1" s="60" t="s">
        <v>266</v>
      </c>
      <c r="Q1" s="62">
        <v>0</v>
      </c>
      <c r="R1" s="61">
        <v>0</v>
      </c>
    </row>
    <row r="2" spans="2:18">
      <c r="Q2" s="156">
        <f>Q1</f>
        <v>0</v>
      </c>
      <c r="R2" s="156">
        <f>R1</f>
        <v>0</v>
      </c>
    </row>
    <row r="4" spans="2:18" ht="14.4" thickBot="1">
      <c r="B4" s="152" t="s">
        <v>92</v>
      </c>
    </row>
    <row r="5" spans="2:18">
      <c r="B5" s="155" t="s">
        <v>93</v>
      </c>
      <c r="C5" s="83"/>
      <c r="D5" s="83"/>
      <c r="E5" s="83"/>
      <c r="F5" s="83"/>
      <c r="G5" s="83"/>
      <c r="H5" s="83"/>
      <c r="I5" s="83"/>
      <c r="J5" s="83"/>
      <c r="K5" s="83"/>
      <c r="L5" s="83"/>
      <c r="M5" s="81"/>
    </row>
    <row r="6" spans="2:18">
      <c r="B6" s="131" t="s">
        <v>265</v>
      </c>
      <c r="C6" s="75"/>
      <c r="D6" s="75"/>
      <c r="E6" s="75"/>
      <c r="F6" s="75"/>
      <c r="G6" s="75"/>
      <c r="H6" s="75"/>
      <c r="I6" s="75"/>
      <c r="J6" s="75"/>
      <c r="K6" s="75"/>
      <c r="L6" s="75"/>
      <c r="M6" s="72"/>
    </row>
    <row r="7" spans="2:18">
      <c r="B7" s="131" t="s">
        <v>264</v>
      </c>
      <c r="C7" s="75"/>
      <c r="D7" s="75"/>
      <c r="E7" s="75"/>
      <c r="F7" s="75"/>
      <c r="G7" s="75"/>
      <c r="H7" s="75"/>
      <c r="I7" s="75"/>
      <c r="J7" s="75"/>
      <c r="K7" s="75"/>
      <c r="L7" s="75"/>
      <c r="M7" s="72"/>
    </row>
    <row r="8" spans="2:18">
      <c r="B8" s="131" t="s">
        <v>263</v>
      </c>
      <c r="C8" s="75"/>
      <c r="D8" s="75"/>
      <c r="E8" s="75"/>
      <c r="F8" s="75"/>
      <c r="G8" s="75"/>
      <c r="H8" s="75"/>
      <c r="I8" s="75"/>
      <c r="J8" s="75"/>
      <c r="K8" s="75"/>
      <c r="L8" s="75"/>
      <c r="M8" s="72"/>
    </row>
    <row r="9" spans="2:18">
      <c r="B9" s="154" t="s">
        <v>233</v>
      </c>
      <c r="C9" s="59" t="s">
        <v>241</v>
      </c>
      <c r="D9" s="75"/>
      <c r="E9" s="75"/>
      <c r="F9" s="75"/>
      <c r="G9" s="75"/>
      <c r="H9" s="75"/>
      <c r="I9" s="75"/>
      <c r="J9" s="75"/>
      <c r="K9" s="75"/>
      <c r="L9" s="75"/>
      <c r="M9" s="72"/>
    </row>
    <row r="10" spans="2:18">
      <c r="B10" s="131"/>
      <c r="C10" s="75"/>
      <c r="D10" s="75"/>
      <c r="E10" s="75"/>
      <c r="F10" s="75"/>
      <c r="G10" s="75"/>
      <c r="H10" s="75"/>
      <c r="I10" s="75"/>
      <c r="J10" s="75"/>
      <c r="K10" s="75"/>
      <c r="L10" s="75"/>
      <c r="M10" s="72"/>
    </row>
    <row r="11" spans="2:18">
      <c r="B11" s="153" t="s">
        <v>94</v>
      </c>
      <c r="C11" s="75"/>
      <c r="D11" s="75"/>
      <c r="E11" s="75"/>
      <c r="F11" s="75"/>
      <c r="G11" s="75"/>
      <c r="H11" s="75"/>
      <c r="I11" s="75"/>
      <c r="J11" s="75"/>
      <c r="K11" s="75"/>
      <c r="L11" s="75"/>
      <c r="M11" s="72"/>
    </row>
    <row r="12" spans="2:18">
      <c r="B12" s="131" t="s">
        <v>262</v>
      </c>
      <c r="C12" s="75"/>
      <c r="D12" s="75"/>
      <c r="E12" s="75"/>
      <c r="F12" s="75"/>
      <c r="G12" s="75"/>
      <c r="H12" s="75"/>
      <c r="I12" s="75"/>
      <c r="J12" s="75"/>
      <c r="K12" s="75"/>
      <c r="L12" s="75"/>
      <c r="M12" s="72"/>
    </row>
    <row r="13" spans="2:18">
      <c r="B13" s="131" t="s">
        <v>261</v>
      </c>
      <c r="C13" s="75"/>
      <c r="D13" s="75"/>
      <c r="E13" s="75"/>
      <c r="F13" s="75"/>
      <c r="G13" s="75"/>
      <c r="H13" s="75"/>
      <c r="I13" s="75"/>
      <c r="J13" s="75"/>
      <c r="K13" s="75"/>
      <c r="L13" s="75"/>
      <c r="M13" s="72"/>
    </row>
    <row r="14" spans="2:18">
      <c r="B14" s="153" t="s">
        <v>95</v>
      </c>
      <c r="C14" s="75"/>
      <c r="D14" s="75"/>
      <c r="E14" s="75"/>
      <c r="F14" s="75"/>
      <c r="G14" s="75"/>
      <c r="H14" s="75"/>
      <c r="I14" s="75"/>
      <c r="J14" s="75"/>
      <c r="K14" s="75"/>
      <c r="L14" s="75"/>
      <c r="M14" s="72"/>
    </row>
    <row r="15" spans="2:18">
      <c r="B15" s="131" t="s">
        <v>260</v>
      </c>
      <c r="C15" s="75"/>
      <c r="D15" s="75"/>
      <c r="E15" s="75"/>
      <c r="F15" s="75"/>
      <c r="G15" s="75"/>
      <c r="H15" s="75"/>
      <c r="I15" s="75"/>
      <c r="J15" s="75"/>
      <c r="K15" s="75"/>
      <c r="L15" s="75"/>
      <c r="M15" s="72"/>
    </row>
    <row r="16" spans="2:18">
      <c r="B16" s="131" t="s">
        <v>259</v>
      </c>
      <c r="C16" s="75"/>
      <c r="D16" s="75"/>
      <c r="E16" s="75"/>
      <c r="F16" s="75"/>
      <c r="G16" s="75"/>
      <c r="H16" s="75"/>
      <c r="I16" s="75"/>
      <c r="J16" s="75"/>
      <c r="K16" s="75"/>
      <c r="L16" s="75"/>
      <c r="M16" s="72"/>
    </row>
    <row r="17" spans="2:17" ht="14.4" thickBot="1">
      <c r="B17" s="71" t="s">
        <v>258</v>
      </c>
      <c r="C17" s="70"/>
      <c r="D17" s="70"/>
      <c r="E17" s="70"/>
      <c r="F17" s="70"/>
      <c r="G17" s="70"/>
      <c r="H17" s="70"/>
      <c r="I17" s="70"/>
      <c r="J17" s="70"/>
      <c r="K17" s="70"/>
      <c r="L17" s="70"/>
      <c r="M17" s="88"/>
    </row>
    <row r="19" spans="2:17" ht="14.4" thickBot="1">
      <c r="B19" s="152" t="s">
        <v>96</v>
      </c>
      <c r="E19" s="66"/>
    </row>
    <row r="20" spans="2:17">
      <c r="B20" s="86"/>
      <c r="C20" s="108"/>
      <c r="D20" s="166"/>
      <c r="E20" s="83"/>
      <c r="F20" s="83"/>
      <c r="G20" s="83"/>
      <c r="H20" s="83"/>
      <c r="I20" s="83" t="s">
        <v>97</v>
      </c>
      <c r="J20" s="81" t="s">
        <v>98</v>
      </c>
    </row>
    <row r="21" spans="2:17">
      <c r="B21" s="107"/>
      <c r="C21" s="106" t="s">
        <v>99</v>
      </c>
      <c r="D21" s="105">
        <v>2015</v>
      </c>
      <c r="E21" s="104">
        <v>2020</v>
      </c>
      <c r="F21" s="104">
        <v>2035</v>
      </c>
      <c r="G21" s="104">
        <v>2050</v>
      </c>
      <c r="H21" s="150" t="s">
        <v>100</v>
      </c>
      <c r="I21" s="150"/>
      <c r="J21" s="102"/>
    </row>
    <row r="22" spans="2:17">
      <c r="B22" s="126" t="s">
        <v>101</v>
      </c>
      <c r="C22" s="116"/>
      <c r="D22" s="178"/>
      <c r="E22" s="149"/>
      <c r="F22" s="149"/>
      <c r="G22" s="149"/>
      <c r="H22" s="75"/>
      <c r="I22" s="75"/>
      <c r="J22" s="72"/>
    </row>
    <row r="23" spans="2:17">
      <c r="B23" s="143" t="s">
        <v>102</v>
      </c>
      <c r="C23" s="116" t="s">
        <v>139</v>
      </c>
      <c r="D23" s="203">
        <v>0.73399999999999999</v>
      </c>
      <c r="E23" s="203">
        <v>0.73699999999999999</v>
      </c>
      <c r="F23" s="203">
        <v>0.755</v>
      </c>
      <c r="G23" s="203">
        <v>0.77900000000000003</v>
      </c>
      <c r="H23" s="97"/>
      <c r="I23" s="97" t="s">
        <v>603</v>
      </c>
      <c r="J23" s="72"/>
    </row>
    <row r="24" spans="2:17">
      <c r="B24" s="143" t="s">
        <v>103</v>
      </c>
      <c r="C24" s="116" t="s">
        <v>139</v>
      </c>
      <c r="D24" s="142">
        <f>D23</f>
        <v>0.73399999999999999</v>
      </c>
      <c r="E24" s="202">
        <f>E23</f>
        <v>0.73699999999999999</v>
      </c>
      <c r="F24" s="202">
        <f>F23</f>
        <v>0.755</v>
      </c>
      <c r="G24" s="202">
        <f>G23</f>
        <v>0.77900000000000003</v>
      </c>
      <c r="H24" s="97"/>
      <c r="I24" s="97"/>
      <c r="J24" s="72"/>
    </row>
    <row r="25" spans="2:17">
      <c r="B25" s="143" t="s">
        <v>104</v>
      </c>
      <c r="C25" s="116" t="s">
        <v>105</v>
      </c>
      <c r="D25" s="201">
        <f>D67/D23</f>
        <v>1.1934653727527984</v>
      </c>
      <c r="E25" s="201">
        <f>E67/E23</f>
        <v>1.1390210806742354</v>
      </c>
      <c r="F25" s="201">
        <f>F67/F23</f>
        <v>1.0449132641285226</v>
      </c>
      <c r="G25" s="201">
        <f>G67/G23</f>
        <v>0.95825332631732296</v>
      </c>
      <c r="H25" s="97"/>
      <c r="I25" s="97" t="s">
        <v>603</v>
      </c>
      <c r="J25" s="72" t="s">
        <v>257</v>
      </c>
    </row>
    <row r="26" spans="2:17">
      <c r="B26" s="143" t="s">
        <v>106</v>
      </c>
      <c r="C26" s="116" t="s">
        <v>105</v>
      </c>
      <c r="D26" s="142"/>
      <c r="E26" s="141"/>
      <c r="F26" s="141"/>
      <c r="G26" s="141"/>
      <c r="H26" s="97"/>
      <c r="I26" s="97"/>
      <c r="J26" s="72"/>
    </row>
    <row r="27" spans="2:17">
      <c r="B27" s="131" t="s">
        <v>107</v>
      </c>
      <c r="C27" s="116" t="s">
        <v>108</v>
      </c>
      <c r="D27" s="138">
        <f>D83</f>
        <v>10.6</v>
      </c>
      <c r="E27" s="123">
        <v>16.3</v>
      </c>
      <c r="F27" s="123">
        <v>16.3</v>
      </c>
      <c r="G27" s="123">
        <v>16.3</v>
      </c>
      <c r="H27" s="73"/>
      <c r="I27" s="73" t="s">
        <v>578</v>
      </c>
      <c r="J27" s="72"/>
    </row>
    <row r="28" spans="2:17">
      <c r="B28" s="131" t="s">
        <v>109</v>
      </c>
      <c r="C28" s="116" t="s">
        <v>110</v>
      </c>
      <c r="D28" s="175">
        <f>+D75</f>
        <v>15.768064504809972</v>
      </c>
      <c r="E28" s="137">
        <f>+E75</f>
        <v>15.110253656224405</v>
      </c>
      <c r="F28" s="137">
        <f>+F75</f>
        <v>14.200371259506623</v>
      </c>
      <c r="G28" s="137">
        <f>+G75</f>
        <v>13.436628141621505</v>
      </c>
      <c r="H28" s="97"/>
      <c r="I28" s="97"/>
      <c r="J28" s="72"/>
    </row>
    <row r="29" spans="2:17">
      <c r="B29" s="76"/>
      <c r="C29" s="135"/>
      <c r="D29" s="132"/>
      <c r="E29" s="96"/>
      <c r="F29" s="96"/>
      <c r="G29" s="96"/>
      <c r="H29" s="77"/>
      <c r="I29" s="77"/>
      <c r="J29" s="72"/>
    </row>
    <row r="30" spans="2:17">
      <c r="B30" s="126" t="s">
        <v>111</v>
      </c>
      <c r="C30" s="116"/>
      <c r="D30" s="132"/>
      <c r="E30" s="96"/>
      <c r="F30" s="96"/>
      <c r="G30" s="96"/>
      <c r="H30" s="77"/>
      <c r="I30" s="77"/>
      <c r="J30" s="72"/>
      <c r="N30" s="196"/>
      <c r="O30" s="196"/>
      <c r="P30" s="196"/>
      <c r="Q30" s="196"/>
    </row>
    <row r="31" spans="2:17">
      <c r="B31" s="131" t="s">
        <v>112</v>
      </c>
      <c r="C31" s="116" t="s">
        <v>15</v>
      </c>
      <c r="D31" s="134">
        <v>237087.5</v>
      </c>
      <c r="E31" s="134">
        <v>196502</v>
      </c>
      <c r="F31" s="134">
        <v>166928</v>
      </c>
      <c r="G31" s="134">
        <v>162158</v>
      </c>
      <c r="H31" s="133">
        <v>2015</v>
      </c>
      <c r="I31" s="1018">
        <f>D25/3.6</f>
        <v>0.33151815909799953</v>
      </c>
      <c r="J31" s="72" t="s">
        <v>813</v>
      </c>
    </row>
    <row r="32" spans="2:17">
      <c r="B32" s="76" t="s">
        <v>16</v>
      </c>
      <c r="C32" s="116" t="s">
        <v>17</v>
      </c>
      <c r="D32" s="134">
        <v>1642.2165929292059</v>
      </c>
      <c r="E32" s="134">
        <v>1468.8833506567689</v>
      </c>
      <c r="F32" s="134">
        <v>1373.16997802734</v>
      </c>
      <c r="G32" s="134">
        <v>1418.8631814805108</v>
      </c>
      <c r="H32" s="133">
        <v>2015</v>
      </c>
      <c r="I32" s="77">
        <f>400*I31</f>
        <v>132.6072636391998</v>
      </c>
      <c r="J32" s="72" t="s">
        <v>814</v>
      </c>
    </row>
    <row r="33" spans="2:17">
      <c r="B33" s="127" t="s">
        <v>18</v>
      </c>
      <c r="C33" s="116" t="s">
        <v>17</v>
      </c>
      <c r="D33" s="134">
        <v>1370.528206653694</v>
      </c>
      <c r="E33" s="134">
        <v>1185.3672630075532</v>
      </c>
      <c r="F33" s="134">
        <v>1071.4877246755468</v>
      </c>
      <c r="G33" s="134">
        <v>1100.0331926732879</v>
      </c>
      <c r="H33" s="133">
        <v>2015</v>
      </c>
      <c r="I33" s="77"/>
      <c r="J33" s="72"/>
    </row>
    <row r="34" spans="2:17">
      <c r="B34" s="127" t="s">
        <v>19</v>
      </c>
      <c r="C34" s="116" t="s">
        <v>17</v>
      </c>
      <c r="D34" s="134">
        <v>271.6883862755119</v>
      </c>
      <c r="E34" s="134">
        <v>283.51608764921571</v>
      </c>
      <c r="F34" s="134">
        <v>301.68225335179324</v>
      </c>
      <c r="G34" s="134">
        <v>318.82998880722289</v>
      </c>
      <c r="H34" s="133">
        <v>2015</v>
      </c>
      <c r="I34" s="1019"/>
      <c r="J34" s="72"/>
    </row>
    <row r="35" spans="2:17">
      <c r="B35" s="127"/>
      <c r="C35" s="116"/>
      <c r="D35" s="134"/>
      <c r="E35" s="134"/>
      <c r="F35" s="134"/>
      <c r="G35" s="134"/>
      <c r="H35" s="133"/>
      <c r="I35" s="77"/>
      <c r="J35" s="72"/>
    </row>
    <row r="36" spans="2:17">
      <c r="B36" s="127" t="s">
        <v>113</v>
      </c>
      <c r="C36" s="116" t="s">
        <v>17</v>
      </c>
      <c r="D36" s="134">
        <v>0</v>
      </c>
      <c r="E36" s="134">
        <v>0</v>
      </c>
      <c r="F36" s="134">
        <v>0</v>
      </c>
      <c r="G36" s="134">
        <v>0</v>
      </c>
      <c r="H36" s="133">
        <v>2015</v>
      </c>
      <c r="I36" s="77"/>
      <c r="J36" s="72"/>
    </row>
    <row r="37" spans="2:17">
      <c r="B37" s="126"/>
      <c r="C37" s="116"/>
      <c r="D37" s="132"/>
      <c r="E37" s="96"/>
      <c r="F37" s="96"/>
      <c r="G37" s="96"/>
      <c r="H37" s="96"/>
      <c r="I37" s="77"/>
      <c r="J37" s="72"/>
    </row>
    <row r="38" spans="2:17">
      <c r="B38" s="131" t="s">
        <v>112</v>
      </c>
      <c r="C38" s="116" t="s">
        <v>15</v>
      </c>
      <c r="D38" s="174">
        <f>200000-30*D81+D80</f>
        <v>433431.5247791796</v>
      </c>
      <c r="E38" s="174">
        <f>$D38-$D80+E80</f>
        <v>362908.00042794342</v>
      </c>
      <c r="F38" s="174">
        <f>$D38-$D80+F80</f>
        <v>187594.80889397993</v>
      </c>
      <c r="G38" s="174">
        <f>$D38-$D80+G80</f>
        <v>182963.31666207025</v>
      </c>
      <c r="H38" s="128">
        <v>2015</v>
      </c>
      <c r="I38" s="97" t="s">
        <v>603</v>
      </c>
      <c r="J38" s="72" t="s">
        <v>256</v>
      </c>
      <c r="N38" s="196"/>
      <c r="O38" s="196"/>
      <c r="P38" s="196"/>
      <c r="Q38" s="196"/>
    </row>
    <row r="39" spans="2:17">
      <c r="B39" s="76" t="s">
        <v>16</v>
      </c>
      <c r="C39" s="116" t="s">
        <v>17</v>
      </c>
      <c r="D39" s="173">
        <f>+SUM(D40:D43)</f>
        <v>1642.2165929292059</v>
      </c>
      <c r="E39" s="124">
        <f>+SUM(E40:E43)</f>
        <v>1468.8833506567689</v>
      </c>
      <c r="F39" s="124">
        <f>+SUM(F40:F43)</f>
        <v>1373.16997802734</v>
      </c>
      <c r="G39" s="124">
        <f>+SUM(G40:G43)</f>
        <v>1418.8631814805108</v>
      </c>
      <c r="H39" s="128">
        <v>2015</v>
      </c>
      <c r="I39" s="97"/>
      <c r="J39" s="72"/>
      <c r="N39" s="196"/>
      <c r="O39" s="196"/>
      <c r="P39" s="196"/>
      <c r="Q39" s="196"/>
    </row>
    <row r="40" spans="2:17">
      <c r="B40" s="127" t="s">
        <v>18</v>
      </c>
      <c r="C40" s="116" t="s">
        <v>17</v>
      </c>
      <c r="D40" s="173">
        <v>1370.528206653694</v>
      </c>
      <c r="E40" s="124">
        <v>1185.3672630075532</v>
      </c>
      <c r="F40" s="124">
        <v>1071.4877246755468</v>
      </c>
      <c r="G40" s="124">
        <v>1100.0331926732879</v>
      </c>
      <c r="H40" s="128">
        <v>2015</v>
      </c>
      <c r="I40" s="97"/>
      <c r="J40" s="72"/>
      <c r="N40" s="196"/>
      <c r="O40" s="196"/>
      <c r="P40" s="196"/>
      <c r="Q40" s="196"/>
    </row>
    <row r="41" spans="2:17">
      <c r="B41" s="127" t="s">
        <v>19</v>
      </c>
      <c r="C41" s="116" t="s">
        <v>17</v>
      </c>
      <c r="D41" s="172">
        <f>+D76</f>
        <v>271.6883862755119</v>
      </c>
      <c r="E41" s="172">
        <f>+E76</f>
        <v>283.51608764921571</v>
      </c>
      <c r="F41" s="172">
        <f>+F76</f>
        <v>301.68225335179324</v>
      </c>
      <c r="G41" s="172">
        <f>+G76</f>
        <v>318.82998880722289</v>
      </c>
      <c r="H41" s="128">
        <v>2015</v>
      </c>
      <c r="I41" s="97"/>
      <c r="J41" s="72"/>
    </row>
    <row r="42" spans="2:17">
      <c r="B42" s="127"/>
      <c r="C42" s="116"/>
      <c r="D42" s="132"/>
      <c r="E42" s="96"/>
      <c r="F42" s="96"/>
      <c r="G42" s="96"/>
      <c r="H42" s="128"/>
      <c r="I42" s="97"/>
      <c r="J42" s="72"/>
      <c r="M42" s="195"/>
    </row>
    <row r="43" spans="2:17">
      <c r="B43" s="127" t="s">
        <v>113</v>
      </c>
      <c r="C43" s="116" t="s">
        <v>17</v>
      </c>
      <c r="D43" s="138">
        <v>0</v>
      </c>
      <c r="E43" s="123">
        <v>0</v>
      </c>
      <c r="F43" s="123">
        <v>0</v>
      </c>
      <c r="G43" s="123">
        <v>0</v>
      </c>
      <c r="H43" s="128">
        <v>2015</v>
      </c>
      <c r="I43" s="97"/>
      <c r="J43" s="72"/>
    </row>
    <row r="44" spans="2:17">
      <c r="B44" s="127"/>
      <c r="C44" s="116"/>
      <c r="D44" s="132"/>
      <c r="E44" s="96"/>
      <c r="F44" s="96"/>
      <c r="G44" s="96"/>
      <c r="H44" s="97"/>
      <c r="I44" s="97"/>
      <c r="J44" s="72"/>
    </row>
    <row r="45" spans="2:17">
      <c r="B45" s="126" t="s">
        <v>114</v>
      </c>
      <c r="C45" s="116"/>
      <c r="D45" s="132"/>
      <c r="E45" s="130"/>
      <c r="F45" s="130"/>
      <c r="G45" s="130"/>
      <c r="H45" s="97"/>
      <c r="I45" s="97"/>
      <c r="J45" s="72"/>
    </row>
    <row r="46" spans="2:17">
      <c r="B46" s="121" t="s">
        <v>30</v>
      </c>
      <c r="C46" s="116"/>
      <c r="D46" s="132"/>
      <c r="E46" s="96"/>
      <c r="F46" s="96"/>
      <c r="G46" s="96"/>
      <c r="H46" s="97"/>
      <c r="I46" s="97"/>
      <c r="J46" s="72"/>
    </row>
    <row r="47" spans="2:17">
      <c r="B47" s="76" t="s">
        <v>20</v>
      </c>
      <c r="C47" s="116" t="s">
        <v>140</v>
      </c>
      <c r="D47" s="169"/>
      <c r="E47" s="160"/>
      <c r="F47" s="160"/>
      <c r="G47" s="160"/>
      <c r="H47" s="97"/>
      <c r="I47" s="97"/>
      <c r="J47" s="117" t="s">
        <v>115</v>
      </c>
    </row>
    <row r="48" spans="2:17">
      <c r="B48" s="76" t="s">
        <v>21</v>
      </c>
      <c r="C48" s="116" t="s">
        <v>140</v>
      </c>
      <c r="D48" s="122">
        <f t="shared" ref="D48:G52" si="0">D92/D$89</f>
        <v>0</v>
      </c>
      <c r="E48" s="122">
        <f t="shared" si="0"/>
        <v>0</v>
      </c>
      <c r="F48" s="122">
        <f t="shared" si="0"/>
        <v>0</v>
      </c>
      <c r="G48" s="122">
        <f t="shared" si="0"/>
        <v>0</v>
      </c>
      <c r="H48" s="97"/>
      <c r="I48" s="97"/>
      <c r="J48" s="72"/>
    </row>
    <row r="49" spans="2:19">
      <c r="B49" s="76" t="s">
        <v>22</v>
      </c>
      <c r="C49" s="116" t="s">
        <v>140</v>
      </c>
      <c r="D49" s="122">
        <f t="shared" si="0"/>
        <v>0</v>
      </c>
      <c r="E49" s="122">
        <f t="shared" si="0"/>
        <v>0</v>
      </c>
      <c r="F49" s="122">
        <f t="shared" si="0"/>
        <v>0</v>
      </c>
      <c r="G49" s="122">
        <f t="shared" si="0"/>
        <v>0</v>
      </c>
      <c r="H49" s="97"/>
      <c r="I49" s="97"/>
      <c r="J49" s="72"/>
    </row>
    <row r="50" spans="2:19">
      <c r="B50" s="76" t="s">
        <v>23</v>
      </c>
      <c r="C50" s="116" t="s">
        <v>140</v>
      </c>
      <c r="D50" s="122">
        <f t="shared" si="0"/>
        <v>0</v>
      </c>
      <c r="E50" s="122">
        <f t="shared" si="0"/>
        <v>0</v>
      </c>
      <c r="F50" s="122">
        <f t="shared" si="0"/>
        <v>0</v>
      </c>
      <c r="G50" s="122">
        <f t="shared" si="0"/>
        <v>0</v>
      </c>
      <c r="H50" s="97"/>
      <c r="I50" s="97"/>
      <c r="J50" s="72"/>
    </row>
    <row r="51" spans="2:19">
      <c r="B51" s="76" t="s">
        <v>116</v>
      </c>
      <c r="C51" s="116" t="s">
        <v>140</v>
      </c>
      <c r="D51" s="122">
        <f t="shared" si="0"/>
        <v>0</v>
      </c>
      <c r="E51" s="122">
        <f t="shared" si="0"/>
        <v>0</v>
      </c>
      <c r="F51" s="122">
        <f t="shared" si="0"/>
        <v>0</v>
      </c>
      <c r="G51" s="122">
        <f t="shared" si="0"/>
        <v>0</v>
      </c>
      <c r="H51" s="97"/>
      <c r="I51" s="97"/>
      <c r="J51" s="72"/>
      <c r="O51" s="200"/>
      <c r="P51" s="200"/>
      <c r="Q51" s="200"/>
    </row>
    <row r="52" spans="2:19">
      <c r="B52" s="76" t="s">
        <v>24</v>
      </c>
      <c r="C52" s="116" t="s">
        <v>140</v>
      </c>
      <c r="D52" s="122">
        <f t="shared" si="0"/>
        <v>0</v>
      </c>
      <c r="E52" s="122">
        <f t="shared" si="0"/>
        <v>0</v>
      </c>
      <c r="F52" s="122">
        <f t="shared" si="0"/>
        <v>0</v>
      </c>
      <c r="G52" s="122">
        <f t="shared" si="0"/>
        <v>0</v>
      </c>
      <c r="H52" s="97"/>
      <c r="I52" s="97"/>
      <c r="J52" s="72"/>
      <c r="O52" s="188"/>
      <c r="P52" s="188"/>
      <c r="Q52" s="188"/>
    </row>
    <row r="53" spans="2:19">
      <c r="B53" s="76"/>
      <c r="C53" s="116"/>
      <c r="D53" s="120"/>
      <c r="E53" s="75"/>
      <c r="F53" s="75"/>
      <c r="G53" s="75"/>
      <c r="H53" s="97"/>
      <c r="I53" s="97"/>
      <c r="J53" s="72"/>
    </row>
    <row r="54" spans="2:19">
      <c r="B54" s="121" t="s">
        <v>31</v>
      </c>
      <c r="C54" s="116"/>
      <c r="D54" s="132"/>
      <c r="E54" s="96"/>
      <c r="F54" s="96"/>
      <c r="G54" s="96"/>
      <c r="H54" s="97"/>
      <c r="I54" s="97"/>
      <c r="J54" s="72"/>
    </row>
    <row r="55" spans="2:19">
      <c r="B55" s="76" t="s">
        <v>20</v>
      </c>
      <c r="C55" s="116" t="s">
        <v>140</v>
      </c>
      <c r="D55" s="169"/>
      <c r="E55" s="160"/>
      <c r="F55" s="160"/>
      <c r="G55" s="160"/>
      <c r="H55" s="97"/>
      <c r="I55" s="97"/>
      <c r="J55" s="117" t="s">
        <v>115</v>
      </c>
    </row>
    <row r="56" spans="2:19">
      <c r="B56" s="76" t="s">
        <v>21</v>
      </c>
      <c r="C56" s="116" t="s">
        <v>140</v>
      </c>
      <c r="D56" s="115">
        <f t="shared" ref="D56:G60" si="1">D48</f>
        <v>0</v>
      </c>
      <c r="E56" s="115">
        <f t="shared" si="1"/>
        <v>0</v>
      </c>
      <c r="F56" s="115">
        <f t="shared" si="1"/>
        <v>0</v>
      </c>
      <c r="G56" s="115">
        <f t="shared" si="1"/>
        <v>0</v>
      </c>
      <c r="H56" s="97"/>
      <c r="I56" s="97"/>
      <c r="J56" s="72"/>
    </row>
    <row r="57" spans="2:19">
      <c r="B57" s="76" t="s">
        <v>22</v>
      </c>
      <c r="C57" s="116" t="s">
        <v>140</v>
      </c>
      <c r="D57" s="115">
        <f t="shared" si="1"/>
        <v>0</v>
      </c>
      <c r="E57" s="115">
        <f t="shared" si="1"/>
        <v>0</v>
      </c>
      <c r="F57" s="115">
        <f t="shared" si="1"/>
        <v>0</v>
      </c>
      <c r="G57" s="115">
        <f t="shared" si="1"/>
        <v>0</v>
      </c>
      <c r="H57" s="97"/>
      <c r="I57" s="97"/>
      <c r="J57" s="72"/>
    </row>
    <row r="58" spans="2:19">
      <c r="B58" s="76" t="s">
        <v>23</v>
      </c>
      <c r="C58" s="116" t="s">
        <v>140</v>
      </c>
      <c r="D58" s="115">
        <f t="shared" si="1"/>
        <v>0</v>
      </c>
      <c r="E58" s="115">
        <f t="shared" si="1"/>
        <v>0</v>
      </c>
      <c r="F58" s="115">
        <f t="shared" si="1"/>
        <v>0</v>
      </c>
      <c r="G58" s="115">
        <f t="shared" si="1"/>
        <v>0</v>
      </c>
      <c r="H58" s="97"/>
      <c r="I58" s="97"/>
      <c r="J58" s="72"/>
    </row>
    <row r="59" spans="2:19">
      <c r="B59" s="76" t="s">
        <v>116</v>
      </c>
      <c r="C59" s="116" t="s">
        <v>140</v>
      </c>
      <c r="D59" s="115">
        <f t="shared" si="1"/>
        <v>0</v>
      </c>
      <c r="E59" s="115">
        <f t="shared" si="1"/>
        <v>0</v>
      </c>
      <c r="F59" s="115">
        <f t="shared" si="1"/>
        <v>0</v>
      </c>
      <c r="G59" s="115">
        <f t="shared" si="1"/>
        <v>0</v>
      </c>
      <c r="H59" s="97"/>
      <c r="I59" s="97"/>
      <c r="J59" s="72"/>
      <c r="S59" s="188"/>
    </row>
    <row r="60" spans="2:19">
      <c r="B60" s="76" t="s">
        <v>24</v>
      </c>
      <c r="C60" s="116" t="s">
        <v>140</v>
      </c>
      <c r="D60" s="115">
        <f t="shared" si="1"/>
        <v>0</v>
      </c>
      <c r="E60" s="115">
        <f t="shared" si="1"/>
        <v>0</v>
      </c>
      <c r="F60" s="115">
        <f t="shared" si="1"/>
        <v>0</v>
      </c>
      <c r="G60" s="115">
        <f t="shared" si="1"/>
        <v>0</v>
      </c>
      <c r="H60" s="97"/>
      <c r="I60" s="97"/>
      <c r="J60" s="72"/>
    </row>
    <row r="61" spans="2:19" ht="14.4" thickBot="1">
      <c r="B61" s="113"/>
      <c r="C61" s="112"/>
      <c r="D61" s="111"/>
      <c r="E61" s="70"/>
      <c r="F61" s="70"/>
      <c r="G61" s="70"/>
      <c r="H61" s="109"/>
      <c r="I61" s="109"/>
      <c r="J61" s="88"/>
    </row>
    <row r="62" spans="2:19">
      <c r="H62" s="67"/>
      <c r="I62" s="67"/>
    </row>
    <row r="63" spans="2:19">
      <c r="H63" s="67"/>
      <c r="I63" s="67"/>
    </row>
    <row r="64" spans="2:19" ht="16.2" thickBot="1">
      <c r="B64" s="87" t="s">
        <v>117</v>
      </c>
      <c r="H64" s="67"/>
      <c r="I64" s="67"/>
    </row>
    <row r="65" spans="2:10">
      <c r="B65" s="86"/>
      <c r="C65" s="108"/>
      <c r="D65" s="83"/>
      <c r="E65" s="83"/>
      <c r="F65" s="83"/>
      <c r="G65" s="83"/>
      <c r="H65" s="82"/>
      <c r="I65" s="82" t="s">
        <v>97</v>
      </c>
      <c r="J65" s="81" t="s">
        <v>98</v>
      </c>
    </row>
    <row r="66" spans="2:10">
      <c r="B66" s="107"/>
      <c r="C66" s="106" t="s">
        <v>99</v>
      </c>
      <c r="D66" s="105">
        <v>2015</v>
      </c>
      <c r="E66" s="104">
        <v>2020</v>
      </c>
      <c r="F66" s="104">
        <v>2035</v>
      </c>
      <c r="G66" s="104">
        <v>2050</v>
      </c>
      <c r="H66" s="103"/>
      <c r="I66" s="103"/>
      <c r="J66" s="102"/>
    </row>
    <row r="67" spans="2:10" ht="14.4">
      <c r="B67" s="76" t="s">
        <v>25</v>
      </c>
      <c r="C67" s="93" t="s">
        <v>135</v>
      </c>
      <c r="D67" s="193">
        <v>0.87600358360055397</v>
      </c>
      <c r="E67" s="193">
        <v>0.83945853645691138</v>
      </c>
      <c r="F67" s="193">
        <v>0.78890951441703461</v>
      </c>
      <c r="G67" s="193">
        <v>0.74647934120119463</v>
      </c>
      <c r="H67" s="77"/>
      <c r="I67" s="77" t="s">
        <v>603</v>
      </c>
      <c r="J67" s="72" t="s">
        <v>255</v>
      </c>
    </row>
    <row r="68" spans="2:10">
      <c r="B68" s="76" t="s">
        <v>136</v>
      </c>
      <c r="C68" s="93" t="s">
        <v>135</v>
      </c>
      <c r="D68" s="101">
        <v>0.83</v>
      </c>
      <c r="E68" s="101"/>
      <c r="F68" s="101"/>
      <c r="G68" s="101"/>
      <c r="H68" s="77"/>
      <c r="I68" s="77"/>
      <c r="J68" s="72"/>
    </row>
    <row r="69" spans="2:10">
      <c r="B69" s="76" t="s">
        <v>141</v>
      </c>
      <c r="C69" s="93" t="s">
        <v>119</v>
      </c>
      <c r="D69" s="100">
        <v>2200</v>
      </c>
      <c r="E69" s="100"/>
      <c r="F69" s="100"/>
      <c r="G69" s="100"/>
      <c r="H69" s="97"/>
      <c r="I69" s="97"/>
      <c r="J69" s="72"/>
    </row>
    <row r="70" spans="2:10">
      <c r="B70" s="76" t="s">
        <v>137</v>
      </c>
      <c r="C70" s="93" t="s">
        <v>119</v>
      </c>
      <c r="D70" s="101">
        <v>1975</v>
      </c>
      <c r="E70" s="99"/>
      <c r="F70" s="99"/>
      <c r="G70" s="99"/>
      <c r="H70" s="77"/>
      <c r="I70" s="77"/>
      <c r="J70" s="72"/>
    </row>
    <row r="71" spans="2:10">
      <c r="B71" s="76"/>
      <c r="C71" s="93"/>
      <c r="D71" s="101"/>
      <c r="E71" s="101">
        <v>0.02</v>
      </c>
      <c r="F71" s="101">
        <v>0.05</v>
      </c>
      <c r="G71" s="101">
        <v>0.05</v>
      </c>
      <c r="H71" s="97"/>
      <c r="I71" s="97"/>
      <c r="J71" s="72"/>
    </row>
    <row r="72" spans="2:10">
      <c r="B72" s="76" t="s">
        <v>121</v>
      </c>
      <c r="C72" s="93" t="s">
        <v>122</v>
      </c>
      <c r="D72" s="96">
        <v>18000</v>
      </c>
      <c r="E72" s="96">
        <v>18000</v>
      </c>
      <c r="F72" s="96">
        <v>18000</v>
      </c>
      <c r="G72" s="96">
        <v>18000</v>
      </c>
      <c r="H72" s="77"/>
      <c r="I72" s="77"/>
      <c r="J72" s="72"/>
    </row>
    <row r="73" spans="2:10">
      <c r="B73" s="163"/>
      <c r="C73" s="199"/>
      <c r="D73" s="96"/>
      <c r="E73" s="96"/>
      <c r="F73" s="96"/>
      <c r="G73" s="96"/>
      <c r="H73" s="77"/>
      <c r="I73" s="77"/>
      <c r="J73" s="117"/>
    </row>
    <row r="74" spans="2:10">
      <c r="B74" s="76" t="s">
        <v>125</v>
      </c>
      <c r="C74" s="93" t="s">
        <v>26</v>
      </c>
      <c r="D74" s="198"/>
      <c r="E74" s="198"/>
      <c r="F74" s="198"/>
      <c r="G74" s="198"/>
      <c r="H74" s="77"/>
      <c r="I74" s="77"/>
      <c r="J74" s="72"/>
    </row>
    <row r="75" spans="2:10">
      <c r="B75" s="76" t="s">
        <v>109</v>
      </c>
      <c r="C75" s="93" t="s">
        <v>110</v>
      </c>
      <c r="D75" s="75">
        <f>+D67*D72/1000</f>
        <v>15.768064504809972</v>
      </c>
      <c r="E75" s="75">
        <f>+E67*E72/1000</f>
        <v>15.110253656224405</v>
      </c>
      <c r="F75" s="75">
        <f>+F67*F72/1000</f>
        <v>14.200371259506623</v>
      </c>
      <c r="G75" s="75">
        <f>+G67*G72/1000</f>
        <v>13.436628141621505</v>
      </c>
      <c r="H75" s="77"/>
      <c r="I75" s="77"/>
      <c r="J75" s="72"/>
    </row>
    <row r="76" spans="2:10">
      <c r="B76" s="76" t="s">
        <v>124</v>
      </c>
      <c r="C76" s="93" t="s">
        <v>17</v>
      </c>
      <c r="D76" s="95">
        <f>D77*1000/D67</f>
        <v>271.6883862755119</v>
      </c>
      <c r="E76" s="95">
        <f>E77*1000/E67</f>
        <v>283.51608764921571</v>
      </c>
      <c r="F76" s="95">
        <f>F77*1000/F67</f>
        <v>301.68225335179324</v>
      </c>
      <c r="G76" s="95">
        <f>G77*1000/G67</f>
        <v>318.82998880722289</v>
      </c>
      <c r="H76" s="77"/>
      <c r="I76" s="77"/>
      <c r="J76" s="117"/>
    </row>
    <row r="77" spans="2:10">
      <c r="B77" s="76" t="s">
        <v>124</v>
      </c>
      <c r="C77" s="93" t="s">
        <v>36</v>
      </c>
      <c r="D77" s="95">
        <v>0.23799999999999999</v>
      </c>
      <c r="E77" s="95">
        <v>0.23799999999999999</v>
      </c>
      <c r="F77" s="95">
        <v>0.23799999999999999</v>
      </c>
      <c r="G77" s="95">
        <v>0.23799999999999999</v>
      </c>
      <c r="H77" s="77"/>
      <c r="I77" s="77"/>
      <c r="J77" s="117"/>
    </row>
    <row r="78" spans="2:10">
      <c r="B78" s="76" t="s">
        <v>142</v>
      </c>
      <c r="C78" s="93" t="s">
        <v>17</v>
      </c>
      <c r="D78" s="95">
        <f>+D79/D28</f>
        <v>582.04274290059084</v>
      </c>
      <c r="E78" s="95">
        <f>+E79/E28</f>
        <v>362.55581745366442</v>
      </c>
      <c r="F78" s="95">
        <f>+F79/F28</f>
        <v>195.95500610379983</v>
      </c>
      <c r="G78" s="95">
        <f>+G79/G28</f>
        <v>174.73485721875298</v>
      </c>
      <c r="H78" s="77"/>
      <c r="I78" s="77"/>
      <c r="J78" s="72"/>
    </row>
    <row r="79" spans="2:10">
      <c r="B79" s="76" t="s">
        <v>142</v>
      </c>
      <c r="C79" s="93" t="s">
        <v>143</v>
      </c>
      <c r="D79" s="97">
        <v>9177.6875146130424</v>
      </c>
      <c r="E79" s="97">
        <v>5478.3103662646608</v>
      </c>
      <c r="F79" s="97">
        <v>2782.6338368328438</v>
      </c>
      <c r="G79" s="97">
        <v>2347.8472998277116</v>
      </c>
      <c r="H79" s="77"/>
      <c r="I79" s="77"/>
      <c r="J79" s="72"/>
    </row>
    <row r="80" spans="2:10">
      <c r="B80" s="76" t="s">
        <v>142</v>
      </c>
      <c r="C80" s="93" t="s">
        <v>15</v>
      </c>
      <c r="D80" s="181">
        <f>D81*D82+(D27-D83)/D83*D82*(E81+F81)/2</f>
        <v>301681.5247791796</v>
      </c>
      <c r="E80" s="181">
        <f>E81*E82</f>
        <v>231158.00042794342</v>
      </c>
      <c r="F80" s="181">
        <f>F81*F82</f>
        <v>55844.808893979927</v>
      </c>
      <c r="G80" s="181">
        <f>G81*G82</f>
        <v>51213.316662070254</v>
      </c>
      <c r="H80" s="77"/>
      <c r="I80" s="77"/>
      <c r="J80" s="72"/>
    </row>
    <row r="81" spans="2:10">
      <c r="B81" s="76" t="s">
        <v>144</v>
      </c>
      <c r="C81" s="93" t="s">
        <v>145</v>
      </c>
      <c r="D81" s="947">
        <f>350*6.5</f>
        <v>2275</v>
      </c>
      <c r="E81" s="947">
        <f>D81-(D81-F81)/(F66-D66)*(E66-D66)</f>
        <v>1826.5</v>
      </c>
      <c r="F81" s="947">
        <f>74*6.5</f>
        <v>481</v>
      </c>
      <c r="G81" s="947">
        <f>74*6.5</f>
        <v>481</v>
      </c>
      <c r="H81" s="97"/>
      <c r="I81" s="97" t="s">
        <v>811</v>
      </c>
      <c r="J81" s="192"/>
    </row>
    <row r="82" spans="2:10">
      <c r="B82" s="76" t="s">
        <v>146</v>
      </c>
      <c r="C82" s="93" t="s">
        <v>147</v>
      </c>
      <c r="D82" s="90">
        <f>400*D25/3.6</f>
        <v>132.60726363919983</v>
      </c>
      <c r="E82" s="90">
        <f t="shared" ref="E82:G82" si="2">400*E25/3.6</f>
        <v>126.55789785269282</v>
      </c>
      <c r="F82" s="90">
        <f t="shared" si="2"/>
        <v>116.10147379205806</v>
      </c>
      <c r="G82" s="90">
        <f t="shared" si="2"/>
        <v>106.47259181303588</v>
      </c>
      <c r="H82" s="97"/>
      <c r="I82" s="97" t="s">
        <v>812</v>
      </c>
      <c r="J82" s="72"/>
    </row>
    <row r="83" spans="2:10">
      <c r="B83" s="76" t="s">
        <v>238</v>
      </c>
      <c r="C83" s="93" t="s">
        <v>237</v>
      </c>
      <c r="D83" s="90">
        <v>10.6</v>
      </c>
      <c r="E83" s="90">
        <v>16</v>
      </c>
      <c r="F83" s="90">
        <v>16</v>
      </c>
      <c r="G83" s="90">
        <v>16</v>
      </c>
      <c r="H83" s="97"/>
      <c r="I83" s="97"/>
      <c r="J83" s="72"/>
    </row>
    <row r="84" spans="2:10">
      <c r="B84" s="76" t="s">
        <v>148</v>
      </c>
      <c r="C84" s="93" t="s">
        <v>149</v>
      </c>
      <c r="D84" s="144">
        <f>D25/3.6</f>
        <v>0.33151815909799953</v>
      </c>
      <c r="E84" s="144">
        <f>E25/3.6</f>
        <v>0.31639474463173206</v>
      </c>
      <c r="F84" s="144">
        <f>F25/3.6</f>
        <v>0.29025368448014516</v>
      </c>
      <c r="G84" s="144">
        <f>G25/3.6</f>
        <v>0.26618147953258969</v>
      </c>
      <c r="H84" s="97"/>
      <c r="I84" s="97" t="s">
        <v>254</v>
      </c>
      <c r="J84" s="72"/>
    </row>
    <row r="85" spans="2:10">
      <c r="B85" s="76" t="s">
        <v>244</v>
      </c>
      <c r="C85" s="93" t="s">
        <v>243</v>
      </c>
      <c r="D85" s="144">
        <v>8.9285714285714288</v>
      </c>
      <c r="E85" s="197">
        <v>6.25</v>
      </c>
      <c r="F85" s="197">
        <v>5</v>
      </c>
      <c r="G85" s="197">
        <v>4.5454545454545459</v>
      </c>
      <c r="H85" s="97"/>
      <c r="I85" s="97" t="s">
        <v>604</v>
      </c>
      <c r="J85" s="72"/>
    </row>
    <row r="86" spans="2:10" ht="14.4" thickBot="1">
      <c r="B86" s="71" t="s">
        <v>242</v>
      </c>
      <c r="C86" s="89" t="s">
        <v>119</v>
      </c>
      <c r="D86" s="191">
        <f>D82*D85</f>
        <v>1183.9934253499985</v>
      </c>
      <c r="E86" s="191">
        <f>E82*E85</f>
        <v>790.98686157933014</v>
      </c>
      <c r="F86" s="191">
        <f>F82*F85</f>
        <v>580.50736896029025</v>
      </c>
      <c r="G86" s="191">
        <f>G82*G85</f>
        <v>483.9663264228904</v>
      </c>
      <c r="H86" s="190"/>
      <c r="I86" s="190"/>
      <c r="J86" s="88"/>
    </row>
    <row r="87" spans="2:10">
      <c r="D87" s="189"/>
      <c r="E87" s="189"/>
      <c r="F87" s="189"/>
      <c r="G87" s="189"/>
    </row>
    <row r="88" spans="2:10" ht="16.2" thickBot="1">
      <c r="B88" s="87" t="s">
        <v>126</v>
      </c>
    </row>
    <row r="89" spans="2:10">
      <c r="B89" s="86" t="s">
        <v>150</v>
      </c>
      <c r="C89" s="83"/>
      <c r="D89" s="187">
        <v>0.40970000000000001</v>
      </c>
      <c r="E89" s="164">
        <v>0.32</v>
      </c>
      <c r="F89" s="164">
        <v>0.32</v>
      </c>
      <c r="G89" s="164">
        <v>0.32</v>
      </c>
      <c r="H89" s="186"/>
      <c r="I89" s="97" t="s">
        <v>603</v>
      </c>
      <c r="J89" s="72"/>
    </row>
    <row r="90" spans="2:10">
      <c r="B90" s="76"/>
      <c r="C90" s="75"/>
      <c r="D90" s="75"/>
      <c r="E90" s="75"/>
      <c r="F90" s="75"/>
      <c r="G90" s="75"/>
      <c r="H90" s="75"/>
      <c r="I90" s="75"/>
      <c r="J90" s="72"/>
    </row>
    <row r="91" spans="2:10">
      <c r="B91" s="76" t="s">
        <v>20</v>
      </c>
      <c r="C91" s="75" t="s">
        <v>27</v>
      </c>
      <c r="D91" s="179">
        <v>0</v>
      </c>
      <c r="E91" s="179">
        <v>0</v>
      </c>
      <c r="F91" s="179">
        <v>0</v>
      </c>
      <c r="G91" s="179"/>
      <c r="H91" s="75"/>
      <c r="I91" s="75"/>
      <c r="J91" s="72"/>
    </row>
    <row r="92" spans="2:10">
      <c r="B92" s="76" t="s">
        <v>21</v>
      </c>
      <c r="C92" s="75" t="s">
        <v>27</v>
      </c>
      <c r="D92" s="179">
        <v>0</v>
      </c>
      <c r="E92" s="179">
        <v>0</v>
      </c>
      <c r="F92" s="179">
        <v>0</v>
      </c>
      <c r="G92" s="179"/>
      <c r="H92" s="75"/>
      <c r="I92" s="75"/>
      <c r="J92" s="72"/>
    </row>
    <row r="93" spans="2:10">
      <c r="B93" s="76" t="s">
        <v>22</v>
      </c>
      <c r="C93" s="75" t="s">
        <v>27</v>
      </c>
      <c r="D93" s="179">
        <v>0</v>
      </c>
      <c r="E93" s="179">
        <v>0</v>
      </c>
      <c r="F93" s="179">
        <v>0</v>
      </c>
      <c r="G93" s="179"/>
      <c r="H93" s="75"/>
      <c r="I93" s="75"/>
      <c r="J93" s="72"/>
    </row>
    <row r="94" spans="2:10">
      <c r="B94" s="76" t="s">
        <v>23</v>
      </c>
      <c r="C94" s="75" t="s">
        <v>27</v>
      </c>
      <c r="D94" s="179">
        <v>0</v>
      </c>
      <c r="E94" s="179">
        <v>0</v>
      </c>
      <c r="F94" s="179">
        <v>0</v>
      </c>
      <c r="G94" s="179"/>
      <c r="H94" s="75"/>
      <c r="I94" s="75"/>
      <c r="J94" s="72"/>
    </row>
    <row r="95" spans="2:10">
      <c r="B95" s="76" t="s">
        <v>116</v>
      </c>
      <c r="C95" s="75" t="s">
        <v>27</v>
      </c>
      <c r="D95" s="179">
        <v>0</v>
      </c>
      <c r="E95" s="179">
        <v>0</v>
      </c>
      <c r="F95" s="179">
        <v>0</v>
      </c>
      <c r="G95" s="179"/>
      <c r="H95" s="75"/>
      <c r="I95" s="75"/>
      <c r="J95" s="72"/>
    </row>
    <row r="96" spans="2:10">
      <c r="B96" s="76" t="s">
        <v>24</v>
      </c>
      <c r="C96" s="75" t="s">
        <v>27</v>
      </c>
      <c r="D96" s="179">
        <v>0</v>
      </c>
      <c r="E96" s="179">
        <v>0</v>
      </c>
      <c r="F96" s="179">
        <v>0</v>
      </c>
      <c r="G96" s="179"/>
      <c r="H96" s="75"/>
      <c r="I96" s="75"/>
      <c r="J96" s="72"/>
    </row>
    <row r="97" spans="2:10" ht="14.4" thickBot="1">
      <c r="B97" s="71"/>
      <c r="C97" s="70"/>
      <c r="D97" s="70"/>
      <c r="E97" s="70"/>
      <c r="F97" s="70"/>
      <c r="G97" s="70"/>
      <c r="H97" s="70"/>
      <c r="I97" s="70"/>
      <c r="J97" s="88"/>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'C:\Users\B003920\Desktop\[Kopi af alternativ_drivmiddelmodel_3.0_2.xlsm]Sheet1'!#REF!</xm:f>
          </x14:formula1>
          <xm:sqref>C9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9">
    <tabColor rgb="FF002060"/>
    <pageSetUpPr fitToPage="1"/>
  </sheetPr>
  <dimension ref="B1:S112"/>
  <sheetViews>
    <sheetView topLeftCell="A4" zoomScale="80" zoomScaleNormal="80" workbookViewId="0">
      <selection activeCell="D25" sqref="D25"/>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33</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182</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232</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c r="C12" s="75"/>
      <c r="D12" s="75"/>
      <c r="E12" s="75"/>
      <c r="F12" s="75"/>
      <c r="G12" s="75"/>
      <c r="H12" s="75"/>
      <c r="I12" s="75"/>
      <c r="J12" s="75"/>
      <c r="K12" s="75"/>
      <c r="L12" s="75"/>
      <c r="M12" s="75"/>
      <c r="N12" s="75"/>
      <c r="O12" s="72"/>
    </row>
    <row r="13" spans="2:19">
      <c r="B13" s="131"/>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v>2050</v>
      </c>
      <c r="H21" s="104" t="s">
        <v>100</v>
      </c>
      <c r="I21" s="150"/>
      <c r="J21" s="102"/>
    </row>
    <row r="22" spans="2:15">
      <c r="B22" s="126" t="s">
        <v>101</v>
      </c>
      <c r="C22" s="116"/>
      <c r="D22" s="178"/>
      <c r="E22" s="149"/>
      <c r="F22" s="149"/>
      <c r="G22" s="149"/>
      <c r="H22" s="149"/>
      <c r="I22" s="75"/>
      <c r="J22" s="72"/>
    </row>
    <row r="23" spans="2:15">
      <c r="B23" s="143" t="s">
        <v>102</v>
      </c>
      <c r="C23" s="116" t="s">
        <v>133</v>
      </c>
      <c r="D23" s="257">
        <f>D71</f>
        <v>0.19</v>
      </c>
      <c r="E23" s="256">
        <f>E71</f>
        <v>0.2</v>
      </c>
      <c r="F23" s="256">
        <f>F71</f>
        <v>0.22</v>
      </c>
      <c r="G23" s="256">
        <f>G71</f>
        <v>0.24</v>
      </c>
      <c r="H23" s="145"/>
      <c r="I23" s="184"/>
      <c r="J23" s="72"/>
      <c r="K23" s="241"/>
    </row>
    <row r="24" spans="2:15">
      <c r="B24" s="143" t="s">
        <v>103</v>
      </c>
      <c r="C24" s="116" t="s">
        <v>133</v>
      </c>
      <c r="D24" s="142">
        <f>D23</f>
        <v>0.19</v>
      </c>
      <c r="E24" s="141">
        <f>E23</f>
        <v>0.2</v>
      </c>
      <c r="F24" s="141">
        <f>F23</f>
        <v>0.22</v>
      </c>
      <c r="G24" s="141">
        <f>G23</f>
        <v>0.24</v>
      </c>
      <c r="H24" s="145"/>
      <c r="I24" s="184"/>
      <c r="J24" s="72"/>
      <c r="K24" s="241"/>
    </row>
    <row r="25" spans="2:15">
      <c r="B25" s="143" t="s">
        <v>104</v>
      </c>
      <c r="C25" s="116" t="s">
        <v>105</v>
      </c>
      <c r="D25" s="142">
        <f>D75</f>
        <v>13.33</v>
      </c>
      <c r="E25" s="141">
        <f>E75</f>
        <v>12.09</v>
      </c>
      <c r="F25" s="141">
        <f>F75</f>
        <v>10.47</v>
      </c>
      <c r="G25" s="141">
        <f>G75</f>
        <v>9.42</v>
      </c>
      <c r="H25" s="140"/>
      <c r="I25" s="97"/>
      <c r="J25" s="72"/>
      <c r="K25" s="241"/>
    </row>
    <row r="26" spans="2:15">
      <c r="B26" s="143" t="s">
        <v>106</v>
      </c>
      <c r="C26" s="116" t="s">
        <v>105</v>
      </c>
      <c r="D26" s="142"/>
      <c r="E26" s="141"/>
      <c r="F26" s="141"/>
      <c r="G26" s="141"/>
      <c r="H26" s="140"/>
      <c r="I26" s="97"/>
      <c r="J26" s="72"/>
      <c r="K26" s="241"/>
    </row>
    <row r="27" spans="2:15">
      <c r="B27" s="131" t="s">
        <v>107</v>
      </c>
      <c r="C27" s="116" t="s">
        <v>108</v>
      </c>
      <c r="D27" s="138">
        <v>6</v>
      </c>
      <c r="E27" s="123">
        <v>6</v>
      </c>
      <c r="F27" s="123">
        <v>6</v>
      </c>
      <c r="G27" s="123">
        <v>6</v>
      </c>
      <c r="H27" s="123"/>
      <c r="I27" s="97" t="s">
        <v>605</v>
      </c>
      <c r="J27" s="72"/>
      <c r="K27" s="241"/>
    </row>
    <row r="28" spans="2:15">
      <c r="B28" s="131" t="s">
        <v>109</v>
      </c>
      <c r="C28" s="116" t="s">
        <v>110</v>
      </c>
      <c r="D28" s="175">
        <f>+D67*D68/1000</f>
        <v>126.63500000000002</v>
      </c>
      <c r="E28" s="137">
        <f>+E67*E68/1000</f>
        <v>120.90000000000002</v>
      </c>
      <c r="F28" s="137">
        <f>+F67*F68/1000</f>
        <v>115.17000000000002</v>
      </c>
      <c r="G28" s="137">
        <f>+G67*G68/1000</f>
        <v>113.03999999999999</v>
      </c>
      <c r="H28" s="136"/>
      <c r="I28" s="97"/>
      <c r="J28" s="72"/>
      <c r="K28" s="241"/>
    </row>
    <row r="29" spans="2:15">
      <c r="B29" s="76"/>
      <c r="C29" s="135"/>
      <c r="D29" s="132"/>
      <c r="E29" s="96"/>
      <c r="F29" s="96"/>
      <c r="G29" s="96"/>
      <c r="H29" s="96"/>
      <c r="I29" s="77"/>
      <c r="J29" s="72"/>
      <c r="K29" s="241"/>
    </row>
    <row r="30" spans="2:15">
      <c r="B30" s="126" t="s">
        <v>111</v>
      </c>
      <c r="C30" s="116"/>
      <c r="D30" s="132"/>
      <c r="E30" s="96"/>
      <c r="F30" s="96"/>
      <c r="G30" s="96"/>
      <c r="H30" s="96"/>
      <c r="I30" s="77"/>
      <c r="J30" s="72"/>
      <c r="K30" s="241"/>
    </row>
    <row r="31" spans="2:15">
      <c r="B31" s="131" t="s">
        <v>112</v>
      </c>
      <c r="C31" s="116" t="s">
        <v>15</v>
      </c>
      <c r="D31" s="134">
        <v>779893.90271614201</v>
      </c>
      <c r="E31" s="134">
        <v>779893.90271614201</v>
      </c>
      <c r="F31" s="134">
        <v>779893.90271614201</v>
      </c>
      <c r="G31" s="134">
        <v>779893.90271614201</v>
      </c>
      <c r="H31" s="133">
        <v>2015</v>
      </c>
      <c r="I31" s="77"/>
      <c r="J31" s="72"/>
    </row>
    <row r="32" spans="2:15">
      <c r="B32" s="76" t="s">
        <v>16</v>
      </c>
      <c r="C32" s="116" t="s">
        <v>17</v>
      </c>
      <c r="D32" s="134">
        <v>2492.6013469287059</v>
      </c>
      <c r="E32" s="134">
        <v>2610.8401287701954</v>
      </c>
      <c r="F32" s="134">
        <v>2740.736055989551</v>
      </c>
      <c r="G32" s="134">
        <v>2792.3794370870196</v>
      </c>
      <c r="H32" s="133">
        <v>2015</v>
      </c>
      <c r="I32" s="77"/>
      <c r="J32" s="72"/>
    </row>
    <row r="33" spans="2:11">
      <c r="B33" s="127" t="s">
        <v>18</v>
      </c>
      <c r="C33" s="116" t="s">
        <v>17</v>
      </c>
      <c r="D33" s="134">
        <v>1213.3511438994574</v>
      </c>
      <c r="E33" s="134">
        <v>1270.9075443152008</v>
      </c>
      <c r="F33" s="134">
        <v>1334.1384223991297</v>
      </c>
      <c r="G33" s="134">
        <v>1359.2774425664172</v>
      </c>
      <c r="H33" s="133">
        <v>2015</v>
      </c>
      <c r="I33" s="77"/>
      <c r="J33" s="72"/>
    </row>
    <row r="34" spans="2:11">
      <c r="B34" s="127" t="s">
        <v>19</v>
      </c>
      <c r="C34" s="116" t="s">
        <v>17</v>
      </c>
      <c r="D34" s="134">
        <v>1279.2502030292483</v>
      </c>
      <c r="E34" s="134">
        <v>1339.9325844549946</v>
      </c>
      <c r="F34" s="134">
        <v>1406.5976335904218</v>
      </c>
      <c r="G34" s="134">
        <v>1433.1019945206024</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751018.91308317415</v>
      </c>
      <c r="E38" s="250">
        <v>751018.91308317415</v>
      </c>
      <c r="F38" s="250">
        <v>751018.91308317415</v>
      </c>
      <c r="G38" s="250">
        <v>751018.91308317415</v>
      </c>
      <c r="H38" s="128">
        <v>2013</v>
      </c>
      <c r="I38" s="97" t="s">
        <v>614</v>
      </c>
      <c r="J38" s="72"/>
      <c r="K38" s="241"/>
    </row>
    <row r="39" spans="2:11">
      <c r="B39" s="76" t="s">
        <v>16</v>
      </c>
      <c r="C39" s="116" t="s">
        <v>17</v>
      </c>
      <c r="D39" s="254">
        <f>+SUM(D40:D43)</f>
        <v>2400.3146425436294</v>
      </c>
      <c r="E39" s="255">
        <f>+SUM(E40:E43)</f>
        <v>2514.1757217412114</v>
      </c>
      <c r="F39" s="255">
        <f>+SUM(F40:F43)</f>
        <v>2639.2623492099719</v>
      </c>
      <c r="G39" s="255">
        <f>+SUM(G40:G43)</f>
        <v>2688.9936726690776</v>
      </c>
      <c r="H39" s="128">
        <v>2013</v>
      </c>
      <c r="I39" s="97"/>
      <c r="J39" s="72"/>
      <c r="K39" s="241"/>
    </row>
    <row r="40" spans="2:11">
      <c r="B40" s="127" t="s">
        <v>18</v>
      </c>
      <c r="C40" s="116" t="s">
        <v>17</v>
      </c>
      <c r="D40" s="254">
        <v>1168.4277234454339</v>
      </c>
      <c r="E40" s="255">
        <v>1223.8531410960506</v>
      </c>
      <c r="F40" s="255">
        <v>1284.742943114635</v>
      </c>
      <c r="G40" s="255">
        <v>1308.9512098240671</v>
      </c>
      <c r="H40" s="128">
        <v>2013</v>
      </c>
      <c r="I40" s="97"/>
      <c r="J40" s="72"/>
      <c r="K40" s="241"/>
    </row>
    <row r="41" spans="2:11">
      <c r="B41" s="127" t="s">
        <v>19</v>
      </c>
      <c r="C41" s="116" t="s">
        <v>17</v>
      </c>
      <c r="D41" s="254">
        <f>(D68*D69)/D28</f>
        <v>1231.8869190981954</v>
      </c>
      <c r="E41" s="255">
        <f>(E68*E69)/E28</f>
        <v>1290.322580645161</v>
      </c>
      <c r="F41" s="255">
        <f>(F68*F69)/F28</f>
        <v>1354.5194060953372</v>
      </c>
      <c r="G41" s="255">
        <f>(G68*G69)/G28</f>
        <v>1380.0424628450107</v>
      </c>
      <c r="H41" s="128">
        <v>2013</v>
      </c>
      <c r="I41" s="97"/>
      <c r="J41" s="117" t="s">
        <v>156</v>
      </c>
      <c r="K41" s="241"/>
    </row>
    <row r="42" spans="2:11">
      <c r="B42" s="127"/>
      <c r="C42" s="116"/>
      <c r="D42" s="132"/>
      <c r="E42" s="96"/>
      <c r="F42" s="96"/>
      <c r="G42" s="96"/>
      <c r="H42" s="128"/>
      <c r="I42" s="97"/>
      <c r="J42" s="72"/>
      <c r="K42" s="241"/>
    </row>
    <row r="43" spans="2:11">
      <c r="B43" s="127" t="s">
        <v>113</v>
      </c>
      <c r="C43" s="116" t="s">
        <v>17</v>
      </c>
      <c r="D43" s="254">
        <v>0</v>
      </c>
      <c r="E43" s="253">
        <v>0</v>
      </c>
      <c r="F43" s="253">
        <v>0</v>
      </c>
      <c r="G43" s="253">
        <v>0</v>
      </c>
      <c r="H43" s="128">
        <v>2013</v>
      </c>
      <c r="I43" s="97"/>
      <c r="J43" s="117"/>
      <c r="K43" s="241"/>
    </row>
    <row r="44" spans="2:11">
      <c r="B44" s="127"/>
      <c r="C44" s="116"/>
      <c r="D44" s="132"/>
      <c r="E44" s="96"/>
      <c r="F44" s="96"/>
      <c r="G44" s="96"/>
      <c r="H44" s="96"/>
      <c r="I44" s="97"/>
      <c r="J44" s="72"/>
      <c r="K44" s="241"/>
    </row>
    <row r="45" spans="2:11">
      <c r="B45" s="126" t="s">
        <v>114</v>
      </c>
      <c r="C45" s="116"/>
      <c r="D45" s="132"/>
      <c r="E45" s="96"/>
      <c r="F45" s="96"/>
      <c r="G45" s="96"/>
      <c r="H45" s="125"/>
      <c r="I45" s="97"/>
      <c r="J45" s="72"/>
      <c r="K45" s="241"/>
    </row>
    <row r="46" spans="2:11">
      <c r="B46" s="121" t="s">
        <v>30</v>
      </c>
      <c r="C46" s="116"/>
      <c r="D46" s="132"/>
      <c r="E46" s="96"/>
      <c r="F46" s="96"/>
      <c r="G46" s="96"/>
      <c r="H46" s="124"/>
      <c r="I46" s="97"/>
      <c r="J46" s="72"/>
      <c r="K46" s="241"/>
    </row>
    <row r="47" spans="2:11">
      <c r="B47" s="76" t="s">
        <v>20</v>
      </c>
      <c r="C47" s="116" t="s">
        <v>134</v>
      </c>
      <c r="D47" s="252"/>
      <c r="E47" s="119"/>
      <c r="F47" s="119"/>
      <c r="G47" s="119"/>
      <c r="H47" s="124"/>
      <c r="I47" s="97"/>
      <c r="J47" s="117" t="s">
        <v>115</v>
      </c>
      <c r="K47" s="241"/>
    </row>
    <row r="48" spans="2:11">
      <c r="B48" s="76" t="s">
        <v>21</v>
      </c>
      <c r="C48" s="116" t="s">
        <v>134</v>
      </c>
      <c r="D48" s="122">
        <f t="shared" ref="D48:G52" si="0">D78/D$75</f>
        <v>5.70067229895981E-4</v>
      </c>
      <c r="E48" s="122">
        <f t="shared" si="0"/>
        <v>1.6299243669067753E-4</v>
      </c>
      <c r="F48" s="122">
        <f t="shared" si="0"/>
        <v>1.6299243669067753E-4</v>
      </c>
      <c r="G48" s="122">
        <f t="shared" si="0"/>
        <v>1.6299243669067753E-4</v>
      </c>
      <c r="H48" s="118"/>
      <c r="I48" s="97"/>
      <c r="J48" s="72"/>
      <c r="K48" s="241"/>
    </row>
    <row r="49" spans="2:11">
      <c r="B49" s="76" t="s">
        <v>22</v>
      </c>
      <c r="C49" s="116" t="s">
        <v>134</v>
      </c>
      <c r="D49" s="122">
        <f t="shared" si="0"/>
        <v>3.3862691824031407E-3</v>
      </c>
      <c r="E49" s="122">
        <f t="shared" si="0"/>
        <v>3.3862691824031407E-3</v>
      </c>
      <c r="F49" s="122">
        <f t="shared" si="0"/>
        <v>3.3862691824031407E-3</v>
      </c>
      <c r="G49" s="122">
        <f t="shared" si="0"/>
        <v>3.3862691824031407E-3</v>
      </c>
      <c r="H49" s="96"/>
      <c r="I49" s="97"/>
      <c r="J49" s="72"/>
      <c r="K49" s="241"/>
    </row>
    <row r="50" spans="2:11">
      <c r="B50" s="76" t="s">
        <v>23</v>
      </c>
      <c r="C50" s="116" t="s">
        <v>134</v>
      </c>
      <c r="D50" s="122">
        <f t="shared" si="0"/>
        <v>4.6837408023728819E-4</v>
      </c>
      <c r="E50" s="122">
        <f t="shared" si="0"/>
        <v>4.6837408023728814E-4</v>
      </c>
      <c r="F50" s="122">
        <f t="shared" si="0"/>
        <v>4.6837408023728825E-4</v>
      </c>
      <c r="G50" s="122">
        <f t="shared" si="0"/>
        <v>4.6837408023728819E-4</v>
      </c>
      <c r="H50" s="123"/>
      <c r="I50" s="97"/>
      <c r="J50" s="72"/>
      <c r="K50" s="241"/>
    </row>
    <row r="51" spans="2:11">
      <c r="B51" s="76" t="s">
        <v>116</v>
      </c>
      <c r="C51" s="116" t="s">
        <v>134</v>
      </c>
      <c r="D51" s="122">
        <f t="shared" si="0"/>
        <v>0.3488992416652627</v>
      </c>
      <c r="E51" s="122">
        <f t="shared" si="0"/>
        <v>3.6446302941253436E-2</v>
      </c>
      <c r="F51" s="122">
        <f t="shared" si="0"/>
        <v>3.6446302941253436E-2</v>
      </c>
      <c r="G51" s="122">
        <f t="shared" si="0"/>
        <v>3.6446302941253436E-2</v>
      </c>
      <c r="H51" s="96"/>
      <c r="I51" s="97"/>
      <c r="J51" s="72"/>
      <c r="K51" s="241"/>
    </row>
    <row r="52" spans="2:11">
      <c r="B52" s="76" t="s">
        <v>24</v>
      </c>
      <c r="C52" s="116" t="s">
        <v>134</v>
      </c>
      <c r="D52" s="122">
        <f t="shared" si="0"/>
        <v>3.2979813853448933E-3</v>
      </c>
      <c r="E52" s="122">
        <f t="shared" si="0"/>
        <v>3.6064433411829615E-4</v>
      </c>
      <c r="F52" s="122">
        <f t="shared" si="0"/>
        <v>3.6064433411829615E-4</v>
      </c>
      <c r="G52" s="122">
        <f t="shared" si="0"/>
        <v>3.6064433411829615E-4</v>
      </c>
      <c r="H52" s="96"/>
      <c r="I52" s="97"/>
      <c r="J52" s="72"/>
      <c r="K52" s="241"/>
    </row>
    <row r="53" spans="2:11">
      <c r="B53" s="76"/>
      <c r="C53" s="116"/>
      <c r="D53" s="120"/>
      <c r="E53" s="75"/>
      <c r="F53" s="75"/>
      <c r="G53" s="75"/>
      <c r="H53" s="96"/>
      <c r="I53" s="97"/>
      <c r="J53" s="72"/>
      <c r="K53" s="241"/>
    </row>
    <row r="54" spans="2:11">
      <c r="B54" s="121" t="s">
        <v>31</v>
      </c>
      <c r="C54" s="116"/>
      <c r="D54" s="132"/>
      <c r="E54" s="96"/>
      <c r="F54" s="96"/>
      <c r="G54" s="96"/>
      <c r="H54" s="118"/>
      <c r="I54" s="97"/>
      <c r="J54" s="72"/>
      <c r="K54" s="241"/>
    </row>
    <row r="55" spans="2:11">
      <c r="B55" s="76" t="s">
        <v>20</v>
      </c>
      <c r="C55" s="116" t="s">
        <v>134</v>
      </c>
      <c r="D55" s="252"/>
      <c r="E55" s="119"/>
      <c r="F55" s="119"/>
      <c r="G55" s="119"/>
      <c r="H55" s="194"/>
      <c r="I55" s="97"/>
      <c r="J55" s="117" t="s">
        <v>115</v>
      </c>
      <c r="K55" s="241"/>
    </row>
    <row r="56" spans="2:11">
      <c r="B56" s="76" t="s">
        <v>21</v>
      </c>
      <c r="C56" s="116" t="s">
        <v>134</v>
      </c>
      <c r="D56" s="115">
        <f t="shared" ref="D56:G60" si="1">D48</f>
        <v>5.70067229895981E-4</v>
      </c>
      <c r="E56" s="115">
        <f t="shared" si="1"/>
        <v>1.6299243669067753E-4</v>
      </c>
      <c r="F56" s="115">
        <f t="shared" si="1"/>
        <v>1.6299243669067753E-4</v>
      </c>
      <c r="G56" s="115">
        <f t="shared" si="1"/>
        <v>1.6299243669067753E-4</v>
      </c>
      <c r="H56" s="194"/>
      <c r="I56" s="97"/>
      <c r="J56" s="72"/>
      <c r="K56" s="241"/>
    </row>
    <row r="57" spans="2:11">
      <c r="B57" s="76" t="s">
        <v>22</v>
      </c>
      <c r="C57" s="116" t="s">
        <v>134</v>
      </c>
      <c r="D57" s="115">
        <f t="shared" si="1"/>
        <v>3.3862691824031407E-3</v>
      </c>
      <c r="E57" s="115">
        <f t="shared" si="1"/>
        <v>3.3862691824031407E-3</v>
      </c>
      <c r="F57" s="115">
        <f t="shared" si="1"/>
        <v>3.3862691824031407E-3</v>
      </c>
      <c r="G57" s="115">
        <f t="shared" si="1"/>
        <v>3.3862691824031407E-3</v>
      </c>
      <c r="H57" s="194"/>
      <c r="I57" s="97"/>
      <c r="J57" s="72"/>
      <c r="K57" s="241"/>
    </row>
    <row r="58" spans="2:11">
      <c r="B58" s="76" t="s">
        <v>23</v>
      </c>
      <c r="C58" s="116" t="s">
        <v>134</v>
      </c>
      <c r="D58" s="115">
        <f t="shared" si="1"/>
        <v>4.6837408023728819E-4</v>
      </c>
      <c r="E58" s="115">
        <f t="shared" si="1"/>
        <v>4.6837408023728814E-4</v>
      </c>
      <c r="F58" s="115">
        <f t="shared" si="1"/>
        <v>4.6837408023728825E-4</v>
      </c>
      <c r="G58" s="115">
        <f t="shared" si="1"/>
        <v>4.6837408023728819E-4</v>
      </c>
      <c r="H58" s="194"/>
      <c r="I58" s="97"/>
      <c r="J58" s="72"/>
      <c r="K58" s="241"/>
    </row>
    <row r="59" spans="2:11">
      <c r="B59" s="76" t="s">
        <v>116</v>
      </c>
      <c r="C59" s="116" t="s">
        <v>134</v>
      </c>
      <c r="D59" s="115">
        <f t="shared" si="1"/>
        <v>0.3488992416652627</v>
      </c>
      <c r="E59" s="115">
        <f t="shared" si="1"/>
        <v>3.6446302941253436E-2</v>
      </c>
      <c r="F59" s="115">
        <f t="shared" si="1"/>
        <v>3.6446302941253436E-2</v>
      </c>
      <c r="G59" s="115">
        <f t="shared" si="1"/>
        <v>3.6446302941253436E-2</v>
      </c>
      <c r="H59" s="194"/>
      <c r="I59" s="97"/>
      <c r="J59" s="72"/>
      <c r="K59" s="241"/>
    </row>
    <row r="60" spans="2:11">
      <c r="B60" s="76" t="s">
        <v>24</v>
      </c>
      <c r="C60" s="116" t="s">
        <v>134</v>
      </c>
      <c r="D60" s="115">
        <f t="shared" si="1"/>
        <v>3.2979813853448933E-3</v>
      </c>
      <c r="E60" s="115">
        <f t="shared" si="1"/>
        <v>3.6064433411829615E-4</v>
      </c>
      <c r="F60" s="115">
        <f t="shared" si="1"/>
        <v>3.6064433411829615E-4</v>
      </c>
      <c r="G60" s="115">
        <f t="shared" si="1"/>
        <v>3.6064433411829615E-4</v>
      </c>
      <c r="H60" s="133"/>
      <c r="I60" s="97"/>
      <c r="J60" s="72"/>
      <c r="K60" s="241"/>
    </row>
    <row r="61" spans="2:11" ht="14.4" thickBot="1">
      <c r="B61" s="113"/>
      <c r="C61" s="112"/>
      <c r="D61" s="111"/>
      <c r="E61" s="70"/>
      <c r="F61" s="70"/>
      <c r="G61" s="70"/>
      <c r="H61" s="96"/>
      <c r="I61" s="109"/>
      <c r="J61" s="88"/>
      <c r="K61" s="241"/>
    </row>
    <row r="62" spans="2:11">
      <c r="I62" s="67"/>
      <c r="K62" s="241"/>
    </row>
    <row r="63" spans="2:11">
      <c r="I63" s="67"/>
      <c r="K63" s="241"/>
    </row>
    <row r="64" spans="2:11" ht="16.2" thickBot="1">
      <c r="B64" s="87" t="s">
        <v>117</v>
      </c>
      <c r="I64" s="67"/>
      <c r="K64" s="241"/>
    </row>
    <row r="65" spans="2:11">
      <c r="B65" s="86"/>
      <c r="C65" s="108"/>
      <c r="D65" s="83"/>
      <c r="E65" s="83"/>
      <c r="F65" s="83"/>
      <c r="G65" s="83"/>
      <c r="H65" s="83"/>
      <c r="I65" s="82"/>
      <c r="J65" s="81"/>
      <c r="K65" s="241"/>
    </row>
    <row r="66" spans="2:11">
      <c r="B66" s="107"/>
      <c r="C66" s="106" t="s">
        <v>99</v>
      </c>
      <c r="D66" s="105">
        <v>2015</v>
      </c>
      <c r="E66" s="104">
        <v>2020</v>
      </c>
      <c r="F66" s="104">
        <v>2035</v>
      </c>
      <c r="G66" s="104">
        <v>2050</v>
      </c>
      <c r="H66" s="104"/>
      <c r="I66" s="103"/>
      <c r="J66" s="102"/>
      <c r="K66" s="241"/>
    </row>
    <row r="67" spans="2:11">
      <c r="B67" s="76" t="s">
        <v>25</v>
      </c>
      <c r="C67" s="93" t="s">
        <v>152</v>
      </c>
      <c r="D67" s="251">
        <f>D71*D75</f>
        <v>2.5327000000000002</v>
      </c>
      <c r="E67" s="251">
        <f>E71*E75</f>
        <v>2.4180000000000001</v>
      </c>
      <c r="F67" s="251">
        <f>F71*F75</f>
        <v>2.3034000000000003</v>
      </c>
      <c r="G67" s="251">
        <f>G71*G75</f>
        <v>2.2607999999999997</v>
      </c>
      <c r="H67" s="251"/>
      <c r="I67" s="77"/>
      <c r="J67" s="72"/>
      <c r="K67" s="241"/>
    </row>
    <row r="68" spans="2:11">
      <c r="B68" s="76" t="s">
        <v>121</v>
      </c>
      <c r="C68" s="93" t="s">
        <v>122</v>
      </c>
      <c r="D68" s="250">
        <v>50000</v>
      </c>
      <c r="E68" s="250">
        <v>50000</v>
      </c>
      <c r="F68" s="250">
        <v>50000</v>
      </c>
      <c r="G68" s="250">
        <v>50000</v>
      </c>
      <c r="H68" s="250"/>
      <c r="I68" s="97" t="s">
        <v>605</v>
      </c>
      <c r="J68" s="72"/>
      <c r="K68" s="241"/>
    </row>
    <row r="69" spans="2:11">
      <c r="B69" s="76" t="s">
        <v>124</v>
      </c>
      <c r="C69" s="199" t="s">
        <v>36</v>
      </c>
      <c r="D69" s="249">
        <f>156000/D68</f>
        <v>3.12</v>
      </c>
      <c r="E69" s="249">
        <f>156000/E68</f>
        <v>3.12</v>
      </c>
      <c r="F69" s="249">
        <f>156000/F68</f>
        <v>3.12</v>
      </c>
      <c r="G69" s="249">
        <f>156000/G68</f>
        <v>3.12</v>
      </c>
      <c r="H69" s="249"/>
      <c r="I69" s="97" t="s">
        <v>605</v>
      </c>
      <c r="J69" s="117"/>
      <c r="K69" s="241"/>
    </row>
    <row r="70" spans="2:11">
      <c r="B70" s="163" t="s">
        <v>163</v>
      </c>
      <c r="C70" s="199" t="s">
        <v>164</v>
      </c>
      <c r="D70" s="248">
        <v>2.6907726931732934</v>
      </c>
      <c r="E70" s="248">
        <v>2.9667493796526059</v>
      </c>
      <c r="F70" s="248">
        <v>3.4257879656160459</v>
      </c>
      <c r="G70" s="248">
        <v>3.8076433121019111</v>
      </c>
      <c r="H70" s="247"/>
      <c r="I70" s="97"/>
      <c r="J70" s="72"/>
      <c r="K70" s="241"/>
    </row>
    <row r="71" spans="2:11">
      <c r="B71" s="163" t="s">
        <v>165</v>
      </c>
      <c r="C71" s="199" t="s">
        <v>26</v>
      </c>
      <c r="D71" s="246">
        <v>0.19</v>
      </c>
      <c r="E71" s="246">
        <v>0.2</v>
      </c>
      <c r="F71" s="246">
        <v>0.22</v>
      </c>
      <c r="G71" s="246">
        <v>0.24</v>
      </c>
      <c r="H71" s="246"/>
      <c r="I71" s="77" t="s">
        <v>603</v>
      </c>
      <c r="J71" s="117"/>
      <c r="K71" s="241"/>
    </row>
    <row r="72" spans="2:11" ht="14.4" thickBot="1">
      <c r="B72" s="245"/>
      <c r="C72" s="244"/>
      <c r="D72" s="243"/>
      <c r="E72" s="243"/>
      <c r="F72" s="243"/>
      <c r="G72" s="243"/>
      <c r="H72" s="243"/>
      <c r="I72" s="97"/>
      <c r="J72" s="88"/>
      <c r="K72" s="241"/>
    </row>
    <row r="73" spans="2:11">
      <c r="D73" s="189"/>
      <c r="E73" s="189"/>
      <c r="F73" s="189"/>
      <c r="G73" s="189"/>
      <c r="H73" s="189"/>
      <c r="K73" s="241"/>
    </row>
    <row r="74" spans="2:11" ht="16.2" thickBot="1">
      <c r="B74" s="87" t="s">
        <v>126</v>
      </c>
      <c r="K74" s="241"/>
    </row>
    <row r="75" spans="2:11">
      <c r="B75" s="86" t="s">
        <v>150</v>
      </c>
      <c r="C75" s="83"/>
      <c r="D75" s="180">
        <v>13.33</v>
      </c>
      <c r="E75" s="180">
        <v>12.09</v>
      </c>
      <c r="F75" s="180">
        <v>10.47</v>
      </c>
      <c r="G75" s="180">
        <v>9.42</v>
      </c>
      <c r="H75" s="180"/>
      <c r="I75" s="83" t="s">
        <v>603</v>
      </c>
      <c r="J75" s="81"/>
      <c r="K75" s="241"/>
    </row>
    <row r="76" spans="2:11">
      <c r="B76" s="76"/>
      <c r="C76" s="75"/>
      <c r="D76" s="242"/>
      <c r="E76" s="242"/>
      <c r="F76" s="242"/>
      <c r="G76" s="242"/>
      <c r="H76" s="242"/>
      <c r="I76" s="75"/>
      <c r="J76" s="72"/>
      <c r="K76" s="241"/>
    </row>
    <row r="77" spans="2:11">
      <c r="B77" s="76" t="s">
        <v>20</v>
      </c>
      <c r="C77" s="75" t="s">
        <v>27</v>
      </c>
      <c r="D77" s="240"/>
      <c r="E77" s="240"/>
      <c r="F77" s="240"/>
      <c r="G77" s="240"/>
      <c r="H77" s="240"/>
      <c r="I77" s="75"/>
      <c r="J77" s="72"/>
      <c r="K77" s="241"/>
    </row>
    <row r="78" spans="2:11">
      <c r="B78" s="76" t="s">
        <v>21</v>
      </c>
      <c r="C78" s="75" t="s">
        <v>27</v>
      </c>
      <c r="D78" s="240">
        <f t="shared" ref="D78:G82" si="2">D88/1000*D$75</f>
        <v>7.5989961745134265E-3</v>
      </c>
      <c r="E78" s="240">
        <f t="shared" si="2"/>
        <v>1.9705785595902914E-3</v>
      </c>
      <c r="F78" s="240">
        <f t="shared" si="2"/>
        <v>1.7065308121513938E-3</v>
      </c>
      <c r="G78" s="240">
        <f t="shared" si="2"/>
        <v>1.5353887536261822E-3</v>
      </c>
      <c r="H78" s="240"/>
      <c r="I78" s="75"/>
      <c r="J78" s="72"/>
      <c r="K78" s="241"/>
    </row>
    <row r="79" spans="2:11">
      <c r="B79" s="76" t="s">
        <v>22</v>
      </c>
      <c r="C79" s="75" t="s">
        <v>27</v>
      </c>
      <c r="D79" s="240">
        <f t="shared" si="2"/>
        <v>4.5138968201433864E-2</v>
      </c>
      <c r="E79" s="240">
        <f t="shared" si="2"/>
        <v>4.093999441525397E-2</v>
      </c>
      <c r="F79" s="240">
        <f t="shared" si="2"/>
        <v>3.5454238339760885E-2</v>
      </c>
      <c r="G79" s="240">
        <f t="shared" si="2"/>
        <v>3.1898655698237584E-2</v>
      </c>
      <c r="H79" s="240"/>
      <c r="I79" s="75"/>
      <c r="J79" s="72"/>
      <c r="K79" s="241"/>
    </row>
    <row r="80" spans="2:11">
      <c r="B80" s="76" t="s">
        <v>23</v>
      </c>
      <c r="C80" s="75" t="s">
        <v>27</v>
      </c>
      <c r="D80" s="240">
        <f t="shared" si="2"/>
        <v>6.2434264895630514E-3</v>
      </c>
      <c r="E80" s="240">
        <f t="shared" si="2"/>
        <v>5.6626426300688138E-3</v>
      </c>
      <c r="F80" s="240">
        <f t="shared" si="2"/>
        <v>4.903876620084408E-3</v>
      </c>
      <c r="G80" s="240">
        <f t="shared" si="2"/>
        <v>4.412083835835255E-3</v>
      </c>
      <c r="H80" s="240"/>
      <c r="I80" s="75"/>
      <c r="J80" s="72"/>
      <c r="K80" s="241"/>
    </row>
    <row r="81" spans="2:13">
      <c r="B81" s="163" t="s">
        <v>37</v>
      </c>
      <c r="C81" s="75" t="s">
        <v>27</v>
      </c>
      <c r="D81" s="240">
        <f t="shared" si="2"/>
        <v>4.6508268913979522</v>
      </c>
      <c r="E81" s="240">
        <f t="shared" si="2"/>
        <v>0.44063580255975404</v>
      </c>
      <c r="F81" s="240">
        <f t="shared" si="2"/>
        <v>0.3815927917949235</v>
      </c>
      <c r="G81" s="240">
        <f t="shared" si="2"/>
        <v>0.34332417370660734</v>
      </c>
      <c r="H81" s="240"/>
      <c r="I81" s="75"/>
      <c r="J81" s="117"/>
      <c r="K81" s="241"/>
    </row>
    <row r="82" spans="2:13">
      <c r="B82" s="76" t="s">
        <v>24</v>
      </c>
      <c r="C82" s="75" t="s">
        <v>27</v>
      </c>
      <c r="D82" s="240">
        <f t="shared" si="2"/>
        <v>4.3962091866647429E-2</v>
      </c>
      <c r="E82" s="240">
        <f t="shared" si="2"/>
        <v>4.3601899994902002E-3</v>
      </c>
      <c r="F82" s="240">
        <f t="shared" si="2"/>
        <v>3.7759461782185611E-3</v>
      </c>
      <c r="G82" s="240">
        <f t="shared" si="2"/>
        <v>3.3972696273943497E-3</v>
      </c>
      <c r="H82" s="240"/>
      <c r="I82" s="75"/>
      <c r="J82" s="117"/>
    </row>
    <row r="83" spans="2:13" ht="14.4" thickBot="1">
      <c r="B83" s="71"/>
      <c r="C83" s="70"/>
      <c r="D83" s="239"/>
      <c r="E83" s="239"/>
      <c r="F83" s="239"/>
      <c r="G83" s="239"/>
      <c r="H83" s="239"/>
      <c r="I83" s="70"/>
      <c r="J83" s="88"/>
    </row>
    <row r="85" spans="2:13" ht="14.4" thickBot="1">
      <c r="B85" s="152" t="s">
        <v>172</v>
      </c>
    </row>
    <row r="86" spans="2:13">
      <c r="B86" s="86"/>
      <c r="C86" s="83"/>
      <c r="D86" s="238">
        <v>2015</v>
      </c>
      <c r="E86" s="238">
        <v>2020</v>
      </c>
      <c r="F86" s="238">
        <v>2035</v>
      </c>
      <c r="G86" s="238">
        <v>2050</v>
      </c>
      <c r="H86" s="238"/>
    </row>
    <row r="87" spans="2:13">
      <c r="B87" s="237" t="s">
        <v>20</v>
      </c>
      <c r="C87" s="133" t="s">
        <v>173</v>
      </c>
      <c r="D87" s="235"/>
      <c r="E87" s="235"/>
      <c r="F87" s="235"/>
      <c r="G87" s="235"/>
      <c r="H87" s="235"/>
    </row>
    <row r="88" spans="2:13">
      <c r="B88" s="237" t="s">
        <v>21</v>
      </c>
      <c r="C88" s="75" t="s">
        <v>173</v>
      </c>
      <c r="D88" s="236">
        <f>'EU Lastbil'!D107</f>
        <v>0.57006722989598102</v>
      </c>
      <c r="E88" s="236">
        <f>'EU Lastbil'!E107</f>
        <v>0.16299243669067753</v>
      </c>
      <c r="F88" s="236">
        <f>'EU Lastbil'!F107</f>
        <v>0.16299243669067753</v>
      </c>
      <c r="G88" s="235">
        <f>F88</f>
        <v>0.16299243669067753</v>
      </c>
      <c r="H88" s="236"/>
      <c r="J88" s="185"/>
      <c r="K88" s="185"/>
      <c r="L88" s="185"/>
      <c r="M88" s="185"/>
    </row>
    <row r="89" spans="2:13">
      <c r="B89" s="237" t="s">
        <v>22</v>
      </c>
      <c r="C89" s="75" t="s">
        <v>173</v>
      </c>
      <c r="D89" s="236">
        <f>'EU Lastbil'!D108</f>
        <v>3.3862691824031406</v>
      </c>
      <c r="E89" s="236">
        <f>'EU Lastbil'!E108</f>
        <v>3.3862691824031406</v>
      </c>
      <c r="F89" s="236">
        <f>'EU Lastbil'!F108</f>
        <v>3.3862691824031406</v>
      </c>
      <c r="G89" s="235">
        <f>F89</f>
        <v>3.3862691824031406</v>
      </c>
      <c r="H89" s="236"/>
      <c r="J89" s="185"/>
      <c r="K89" s="185"/>
      <c r="L89" s="185"/>
      <c r="M89" s="185"/>
    </row>
    <row r="90" spans="2:13">
      <c r="B90" s="237" t="s">
        <v>23</v>
      </c>
      <c r="C90" s="75" t="s">
        <v>173</v>
      </c>
      <c r="D90" s="236">
        <f>'EU Lastbil'!D109</f>
        <v>0.46837408023728822</v>
      </c>
      <c r="E90" s="236">
        <f>'EU Lastbil'!E109</f>
        <v>0.46837408023728822</v>
      </c>
      <c r="F90" s="236">
        <f>'EU Lastbil'!F109</f>
        <v>0.46837408023728822</v>
      </c>
      <c r="G90" s="235">
        <f>F90</f>
        <v>0.46837408023728822</v>
      </c>
      <c r="H90" s="236"/>
      <c r="J90" s="185"/>
      <c r="K90" s="185"/>
      <c r="L90" s="185"/>
      <c r="M90" s="185"/>
    </row>
    <row r="91" spans="2:13">
      <c r="B91" s="131" t="s">
        <v>37</v>
      </c>
      <c r="C91" s="75" t="s">
        <v>173</v>
      </c>
      <c r="D91" s="235">
        <f>'EU Lastbil'!D110</f>
        <v>348.89924166526276</v>
      </c>
      <c r="E91" s="235">
        <f>'EU Lastbil'!E110</f>
        <v>36.446302941253435</v>
      </c>
      <c r="F91" s="235">
        <f>'EU Lastbil'!F110</f>
        <v>36.446302941253435</v>
      </c>
      <c r="G91" s="235">
        <f>F91</f>
        <v>36.446302941253435</v>
      </c>
      <c r="H91" s="235"/>
      <c r="J91" s="185"/>
      <c r="K91" s="185"/>
      <c r="L91" s="185"/>
      <c r="M91" s="185"/>
    </row>
    <row r="92" spans="2:13" ht="14.4" thickBot="1">
      <c r="B92" s="234" t="s">
        <v>24</v>
      </c>
      <c r="C92" s="70" t="s">
        <v>173</v>
      </c>
      <c r="D92" s="233">
        <f>'EU Lastbil'!D111</f>
        <v>3.2979813853448934</v>
      </c>
      <c r="E92" s="233">
        <f>'EU Lastbil'!E111</f>
        <v>0.36064433411829616</v>
      </c>
      <c r="F92" s="233">
        <f>'EU Lastbil'!F111</f>
        <v>0.36064433411829616</v>
      </c>
      <c r="G92" s="233">
        <f>F92</f>
        <v>0.36064433411829616</v>
      </c>
      <c r="H92" s="233"/>
      <c r="J92" s="185"/>
      <c r="K92" s="185"/>
      <c r="L92" s="185"/>
      <c r="M92" s="185"/>
    </row>
    <row r="95" spans="2:13">
      <c r="B95" s="232"/>
      <c r="C95" s="218"/>
      <c r="D95" s="218"/>
      <c r="E95" s="218"/>
      <c r="F95" s="218"/>
      <c r="G95" s="218"/>
    </row>
    <row r="96" spans="2:13">
      <c r="B96" s="232" t="s">
        <v>271</v>
      </c>
      <c r="C96" s="218"/>
      <c r="D96" s="218"/>
      <c r="E96" s="218"/>
      <c r="F96" s="218"/>
      <c r="G96" s="218"/>
    </row>
    <row r="97" spans="2:7">
      <c r="B97" s="229"/>
      <c r="C97" s="229"/>
      <c r="D97" s="231">
        <v>2015</v>
      </c>
      <c r="E97" s="231">
        <v>2020</v>
      </c>
      <c r="F97" s="231">
        <v>2035</v>
      </c>
      <c r="G97" s="218"/>
    </row>
    <row r="98" spans="2:7">
      <c r="B98" s="220"/>
      <c r="C98" s="220"/>
      <c r="D98" s="230" t="s">
        <v>270</v>
      </c>
      <c r="E98" s="230" t="s">
        <v>240</v>
      </c>
      <c r="F98" s="230" t="s">
        <v>240</v>
      </c>
      <c r="G98" s="218"/>
    </row>
    <row r="99" spans="2:7">
      <c r="B99" s="229" t="s">
        <v>269</v>
      </c>
      <c r="C99" s="229" t="s">
        <v>152</v>
      </c>
      <c r="D99" s="228">
        <v>8.8593075104294687</v>
      </c>
      <c r="E99" s="228">
        <v>8.8593075104294687</v>
      </c>
      <c r="F99" s="228">
        <v>8.8593075104294687</v>
      </c>
      <c r="G99" s="218"/>
    </row>
    <row r="100" spans="2:7">
      <c r="B100" s="222" t="s">
        <v>20</v>
      </c>
      <c r="C100" s="222" t="s">
        <v>27</v>
      </c>
      <c r="D100" s="227">
        <v>655.58875577178071</v>
      </c>
      <c r="E100" s="227">
        <v>655.58875577178071</v>
      </c>
      <c r="F100" s="227">
        <v>655.58875577178071</v>
      </c>
      <c r="G100" s="218"/>
    </row>
    <row r="101" spans="2:7">
      <c r="B101" s="222" t="s">
        <v>21</v>
      </c>
      <c r="C101" s="222" t="s">
        <v>27</v>
      </c>
      <c r="D101" s="226">
        <v>5.0504008912671868E-3</v>
      </c>
      <c r="E101" s="226">
        <v>1.4440001185169191E-3</v>
      </c>
      <c r="F101" s="226">
        <v>1.4440001185169191E-3</v>
      </c>
      <c r="G101" s="218"/>
    </row>
    <row r="102" spans="2:7">
      <c r="B102" s="222" t="s">
        <v>22</v>
      </c>
      <c r="C102" s="222" t="s">
        <v>27</v>
      </c>
      <c r="D102" s="226">
        <v>0.03</v>
      </c>
      <c r="E102" s="226">
        <v>0.03</v>
      </c>
      <c r="F102" s="226">
        <v>0.03</v>
      </c>
      <c r="G102" s="218"/>
    </row>
    <row r="103" spans="2:7">
      <c r="B103" s="222" t="s">
        <v>23</v>
      </c>
      <c r="C103" s="222" t="s">
        <v>27</v>
      </c>
      <c r="D103" s="226">
        <v>4.1494700067367021E-3</v>
      </c>
      <c r="E103" s="226">
        <v>4.1494700067367021E-3</v>
      </c>
      <c r="F103" s="226">
        <v>4.1494700067367021E-3</v>
      </c>
      <c r="G103" s="218"/>
    </row>
    <row r="104" spans="2:7">
      <c r="B104" s="222" t="s">
        <v>37</v>
      </c>
      <c r="C104" s="222" t="s">
        <v>27</v>
      </c>
      <c r="D104" s="226">
        <v>3.0910056720682086</v>
      </c>
      <c r="E104" s="226">
        <v>0.32288900537483423</v>
      </c>
      <c r="F104" s="226">
        <v>0.32288900537483423</v>
      </c>
      <c r="G104" s="218"/>
    </row>
    <row r="105" spans="2:7">
      <c r="B105" s="220" t="s">
        <v>268</v>
      </c>
      <c r="C105" s="220" t="s">
        <v>27</v>
      </c>
      <c r="D105" s="225">
        <v>2.9217831256442596E-2</v>
      </c>
      <c r="E105" s="225">
        <v>3.1950590578480559E-3</v>
      </c>
      <c r="F105" s="225">
        <v>3.1950590578480559E-3</v>
      </c>
      <c r="G105" s="218"/>
    </row>
    <row r="106" spans="2:7">
      <c r="B106" s="222" t="s">
        <v>20</v>
      </c>
      <c r="C106" s="222" t="s">
        <v>173</v>
      </c>
      <c r="D106" s="224">
        <f t="shared" ref="D106:F111" si="3">1000*D100/D$99</f>
        <v>74000</v>
      </c>
      <c r="E106" s="224">
        <f t="shared" si="3"/>
        <v>74000</v>
      </c>
      <c r="F106" s="224">
        <f t="shared" si="3"/>
        <v>74000</v>
      </c>
      <c r="G106" s="218"/>
    </row>
    <row r="107" spans="2:7">
      <c r="B107" s="222" t="s">
        <v>21</v>
      </c>
      <c r="C107" s="222" t="s">
        <v>173</v>
      </c>
      <c r="D107" s="223">
        <f t="shared" si="3"/>
        <v>0.57006722989598102</v>
      </c>
      <c r="E107" s="223">
        <f t="shared" si="3"/>
        <v>0.16299243669067753</v>
      </c>
      <c r="F107" s="223">
        <f t="shared" si="3"/>
        <v>0.16299243669067753</v>
      </c>
      <c r="G107" s="218"/>
    </row>
    <row r="108" spans="2:7">
      <c r="B108" s="222" t="s">
        <v>22</v>
      </c>
      <c r="C108" s="222" t="s">
        <v>173</v>
      </c>
      <c r="D108" s="223">
        <f t="shared" si="3"/>
        <v>3.3862691824031406</v>
      </c>
      <c r="E108" s="223">
        <f t="shared" si="3"/>
        <v>3.3862691824031406</v>
      </c>
      <c r="F108" s="223">
        <f t="shared" si="3"/>
        <v>3.3862691824031406</v>
      </c>
      <c r="G108" s="218"/>
    </row>
    <row r="109" spans="2:7">
      <c r="B109" s="222" t="s">
        <v>23</v>
      </c>
      <c r="C109" s="222" t="s">
        <v>173</v>
      </c>
      <c r="D109" s="223">
        <f t="shared" si="3"/>
        <v>0.46837408023728822</v>
      </c>
      <c r="E109" s="223">
        <f t="shared" si="3"/>
        <v>0.46837408023728822</v>
      </c>
      <c r="F109" s="223">
        <f t="shared" si="3"/>
        <v>0.46837408023728822</v>
      </c>
      <c r="G109" s="218"/>
    </row>
    <row r="110" spans="2:7">
      <c r="B110" s="222" t="s">
        <v>37</v>
      </c>
      <c r="C110" s="222" t="s">
        <v>173</v>
      </c>
      <c r="D110" s="221">
        <f t="shared" si="3"/>
        <v>348.89924166526276</v>
      </c>
      <c r="E110" s="221">
        <f t="shared" si="3"/>
        <v>36.446302941253435</v>
      </c>
      <c r="F110" s="221">
        <f t="shared" si="3"/>
        <v>36.446302941253435</v>
      </c>
      <c r="G110" s="218"/>
    </row>
    <row r="111" spans="2:7">
      <c r="B111" s="220" t="s">
        <v>268</v>
      </c>
      <c r="C111" s="220" t="s">
        <v>173</v>
      </c>
      <c r="D111" s="219">
        <f t="shared" si="3"/>
        <v>3.2979813853448934</v>
      </c>
      <c r="E111" s="219">
        <f t="shared" si="3"/>
        <v>0.36064433411829616</v>
      </c>
      <c r="F111" s="219">
        <f t="shared" si="3"/>
        <v>0.36064433411829616</v>
      </c>
      <c r="G111" s="218"/>
    </row>
    <row r="112" spans="2:7">
      <c r="B112" s="218" t="s">
        <v>267</v>
      </c>
      <c r="C112" s="218"/>
      <c r="D112" s="218"/>
      <c r="E112" s="218"/>
      <c r="F112" s="218"/>
      <c r="G112" s="218"/>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C00-000000000000}">
          <x14:formula1>
            <xm:f>'C:\Users\B003920\Desktop\[Kopi af alternativ_drivmiddelmodel_3.0_2.xlsm]Sheet1'!#REF!</xm:f>
          </x14:formula1>
          <xm:sqref>C9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B1:S130"/>
  <sheetViews>
    <sheetView topLeftCell="A7" zoomScale="80" zoomScaleNormal="80" workbookViewId="0">
      <selection activeCell="G33" sqref="G33"/>
    </sheetView>
  </sheetViews>
  <sheetFormatPr defaultColWidth="8.88671875" defaultRowHeight="13.8"/>
  <cols>
    <col min="1" max="1" width="2.88671875" style="1023" customWidth="1"/>
    <col min="2" max="2" width="35" style="1023" customWidth="1"/>
    <col min="3" max="3" width="18" style="1023" customWidth="1"/>
    <col min="4" max="8" width="15.88671875" style="1023" customWidth="1"/>
    <col min="9" max="9" width="7.109375" style="1023" customWidth="1"/>
    <col min="10" max="10" width="37.44140625" style="1023" customWidth="1"/>
    <col min="11" max="11" width="9" style="1023" customWidth="1"/>
    <col min="12" max="12" width="10.88671875" style="1023" customWidth="1"/>
    <col min="13" max="13" width="9.109375" style="1023" customWidth="1"/>
    <col min="14" max="14" width="9" style="1023" customWidth="1"/>
    <col min="15" max="15" width="8.88671875" style="1023"/>
    <col min="16" max="16" width="37.88671875" style="1023" customWidth="1"/>
    <col min="17" max="18" width="8.88671875" style="1023"/>
    <col min="19" max="19" width="9.109375" style="1023" customWidth="1"/>
    <col min="20" max="16384" width="8.88671875" style="1023"/>
  </cols>
  <sheetData>
    <row r="1" spans="2:19" s="1024" customFormat="1" ht="21">
      <c r="B1" s="1024" t="s">
        <v>33</v>
      </c>
      <c r="Q1" s="1024">
        <v>0</v>
      </c>
      <c r="R1" s="1025">
        <v>0</v>
      </c>
      <c r="S1" s="1026"/>
    </row>
    <row r="2" spans="2:19">
      <c r="R2" s="1027"/>
      <c r="S2" s="1027"/>
    </row>
    <row r="4" spans="2:19" ht="14.4" thickBot="1">
      <c r="B4" s="1028" t="s">
        <v>92</v>
      </c>
    </row>
    <row r="5" spans="2:19">
      <c r="B5" s="1029" t="s">
        <v>93</v>
      </c>
      <c r="C5" s="1030"/>
      <c r="D5" s="1030"/>
      <c r="E5" s="1030"/>
      <c r="F5" s="1030"/>
      <c r="G5" s="1030"/>
      <c r="H5" s="1030"/>
      <c r="I5" s="1030"/>
      <c r="J5" s="1030"/>
      <c r="K5" s="1030"/>
      <c r="L5" s="1030"/>
      <c r="M5" s="1030"/>
      <c r="N5" s="1030"/>
      <c r="O5" s="1031"/>
    </row>
    <row r="6" spans="2:19">
      <c r="B6" s="1032" t="s">
        <v>182</v>
      </c>
      <c r="C6" s="1033"/>
      <c r="D6" s="1033"/>
      <c r="E6" s="1033"/>
      <c r="F6" s="1033"/>
      <c r="G6" s="1033"/>
      <c r="H6" s="1033"/>
      <c r="I6" s="1033"/>
      <c r="J6" s="1033"/>
      <c r="K6" s="1033"/>
      <c r="L6" s="1033"/>
      <c r="M6" s="1033"/>
      <c r="N6" s="1033"/>
      <c r="O6" s="1034"/>
    </row>
    <row r="7" spans="2:19">
      <c r="B7" s="1032"/>
      <c r="C7" s="1033"/>
      <c r="D7" s="1033"/>
      <c r="E7" s="1033"/>
      <c r="F7" s="1033"/>
      <c r="G7" s="1033"/>
      <c r="H7" s="1033"/>
      <c r="I7" s="1033"/>
      <c r="J7" s="1033"/>
      <c r="K7" s="1033"/>
      <c r="L7" s="1033"/>
      <c r="M7" s="1033"/>
      <c r="N7" s="1033"/>
      <c r="O7" s="1034"/>
    </row>
    <row r="8" spans="2:19">
      <c r="B8" s="1032"/>
      <c r="C8" s="1033"/>
      <c r="D8" s="1033"/>
      <c r="E8" s="1033"/>
      <c r="F8" s="1033"/>
      <c r="G8" s="1033"/>
      <c r="H8" s="1033"/>
      <c r="I8" s="1033"/>
      <c r="J8" s="1033"/>
      <c r="K8" s="1033"/>
      <c r="L8" s="1033"/>
      <c r="M8" s="1033"/>
      <c r="N8" s="1033"/>
      <c r="O8" s="1034"/>
    </row>
    <row r="9" spans="2:19">
      <c r="B9" s="1035" t="s">
        <v>233</v>
      </c>
      <c r="C9" s="1036" t="s">
        <v>232</v>
      </c>
      <c r="D9" s="1033"/>
      <c r="E9" s="1033"/>
      <c r="F9" s="1033"/>
      <c r="G9" s="1033"/>
      <c r="H9" s="1033"/>
      <c r="I9" s="1033"/>
      <c r="J9" s="1033"/>
      <c r="K9" s="1033"/>
      <c r="L9" s="1033"/>
      <c r="M9" s="1033"/>
      <c r="N9" s="1033"/>
      <c r="O9" s="1034"/>
    </row>
    <row r="10" spans="2:19">
      <c r="B10" s="1032"/>
      <c r="C10" s="1033"/>
      <c r="D10" s="1033"/>
      <c r="E10" s="1033"/>
      <c r="F10" s="1033"/>
      <c r="G10" s="1033"/>
      <c r="H10" s="1033"/>
      <c r="I10" s="1033"/>
      <c r="J10" s="1033"/>
      <c r="K10" s="1033"/>
      <c r="L10" s="1033"/>
      <c r="M10" s="1033"/>
      <c r="N10" s="1033"/>
      <c r="O10" s="1034"/>
    </row>
    <row r="11" spans="2:19">
      <c r="B11" s="1037" t="s">
        <v>94</v>
      </c>
      <c r="C11" s="1033"/>
      <c r="D11" s="1033"/>
      <c r="E11" s="1033"/>
      <c r="F11" s="1033"/>
      <c r="G11" s="1033"/>
      <c r="H11" s="1033"/>
      <c r="I11" s="1033"/>
      <c r="J11" s="1033"/>
      <c r="K11" s="1033"/>
      <c r="L11" s="1033"/>
      <c r="M11" s="1033"/>
      <c r="N11" s="1033"/>
      <c r="O11" s="1034"/>
    </row>
    <row r="12" spans="2:19">
      <c r="B12" s="1032"/>
      <c r="C12" s="1033"/>
      <c r="D12" s="1033"/>
      <c r="E12" s="1033"/>
      <c r="F12" s="1033"/>
      <c r="G12" s="1033"/>
      <c r="H12" s="1033"/>
      <c r="I12" s="1033"/>
      <c r="J12" s="1033"/>
      <c r="K12" s="1033"/>
      <c r="L12" s="1033"/>
      <c r="M12" s="1033"/>
      <c r="N12" s="1033"/>
      <c r="O12" s="1034"/>
    </row>
    <row r="13" spans="2:19">
      <c r="B13" s="1032"/>
      <c r="C13" s="1033"/>
      <c r="D13" s="1033"/>
      <c r="E13" s="1033"/>
      <c r="F13" s="1033"/>
      <c r="G13" s="1033"/>
      <c r="H13" s="1033"/>
      <c r="I13" s="1033"/>
      <c r="J13" s="1033"/>
      <c r="K13" s="1033"/>
      <c r="L13" s="1033"/>
      <c r="M13" s="1033"/>
      <c r="N13" s="1033"/>
      <c r="O13" s="1034"/>
    </row>
    <row r="14" spans="2:19">
      <c r="B14" s="1037" t="s">
        <v>95</v>
      </c>
      <c r="C14" s="1033"/>
      <c r="D14" s="1033"/>
      <c r="E14" s="1033"/>
      <c r="F14" s="1033"/>
      <c r="G14" s="1033"/>
      <c r="H14" s="1033"/>
      <c r="I14" s="1033"/>
      <c r="J14" s="1033"/>
      <c r="K14" s="1033"/>
      <c r="L14" s="1033"/>
      <c r="M14" s="1033"/>
      <c r="N14" s="1033"/>
      <c r="O14" s="1034"/>
    </row>
    <row r="15" spans="2:19">
      <c r="B15" s="1032"/>
      <c r="C15" s="1033"/>
      <c r="D15" s="1033"/>
      <c r="E15" s="1033"/>
      <c r="F15" s="1033"/>
      <c r="G15" s="1033"/>
      <c r="H15" s="1033"/>
      <c r="I15" s="1033"/>
      <c r="J15" s="1033"/>
      <c r="K15" s="1033"/>
      <c r="L15" s="1033"/>
      <c r="M15" s="1033"/>
      <c r="N15" s="1033"/>
      <c r="O15" s="1034"/>
    </row>
    <row r="16" spans="2:19">
      <c r="B16" s="1038"/>
      <c r="C16" s="1033"/>
      <c r="D16" s="1033"/>
      <c r="E16" s="1033"/>
      <c r="F16" s="1033"/>
      <c r="G16" s="1033"/>
      <c r="H16" s="1033"/>
      <c r="I16" s="1033"/>
      <c r="J16" s="1033"/>
      <c r="K16" s="1033"/>
      <c r="L16" s="1033"/>
      <c r="M16" s="1033"/>
      <c r="N16" s="1033"/>
      <c r="O16" s="1034"/>
    </row>
    <row r="17" spans="2:15" ht="14.4" thickBot="1">
      <c r="B17" s="1039"/>
      <c r="C17" s="1040"/>
      <c r="D17" s="1040"/>
      <c r="E17" s="1040"/>
      <c r="F17" s="1040"/>
      <c r="G17" s="1040"/>
      <c r="H17" s="1040"/>
      <c r="I17" s="1040"/>
      <c r="J17" s="1040"/>
      <c r="K17" s="1040"/>
      <c r="L17" s="1040"/>
      <c r="M17" s="1040"/>
      <c r="N17" s="1040"/>
      <c r="O17" s="1041"/>
    </row>
    <row r="19" spans="2:15" ht="14.4" thickBot="1">
      <c r="B19" s="1028" t="s">
        <v>96</v>
      </c>
      <c r="E19" s="1042"/>
      <c r="F19" s="1042"/>
      <c r="G19" s="1042"/>
    </row>
    <row r="20" spans="2:15">
      <c r="B20" s="1043"/>
      <c r="C20" s="1044"/>
      <c r="D20" s="1045"/>
      <c r="E20" s="1030"/>
      <c r="F20" s="1030"/>
      <c r="G20" s="1030"/>
      <c r="H20" s="1030"/>
      <c r="I20" s="1030" t="s">
        <v>97</v>
      </c>
      <c r="J20" s="1031" t="s">
        <v>98</v>
      </c>
    </row>
    <row r="21" spans="2:15">
      <c r="B21" s="1046"/>
      <c r="C21" s="1047" t="s">
        <v>99</v>
      </c>
      <c r="D21" s="1048">
        <v>2015</v>
      </c>
      <c r="E21" s="1049">
        <v>2020</v>
      </c>
      <c r="F21" s="1049">
        <v>2035</v>
      </c>
      <c r="G21" s="1049">
        <v>2050</v>
      </c>
      <c r="H21" s="1049" t="s">
        <v>100</v>
      </c>
      <c r="I21" s="1050"/>
      <c r="J21" s="1051"/>
    </row>
    <row r="22" spans="2:15">
      <c r="B22" s="1038" t="s">
        <v>101</v>
      </c>
      <c r="C22" s="1052"/>
      <c r="D22" s="1053"/>
      <c r="E22" s="1054"/>
      <c r="F22" s="1054"/>
      <c r="G22" s="1054"/>
      <c r="H22" s="1054"/>
      <c r="I22" s="1033"/>
      <c r="J22" s="1034"/>
    </row>
    <row r="23" spans="2:15">
      <c r="B23" s="1055" t="s">
        <v>102</v>
      </c>
      <c r="C23" s="1052" t="s">
        <v>133</v>
      </c>
      <c r="D23" s="1056">
        <f>D79</f>
        <v>0.19</v>
      </c>
      <c r="E23" s="1057">
        <f>E79</f>
        <v>0.2</v>
      </c>
      <c r="F23" s="1057">
        <f>F79</f>
        <v>0.22</v>
      </c>
      <c r="G23" s="1057">
        <f>G79</f>
        <v>0.24</v>
      </c>
      <c r="H23" s="1058"/>
      <c r="I23" s="1059"/>
      <c r="J23" s="1034"/>
      <c r="K23" s="1060"/>
    </row>
    <row r="24" spans="2:15">
      <c r="B24" s="1055" t="s">
        <v>103</v>
      </c>
      <c r="C24" s="1052" t="s">
        <v>133</v>
      </c>
      <c r="D24" s="1061">
        <f>D23</f>
        <v>0.19</v>
      </c>
      <c r="E24" s="1062">
        <f>E23</f>
        <v>0.2</v>
      </c>
      <c r="F24" s="1062">
        <f>F23</f>
        <v>0.22</v>
      </c>
      <c r="G24" s="1062">
        <f>G23</f>
        <v>0.24</v>
      </c>
      <c r="H24" s="1058"/>
      <c r="I24" s="1059"/>
      <c r="J24" s="1034"/>
      <c r="K24" s="1060"/>
    </row>
    <row r="25" spans="2:15">
      <c r="B25" s="1055" t="s">
        <v>104</v>
      </c>
      <c r="C25" s="1052" t="s">
        <v>105</v>
      </c>
      <c r="D25" s="1163">
        <f>E25</f>
        <v>6.4285714285714288</v>
      </c>
      <c r="E25" s="1063">
        <f>2*3.6/1.6/0.7</f>
        <v>6.4285714285714288</v>
      </c>
      <c r="F25" s="1063">
        <f>E25*'EU varebil el'!F25/'EU varebil el'!E25</f>
        <v>5.8974321626564397</v>
      </c>
      <c r="G25" s="1063">
        <f>E25*'EU varebil el'!G25/'EU varebil el'!E25</f>
        <v>5.4083283087707121</v>
      </c>
      <c r="H25" s="1064"/>
      <c r="I25" s="1065" t="s">
        <v>920</v>
      </c>
      <c r="J25" s="1034"/>
      <c r="K25" s="1060"/>
    </row>
    <row r="26" spans="2:15">
      <c r="B26" s="1055" t="s">
        <v>106</v>
      </c>
      <c r="C26" s="1052" t="s">
        <v>105</v>
      </c>
      <c r="D26" s="1061"/>
      <c r="E26" s="1062"/>
      <c r="F26" s="1062"/>
      <c r="G26" s="1062"/>
      <c r="H26" s="1064"/>
      <c r="I26" s="1065"/>
      <c r="J26" s="1034"/>
      <c r="K26" s="1060"/>
    </row>
    <row r="27" spans="2:15">
      <c r="B27" s="1032" t="s">
        <v>107</v>
      </c>
      <c r="C27" s="1052" t="s">
        <v>108</v>
      </c>
      <c r="D27" s="1066">
        <f>D87</f>
        <v>3.9749999999999996</v>
      </c>
      <c r="E27" s="1066">
        <f>E87</f>
        <v>6</v>
      </c>
      <c r="F27" s="1066">
        <f>F87</f>
        <v>6</v>
      </c>
      <c r="G27" s="1066">
        <f>G87</f>
        <v>6</v>
      </c>
      <c r="H27" s="1067"/>
      <c r="I27" s="1065" t="s">
        <v>605</v>
      </c>
      <c r="J27" s="1034"/>
      <c r="K27" s="1060"/>
    </row>
    <row r="28" spans="2:15">
      <c r="B28" s="1032" t="s">
        <v>109</v>
      </c>
      <c r="C28" s="1052" t="s">
        <v>110</v>
      </c>
      <c r="D28" s="1068">
        <f>+D75*D76/1000</f>
        <v>126.63500000000002</v>
      </c>
      <c r="E28" s="1069">
        <f>+E75*E76/1000</f>
        <v>120.90000000000002</v>
      </c>
      <c r="F28" s="1069">
        <f>+F75*F76/1000</f>
        <v>115.17000000000002</v>
      </c>
      <c r="G28" s="1069">
        <f>+G75*G76/1000</f>
        <v>113.03999999999999</v>
      </c>
      <c r="H28" s="1069"/>
      <c r="I28" s="1065"/>
      <c r="J28" s="1034"/>
      <c r="K28" s="1060"/>
    </row>
    <row r="29" spans="2:15">
      <c r="B29" s="1035"/>
      <c r="C29" s="1070"/>
      <c r="D29" s="1071"/>
      <c r="E29" s="1072"/>
      <c r="F29" s="1072"/>
      <c r="G29" s="1072"/>
      <c r="H29" s="1072"/>
      <c r="I29" s="1033"/>
      <c r="J29" s="1034"/>
      <c r="K29" s="1060"/>
    </row>
    <row r="30" spans="2:15">
      <c r="B30" s="1038" t="s">
        <v>111</v>
      </c>
      <c r="C30" s="1052"/>
      <c r="D30" s="1071"/>
      <c r="E30" s="1072"/>
      <c r="F30" s="1072"/>
      <c r="G30" s="1072"/>
      <c r="H30" s="1072"/>
      <c r="I30" s="1033"/>
      <c r="J30" s="1034"/>
      <c r="K30" s="1060"/>
    </row>
    <row r="31" spans="2:15">
      <c r="B31" s="1032" t="s">
        <v>112</v>
      </c>
      <c r="C31" s="1052" t="s">
        <v>15</v>
      </c>
      <c r="D31" s="1073">
        <f>D39+D84</f>
        <v>2248197.4741447135</v>
      </c>
      <c r="E31" s="1074">
        <f>180*6.5*1000</f>
        <v>1170000</v>
      </c>
      <c r="F31" s="1074">
        <f>E31-E84+F84</f>
        <v>867552.6605488935</v>
      </c>
      <c r="G31" s="1074">
        <f>F31-F84+G84</f>
        <v>834877.80586569419</v>
      </c>
      <c r="H31" s="1065">
        <v>2015</v>
      </c>
      <c r="I31" s="1033"/>
      <c r="J31" s="1034" t="s">
        <v>911</v>
      </c>
    </row>
    <row r="32" spans="2:15">
      <c r="B32" s="1035" t="s">
        <v>16</v>
      </c>
      <c r="C32" s="1052" t="s">
        <v>17</v>
      </c>
      <c r="D32" s="1073">
        <v>2492.6013469287059</v>
      </c>
      <c r="E32" s="1074">
        <v>2610.8401287701954</v>
      </c>
      <c r="F32" s="1074">
        <v>2740.736055989551</v>
      </c>
      <c r="G32" s="1074">
        <v>2792.3794370870196</v>
      </c>
      <c r="H32" s="1065">
        <v>2015</v>
      </c>
      <c r="I32" s="1033"/>
      <c r="J32" s="1034"/>
    </row>
    <row r="33" spans="2:11">
      <c r="B33" s="1075" t="s">
        <v>18</v>
      </c>
      <c r="C33" s="1052" t="s">
        <v>17</v>
      </c>
      <c r="D33" s="1073">
        <v>1213.3511438994574</v>
      </c>
      <c r="E33" s="1074">
        <v>1270.9075443152008</v>
      </c>
      <c r="F33" s="1074">
        <v>1334.1384223991297</v>
      </c>
      <c r="G33" s="1074">
        <v>1359.2774425664172</v>
      </c>
      <c r="H33" s="1065">
        <v>2015</v>
      </c>
      <c r="I33" s="1033"/>
      <c r="J33" s="1034"/>
    </row>
    <row r="34" spans="2:11">
      <c r="B34" s="1075" t="s">
        <v>19</v>
      </c>
      <c r="C34" s="1052" t="s">
        <v>17</v>
      </c>
      <c r="D34" s="1073">
        <v>1279.2502030292483</v>
      </c>
      <c r="E34" s="1074">
        <v>1339.9325844549946</v>
      </c>
      <c r="F34" s="1074">
        <v>1406.5976335904218</v>
      </c>
      <c r="G34" s="1074">
        <v>1433.1019945206024</v>
      </c>
      <c r="H34" s="1065">
        <v>2015</v>
      </c>
      <c r="I34" s="1033"/>
      <c r="J34" s="1034"/>
    </row>
    <row r="35" spans="2:11">
      <c r="B35" s="1075"/>
      <c r="C35" s="1052"/>
      <c r="D35" s="1074"/>
      <c r="E35" s="1074"/>
      <c r="F35" s="1074"/>
      <c r="G35" s="1074"/>
      <c r="H35" s="1065"/>
      <c r="I35" s="1033"/>
      <c r="J35" s="1034"/>
    </row>
    <row r="36" spans="2:11">
      <c r="B36" s="1075" t="s">
        <v>113</v>
      </c>
      <c r="C36" s="1052" t="s">
        <v>17</v>
      </c>
      <c r="D36" s="1074">
        <v>0</v>
      </c>
      <c r="E36" s="1074">
        <v>0</v>
      </c>
      <c r="F36" s="1074">
        <v>0</v>
      </c>
      <c r="G36" s="1074">
        <v>0</v>
      </c>
      <c r="H36" s="1065">
        <v>2015</v>
      </c>
      <c r="I36" s="1033"/>
      <c r="J36" s="1034"/>
    </row>
    <row r="37" spans="2:11">
      <c r="B37" s="1075"/>
      <c r="C37" s="1052"/>
      <c r="D37" s="1074"/>
      <c r="E37" s="1074"/>
      <c r="F37" s="1074"/>
      <c r="G37" s="1074"/>
      <c r="H37" s="1065"/>
      <c r="I37" s="1033"/>
      <c r="J37" s="1034"/>
    </row>
    <row r="38" spans="2:11">
      <c r="B38" s="1038" t="s">
        <v>111</v>
      </c>
      <c r="C38" s="1052"/>
      <c r="D38" s="1071"/>
      <c r="E38" s="1072"/>
      <c r="F38" s="1072"/>
      <c r="G38" s="1072"/>
      <c r="H38" s="1072"/>
      <c r="I38" s="1033"/>
      <c r="J38" s="1034"/>
      <c r="K38" s="1060"/>
    </row>
    <row r="39" spans="2:11">
      <c r="B39" s="1032" t="s">
        <v>112</v>
      </c>
      <c r="C39" s="1052" t="s">
        <v>15</v>
      </c>
      <c r="D39" s="1074">
        <v>779893.90271614201</v>
      </c>
      <c r="E39" s="1074">
        <v>779893.90271614201</v>
      </c>
      <c r="F39" s="1074">
        <v>779893.90271614201</v>
      </c>
      <c r="G39" s="1074">
        <v>779893.90271614201</v>
      </c>
      <c r="H39" s="1065">
        <v>2015</v>
      </c>
      <c r="I39" s="1033"/>
      <c r="J39" s="1034"/>
    </row>
    <row r="40" spans="2:11">
      <c r="B40" s="1035" t="s">
        <v>16</v>
      </c>
      <c r="C40" s="1052" t="s">
        <v>17</v>
      </c>
      <c r="D40" s="1074">
        <v>2492.6013469287059</v>
      </c>
      <c r="E40" s="1074">
        <v>2610.8401287701954</v>
      </c>
      <c r="F40" s="1074">
        <v>2740.736055989551</v>
      </c>
      <c r="G40" s="1074">
        <v>2792.3794370870196</v>
      </c>
      <c r="H40" s="1065">
        <v>2015</v>
      </c>
      <c r="I40" s="1033"/>
      <c r="J40" s="1034"/>
    </row>
    <row r="41" spans="2:11">
      <c r="B41" s="1075" t="s">
        <v>18</v>
      </c>
      <c r="C41" s="1052" t="s">
        <v>17</v>
      </c>
      <c r="D41" s="1074">
        <v>1213.3511438994574</v>
      </c>
      <c r="E41" s="1074">
        <v>1270.9075443152008</v>
      </c>
      <c r="F41" s="1074">
        <v>1334.1384223991297</v>
      </c>
      <c r="G41" s="1074">
        <v>1359.2774425664172</v>
      </c>
      <c r="H41" s="1065">
        <v>2015</v>
      </c>
      <c r="I41" s="1033"/>
      <c r="J41" s="1034"/>
    </row>
    <row r="42" spans="2:11">
      <c r="B42" s="1075" t="s">
        <v>19</v>
      </c>
      <c r="C42" s="1052" t="s">
        <v>17</v>
      </c>
      <c r="D42" s="1074">
        <v>1279.2502030292483</v>
      </c>
      <c r="E42" s="1074">
        <v>1339.9325844549946</v>
      </c>
      <c r="F42" s="1074">
        <v>1406.5976335904218</v>
      </c>
      <c r="G42" s="1074">
        <v>1433.1019945206024</v>
      </c>
      <c r="H42" s="1065">
        <v>2015</v>
      </c>
      <c r="I42" s="1033"/>
      <c r="J42" s="1034"/>
    </row>
    <row r="43" spans="2:11">
      <c r="B43" s="1075"/>
      <c r="C43" s="1052"/>
      <c r="D43" s="1074"/>
      <c r="E43" s="1074"/>
      <c r="F43" s="1074"/>
      <c r="G43" s="1074"/>
      <c r="H43" s="1065"/>
      <c r="I43" s="1033"/>
      <c r="J43" s="1034"/>
    </row>
    <row r="44" spans="2:11">
      <c r="B44" s="1075" t="s">
        <v>113</v>
      </c>
      <c r="C44" s="1052" t="s">
        <v>17</v>
      </c>
      <c r="D44" s="1074">
        <v>0</v>
      </c>
      <c r="E44" s="1074">
        <v>0</v>
      </c>
      <c r="F44" s="1074">
        <v>0</v>
      </c>
      <c r="G44" s="1074">
        <v>0</v>
      </c>
      <c r="H44" s="1065">
        <v>2015</v>
      </c>
      <c r="I44" s="1033"/>
      <c r="J44" s="1034"/>
    </row>
    <row r="45" spans="2:11">
      <c r="B45" s="1038"/>
      <c r="C45" s="1052"/>
      <c r="D45" s="1071"/>
      <c r="E45" s="1072"/>
      <c r="F45" s="1072"/>
      <c r="G45" s="1072"/>
      <c r="H45" s="1072"/>
      <c r="I45" s="1033"/>
      <c r="J45" s="1034"/>
    </row>
    <row r="46" spans="2:11">
      <c r="B46" s="1032" t="s">
        <v>112</v>
      </c>
      <c r="C46" s="1052" t="s">
        <v>15</v>
      </c>
      <c r="D46" s="1076">
        <v>751018.91308317415</v>
      </c>
      <c r="E46" s="1076">
        <v>751018.91308317415</v>
      </c>
      <c r="F46" s="1076">
        <v>751018.91308317415</v>
      </c>
      <c r="G46" s="1076">
        <v>751018.91308317415</v>
      </c>
      <c r="H46" s="1077">
        <v>2013</v>
      </c>
      <c r="I46" s="1065" t="s">
        <v>614</v>
      </c>
      <c r="J46" s="1034"/>
      <c r="K46" s="1060"/>
    </row>
    <row r="47" spans="2:11">
      <c r="B47" s="1035" t="s">
        <v>16</v>
      </c>
      <c r="C47" s="1052" t="s">
        <v>17</v>
      </c>
      <c r="D47" s="1078">
        <f>+SUM(D48:D51)</f>
        <v>2400.3146425436294</v>
      </c>
      <c r="E47" s="1079">
        <f>+SUM(E48:E51)</f>
        <v>2514.1757217412114</v>
      </c>
      <c r="F47" s="1079">
        <f>+SUM(F48:F51)</f>
        <v>2639.2623492099719</v>
      </c>
      <c r="G47" s="1079">
        <f>+SUM(G48:G51)</f>
        <v>2688.9936726690776</v>
      </c>
      <c r="H47" s="1077">
        <v>2013</v>
      </c>
      <c r="I47" s="1065"/>
      <c r="J47" s="1034"/>
      <c r="K47" s="1060"/>
    </row>
    <row r="48" spans="2:11">
      <c r="B48" s="1075" t="s">
        <v>18</v>
      </c>
      <c r="C48" s="1052" t="s">
        <v>17</v>
      </c>
      <c r="D48" s="1078">
        <v>1168.4277234454339</v>
      </c>
      <c r="E48" s="1079">
        <v>1223.8531410960506</v>
      </c>
      <c r="F48" s="1079">
        <v>1284.742943114635</v>
      </c>
      <c r="G48" s="1079">
        <v>1308.9512098240671</v>
      </c>
      <c r="H48" s="1077">
        <v>2013</v>
      </c>
      <c r="I48" s="1065"/>
      <c r="J48" s="1034"/>
      <c r="K48" s="1060"/>
    </row>
    <row r="49" spans="2:11">
      <c r="B49" s="1075" t="s">
        <v>19</v>
      </c>
      <c r="C49" s="1052" t="s">
        <v>17</v>
      </c>
      <c r="D49" s="1078">
        <f>(D76*D77)/D28</f>
        <v>1231.8869190981954</v>
      </c>
      <c r="E49" s="1079">
        <f>(E76*E77)/E28</f>
        <v>1290.322580645161</v>
      </c>
      <c r="F49" s="1079">
        <f>(F76*F77)/F28</f>
        <v>1354.5194060953372</v>
      </c>
      <c r="G49" s="1079">
        <f>(G76*G77)/G28</f>
        <v>1380.0424628450107</v>
      </c>
      <c r="H49" s="1077">
        <v>2013</v>
      </c>
      <c r="I49" s="1065"/>
      <c r="J49" s="1080" t="s">
        <v>156</v>
      </c>
      <c r="K49" s="1060"/>
    </row>
    <row r="50" spans="2:11">
      <c r="B50" s="1075"/>
      <c r="C50" s="1052"/>
      <c r="D50" s="1071"/>
      <c r="E50" s="1072"/>
      <c r="F50" s="1072"/>
      <c r="G50" s="1072"/>
      <c r="H50" s="1077"/>
      <c r="I50" s="1065"/>
      <c r="J50" s="1034"/>
      <c r="K50" s="1060"/>
    </row>
    <row r="51" spans="2:11">
      <c r="B51" s="1075" t="s">
        <v>113</v>
      </c>
      <c r="C51" s="1052" t="s">
        <v>17</v>
      </c>
      <c r="D51" s="1078">
        <v>0</v>
      </c>
      <c r="E51" s="1081">
        <v>0</v>
      </c>
      <c r="F51" s="1081">
        <v>0</v>
      </c>
      <c r="G51" s="1081">
        <v>0</v>
      </c>
      <c r="H51" s="1077">
        <v>2013</v>
      </c>
      <c r="I51" s="1065"/>
      <c r="J51" s="1080"/>
      <c r="K51" s="1060"/>
    </row>
    <row r="52" spans="2:11">
      <c r="B52" s="1075"/>
      <c r="C52" s="1052"/>
      <c r="D52" s="1071"/>
      <c r="E52" s="1072"/>
      <c r="F52" s="1072"/>
      <c r="G52" s="1072"/>
      <c r="H52" s="1072"/>
      <c r="I52" s="1065"/>
      <c r="J52" s="1034"/>
      <c r="K52" s="1060"/>
    </row>
    <row r="53" spans="2:11">
      <c r="B53" s="1038" t="s">
        <v>114</v>
      </c>
      <c r="C53" s="1052"/>
      <c r="D53" s="1071"/>
      <c r="E53" s="1072"/>
      <c r="F53" s="1072"/>
      <c r="G53" s="1072"/>
      <c r="H53" s="1082"/>
      <c r="I53" s="1065"/>
      <c r="J53" s="1034"/>
      <c r="K53" s="1060"/>
    </row>
    <row r="54" spans="2:11">
      <c r="B54" s="1083" t="s">
        <v>30</v>
      </c>
      <c r="C54" s="1052"/>
      <c r="D54" s="1071"/>
      <c r="E54" s="1072"/>
      <c r="F54" s="1072"/>
      <c r="G54" s="1072"/>
      <c r="H54" s="1084"/>
      <c r="I54" s="1065"/>
      <c r="J54" s="1034"/>
      <c r="K54" s="1060"/>
    </row>
    <row r="55" spans="2:11">
      <c r="B55" s="1035" t="s">
        <v>20</v>
      </c>
      <c r="C55" s="1052" t="s">
        <v>134</v>
      </c>
      <c r="D55" s="1085"/>
      <c r="E55" s="1086"/>
      <c r="F55" s="1086"/>
      <c r="G55" s="1086"/>
      <c r="H55" s="1084"/>
      <c r="I55" s="1065"/>
      <c r="J55" s="1080" t="s">
        <v>115</v>
      </c>
      <c r="K55" s="1060"/>
    </row>
    <row r="56" spans="2:11">
      <c r="B56" s="1035" t="s">
        <v>21</v>
      </c>
      <c r="C56" s="1052" t="s">
        <v>134</v>
      </c>
      <c r="D56" s="1087">
        <f t="shared" ref="D56:G60" si="0">D96/D$93</f>
        <v>5.70067229895981E-4</v>
      </c>
      <c r="E56" s="1087">
        <f t="shared" si="0"/>
        <v>1.6299243669067753E-4</v>
      </c>
      <c r="F56" s="1087">
        <f t="shared" si="0"/>
        <v>1.6299243669067753E-4</v>
      </c>
      <c r="G56" s="1087">
        <f t="shared" si="0"/>
        <v>1.6299243669067753E-4</v>
      </c>
      <c r="H56" s="1088"/>
      <c r="I56" s="1065"/>
      <c r="J56" s="1034"/>
      <c r="K56" s="1060"/>
    </row>
    <row r="57" spans="2:11">
      <c r="B57" s="1035" t="s">
        <v>22</v>
      </c>
      <c r="C57" s="1052" t="s">
        <v>134</v>
      </c>
      <c r="D57" s="1087">
        <f t="shared" si="0"/>
        <v>3.3862691824031407E-3</v>
      </c>
      <c r="E57" s="1087">
        <f t="shared" si="0"/>
        <v>3.3862691824031407E-3</v>
      </c>
      <c r="F57" s="1087">
        <f t="shared" si="0"/>
        <v>3.3862691824031407E-3</v>
      </c>
      <c r="G57" s="1087">
        <f t="shared" si="0"/>
        <v>3.3862691824031407E-3</v>
      </c>
      <c r="H57" s="1072"/>
      <c r="I57" s="1065"/>
      <c r="J57" s="1034"/>
      <c r="K57" s="1060"/>
    </row>
    <row r="58" spans="2:11">
      <c r="B58" s="1035" t="s">
        <v>23</v>
      </c>
      <c r="C58" s="1052" t="s">
        <v>134</v>
      </c>
      <c r="D58" s="1087">
        <f t="shared" si="0"/>
        <v>4.6837408023728819E-4</v>
      </c>
      <c r="E58" s="1087">
        <f t="shared" si="0"/>
        <v>4.6837408023728814E-4</v>
      </c>
      <c r="F58" s="1087">
        <f t="shared" si="0"/>
        <v>4.6837408023728825E-4</v>
      </c>
      <c r="G58" s="1087">
        <f t="shared" si="0"/>
        <v>4.6837408023728819E-4</v>
      </c>
      <c r="H58" s="1067"/>
      <c r="I58" s="1065"/>
      <c r="J58" s="1034"/>
      <c r="K58" s="1060"/>
    </row>
    <row r="59" spans="2:11">
      <c r="B59" s="1035" t="s">
        <v>116</v>
      </c>
      <c r="C59" s="1052" t="s">
        <v>134</v>
      </c>
      <c r="D59" s="1087">
        <f t="shared" si="0"/>
        <v>0.3488992416652627</v>
      </c>
      <c r="E59" s="1087">
        <f t="shared" si="0"/>
        <v>3.6446302941253436E-2</v>
      </c>
      <c r="F59" s="1087">
        <f t="shared" si="0"/>
        <v>3.6446302941253436E-2</v>
      </c>
      <c r="G59" s="1087">
        <f t="shared" si="0"/>
        <v>3.6446302941253436E-2</v>
      </c>
      <c r="H59" s="1072"/>
      <c r="I59" s="1065"/>
      <c r="J59" s="1034"/>
      <c r="K59" s="1060"/>
    </row>
    <row r="60" spans="2:11">
      <c r="B60" s="1035" t="s">
        <v>24</v>
      </c>
      <c r="C60" s="1052" t="s">
        <v>134</v>
      </c>
      <c r="D60" s="1087">
        <f t="shared" si="0"/>
        <v>3.2979813853448933E-3</v>
      </c>
      <c r="E60" s="1087">
        <f t="shared" si="0"/>
        <v>3.6064433411829615E-4</v>
      </c>
      <c r="F60" s="1087">
        <f t="shared" si="0"/>
        <v>3.6064433411829615E-4</v>
      </c>
      <c r="G60" s="1087">
        <f t="shared" si="0"/>
        <v>3.6064433411829615E-4</v>
      </c>
      <c r="H60" s="1072"/>
      <c r="I60" s="1065"/>
      <c r="J60" s="1034"/>
      <c r="K60" s="1060"/>
    </row>
    <row r="61" spans="2:11">
      <c r="B61" s="1035"/>
      <c r="C61" s="1052"/>
      <c r="D61" s="1089"/>
      <c r="E61" s="1033"/>
      <c r="F61" s="1033"/>
      <c r="G61" s="1033"/>
      <c r="H61" s="1072"/>
      <c r="I61" s="1065"/>
      <c r="J61" s="1034"/>
      <c r="K61" s="1060"/>
    </row>
    <row r="62" spans="2:11">
      <c r="B62" s="1083" t="s">
        <v>31</v>
      </c>
      <c r="C62" s="1052"/>
      <c r="D62" s="1071"/>
      <c r="E62" s="1072"/>
      <c r="F62" s="1072"/>
      <c r="G62" s="1072"/>
      <c r="H62" s="1088"/>
      <c r="I62" s="1065"/>
      <c r="J62" s="1034"/>
      <c r="K62" s="1060"/>
    </row>
    <row r="63" spans="2:11">
      <c r="B63" s="1035" t="s">
        <v>20</v>
      </c>
      <c r="C63" s="1052" t="s">
        <v>134</v>
      </c>
      <c r="D63" s="1085"/>
      <c r="E63" s="1086"/>
      <c r="F63" s="1086"/>
      <c r="G63" s="1086"/>
      <c r="H63" s="1087"/>
      <c r="I63" s="1065"/>
      <c r="J63" s="1080" t="s">
        <v>115</v>
      </c>
      <c r="K63" s="1060"/>
    </row>
    <row r="64" spans="2:11">
      <c r="B64" s="1035" t="s">
        <v>21</v>
      </c>
      <c r="C64" s="1052" t="s">
        <v>134</v>
      </c>
      <c r="D64" s="1090">
        <f t="shared" ref="D64:G68" si="1">D56</f>
        <v>5.70067229895981E-4</v>
      </c>
      <c r="E64" s="1090">
        <f t="shared" si="1"/>
        <v>1.6299243669067753E-4</v>
      </c>
      <c r="F64" s="1090">
        <f t="shared" si="1"/>
        <v>1.6299243669067753E-4</v>
      </c>
      <c r="G64" s="1090">
        <f t="shared" si="1"/>
        <v>1.6299243669067753E-4</v>
      </c>
      <c r="H64" s="1087"/>
      <c r="I64" s="1065"/>
      <c r="J64" s="1034"/>
      <c r="K64" s="1060"/>
    </row>
    <row r="65" spans="2:11">
      <c r="B65" s="1035" t="s">
        <v>22</v>
      </c>
      <c r="C65" s="1052" t="s">
        <v>134</v>
      </c>
      <c r="D65" s="1090">
        <f t="shared" si="1"/>
        <v>3.3862691824031407E-3</v>
      </c>
      <c r="E65" s="1090">
        <f t="shared" si="1"/>
        <v>3.3862691824031407E-3</v>
      </c>
      <c r="F65" s="1090">
        <f t="shared" si="1"/>
        <v>3.3862691824031407E-3</v>
      </c>
      <c r="G65" s="1090">
        <f t="shared" si="1"/>
        <v>3.3862691824031407E-3</v>
      </c>
      <c r="H65" s="1087"/>
      <c r="I65" s="1065"/>
      <c r="J65" s="1034"/>
      <c r="K65" s="1060"/>
    </row>
    <row r="66" spans="2:11">
      <c r="B66" s="1035" t="s">
        <v>23</v>
      </c>
      <c r="C66" s="1052" t="s">
        <v>134</v>
      </c>
      <c r="D66" s="1090">
        <f t="shared" si="1"/>
        <v>4.6837408023728819E-4</v>
      </c>
      <c r="E66" s="1090">
        <f t="shared" si="1"/>
        <v>4.6837408023728814E-4</v>
      </c>
      <c r="F66" s="1090">
        <f t="shared" si="1"/>
        <v>4.6837408023728825E-4</v>
      </c>
      <c r="G66" s="1090">
        <f t="shared" si="1"/>
        <v>4.6837408023728819E-4</v>
      </c>
      <c r="H66" s="1087"/>
      <c r="I66" s="1065"/>
      <c r="J66" s="1034"/>
      <c r="K66" s="1060"/>
    </row>
    <row r="67" spans="2:11">
      <c r="B67" s="1035" t="s">
        <v>116</v>
      </c>
      <c r="C67" s="1052" t="s">
        <v>134</v>
      </c>
      <c r="D67" s="1090">
        <f t="shared" si="1"/>
        <v>0.3488992416652627</v>
      </c>
      <c r="E67" s="1090">
        <f t="shared" si="1"/>
        <v>3.6446302941253436E-2</v>
      </c>
      <c r="F67" s="1090">
        <f t="shared" si="1"/>
        <v>3.6446302941253436E-2</v>
      </c>
      <c r="G67" s="1090">
        <f t="shared" si="1"/>
        <v>3.6446302941253436E-2</v>
      </c>
      <c r="H67" s="1087"/>
      <c r="I67" s="1065"/>
      <c r="J67" s="1034"/>
      <c r="K67" s="1060"/>
    </row>
    <row r="68" spans="2:11">
      <c r="B68" s="1035" t="s">
        <v>24</v>
      </c>
      <c r="C68" s="1052" t="s">
        <v>134</v>
      </c>
      <c r="D68" s="1090">
        <f t="shared" si="1"/>
        <v>3.2979813853448933E-3</v>
      </c>
      <c r="E68" s="1090">
        <f t="shared" si="1"/>
        <v>3.6064433411829615E-4</v>
      </c>
      <c r="F68" s="1090">
        <f t="shared" si="1"/>
        <v>3.6064433411829615E-4</v>
      </c>
      <c r="G68" s="1090">
        <f t="shared" si="1"/>
        <v>3.6064433411829615E-4</v>
      </c>
      <c r="H68" s="1065"/>
      <c r="I68" s="1065"/>
      <c r="J68" s="1034"/>
      <c r="K68" s="1060"/>
    </row>
    <row r="69" spans="2:11" ht="14.4" thickBot="1">
      <c r="B69" s="1091"/>
      <c r="C69" s="1092"/>
      <c r="D69" s="1093"/>
      <c r="E69" s="1040"/>
      <c r="F69" s="1040"/>
      <c r="G69" s="1040"/>
      <c r="H69" s="1072"/>
      <c r="I69" s="1094"/>
      <c r="J69" s="1041"/>
      <c r="K69" s="1060"/>
    </row>
    <row r="70" spans="2:11">
      <c r="K70" s="1060"/>
    </row>
    <row r="71" spans="2:11">
      <c r="K71" s="1060"/>
    </row>
    <row r="72" spans="2:11" ht="16.2" thickBot="1">
      <c r="B72" s="1095" t="s">
        <v>117</v>
      </c>
      <c r="K72" s="1060"/>
    </row>
    <row r="73" spans="2:11">
      <c r="B73" s="1043"/>
      <c r="C73" s="1044"/>
      <c r="D73" s="1030"/>
      <c r="E73" s="1030"/>
      <c r="F73" s="1030"/>
      <c r="G73" s="1030"/>
      <c r="H73" s="1030"/>
      <c r="I73" s="1030"/>
      <c r="J73" s="1031"/>
      <c r="K73" s="1060"/>
    </row>
    <row r="74" spans="2:11">
      <c r="B74" s="1046"/>
      <c r="C74" s="1047" t="s">
        <v>99</v>
      </c>
      <c r="D74" s="1048">
        <v>2015</v>
      </c>
      <c r="E74" s="1049">
        <v>2020</v>
      </c>
      <c r="F74" s="1049">
        <v>2035</v>
      </c>
      <c r="G74" s="1049">
        <v>2050</v>
      </c>
      <c r="H74" s="1049"/>
      <c r="I74" s="1050"/>
      <c r="J74" s="1051"/>
      <c r="K74" s="1060"/>
    </row>
    <row r="75" spans="2:11">
      <c r="B75" s="1035" t="s">
        <v>25</v>
      </c>
      <c r="C75" s="1096" t="s">
        <v>152</v>
      </c>
      <c r="D75" s="1097">
        <f>D79*D93</f>
        <v>2.5327000000000002</v>
      </c>
      <c r="E75" s="1097">
        <f>E79*E93</f>
        <v>2.4180000000000001</v>
      </c>
      <c r="F75" s="1097">
        <f>F79*F93</f>
        <v>2.3034000000000003</v>
      </c>
      <c r="G75" s="1097">
        <f>G79*G93</f>
        <v>2.2607999999999997</v>
      </c>
      <c r="H75" s="1097"/>
      <c r="I75" s="1033"/>
      <c r="J75" s="1034"/>
      <c r="K75" s="1060"/>
    </row>
    <row r="76" spans="2:11">
      <c r="B76" s="1035" t="s">
        <v>121</v>
      </c>
      <c r="C76" s="1096" t="s">
        <v>122</v>
      </c>
      <c r="D76" s="1076">
        <v>50000</v>
      </c>
      <c r="E76" s="1076">
        <v>50000</v>
      </c>
      <c r="F76" s="1076">
        <v>50000</v>
      </c>
      <c r="G76" s="1076">
        <v>50000</v>
      </c>
      <c r="H76" s="1076"/>
      <c r="I76" s="1065" t="s">
        <v>605</v>
      </c>
      <c r="J76" s="1034"/>
      <c r="K76" s="1060"/>
    </row>
    <row r="77" spans="2:11">
      <c r="B77" s="1035" t="s">
        <v>124</v>
      </c>
      <c r="C77" s="1098" t="s">
        <v>36</v>
      </c>
      <c r="D77" s="1099">
        <f>156000/D76</f>
        <v>3.12</v>
      </c>
      <c r="E77" s="1099">
        <f>156000/E76</f>
        <v>3.12</v>
      </c>
      <c r="F77" s="1099">
        <f>156000/F76</f>
        <v>3.12</v>
      </c>
      <c r="G77" s="1099">
        <f>156000/G76</f>
        <v>3.12</v>
      </c>
      <c r="H77" s="1099"/>
      <c r="I77" s="1065" t="s">
        <v>605</v>
      </c>
      <c r="J77" s="1080"/>
      <c r="K77" s="1060"/>
    </row>
    <row r="78" spans="2:11">
      <c r="B78" s="1032" t="s">
        <v>163</v>
      </c>
      <c r="C78" s="1098" t="s">
        <v>164</v>
      </c>
      <c r="D78" s="1100">
        <v>2.6907726931732934</v>
      </c>
      <c r="E78" s="1100">
        <v>2.9667493796526059</v>
      </c>
      <c r="F78" s="1100">
        <v>3.4257879656160459</v>
      </c>
      <c r="G78" s="1100">
        <v>3.8076433121019111</v>
      </c>
      <c r="H78" s="1101"/>
      <c r="I78" s="1065"/>
      <c r="J78" s="1034"/>
      <c r="K78" s="1060"/>
    </row>
    <row r="79" spans="2:11">
      <c r="B79" s="1032" t="s">
        <v>165</v>
      </c>
      <c r="C79" s="1098" t="s">
        <v>26</v>
      </c>
      <c r="D79" s="1102">
        <v>0.19</v>
      </c>
      <c r="E79" s="1102">
        <v>0.2</v>
      </c>
      <c r="F79" s="1102">
        <v>0.22</v>
      </c>
      <c r="G79" s="1102">
        <v>0.24</v>
      </c>
      <c r="H79" s="1102"/>
      <c r="I79" s="1033" t="s">
        <v>603</v>
      </c>
      <c r="J79" s="1080"/>
      <c r="K79" s="1060"/>
    </row>
    <row r="80" spans="2:11" ht="14.4" thickBot="1">
      <c r="B80" s="1103"/>
      <c r="C80" s="1104"/>
      <c r="D80" s="1105"/>
      <c r="E80" s="1105"/>
      <c r="F80" s="1105"/>
      <c r="G80" s="1105"/>
      <c r="H80" s="1105"/>
      <c r="I80" s="1065"/>
      <c r="J80" s="1041"/>
      <c r="K80" s="1060"/>
    </row>
    <row r="81" spans="2:11" ht="16.2" thickBot="1">
      <c r="B81" s="1095" t="s">
        <v>117</v>
      </c>
    </row>
    <row r="82" spans="2:11">
      <c r="B82" s="1043"/>
      <c r="C82" s="1044"/>
      <c r="D82" s="1030"/>
      <c r="E82" s="1030"/>
      <c r="F82" s="1030"/>
      <c r="G82" s="1030"/>
      <c r="H82" s="1030"/>
      <c r="I82" s="1030" t="s">
        <v>97</v>
      </c>
      <c r="J82" s="1031" t="s">
        <v>98</v>
      </c>
    </row>
    <row r="83" spans="2:11">
      <c r="B83" s="1032"/>
      <c r="C83" s="1098"/>
      <c r="D83" s="1072"/>
      <c r="E83" s="1072"/>
      <c r="F83" s="1072"/>
      <c r="G83" s="1072"/>
      <c r="H83" s="1033"/>
      <c r="I83" s="1033"/>
      <c r="J83" s="1080"/>
    </row>
    <row r="84" spans="2:11">
      <c r="B84" s="1035" t="s">
        <v>142</v>
      </c>
      <c r="C84" s="1096" t="s">
        <v>15</v>
      </c>
      <c r="D84" s="1106">
        <f>D85*D86+(D44-D87)/D87*D86*(E85+F85)/2</f>
        <v>1468303.5714285714</v>
      </c>
      <c r="E84" s="1106">
        <f>E85*E86</f>
        <v>696428.57142857136</v>
      </c>
      <c r="F84" s="1106">
        <f>F85*F86</f>
        <v>393981.23197746492</v>
      </c>
      <c r="G84" s="1106">
        <f>G85*G86</f>
        <v>361306.37729426561</v>
      </c>
      <c r="H84" s="1033"/>
      <c r="I84" s="1033"/>
      <c r="J84" s="1034"/>
    </row>
    <row r="85" spans="2:11">
      <c r="B85" s="1035" t="s">
        <v>144</v>
      </c>
      <c r="C85" s="1096" t="s">
        <v>145</v>
      </c>
      <c r="D85" s="1107">
        <v>2275</v>
      </c>
      <c r="E85" s="1107">
        <f>120*6.5</f>
        <v>780</v>
      </c>
      <c r="F85" s="1107">
        <v>481</v>
      </c>
      <c r="G85" s="1107">
        <v>481</v>
      </c>
      <c r="H85" s="1065"/>
      <c r="I85" s="1065"/>
      <c r="J85" s="1034"/>
    </row>
    <row r="86" spans="2:11">
      <c r="B86" s="1035" t="s">
        <v>146</v>
      </c>
      <c r="C86" s="1096" t="s">
        <v>147</v>
      </c>
      <c r="D86" s="1107">
        <f>500*D25/3.6</f>
        <v>892.85714285714278</v>
      </c>
      <c r="E86" s="1107">
        <f>500*E25/3.6</f>
        <v>892.85714285714278</v>
      </c>
      <c r="F86" s="1107">
        <f>500*F25/3.6</f>
        <v>819.08780036894996</v>
      </c>
      <c r="G86" s="1107">
        <f>500*G25/3.6</f>
        <v>751.15670955148778</v>
      </c>
      <c r="H86" s="1065"/>
      <c r="I86" s="1065"/>
      <c r="J86" s="1034"/>
    </row>
    <row r="87" spans="2:11">
      <c r="B87" s="1035" t="s">
        <v>238</v>
      </c>
      <c r="C87" s="1096" t="s">
        <v>237</v>
      </c>
      <c r="D87" s="1107">
        <f>10.6/16*E87</f>
        <v>3.9749999999999996</v>
      </c>
      <c r="E87" s="1107">
        <v>6</v>
      </c>
      <c r="F87" s="1107">
        <v>6</v>
      </c>
      <c r="G87" s="1107">
        <v>6</v>
      </c>
      <c r="H87" s="1065"/>
      <c r="I87" s="1065"/>
      <c r="J87" s="1034"/>
    </row>
    <row r="88" spans="2:11">
      <c r="B88" s="1035" t="s">
        <v>148</v>
      </c>
      <c r="C88" s="1096" t="s">
        <v>149</v>
      </c>
      <c r="D88" s="1108">
        <f>D42/3.6</f>
        <v>355.34727861923562</v>
      </c>
      <c r="E88" s="1108">
        <f>E42/3.6</f>
        <v>372.20349568194297</v>
      </c>
      <c r="F88" s="1108">
        <f>F42/3.6</f>
        <v>390.72156488622824</v>
      </c>
      <c r="G88" s="1108">
        <f>G42/3.6</f>
        <v>398.08388736683401</v>
      </c>
      <c r="H88" s="1065"/>
      <c r="I88" s="1065" t="s">
        <v>254</v>
      </c>
      <c r="J88" s="1034"/>
    </row>
    <row r="89" spans="2:11">
      <c r="B89" s="1035" t="s">
        <v>244</v>
      </c>
      <c r="C89" s="1096" t="s">
        <v>243</v>
      </c>
      <c r="D89" s="1108">
        <v>8.9285714285714288</v>
      </c>
      <c r="E89" s="1109">
        <v>6.25</v>
      </c>
      <c r="F89" s="1109">
        <v>5</v>
      </c>
      <c r="G89" s="1109">
        <v>4.5454545454545459</v>
      </c>
      <c r="H89" s="1065"/>
      <c r="I89" s="1065" t="s">
        <v>604</v>
      </c>
      <c r="J89" s="1034"/>
    </row>
    <row r="90" spans="2:11" ht="14.4" thickBot="1">
      <c r="B90" s="1039" t="s">
        <v>242</v>
      </c>
      <c r="C90" s="1110" t="s">
        <v>119</v>
      </c>
      <c r="D90" s="1111">
        <f>D86*D89</f>
        <v>7971.9387755102034</v>
      </c>
      <c r="E90" s="1111">
        <f>E86*E89</f>
        <v>5580.3571428571422</v>
      </c>
      <c r="F90" s="1111">
        <f>F86*F89</f>
        <v>4095.4390018447498</v>
      </c>
      <c r="G90" s="1111">
        <f>G86*G89</f>
        <v>3414.3486797794903</v>
      </c>
      <c r="H90" s="1112"/>
      <c r="I90" s="1112"/>
      <c r="J90" s="1041"/>
    </row>
    <row r="91" spans="2:11">
      <c r="D91" s="1113"/>
      <c r="E91" s="1113"/>
      <c r="F91" s="1113"/>
      <c r="G91" s="1113"/>
      <c r="H91" s="1113"/>
      <c r="K91" s="1060"/>
    </row>
    <row r="92" spans="2:11" ht="16.2" thickBot="1">
      <c r="B92" s="1095" t="s">
        <v>126</v>
      </c>
      <c r="K92" s="1060"/>
    </row>
    <row r="93" spans="2:11">
      <c r="B93" s="1043" t="s">
        <v>150</v>
      </c>
      <c r="C93" s="1030"/>
      <c r="D93" s="1114">
        <v>13.33</v>
      </c>
      <c r="E93" s="1114">
        <v>12.09</v>
      </c>
      <c r="F93" s="1114">
        <v>10.47</v>
      </c>
      <c r="G93" s="1114">
        <v>9.42</v>
      </c>
      <c r="H93" s="1114"/>
      <c r="I93" s="1030" t="s">
        <v>603</v>
      </c>
      <c r="J93" s="1031"/>
      <c r="K93" s="1060"/>
    </row>
    <row r="94" spans="2:11">
      <c r="B94" s="1035"/>
      <c r="C94" s="1033"/>
      <c r="D94" s="1115"/>
      <c r="E94" s="1115"/>
      <c r="F94" s="1115"/>
      <c r="G94" s="1115"/>
      <c r="H94" s="1115"/>
      <c r="I94" s="1033"/>
      <c r="J94" s="1034"/>
      <c r="K94" s="1060"/>
    </row>
    <row r="95" spans="2:11">
      <c r="B95" s="1035" t="s">
        <v>20</v>
      </c>
      <c r="C95" s="1033" t="s">
        <v>27</v>
      </c>
      <c r="D95" s="1116"/>
      <c r="E95" s="1116"/>
      <c r="F95" s="1116"/>
      <c r="G95" s="1116"/>
      <c r="H95" s="1116"/>
      <c r="I95" s="1033"/>
      <c r="J95" s="1034"/>
      <c r="K95" s="1060"/>
    </row>
    <row r="96" spans="2:11">
      <c r="B96" s="1035" t="s">
        <v>21</v>
      </c>
      <c r="C96" s="1033" t="s">
        <v>27</v>
      </c>
      <c r="D96" s="1116">
        <f t="shared" ref="D96:G100" si="2">D106/1000*D$93</f>
        <v>7.5989961745134265E-3</v>
      </c>
      <c r="E96" s="1116">
        <f t="shared" si="2"/>
        <v>1.9705785595902914E-3</v>
      </c>
      <c r="F96" s="1116">
        <f t="shared" si="2"/>
        <v>1.7065308121513938E-3</v>
      </c>
      <c r="G96" s="1116">
        <f t="shared" si="2"/>
        <v>1.5353887536261822E-3</v>
      </c>
      <c r="H96" s="1116"/>
      <c r="I96" s="1033"/>
      <c r="J96" s="1034"/>
      <c r="K96" s="1060"/>
    </row>
    <row r="97" spans="2:13">
      <c r="B97" s="1035" t="s">
        <v>22</v>
      </c>
      <c r="C97" s="1033" t="s">
        <v>27</v>
      </c>
      <c r="D97" s="1116">
        <f t="shared" si="2"/>
        <v>4.5138968201433864E-2</v>
      </c>
      <c r="E97" s="1116">
        <f t="shared" si="2"/>
        <v>4.093999441525397E-2</v>
      </c>
      <c r="F97" s="1116">
        <f t="shared" si="2"/>
        <v>3.5454238339760885E-2</v>
      </c>
      <c r="G97" s="1116">
        <f t="shared" si="2"/>
        <v>3.1898655698237584E-2</v>
      </c>
      <c r="H97" s="1116"/>
      <c r="I97" s="1033"/>
      <c r="J97" s="1034"/>
      <c r="K97" s="1060"/>
    </row>
    <row r="98" spans="2:13">
      <c r="B98" s="1035" t="s">
        <v>23</v>
      </c>
      <c r="C98" s="1033" t="s">
        <v>27</v>
      </c>
      <c r="D98" s="1116">
        <f t="shared" si="2"/>
        <v>6.2434264895630514E-3</v>
      </c>
      <c r="E98" s="1116">
        <f t="shared" si="2"/>
        <v>5.6626426300688138E-3</v>
      </c>
      <c r="F98" s="1116">
        <f t="shared" si="2"/>
        <v>4.903876620084408E-3</v>
      </c>
      <c r="G98" s="1116">
        <f t="shared" si="2"/>
        <v>4.412083835835255E-3</v>
      </c>
      <c r="H98" s="1116"/>
      <c r="I98" s="1033"/>
      <c r="J98" s="1034"/>
      <c r="K98" s="1060"/>
    </row>
    <row r="99" spans="2:13">
      <c r="B99" s="1032" t="s">
        <v>37</v>
      </c>
      <c r="C99" s="1033" t="s">
        <v>27</v>
      </c>
      <c r="D99" s="1116">
        <f t="shared" si="2"/>
        <v>4.6508268913979522</v>
      </c>
      <c r="E99" s="1116">
        <f t="shared" si="2"/>
        <v>0.44063580255975404</v>
      </c>
      <c r="F99" s="1116">
        <f t="shared" si="2"/>
        <v>0.3815927917949235</v>
      </c>
      <c r="G99" s="1116">
        <f t="shared" si="2"/>
        <v>0.34332417370660734</v>
      </c>
      <c r="H99" s="1116"/>
      <c r="I99" s="1033"/>
      <c r="J99" s="1080"/>
      <c r="K99" s="1060"/>
    </row>
    <row r="100" spans="2:13">
      <c r="B100" s="1035" t="s">
        <v>24</v>
      </c>
      <c r="C100" s="1033" t="s">
        <v>27</v>
      </c>
      <c r="D100" s="1116">
        <f t="shared" si="2"/>
        <v>4.3962091866647429E-2</v>
      </c>
      <c r="E100" s="1116">
        <f t="shared" si="2"/>
        <v>4.3601899994902002E-3</v>
      </c>
      <c r="F100" s="1116">
        <f t="shared" si="2"/>
        <v>3.7759461782185611E-3</v>
      </c>
      <c r="G100" s="1116">
        <f t="shared" si="2"/>
        <v>3.3972696273943497E-3</v>
      </c>
      <c r="H100" s="1116"/>
      <c r="I100" s="1033"/>
      <c r="J100" s="1080"/>
    </row>
    <row r="101" spans="2:13" ht="14.4" thickBot="1">
      <c r="B101" s="1039"/>
      <c r="C101" s="1040"/>
      <c r="D101" s="1117"/>
      <c r="E101" s="1117"/>
      <c r="F101" s="1117"/>
      <c r="G101" s="1117"/>
      <c r="H101" s="1117"/>
      <c r="I101" s="1040"/>
      <c r="J101" s="1041"/>
    </row>
    <row r="103" spans="2:13" ht="14.4" thickBot="1">
      <c r="B103" s="1028" t="s">
        <v>172</v>
      </c>
    </row>
    <row r="104" spans="2:13">
      <c r="B104" s="1043"/>
      <c r="C104" s="1030"/>
      <c r="D104" s="1118">
        <v>2015</v>
      </c>
      <c r="E104" s="1118">
        <v>2020</v>
      </c>
      <c r="F104" s="1118">
        <v>2035</v>
      </c>
      <c r="G104" s="1118">
        <v>2050</v>
      </c>
      <c r="H104" s="1118"/>
    </row>
    <row r="105" spans="2:13">
      <c r="B105" s="1035" t="s">
        <v>20</v>
      </c>
      <c r="C105" s="1065" t="s">
        <v>173</v>
      </c>
      <c r="D105" s="1119"/>
      <c r="E105" s="1119"/>
      <c r="F105" s="1119"/>
      <c r="G105" s="1119"/>
      <c r="H105" s="1119"/>
    </row>
    <row r="106" spans="2:13">
      <c r="B106" s="1035" t="s">
        <v>21</v>
      </c>
      <c r="C106" s="1033" t="s">
        <v>173</v>
      </c>
      <c r="D106" s="1120">
        <f>'EU Lastbil El'!D125</f>
        <v>0.57006722989598102</v>
      </c>
      <c r="E106" s="1120">
        <f>'EU Lastbil El'!E125</f>
        <v>0.16299243669067753</v>
      </c>
      <c r="F106" s="1120">
        <f>'EU Lastbil El'!F125</f>
        <v>0.16299243669067753</v>
      </c>
      <c r="G106" s="1119">
        <f>F106</f>
        <v>0.16299243669067753</v>
      </c>
      <c r="H106" s="1120"/>
      <c r="J106" s="1121"/>
      <c r="K106" s="1121"/>
      <c r="L106" s="1121"/>
      <c r="M106" s="1121"/>
    </row>
    <row r="107" spans="2:13">
      <c r="B107" s="1035" t="s">
        <v>22</v>
      </c>
      <c r="C107" s="1033" t="s">
        <v>173</v>
      </c>
      <c r="D107" s="1120">
        <f>'EU Lastbil El'!D126</f>
        <v>3.3862691824031406</v>
      </c>
      <c r="E107" s="1120">
        <f>'EU Lastbil El'!E126</f>
        <v>3.3862691824031406</v>
      </c>
      <c r="F107" s="1120">
        <f>'EU Lastbil El'!F126</f>
        <v>3.3862691824031406</v>
      </c>
      <c r="G107" s="1119">
        <f>F107</f>
        <v>3.3862691824031406</v>
      </c>
      <c r="H107" s="1120"/>
      <c r="J107" s="1121"/>
      <c r="K107" s="1121"/>
      <c r="L107" s="1121"/>
      <c r="M107" s="1121"/>
    </row>
    <row r="108" spans="2:13">
      <c r="B108" s="1035" t="s">
        <v>23</v>
      </c>
      <c r="C108" s="1033" t="s">
        <v>173</v>
      </c>
      <c r="D108" s="1120">
        <f>'EU Lastbil El'!D127</f>
        <v>0.46837408023728822</v>
      </c>
      <c r="E108" s="1120">
        <f>'EU Lastbil El'!E127</f>
        <v>0.46837408023728822</v>
      </c>
      <c r="F108" s="1120">
        <f>'EU Lastbil El'!F127</f>
        <v>0.46837408023728822</v>
      </c>
      <c r="G108" s="1119">
        <f>F108</f>
        <v>0.46837408023728822</v>
      </c>
      <c r="H108" s="1120"/>
      <c r="J108" s="1121"/>
      <c r="K108" s="1121"/>
      <c r="L108" s="1121"/>
      <c r="M108" s="1121"/>
    </row>
    <row r="109" spans="2:13">
      <c r="B109" s="1032" t="s">
        <v>37</v>
      </c>
      <c r="C109" s="1033" t="s">
        <v>173</v>
      </c>
      <c r="D109" s="1119">
        <f>'EU Lastbil El'!D128</f>
        <v>348.89924166526276</v>
      </c>
      <c r="E109" s="1119">
        <f>'EU Lastbil El'!E128</f>
        <v>36.446302941253435</v>
      </c>
      <c r="F109" s="1119">
        <f>'EU Lastbil El'!F128</f>
        <v>36.446302941253435</v>
      </c>
      <c r="G109" s="1119">
        <f>F109</f>
        <v>36.446302941253435</v>
      </c>
      <c r="H109" s="1119"/>
      <c r="J109" s="1121"/>
      <c r="K109" s="1121"/>
      <c r="L109" s="1121"/>
      <c r="M109" s="1121"/>
    </row>
    <row r="110" spans="2:13" ht="14.4" thickBot="1">
      <c r="B110" s="1039" t="s">
        <v>24</v>
      </c>
      <c r="C110" s="1040" t="s">
        <v>173</v>
      </c>
      <c r="D110" s="1122">
        <f>'EU Lastbil El'!D129</f>
        <v>3.2979813853448934</v>
      </c>
      <c r="E110" s="1122">
        <f>'EU Lastbil El'!E129</f>
        <v>0.36064433411829616</v>
      </c>
      <c r="F110" s="1122">
        <f>'EU Lastbil El'!F129</f>
        <v>0.36064433411829616</v>
      </c>
      <c r="G110" s="1122">
        <f>F110</f>
        <v>0.36064433411829616</v>
      </c>
      <c r="H110" s="1122"/>
      <c r="J110" s="1121"/>
      <c r="K110" s="1121"/>
      <c r="L110" s="1121"/>
      <c r="M110" s="1121"/>
    </row>
    <row r="113" spans="2:7">
      <c r="B113" s="1123"/>
      <c r="C113" s="1124"/>
      <c r="D113" s="1124"/>
      <c r="E113" s="1124"/>
      <c r="F113" s="1124"/>
      <c r="G113" s="1124"/>
    </row>
    <row r="114" spans="2:7">
      <c r="B114" s="1123" t="s">
        <v>271</v>
      </c>
      <c r="C114" s="1124"/>
      <c r="D114" s="1124"/>
      <c r="E114" s="1124"/>
      <c r="F114" s="1124"/>
      <c r="G114" s="1124"/>
    </row>
    <row r="115" spans="2:7">
      <c r="B115" s="1125"/>
      <c r="C115" s="1125"/>
      <c r="D115" s="1126">
        <v>2015</v>
      </c>
      <c r="E115" s="1126">
        <v>2020</v>
      </c>
      <c r="F115" s="1126">
        <v>2035</v>
      </c>
      <c r="G115" s="1124"/>
    </row>
    <row r="116" spans="2:7">
      <c r="B116" s="1127"/>
      <c r="C116" s="1127"/>
      <c r="D116" s="1128" t="s">
        <v>270</v>
      </c>
      <c r="E116" s="1128" t="s">
        <v>240</v>
      </c>
      <c r="F116" s="1128" t="s">
        <v>240</v>
      </c>
      <c r="G116" s="1124"/>
    </row>
    <row r="117" spans="2:7">
      <c r="B117" s="1125" t="s">
        <v>269</v>
      </c>
      <c r="C117" s="1125" t="s">
        <v>152</v>
      </c>
      <c r="D117" s="1129">
        <v>8.8593075104294687</v>
      </c>
      <c r="E117" s="1129">
        <v>8.8593075104294687</v>
      </c>
      <c r="F117" s="1129">
        <v>8.8593075104294687</v>
      </c>
      <c r="G117" s="1124"/>
    </row>
    <row r="118" spans="2:7">
      <c r="B118" s="1130" t="s">
        <v>20</v>
      </c>
      <c r="C118" s="1130" t="s">
        <v>27</v>
      </c>
      <c r="D118" s="1131">
        <v>655.58875577178071</v>
      </c>
      <c r="E118" s="1131">
        <v>655.58875577178071</v>
      </c>
      <c r="F118" s="1131">
        <v>655.58875577178071</v>
      </c>
      <c r="G118" s="1124"/>
    </row>
    <row r="119" spans="2:7">
      <c r="B119" s="1130" t="s">
        <v>21</v>
      </c>
      <c r="C119" s="1130" t="s">
        <v>27</v>
      </c>
      <c r="D119" s="1132">
        <v>5.0504008912671868E-3</v>
      </c>
      <c r="E119" s="1132">
        <v>1.4440001185169191E-3</v>
      </c>
      <c r="F119" s="1132">
        <v>1.4440001185169191E-3</v>
      </c>
      <c r="G119" s="1124"/>
    </row>
    <row r="120" spans="2:7">
      <c r="B120" s="1130" t="s">
        <v>22</v>
      </c>
      <c r="C120" s="1130" t="s">
        <v>27</v>
      </c>
      <c r="D120" s="1132">
        <v>0.03</v>
      </c>
      <c r="E120" s="1132">
        <v>0.03</v>
      </c>
      <c r="F120" s="1132">
        <v>0.03</v>
      </c>
      <c r="G120" s="1124"/>
    </row>
    <row r="121" spans="2:7">
      <c r="B121" s="1130" t="s">
        <v>23</v>
      </c>
      <c r="C121" s="1130" t="s">
        <v>27</v>
      </c>
      <c r="D121" s="1132">
        <v>4.1494700067367021E-3</v>
      </c>
      <c r="E121" s="1132">
        <v>4.1494700067367021E-3</v>
      </c>
      <c r="F121" s="1132">
        <v>4.1494700067367021E-3</v>
      </c>
      <c r="G121" s="1124"/>
    </row>
    <row r="122" spans="2:7">
      <c r="B122" s="1130" t="s">
        <v>37</v>
      </c>
      <c r="C122" s="1130" t="s">
        <v>27</v>
      </c>
      <c r="D122" s="1132">
        <v>3.0910056720682086</v>
      </c>
      <c r="E122" s="1132">
        <v>0.32288900537483423</v>
      </c>
      <c r="F122" s="1132">
        <v>0.32288900537483423</v>
      </c>
      <c r="G122" s="1124"/>
    </row>
    <row r="123" spans="2:7">
      <c r="B123" s="1127" t="s">
        <v>268</v>
      </c>
      <c r="C123" s="1127" t="s">
        <v>27</v>
      </c>
      <c r="D123" s="1133">
        <v>2.9217831256442596E-2</v>
      </c>
      <c r="E123" s="1133">
        <v>3.1950590578480559E-3</v>
      </c>
      <c r="F123" s="1133">
        <v>3.1950590578480559E-3</v>
      </c>
      <c r="G123" s="1124"/>
    </row>
    <row r="124" spans="2:7">
      <c r="B124" s="1130" t="s">
        <v>20</v>
      </c>
      <c r="C124" s="1130" t="s">
        <v>173</v>
      </c>
      <c r="D124" s="1134">
        <f t="shared" ref="D124:F129" si="3">1000*D118/D$117</f>
        <v>74000</v>
      </c>
      <c r="E124" s="1134">
        <f t="shared" si="3"/>
        <v>74000</v>
      </c>
      <c r="F124" s="1134">
        <f t="shared" si="3"/>
        <v>74000</v>
      </c>
      <c r="G124" s="1124"/>
    </row>
    <row r="125" spans="2:7">
      <c r="B125" s="1130" t="s">
        <v>21</v>
      </c>
      <c r="C125" s="1130" t="s">
        <v>173</v>
      </c>
      <c r="D125" s="1135">
        <f t="shared" si="3"/>
        <v>0.57006722989598102</v>
      </c>
      <c r="E125" s="1135">
        <f t="shared" si="3"/>
        <v>0.16299243669067753</v>
      </c>
      <c r="F125" s="1135">
        <f t="shared" si="3"/>
        <v>0.16299243669067753</v>
      </c>
      <c r="G125" s="1124"/>
    </row>
    <row r="126" spans="2:7">
      <c r="B126" s="1130" t="s">
        <v>22</v>
      </c>
      <c r="C126" s="1130" t="s">
        <v>173</v>
      </c>
      <c r="D126" s="1135">
        <f t="shared" si="3"/>
        <v>3.3862691824031406</v>
      </c>
      <c r="E126" s="1135">
        <f t="shared" si="3"/>
        <v>3.3862691824031406</v>
      </c>
      <c r="F126" s="1135">
        <f t="shared" si="3"/>
        <v>3.3862691824031406</v>
      </c>
      <c r="G126" s="1124"/>
    </row>
    <row r="127" spans="2:7">
      <c r="B127" s="1130" t="s">
        <v>23</v>
      </c>
      <c r="C127" s="1130" t="s">
        <v>173</v>
      </c>
      <c r="D127" s="1135">
        <f t="shared" si="3"/>
        <v>0.46837408023728822</v>
      </c>
      <c r="E127" s="1135">
        <f t="shared" si="3"/>
        <v>0.46837408023728822</v>
      </c>
      <c r="F127" s="1135">
        <f t="shared" si="3"/>
        <v>0.46837408023728822</v>
      </c>
      <c r="G127" s="1124"/>
    </row>
    <row r="128" spans="2:7">
      <c r="B128" s="1130" t="s">
        <v>37</v>
      </c>
      <c r="C128" s="1130" t="s">
        <v>173</v>
      </c>
      <c r="D128" s="1136">
        <f t="shared" si="3"/>
        <v>348.89924166526276</v>
      </c>
      <c r="E128" s="1136">
        <f t="shared" si="3"/>
        <v>36.446302941253435</v>
      </c>
      <c r="F128" s="1136">
        <f t="shared" si="3"/>
        <v>36.446302941253435</v>
      </c>
      <c r="G128" s="1124"/>
    </row>
    <row r="129" spans="2:7">
      <c r="B129" s="1127" t="s">
        <v>268</v>
      </c>
      <c r="C129" s="1127" t="s">
        <v>173</v>
      </c>
      <c r="D129" s="1137">
        <f t="shared" si="3"/>
        <v>3.2979813853448934</v>
      </c>
      <c r="E129" s="1137">
        <f t="shared" si="3"/>
        <v>0.36064433411829616</v>
      </c>
      <c r="F129" s="1137">
        <f t="shared" si="3"/>
        <v>0.36064433411829616</v>
      </c>
      <c r="G129" s="1124"/>
    </row>
    <row r="130" spans="2:7">
      <c r="B130" s="1124" t="s">
        <v>267</v>
      </c>
      <c r="C130" s="1124"/>
      <c r="D130" s="1124"/>
      <c r="E130" s="1124"/>
      <c r="F130" s="1124"/>
      <c r="G130" s="1124"/>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tabColor rgb="FF002060"/>
    <pageSetUpPr fitToPage="1"/>
  </sheetPr>
  <dimension ref="B1:S99"/>
  <sheetViews>
    <sheetView topLeftCell="A13" zoomScale="80" zoomScaleNormal="80" workbookViewId="0">
      <selection activeCell="D38" sqref="D38"/>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275</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182</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239</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t="s">
        <v>274</v>
      </c>
      <c r="C12" s="75"/>
      <c r="D12" s="75"/>
      <c r="E12" s="75"/>
      <c r="F12" s="75"/>
      <c r="G12" s="75"/>
      <c r="H12" s="75"/>
      <c r="I12" s="75"/>
      <c r="J12" s="75"/>
      <c r="K12" s="75"/>
      <c r="L12" s="75"/>
      <c r="M12" s="75"/>
      <c r="N12" s="75"/>
      <c r="O12" s="72"/>
    </row>
    <row r="13" spans="2:19">
      <c r="B13" s="131" t="s">
        <v>273</v>
      </c>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c r="H21" s="104" t="s">
        <v>100</v>
      </c>
      <c r="I21" s="150"/>
      <c r="J21" s="102"/>
    </row>
    <row r="22" spans="2:15">
      <c r="B22" s="126" t="s">
        <v>101</v>
      </c>
      <c r="C22" s="116"/>
      <c r="D22" s="178"/>
      <c r="E22" s="149"/>
      <c r="F22" s="149"/>
      <c r="G22" s="149"/>
      <c r="H22" s="149"/>
      <c r="I22" s="75"/>
      <c r="J22" s="72"/>
    </row>
    <row r="23" spans="2:15">
      <c r="B23" s="143" t="s">
        <v>102</v>
      </c>
      <c r="C23" s="116" t="s">
        <v>235</v>
      </c>
      <c r="D23" s="257">
        <f>D71</f>
        <v>0.192</v>
      </c>
      <c r="E23" s="256">
        <f>E71</f>
        <v>0.20200000000000001</v>
      </c>
      <c r="F23" s="256">
        <f>F71</f>
        <v>0.222</v>
      </c>
      <c r="G23" s="256">
        <f>G71</f>
        <v>0.24199999999999999</v>
      </c>
      <c r="H23" s="145"/>
      <c r="I23" s="184"/>
      <c r="J23" s="72"/>
      <c r="K23" s="241"/>
    </row>
    <row r="24" spans="2:15">
      <c r="B24" s="143" t="s">
        <v>103</v>
      </c>
      <c r="C24" s="116" t="s">
        <v>235</v>
      </c>
      <c r="D24" s="142">
        <f>D23</f>
        <v>0.192</v>
      </c>
      <c r="E24" s="141">
        <f>E23</f>
        <v>0.20200000000000001</v>
      </c>
      <c r="F24" s="141">
        <f>F23</f>
        <v>0.222</v>
      </c>
      <c r="G24" s="141">
        <f>G23</f>
        <v>0.24199999999999999</v>
      </c>
      <c r="H24" s="145"/>
      <c r="I24" s="184"/>
      <c r="J24" s="72"/>
      <c r="K24" s="241"/>
    </row>
    <row r="25" spans="2:15">
      <c r="B25" s="143" t="s">
        <v>104</v>
      </c>
      <c r="C25" s="116" t="s">
        <v>105</v>
      </c>
      <c r="D25" s="142">
        <f>D75</f>
        <v>13.191145833333334</v>
      </c>
      <c r="E25" s="141">
        <f>E75</f>
        <v>11.970297029702971</v>
      </c>
      <c r="F25" s="141">
        <f>F75</f>
        <v>10.375675675675677</v>
      </c>
      <c r="G25" s="141">
        <f>G75</f>
        <v>9.3421487603305771</v>
      </c>
      <c r="H25" s="140"/>
      <c r="I25" s="184"/>
      <c r="J25" s="72"/>
      <c r="K25" s="241"/>
    </row>
    <row r="26" spans="2:15">
      <c r="B26" s="143" t="s">
        <v>106</v>
      </c>
      <c r="C26" s="116" t="s">
        <v>105</v>
      </c>
      <c r="D26" s="142"/>
      <c r="E26" s="141"/>
      <c r="F26" s="141"/>
      <c r="G26" s="141"/>
      <c r="H26" s="140"/>
      <c r="I26" s="184"/>
      <c r="J26" s="72"/>
      <c r="K26" s="241"/>
    </row>
    <row r="27" spans="2:15">
      <c r="B27" s="131" t="s">
        <v>107</v>
      </c>
      <c r="C27" s="116" t="s">
        <v>108</v>
      </c>
      <c r="D27" s="138">
        <v>6</v>
      </c>
      <c r="E27" s="123">
        <v>6</v>
      </c>
      <c r="F27" s="123">
        <v>6</v>
      </c>
      <c r="G27" s="123">
        <v>6</v>
      </c>
      <c r="H27" s="123"/>
      <c r="I27" s="97" t="s">
        <v>272</v>
      </c>
      <c r="J27" s="72"/>
      <c r="K27" s="241"/>
    </row>
    <row r="28" spans="2:15">
      <c r="B28" s="131" t="s">
        <v>109</v>
      </c>
      <c r="C28" s="116" t="s">
        <v>110</v>
      </c>
      <c r="D28" s="175">
        <f>+D67*D68/1000</f>
        <v>126.63500000000002</v>
      </c>
      <c r="E28" s="137">
        <f>+E67*E68/1000</f>
        <v>120.90000000000002</v>
      </c>
      <c r="F28" s="137">
        <f>+F67*F68/1000</f>
        <v>115.17000000000002</v>
      </c>
      <c r="G28" s="137">
        <f>+G67*G68/1000</f>
        <v>113.03999999999999</v>
      </c>
      <c r="H28" s="136"/>
      <c r="I28" s="184"/>
      <c r="J28" s="72"/>
      <c r="K28" s="241"/>
    </row>
    <row r="29" spans="2:15">
      <c r="B29" s="76"/>
      <c r="C29" s="135"/>
      <c r="D29" s="132"/>
      <c r="E29" s="96"/>
      <c r="F29" s="96"/>
      <c r="G29" s="96"/>
      <c r="H29" s="96"/>
      <c r="I29" s="75"/>
      <c r="J29" s="72"/>
      <c r="K29" s="241"/>
    </row>
    <row r="30" spans="2:15">
      <c r="B30" s="126" t="s">
        <v>111</v>
      </c>
      <c r="C30" s="116"/>
      <c r="D30" s="132"/>
      <c r="E30" s="96"/>
      <c r="F30" s="96"/>
      <c r="G30" s="96"/>
      <c r="H30" s="96"/>
      <c r="I30" s="75"/>
      <c r="J30" s="72"/>
      <c r="K30" s="241"/>
    </row>
    <row r="31" spans="2:15">
      <c r="B31" s="131" t="s">
        <v>112</v>
      </c>
      <c r="C31" s="116" t="s">
        <v>15</v>
      </c>
      <c r="D31" s="134">
        <v>779893.90271614201</v>
      </c>
      <c r="E31" s="134">
        <v>779893.90271614201</v>
      </c>
      <c r="F31" s="134">
        <v>779893.90271614201</v>
      </c>
      <c r="G31" s="134">
        <v>779893.90271614201</v>
      </c>
      <c r="H31" s="133">
        <v>2015</v>
      </c>
      <c r="I31" s="77"/>
      <c r="J31" s="72"/>
    </row>
    <row r="32" spans="2:15">
      <c r="B32" s="76" t="s">
        <v>16</v>
      </c>
      <c r="C32" s="116" t="s">
        <v>17</v>
      </c>
      <c r="D32" s="134">
        <v>2492.6013469287059</v>
      </c>
      <c r="E32" s="134">
        <v>2610.8401287701954</v>
      </c>
      <c r="F32" s="134">
        <v>2740.736055989551</v>
      </c>
      <c r="G32" s="134">
        <v>2792.3794370870196</v>
      </c>
      <c r="H32" s="133">
        <v>2015</v>
      </c>
      <c r="I32" s="77"/>
      <c r="J32" s="72"/>
    </row>
    <row r="33" spans="2:11">
      <c r="B33" s="127" t="s">
        <v>18</v>
      </c>
      <c r="C33" s="116" t="s">
        <v>17</v>
      </c>
      <c r="D33" s="134">
        <v>1213.3511438994574</v>
      </c>
      <c r="E33" s="134">
        <v>1270.9075443152008</v>
      </c>
      <c r="F33" s="134">
        <v>1334.1384223991297</v>
      </c>
      <c r="G33" s="134">
        <v>1359.2774425664172</v>
      </c>
      <c r="H33" s="133">
        <v>2015</v>
      </c>
      <c r="I33" s="77"/>
      <c r="J33" s="72"/>
    </row>
    <row r="34" spans="2:11">
      <c r="B34" s="127" t="s">
        <v>19</v>
      </c>
      <c r="C34" s="116" t="s">
        <v>17</v>
      </c>
      <c r="D34" s="134">
        <v>1279.2502030292483</v>
      </c>
      <c r="E34" s="134">
        <v>1339.9325844549946</v>
      </c>
      <c r="F34" s="134">
        <v>1406.5976335904218</v>
      </c>
      <c r="G34" s="134">
        <v>1433.1019945206024</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751018.91308317415</v>
      </c>
      <c r="E38" s="250">
        <v>751018.91308317415</v>
      </c>
      <c r="F38" s="250">
        <v>751018.91308317415</v>
      </c>
      <c r="G38" s="250">
        <v>751018.91308317415</v>
      </c>
      <c r="H38" s="128">
        <v>2013</v>
      </c>
      <c r="I38" s="97" t="s">
        <v>272</v>
      </c>
      <c r="J38" s="72"/>
      <c r="K38" s="241"/>
    </row>
    <row r="39" spans="2:11">
      <c r="B39" s="76" t="s">
        <v>16</v>
      </c>
      <c r="C39" s="116" t="s">
        <v>17</v>
      </c>
      <c r="D39" s="254">
        <f>+SUM(D40:D43)</f>
        <v>2400.3146425436294</v>
      </c>
      <c r="E39" s="255">
        <f>+SUM(E40:E43)</f>
        <v>2514.1757217412114</v>
      </c>
      <c r="F39" s="255">
        <f>+SUM(F40:F43)</f>
        <v>2639.2623492099719</v>
      </c>
      <c r="G39" s="255">
        <f>+SUM(G40:G43)</f>
        <v>2688.9936726690776</v>
      </c>
      <c r="H39" s="128">
        <v>2013</v>
      </c>
      <c r="I39" s="184"/>
      <c r="J39" s="72"/>
      <c r="K39" s="241"/>
    </row>
    <row r="40" spans="2:11">
      <c r="B40" s="127" t="s">
        <v>18</v>
      </c>
      <c r="C40" s="116" t="s">
        <v>17</v>
      </c>
      <c r="D40" s="254">
        <v>1168.4277234454339</v>
      </c>
      <c r="E40" s="255">
        <v>1223.8531410960506</v>
      </c>
      <c r="F40" s="255">
        <v>1284.742943114635</v>
      </c>
      <c r="G40" s="255">
        <v>1308.9512098240671</v>
      </c>
      <c r="H40" s="128">
        <v>2013</v>
      </c>
      <c r="I40" s="184"/>
      <c r="J40" s="72"/>
      <c r="K40" s="241"/>
    </row>
    <row r="41" spans="2:11">
      <c r="B41" s="127" t="s">
        <v>19</v>
      </c>
      <c r="C41" s="116" t="s">
        <v>17</v>
      </c>
      <c r="D41" s="254">
        <f>(D68*D69)/D28</f>
        <v>1231.8869190981954</v>
      </c>
      <c r="E41" s="255">
        <f>(E68*E69)/E28</f>
        <v>1290.322580645161</v>
      </c>
      <c r="F41" s="255">
        <f>(F68*F69)/F28</f>
        <v>1354.5194060953372</v>
      </c>
      <c r="G41" s="255">
        <f>(G68*G69)/G28</f>
        <v>1380.0424628450107</v>
      </c>
      <c r="H41" s="128">
        <v>2013</v>
      </c>
      <c r="I41" s="184"/>
      <c r="J41" s="117" t="s">
        <v>156</v>
      </c>
      <c r="K41" s="241"/>
    </row>
    <row r="42" spans="2:11">
      <c r="B42" s="127"/>
      <c r="C42" s="116"/>
      <c r="D42" s="132"/>
      <c r="E42" s="96"/>
      <c r="F42" s="96"/>
      <c r="G42" s="96"/>
      <c r="H42" s="128"/>
      <c r="I42" s="184"/>
      <c r="J42" s="72"/>
      <c r="K42" s="241"/>
    </row>
    <row r="43" spans="2:11">
      <c r="B43" s="127" t="s">
        <v>113</v>
      </c>
      <c r="C43" s="116" t="s">
        <v>17</v>
      </c>
      <c r="D43" s="254">
        <v>0</v>
      </c>
      <c r="E43" s="253">
        <v>0</v>
      </c>
      <c r="F43" s="253">
        <v>0</v>
      </c>
      <c r="G43" s="253">
        <v>0</v>
      </c>
      <c r="H43" s="128">
        <v>2013</v>
      </c>
      <c r="I43" s="184"/>
      <c r="J43" s="117"/>
      <c r="K43" s="241"/>
    </row>
    <row r="44" spans="2:11">
      <c r="B44" s="127"/>
      <c r="C44" s="116"/>
      <c r="D44" s="132"/>
      <c r="E44" s="96"/>
      <c r="F44" s="96"/>
      <c r="G44" s="96"/>
      <c r="H44" s="96"/>
      <c r="I44" s="184"/>
      <c r="J44" s="72"/>
      <c r="K44" s="241"/>
    </row>
    <row r="45" spans="2:11">
      <c r="B45" s="126" t="s">
        <v>114</v>
      </c>
      <c r="C45" s="116"/>
      <c r="D45" s="132"/>
      <c r="E45" s="96"/>
      <c r="F45" s="96"/>
      <c r="G45" s="96"/>
      <c r="H45" s="125"/>
      <c r="I45" s="184"/>
      <c r="J45" s="72"/>
      <c r="K45" s="241"/>
    </row>
    <row r="46" spans="2:11">
      <c r="B46" s="121" t="s">
        <v>30</v>
      </c>
      <c r="C46" s="116"/>
      <c r="D46" s="132"/>
      <c r="E46" s="96"/>
      <c r="F46" s="96"/>
      <c r="G46" s="96"/>
      <c r="H46" s="124"/>
      <c r="I46" s="184"/>
      <c r="J46" s="72"/>
      <c r="K46" s="241"/>
    </row>
    <row r="47" spans="2:11">
      <c r="B47" s="76" t="s">
        <v>20</v>
      </c>
      <c r="C47" s="116" t="s">
        <v>234</v>
      </c>
      <c r="D47" s="252"/>
      <c r="E47" s="119"/>
      <c r="F47" s="119"/>
      <c r="G47" s="119"/>
      <c r="H47" s="124"/>
      <c r="I47" s="184"/>
      <c r="J47" s="117" t="s">
        <v>115</v>
      </c>
      <c r="K47" s="241"/>
    </row>
    <row r="48" spans="2:11">
      <c r="B48" s="76" t="s">
        <v>21</v>
      </c>
      <c r="C48" s="116" t="s">
        <v>234</v>
      </c>
      <c r="D48" s="122">
        <f t="shared" ref="D48:G52" si="0">D78/D$75</f>
        <v>5.70067229895981E-4</v>
      </c>
      <c r="E48" s="122">
        <f t="shared" si="0"/>
        <v>1.6299243669067753E-4</v>
      </c>
      <c r="F48" s="122">
        <f t="shared" si="0"/>
        <v>1.6299243669067753E-4</v>
      </c>
      <c r="G48" s="122">
        <f t="shared" si="0"/>
        <v>1.6299243669067753E-4</v>
      </c>
      <c r="H48" s="118"/>
      <c r="I48" s="184"/>
      <c r="J48" s="72"/>
      <c r="K48" s="241"/>
    </row>
    <row r="49" spans="2:11">
      <c r="B49" s="76" t="s">
        <v>22</v>
      </c>
      <c r="C49" s="116" t="s">
        <v>234</v>
      </c>
      <c r="D49" s="122">
        <f t="shared" si="0"/>
        <v>3.3862691824031411E-3</v>
      </c>
      <c r="E49" s="122">
        <f t="shared" si="0"/>
        <v>3.3862691824031407E-3</v>
      </c>
      <c r="F49" s="122">
        <f t="shared" si="0"/>
        <v>3.3862691824031407E-3</v>
      </c>
      <c r="G49" s="122">
        <f t="shared" si="0"/>
        <v>3.3862691824031402E-3</v>
      </c>
      <c r="H49" s="96"/>
      <c r="I49" s="184"/>
      <c r="J49" s="72"/>
      <c r="K49" s="241"/>
    </row>
    <row r="50" spans="2:11">
      <c r="B50" s="76" t="s">
        <v>23</v>
      </c>
      <c r="C50" s="116" t="s">
        <v>234</v>
      </c>
      <c r="D50" s="122">
        <f t="shared" si="0"/>
        <v>4.6837408023728819E-4</v>
      </c>
      <c r="E50" s="122">
        <f t="shared" si="0"/>
        <v>4.6837408023728819E-4</v>
      </c>
      <c r="F50" s="122">
        <f t="shared" si="0"/>
        <v>4.6837408023728819E-4</v>
      </c>
      <c r="G50" s="122">
        <f t="shared" si="0"/>
        <v>4.6837408023728819E-4</v>
      </c>
      <c r="H50" s="123"/>
      <c r="I50" s="184"/>
      <c r="J50" s="72"/>
      <c r="K50" s="241"/>
    </row>
    <row r="51" spans="2:11">
      <c r="B51" s="76" t="s">
        <v>116</v>
      </c>
      <c r="C51" s="116" t="s">
        <v>234</v>
      </c>
      <c r="D51" s="122">
        <f t="shared" si="0"/>
        <v>0.34889924166526276</v>
      </c>
      <c r="E51" s="122">
        <f t="shared" si="0"/>
        <v>3.6446302941253436E-2</v>
      </c>
      <c r="F51" s="122">
        <f t="shared" si="0"/>
        <v>3.6446302941253436E-2</v>
      </c>
      <c r="G51" s="122">
        <f t="shared" si="0"/>
        <v>3.6446302941253436E-2</v>
      </c>
      <c r="H51" s="96"/>
      <c r="I51" s="184"/>
      <c r="J51" s="72"/>
      <c r="K51" s="241"/>
    </row>
    <row r="52" spans="2:11">
      <c r="B52" s="76" t="s">
        <v>24</v>
      </c>
      <c r="C52" s="116" t="s">
        <v>234</v>
      </c>
      <c r="D52" s="122">
        <f t="shared" si="0"/>
        <v>3.2979813853448933E-3</v>
      </c>
      <c r="E52" s="122">
        <f t="shared" si="0"/>
        <v>3.606443341182961E-4</v>
      </c>
      <c r="F52" s="122">
        <f t="shared" si="0"/>
        <v>3.6064433411829615E-4</v>
      </c>
      <c r="G52" s="122">
        <f t="shared" si="0"/>
        <v>3.6064433411829615E-4</v>
      </c>
      <c r="H52" s="96"/>
      <c r="I52" s="184"/>
      <c r="J52" s="72"/>
      <c r="K52" s="241"/>
    </row>
    <row r="53" spans="2:11">
      <c r="B53" s="76"/>
      <c r="C53" s="116"/>
      <c r="D53" s="120"/>
      <c r="E53" s="75"/>
      <c r="F53" s="75"/>
      <c r="G53" s="75"/>
      <c r="H53" s="96"/>
      <c r="I53" s="184"/>
      <c r="J53" s="72"/>
      <c r="K53" s="241"/>
    </row>
    <row r="54" spans="2:11">
      <c r="B54" s="121" t="s">
        <v>31</v>
      </c>
      <c r="C54" s="116"/>
      <c r="D54" s="132"/>
      <c r="E54" s="96"/>
      <c r="F54" s="96"/>
      <c r="G54" s="96"/>
      <c r="H54" s="118"/>
      <c r="I54" s="184"/>
      <c r="J54" s="72"/>
      <c r="K54" s="241"/>
    </row>
    <row r="55" spans="2:11">
      <c r="B55" s="76" t="s">
        <v>20</v>
      </c>
      <c r="C55" s="116" t="s">
        <v>234</v>
      </c>
      <c r="D55" s="252"/>
      <c r="E55" s="119"/>
      <c r="F55" s="119"/>
      <c r="G55" s="119"/>
      <c r="H55" s="194"/>
      <c r="I55" s="184"/>
      <c r="J55" s="117" t="s">
        <v>115</v>
      </c>
      <c r="K55" s="241"/>
    </row>
    <row r="56" spans="2:11">
      <c r="B56" s="76" t="s">
        <v>21</v>
      </c>
      <c r="C56" s="116" t="s">
        <v>234</v>
      </c>
      <c r="D56" s="115">
        <f t="shared" ref="D56:G60" si="1">D48</f>
        <v>5.70067229895981E-4</v>
      </c>
      <c r="E56" s="115">
        <f t="shared" si="1"/>
        <v>1.6299243669067753E-4</v>
      </c>
      <c r="F56" s="115">
        <f t="shared" si="1"/>
        <v>1.6299243669067753E-4</v>
      </c>
      <c r="G56" s="115">
        <f t="shared" si="1"/>
        <v>1.6299243669067753E-4</v>
      </c>
      <c r="H56" s="194"/>
      <c r="I56" s="184"/>
      <c r="J56" s="72"/>
      <c r="K56" s="241"/>
    </row>
    <row r="57" spans="2:11">
      <c r="B57" s="76" t="s">
        <v>22</v>
      </c>
      <c r="C57" s="116" t="s">
        <v>234</v>
      </c>
      <c r="D57" s="115">
        <f t="shared" si="1"/>
        <v>3.3862691824031411E-3</v>
      </c>
      <c r="E57" s="115">
        <f t="shared" si="1"/>
        <v>3.3862691824031407E-3</v>
      </c>
      <c r="F57" s="115">
        <f t="shared" si="1"/>
        <v>3.3862691824031407E-3</v>
      </c>
      <c r="G57" s="115">
        <f t="shared" si="1"/>
        <v>3.3862691824031402E-3</v>
      </c>
      <c r="H57" s="194"/>
      <c r="I57" s="184"/>
      <c r="J57" s="72"/>
      <c r="K57" s="241"/>
    </row>
    <row r="58" spans="2:11">
      <c r="B58" s="76" t="s">
        <v>23</v>
      </c>
      <c r="C58" s="116" t="s">
        <v>234</v>
      </c>
      <c r="D58" s="115">
        <f t="shared" si="1"/>
        <v>4.6837408023728819E-4</v>
      </c>
      <c r="E58" s="115">
        <f t="shared" si="1"/>
        <v>4.6837408023728819E-4</v>
      </c>
      <c r="F58" s="115">
        <f t="shared" si="1"/>
        <v>4.6837408023728819E-4</v>
      </c>
      <c r="G58" s="115">
        <f t="shared" si="1"/>
        <v>4.6837408023728819E-4</v>
      </c>
      <c r="H58" s="194"/>
      <c r="I58" s="184"/>
      <c r="J58" s="72"/>
      <c r="K58" s="241"/>
    </row>
    <row r="59" spans="2:11">
      <c r="B59" s="76" t="s">
        <v>116</v>
      </c>
      <c r="C59" s="116" t="s">
        <v>234</v>
      </c>
      <c r="D59" s="115">
        <f t="shared" si="1"/>
        <v>0.34889924166526276</v>
      </c>
      <c r="E59" s="115">
        <f t="shared" si="1"/>
        <v>3.6446302941253436E-2</v>
      </c>
      <c r="F59" s="115">
        <f t="shared" si="1"/>
        <v>3.6446302941253436E-2</v>
      </c>
      <c r="G59" s="115">
        <f t="shared" si="1"/>
        <v>3.6446302941253436E-2</v>
      </c>
      <c r="H59" s="194"/>
      <c r="I59" s="184"/>
      <c r="J59" s="72"/>
      <c r="K59" s="241"/>
    </row>
    <row r="60" spans="2:11">
      <c r="B60" s="76" t="s">
        <v>24</v>
      </c>
      <c r="C60" s="116" t="s">
        <v>234</v>
      </c>
      <c r="D60" s="115">
        <f t="shared" si="1"/>
        <v>3.2979813853448933E-3</v>
      </c>
      <c r="E60" s="115">
        <f t="shared" si="1"/>
        <v>3.606443341182961E-4</v>
      </c>
      <c r="F60" s="115">
        <f t="shared" si="1"/>
        <v>3.6064433411829615E-4</v>
      </c>
      <c r="G60" s="115">
        <f t="shared" si="1"/>
        <v>3.6064433411829615E-4</v>
      </c>
      <c r="H60" s="133"/>
      <c r="I60" s="184"/>
      <c r="J60" s="72"/>
      <c r="K60" s="241"/>
    </row>
    <row r="61" spans="2:11" ht="14.4" thickBot="1">
      <c r="B61" s="113"/>
      <c r="C61" s="112"/>
      <c r="D61" s="111"/>
      <c r="E61" s="70"/>
      <c r="F61" s="70"/>
      <c r="G61" s="70"/>
      <c r="H61" s="70"/>
      <c r="I61" s="190"/>
      <c r="J61" s="88"/>
      <c r="K61" s="241"/>
    </row>
    <row r="62" spans="2:11">
      <c r="K62" s="241"/>
    </row>
    <row r="63" spans="2:11">
      <c r="K63" s="241"/>
    </row>
    <row r="64" spans="2:11" ht="16.2" thickBot="1">
      <c r="B64" s="87" t="s">
        <v>117</v>
      </c>
      <c r="K64" s="241"/>
    </row>
    <row r="65" spans="2:11">
      <c r="B65" s="86"/>
      <c r="C65" s="108"/>
      <c r="D65" s="83"/>
      <c r="E65" s="83"/>
      <c r="F65" s="83"/>
      <c r="G65" s="83"/>
      <c r="H65" s="83"/>
      <c r="I65" s="83"/>
      <c r="J65" s="81"/>
      <c r="K65" s="241"/>
    </row>
    <row r="66" spans="2:11">
      <c r="B66" s="107"/>
      <c r="C66" s="106" t="s">
        <v>99</v>
      </c>
      <c r="D66" s="105">
        <v>2015</v>
      </c>
      <c r="E66" s="104">
        <v>2020</v>
      </c>
      <c r="F66" s="104">
        <v>2035</v>
      </c>
      <c r="G66" s="104">
        <v>2050</v>
      </c>
      <c r="H66" s="104"/>
      <c r="I66" s="150"/>
      <c r="J66" s="102"/>
      <c r="K66" s="241"/>
    </row>
    <row r="67" spans="2:11">
      <c r="B67" s="76" t="s">
        <v>25</v>
      </c>
      <c r="C67" s="93" t="s">
        <v>152</v>
      </c>
      <c r="D67" s="251">
        <f>'EU Lastbil'!D67</f>
        <v>2.5327000000000002</v>
      </c>
      <c r="E67" s="251">
        <f>'EU Lastbil'!E67</f>
        <v>2.4180000000000001</v>
      </c>
      <c r="F67" s="251">
        <f>'EU Lastbil'!F67</f>
        <v>2.3034000000000003</v>
      </c>
      <c r="G67" s="251">
        <f>'EU Lastbil'!G67</f>
        <v>2.2607999999999997</v>
      </c>
      <c r="H67" s="251"/>
      <c r="I67" s="77" t="s">
        <v>603</v>
      </c>
      <c r="J67" s="72"/>
      <c r="K67" s="241"/>
    </row>
    <row r="68" spans="2:11">
      <c r="B68" s="76" t="s">
        <v>121</v>
      </c>
      <c r="C68" s="93" t="s">
        <v>122</v>
      </c>
      <c r="D68" s="250">
        <f>'EU Lastbil'!D68</f>
        <v>50000</v>
      </c>
      <c r="E68" s="250">
        <f>'EU Lastbil'!E68</f>
        <v>50000</v>
      </c>
      <c r="F68" s="250">
        <f>'EU Lastbil'!F68</f>
        <v>50000</v>
      </c>
      <c r="G68" s="250">
        <f>'EU Lastbil'!G68</f>
        <v>50000</v>
      </c>
      <c r="H68" s="250"/>
      <c r="I68" s="97" t="s">
        <v>272</v>
      </c>
      <c r="J68" s="72"/>
      <c r="K68" s="241"/>
    </row>
    <row r="69" spans="2:11">
      <c r="B69" s="76" t="s">
        <v>124</v>
      </c>
      <c r="C69" s="199" t="s">
        <v>36</v>
      </c>
      <c r="D69" s="248">
        <f>'EU Lastbil'!D69</f>
        <v>3.12</v>
      </c>
      <c r="E69" s="248">
        <f>'EU Lastbil'!E69</f>
        <v>3.12</v>
      </c>
      <c r="F69" s="248">
        <f>'EU Lastbil'!F69</f>
        <v>3.12</v>
      </c>
      <c r="G69" s="248">
        <f>'EU Lastbil'!G69</f>
        <v>3.12</v>
      </c>
      <c r="H69" s="249"/>
      <c r="I69" s="97" t="s">
        <v>272</v>
      </c>
      <c r="J69" s="117"/>
      <c r="K69" s="241"/>
    </row>
    <row r="70" spans="2:11">
      <c r="B70" s="163" t="s">
        <v>163</v>
      </c>
      <c r="C70" s="199" t="s">
        <v>164</v>
      </c>
      <c r="D70" s="263">
        <v>1.442482725944644</v>
      </c>
      <c r="E70" s="263">
        <v>1.5896013234077748</v>
      </c>
      <c r="F70" s="263">
        <v>1.8339046626725708</v>
      </c>
      <c r="G70" s="263">
        <v>2.0367905166312812</v>
      </c>
      <c r="H70" s="247"/>
      <c r="I70" s="97"/>
      <c r="J70" s="72"/>
      <c r="K70" s="241"/>
    </row>
    <row r="71" spans="2:11">
      <c r="B71" s="163" t="s">
        <v>165</v>
      </c>
      <c r="C71" s="199" t="s">
        <v>26</v>
      </c>
      <c r="D71" s="246">
        <v>0.192</v>
      </c>
      <c r="E71" s="246">
        <v>0.20200000000000001</v>
      </c>
      <c r="F71" s="246">
        <v>0.222</v>
      </c>
      <c r="G71" s="246">
        <v>0.24199999999999999</v>
      </c>
      <c r="H71" s="246"/>
      <c r="I71" s="77" t="s">
        <v>603</v>
      </c>
      <c r="J71" s="117"/>
      <c r="K71" s="241"/>
    </row>
    <row r="72" spans="2:11" ht="14.4" thickBot="1">
      <c r="B72" s="245"/>
      <c r="C72" s="244"/>
      <c r="D72" s="243"/>
      <c r="E72" s="243"/>
      <c r="F72" s="243"/>
      <c r="G72" s="243"/>
      <c r="H72" s="243"/>
      <c r="I72" s="97"/>
      <c r="J72" s="88"/>
      <c r="K72" s="241"/>
    </row>
    <row r="73" spans="2:11">
      <c r="D73" s="189"/>
      <c r="E73" s="189"/>
      <c r="F73" s="189"/>
      <c r="G73" s="189"/>
      <c r="H73" s="189"/>
      <c r="K73" s="241"/>
    </row>
    <row r="74" spans="2:11" ht="16.2" thickBot="1">
      <c r="B74" s="87" t="s">
        <v>126</v>
      </c>
      <c r="K74" s="241"/>
    </row>
    <row r="75" spans="2:11">
      <c r="B75" s="86" t="s">
        <v>150</v>
      </c>
      <c r="C75" s="83"/>
      <c r="D75" s="180">
        <f>D67/D71</f>
        <v>13.191145833333334</v>
      </c>
      <c r="E75" s="180">
        <f>E67/E71</f>
        <v>11.970297029702971</v>
      </c>
      <c r="F75" s="180">
        <f>F67/F71</f>
        <v>10.375675675675677</v>
      </c>
      <c r="G75" s="180">
        <f>G67/G71</f>
        <v>9.3421487603305771</v>
      </c>
      <c r="H75" s="180"/>
      <c r="I75" s="77" t="s">
        <v>603</v>
      </c>
      <c r="J75" s="81"/>
      <c r="K75" s="241"/>
    </row>
    <row r="76" spans="2:11">
      <c r="B76" s="76"/>
      <c r="C76" s="75"/>
      <c r="D76" s="242"/>
      <c r="E76" s="242"/>
      <c r="F76" s="242"/>
      <c r="G76" s="242"/>
      <c r="H76" s="242"/>
      <c r="I76" s="75"/>
      <c r="J76" s="72"/>
      <c r="K76" s="241"/>
    </row>
    <row r="77" spans="2:11">
      <c r="B77" s="76" t="s">
        <v>20</v>
      </c>
      <c r="C77" s="75" t="s">
        <v>27</v>
      </c>
      <c r="D77" s="262"/>
      <c r="E77" s="262"/>
      <c r="F77" s="262"/>
      <c r="G77" s="262"/>
      <c r="H77" s="262"/>
      <c r="I77" s="75"/>
      <c r="J77" s="72"/>
      <c r="K77" s="241"/>
    </row>
    <row r="78" spans="2:11">
      <c r="B78" s="76" t="s">
        <v>21</v>
      </c>
      <c r="C78" s="75" t="s">
        <v>27</v>
      </c>
      <c r="D78" s="262">
        <f t="shared" ref="D78:G82" si="2">D88/1000*D$75</f>
        <v>7.519839964362245E-3</v>
      </c>
      <c r="E78" s="262">
        <f t="shared" si="2"/>
        <v>1.9510678807824668E-3</v>
      </c>
      <c r="F78" s="262">
        <f t="shared" si="2"/>
        <v>1.6911566606905705E-3</v>
      </c>
      <c r="G78" s="262">
        <f t="shared" si="2"/>
        <v>1.5226995903730731E-3</v>
      </c>
      <c r="H78" s="262"/>
      <c r="I78" s="75"/>
      <c r="J78" s="72"/>
      <c r="K78" s="241"/>
    </row>
    <row r="79" spans="2:11">
      <c r="B79" s="76" t="s">
        <v>22</v>
      </c>
      <c r="C79" s="75" t="s">
        <v>27</v>
      </c>
      <c r="D79" s="262">
        <f t="shared" si="2"/>
        <v>4.4668770616002267E-2</v>
      </c>
      <c r="E79" s="262">
        <f t="shared" si="2"/>
        <v>4.0534647935895021E-2</v>
      </c>
      <c r="F79" s="262">
        <f t="shared" si="2"/>
        <v>3.5134830787150427E-2</v>
      </c>
      <c r="G79" s="262">
        <f t="shared" si="2"/>
        <v>3.1635030444533134E-2</v>
      </c>
      <c r="H79" s="262"/>
      <c r="I79" s="75"/>
      <c r="J79" s="72"/>
      <c r="K79" s="241"/>
    </row>
    <row r="80" spans="2:11">
      <c r="B80" s="76" t="s">
        <v>23</v>
      </c>
      <c r="C80" s="75" t="s">
        <v>27</v>
      </c>
      <c r="D80" s="262">
        <f t="shared" si="2"/>
        <v>6.1783907969634368E-3</v>
      </c>
      <c r="E80" s="262">
        <f t="shared" si="2"/>
        <v>5.6065768614542719E-3</v>
      </c>
      <c r="F80" s="262">
        <f t="shared" si="2"/>
        <v>4.8596975514349989E-3</v>
      </c>
      <c r="G80" s="262">
        <f t="shared" si="2"/>
        <v>4.3756203330597562E-3</v>
      </c>
      <c r="H80" s="262"/>
      <c r="I80" s="75"/>
      <c r="J80" s="72"/>
      <c r="K80" s="241"/>
    </row>
    <row r="81" spans="2:11">
      <c r="B81" s="163" t="s">
        <v>37</v>
      </c>
      <c r="C81" s="75" t="s">
        <v>27</v>
      </c>
      <c r="D81" s="262">
        <f t="shared" si="2"/>
        <v>4.602380777945891</v>
      </c>
      <c r="E81" s="262">
        <f t="shared" si="2"/>
        <v>0.43627307184134068</v>
      </c>
      <c r="F81" s="262">
        <f t="shared" si="2"/>
        <v>0.37815501889587017</v>
      </c>
      <c r="G81" s="262">
        <f t="shared" si="2"/>
        <v>0.34048678384126346</v>
      </c>
      <c r="H81" s="262"/>
      <c r="I81" s="75"/>
      <c r="J81" s="117"/>
      <c r="K81" s="241"/>
    </row>
    <row r="82" spans="2:11">
      <c r="B82" s="76" t="s">
        <v>24</v>
      </c>
      <c r="C82" s="75" t="s">
        <v>27</v>
      </c>
      <c r="D82" s="262">
        <f t="shared" si="2"/>
        <v>4.3504153409703185E-2</v>
      </c>
      <c r="E82" s="262">
        <f t="shared" si="2"/>
        <v>4.317019801475446E-3</v>
      </c>
      <c r="F82" s="262">
        <f t="shared" si="2"/>
        <v>3.7419286450814568E-3</v>
      </c>
      <c r="G82" s="262">
        <f t="shared" si="2"/>
        <v>3.3691930189034868E-3</v>
      </c>
      <c r="H82" s="262"/>
      <c r="I82" s="75"/>
      <c r="J82" s="117"/>
    </row>
    <row r="83" spans="2:11" ht="14.4" thickBot="1">
      <c r="B83" s="71"/>
      <c r="C83" s="70"/>
      <c r="D83" s="239"/>
      <c r="E83" s="239"/>
      <c r="F83" s="239"/>
      <c r="G83" s="239"/>
      <c r="H83" s="239"/>
      <c r="I83" s="70"/>
      <c r="J83" s="88"/>
    </row>
    <row r="85" spans="2:11" ht="14.4" thickBot="1">
      <c r="B85" s="152" t="s">
        <v>172</v>
      </c>
    </row>
    <row r="86" spans="2:11">
      <c r="B86" s="86"/>
      <c r="C86" s="83"/>
      <c r="D86" s="238">
        <v>2015</v>
      </c>
      <c r="E86" s="238">
        <v>2020</v>
      </c>
      <c r="F86" s="238">
        <v>2035</v>
      </c>
      <c r="G86" s="238">
        <v>2050</v>
      </c>
      <c r="H86" s="261"/>
    </row>
    <row r="87" spans="2:11">
      <c r="B87" s="237" t="s">
        <v>20</v>
      </c>
      <c r="C87" s="133" t="s">
        <v>173</v>
      </c>
      <c r="D87" s="235"/>
      <c r="E87" s="235"/>
      <c r="F87" s="235"/>
      <c r="G87" s="235"/>
      <c r="H87" s="259"/>
    </row>
    <row r="88" spans="2:11">
      <c r="B88" s="237" t="s">
        <v>21</v>
      </c>
      <c r="C88" s="75" t="s">
        <v>173</v>
      </c>
      <c r="D88" s="236">
        <f>'EU Lastbil'!D88</f>
        <v>0.57006722989598102</v>
      </c>
      <c r="E88" s="236">
        <f>'EU Lastbil'!E88</f>
        <v>0.16299243669067753</v>
      </c>
      <c r="F88" s="236">
        <f>'EU Lastbil'!F88</f>
        <v>0.16299243669067753</v>
      </c>
      <c r="G88" s="236">
        <f>'EU Lastbil'!G88</f>
        <v>0.16299243669067753</v>
      </c>
      <c r="H88" s="260"/>
    </row>
    <row r="89" spans="2:11">
      <c r="B89" s="237" t="s">
        <v>22</v>
      </c>
      <c r="C89" s="75" t="s">
        <v>173</v>
      </c>
      <c r="D89" s="236">
        <f>'EU Lastbil'!D89</f>
        <v>3.3862691824031406</v>
      </c>
      <c r="E89" s="236">
        <f>'EU Lastbil'!E89</f>
        <v>3.3862691824031406</v>
      </c>
      <c r="F89" s="236">
        <f>'EU Lastbil'!F89</f>
        <v>3.3862691824031406</v>
      </c>
      <c r="G89" s="236">
        <f>'EU Lastbil'!G89</f>
        <v>3.3862691824031406</v>
      </c>
      <c r="H89" s="260"/>
    </row>
    <row r="90" spans="2:11">
      <c r="B90" s="237" t="s">
        <v>23</v>
      </c>
      <c r="C90" s="75" t="s">
        <v>173</v>
      </c>
      <c r="D90" s="236">
        <f>'EU Lastbil'!D90</f>
        <v>0.46837408023728822</v>
      </c>
      <c r="E90" s="236">
        <f>'EU Lastbil'!E90</f>
        <v>0.46837408023728822</v>
      </c>
      <c r="F90" s="236">
        <f>'EU Lastbil'!F90</f>
        <v>0.46837408023728822</v>
      </c>
      <c r="G90" s="236">
        <f>'EU Lastbil'!G90</f>
        <v>0.46837408023728822</v>
      </c>
      <c r="H90" s="260"/>
    </row>
    <row r="91" spans="2:11">
      <c r="B91" s="131" t="s">
        <v>37</v>
      </c>
      <c r="C91" s="75" t="s">
        <v>173</v>
      </c>
      <c r="D91" s="235">
        <f>'EU Lastbil'!D91</f>
        <v>348.89924166526276</v>
      </c>
      <c r="E91" s="235">
        <f>'EU Lastbil'!E91</f>
        <v>36.446302941253435</v>
      </c>
      <c r="F91" s="235">
        <f>'EU Lastbil'!F91</f>
        <v>36.446302941253435</v>
      </c>
      <c r="G91" s="235">
        <f>'EU Lastbil'!G91</f>
        <v>36.446302941253435</v>
      </c>
      <c r="H91" s="259"/>
    </row>
    <row r="92" spans="2:11" ht="14.4" thickBot="1">
      <c r="B92" s="234" t="s">
        <v>24</v>
      </c>
      <c r="C92" s="70" t="s">
        <v>173</v>
      </c>
      <c r="D92" s="233">
        <f>'EU Lastbil'!D92</f>
        <v>3.2979813853448934</v>
      </c>
      <c r="E92" s="233">
        <f>'EU Lastbil'!E92</f>
        <v>0.36064433411829616</v>
      </c>
      <c r="F92" s="233">
        <f>'EU Lastbil'!F92</f>
        <v>0.36064433411829616</v>
      </c>
      <c r="G92" s="233">
        <f>'EU Lastbil'!G92</f>
        <v>0.36064433411829616</v>
      </c>
      <c r="H92" s="258"/>
    </row>
    <row r="95" spans="2:11">
      <c r="H95" s="66"/>
    </row>
    <row r="96" spans="2:11">
      <c r="H96" s="66"/>
    </row>
    <row r="97" spans="8:8">
      <c r="H97" s="66"/>
    </row>
    <row r="98" spans="8:8">
      <c r="H98" s="66"/>
    </row>
    <row r="99" spans="8:8">
      <c r="H99"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E00-000000000000}">
          <x14:formula1>
            <xm:f>'C:\Users\B003920\Desktop\[Kopi af alternativ_drivmiddelmodel_3.0_2.xlsm]Sheet1'!#REF!</xm:f>
          </x14:formula1>
          <xm:sqref>C9</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tabColor rgb="FF002060"/>
  </sheetPr>
  <dimension ref="A1:U121"/>
  <sheetViews>
    <sheetView topLeftCell="A19" zoomScale="80" zoomScaleNormal="80" workbookViewId="0">
      <selection activeCell="D81" sqref="D81"/>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47.33203125" style="264" customWidth="1"/>
    <col min="10" max="10" width="37.44140625" style="264" customWidth="1"/>
    <col min="11" max="21" width="9.109375" style="264"/>
    <col min="22" max="22" width="15.5546875" style="264" customWidth="1"/>
    <col min="23" max="24" width="10" style="264" customWidth="1"/>
    <col min="25" max="16384" width="9.109375" style="264"/>
  </cols>
  <sheetData>
    <row r="1" spans="1:19" s="60" customFormat="1" ht="21">
      <c r="B1" s="60" t="s">
        <v>284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c r="R4" s="63"/>
    </row>
    <row r="5" spans="1:19">
      <c r="A5" s="63"/>
      <c r="B5" s="155" t="s">
        <v>93</v>
      </c>
      <c r="C5" s="83"/>
      <c r="D5" s="83"/>
      <c r="E5" s="83"/>
      <c r="F5" s="83"/>
      <c r="G5" s="83"/>
      <c r="H5" s="83"/>
      <c r="I5" s="83"/>
      <c r="J5" s="83"/>
      <c r="K5" s="83"/>
      <c r="L5" s="83"/>
      <c r="M5" s="83"/>
      <c r="N5" s="83"/>
      <c r="O5" s="81"/>
      <c r="P5" s="63"/>
      <c r="Q5" s="63"/>
      <c r="R5" s="63"/>
    </row>
    <row r="6" spans="1:19">
      <c r="A6" s="63"/>
      <c r="B6" s="131" t="s">
        <v>283</v>
      </c>
      <c r="C6" s="75"/>
      <c r="D6" s="75"/>
      <c r="E6" s="75"/>
      <c r="F6" s="75"/>
      <c r="G6" s="75"/>
      <c r="H6" s="75"/>
      <c r="I6" s="75"/>
      <c r="J6" s="75"/>
      <c r="K6" s="75"/>
      <c r="L6" s="75"/>
      <c r="M6" s="75"/>
      <c r="N6" s="75"/>
      <c r="O6" s="72"/>
      <c r="P6" s="63"/>
      <c r="Q6" s="63"/>
      <c r="R6" s="63"/>
    </row>
    <row r="7" spans="1:19">
      <c r="A7" s="63"/>
      <c r="B7" s="131" t="s">
        <v>282</v>
      </c>
      <c r="C7" s="75"/>
      <c r="D7" s="75"/>
      <c r="E7" s="75"/>
      <c r="F7" s="75"/>
      <c r="G7" s="75"/>
      <c r="H7" s="75"/>
      <c r="I7" s="75"/>
      <c r="J7" s="75"/>
      <c r="K7" s="75"/>
      <c r="L7" s="75"/>
      <c r="M7" s="75"/>
      <c r="N7" s="75"/>
      <c r="O7" s="72"/>
      <c r="P7" s="63"/>
      <c r="Q7" s="63"/>
      <c r="R7" s="63"/>
    </row>
    <row r="8" spans="1:19">
      <c r="A8" s="63"/>
      <c r="B8" s="131" t="s">
        <v>281</v>
      </c>
      <c r="C8" s="75"/>
      <c r="D8" s="75"/>
      <c r="E8" s="75"/>
      <c r="F8" s="75"/>
      <c r="G8" s="75"/>
      <c r="H8" s="75"/>
      <c r="I8" s="75"/>
      <c r="J8" s="75"/>
      <c r="K8" s="75"/>
      <c r="L8" s="75"/>
      <c r="M8" s="75"/>
      <c r="N8" s="75"/>
      <c r="O8" s="72"/>
      <c r="P8" s="63"/>
      <c r="Q8" s="63"/>
      <c r="R8" s="63"/>
    </row>
    <row r="9" spans="1:19">
      <c r="A9" s="63"/>
      <c r="B9" s="154" t="s">
        <v>233</v>
      </c>
      <c r="C9" s="59" t="s">
        <v>232</v>
      </c>
      <c r="D9" s="75"/>
      <c r="E9" s="75"/>
      <c r="F9" s="75"/>
      <c r="G9" s="75"/>
      <c r="H9" s="75"/>
      <c r="I9" s="75"/>
      <c r="J9" s="75"/>
      <c r="K9" s="75"/>
      <c r="L9" s="75"/>
      <c r="M9" s="75"/>
      <c r="N9" s="75"/>
      <c r="O9" s="72"/>
      <c r="P9" s="63"/>
      <c r="Q9" s="63"/>
      <c r="R9" s="63"/>
    </row>
    <row r="10" spans="1:19">
      <c r="A10" s="63"/>
      <c r="B10" s="131"/>
      <c r="C10" s="75"/>
      <c r="D10" s="75"/>
      <c r="E10" s="75"/>
      <c r="F10" s="75"/>
      <c r="G10" s="75"/>
      <c r="H10" s="75"/>
      <c r="I10" s="75"/>
      <c r="J10" s="75"/>
      <c r="K10" s="75"/>
      <c r="L10" s="75"/>
      <c r="M10" s="75"/>
      <c r="N10" s="75"/>
      <c r="O10" s="72"/>
      <c r="P10" s="63"/>
      <c r="Q10" s="63"/>
      <c r="R10" s="63"/>
    </row>
    <row r="11" spans="1:19">
      <c r="A11" s="63"/>
      <c r="B11" s="153" t="s">
        <v>94</v>
      </c>
      <c r="C11" s="75"/>
      <c r="D11" s="75"/>
      <c r="E11" s="75"/>
      <c r="F11" s="75"/>
      <c r="G11" s="75"/>
      <c r="H11" s="75"/>
      <c r="I11" s="75"/>
      <c r="J11" s="75"/>
      <c r="K11" s="75"/>
      <c r="L11" s="75"/>
      <c r="M11" s="75"/>
      <c r="N11" s="75"/>
      <c r="O11" s="72"/>
      <c r="P11" s="63"/>
      <c r="Q11" s="63"/>
      <c r="R11" s="63"/>
    </row>
    <row r="12" spans="1:19">
      <c r="A12" s="63"/>
      <c r="B12" s="131" t="s">
        <v>280</v>
      </c>
      <c r="C12" s="75"/>
      <c r="D12" s="75"/>
      <c r="E12" s="75"/>
      <c r="F12" s="75"/>
      <c r="G12" s="75"/>
      <c r="H12" s="75"/>
      <c r="I12" s="75"/>
      <c r="J12" s="75"/>
      <c r="K12" s="75"/>
      <c r="L12" s="75"/>
      <c r="M12" s="75"/>
      <c r="N12" s="75"/>
      <c r="O12" s="72"/>
      <c r="P12" s="63"/>
      <c r="Q12" s="63"/>
      <c r="R12" s="63"/>
    </row>
    <row r="13" spans="1:19">
      <c r="A13" s="63"/>
      <c r="B13" s="131" t="s">
        <v>279</v>
      </c>
      <c r="C13" s="75"/>
      <c r="D13" s="75"/>
      <c r="E13" s="75"/>
      <c r="F13" s="75"/>
      <c r="G13" s="75"/>
      <c r="H13" s="75"/>
      <c r="I13" s="75"/>
      <c r="J13" s="75"/>
      <c r="K13" s="75"/>
      <c r="L13" s="75"/>
      <c r="M13" s="75"/>
      <c r="N13" s="75"/>
      <c r="O13" s="72"/>
      <c r="P13" s="63"/>
      <c r="Q13" s="63"/>
      <c r="R13" s="63"/>
    </row>
    <row r="14" spans="1:19">
      <c r="A14" s="63"/>
      <c r="B14" s="153" t="s">
        <v>95</v>
      </c>
      <c r="C14" s="75"/>
      <c r="D14" s="75"/>
      <c r="E14" s="75"/>
      <c r="F14" s="75"/>
      <c r="G14" s="75"/>
      <c r="H14" s="75"/>
      <c r="I14" s="75"/>
      <c r="J14" s="75"/>
      <c r="K14" s="75"/>
      <c r="L14" s="75"/>
      <c r="M14" s="75"/>
      <c r="N14" s="75"/>
      <c r="O14" s="72"/>
      <c r="P14" s="63"/>
      <c r="Q14" s="63"/>
      <c r="R14" s="63"/>
    </row>
    <row r="15" spans="1:19">
      <c r="A15" s="63"/>
      <c r="B15" s="131"/>
      <c r="C15" s="75"/>
      <c r="D15" s="75"/>
      <c r="E15" s="75"/>
      <c r="F15" s="75"/>
      <c r="G15" s="75"/>
      <c r="H15" s="75"/>
      <c r="I15" s="75"/>
      <c r="J15" s="75"/>
      <c r="K15" s="75"/>
      <c r="L15" s="75"/>
      <c r="M15" s="75"/>
      <c r="N15" s="75"/>
      <c r="O15" s="72"/>
      <c r="P15" s="63"/>
      <c r="Q15" s="63"/>
      <c r="R15" s="63"/>
    </row>
    <row r="16" spans="1:19">
      <c r="A16" s="63"/>
      <c r="B16" s="126"/>
      <c r="C16" s="75"/>
      <c r="D16" s="75"/>
      <c r="E16" s="75"/>
      <c r="F16" s="75"/>
      <c r="G16" s="75"/>
      <c r="H16" s="75"/>
      <c r="I16" s="75"/>
      <c r="J16" s="75"/>
      <c r="K16" s="75"/>
      <c r="L16" s="75"/>
      <c r="M16" s="75"/>
      <c r="N16" s="75"/>
      <c r="O16" s="72"/>
      <c r="P16" s="63"/>
      <c r="Q16" s="63"/>
      <c r="R16" s="63"/>
    </row>
    <row r="17" spans="1:18" ht="14.4" thickBot="1">
      <c r="A17" s="63"/>
      <c r="B17" s="71"/>
      <c r="C17" s="70"/>
      <c r="D17" s="70"/>
      <c r="E17" s="70"/>
      <c r="F17" s="70"/>
      <c r="G17" s="70"/>
      <c r="H17" s="70"/>
      <c r="I17" s="70"/>
      <c r="J17" s="70"/>
      <c r="K17" s="70"/>
      <c r="L17" s="70"/>
      <c r="M17" s="70"/>
      <c r="N17" s="70"/>
      <c r="O17" s="88"/>
      <c r="P17" s="63"/>
      <c r="Q17" s="63"/>
      <c r="R17" s="63"/>
    </row>
    <row r="18" spans="1:18">
      <c r="A18" s="63"/>
      <c r="B18" s="63"/>
      <c r="C18" s="63"/>
      <c r="D18" s="63"/>
      <c r="E18" s="63"/>
      <c r="F18" s="63"/>
      <c r="G18" s="63"/>
      <c r="I18" s="63"/>
      <c r="J18" s="63"/>
      <c r="K18" s="63"/>
      <c r="L18" s="63"/>
      <c r="M18" s="63"/>
      <c r="N18" s="63"/>
      <c r="O18" s="63"/>
      <c r="P18" s="63"/>
      <c r="Q18" s="63"/>
      <c r="R18" s="63"/>
    </row>
    <row r="19" spans="1:18" ht="14.4" thickBot="1">
      <c r="A19" s="63"/>
      <c r="B19" s="152" t="s">
        <v>96</v>
      </c>
      <c r="C19" s="63"/>
      <c r="D19" s="63"/>
      <c r="E19" s="151"/>
      <c r="F19" s="151"/>
      <c r="G19" s="151"/>
      <c r="I19" s="63"/>
      <c r="J19" s="63"/>
      <c r="K19" s="63"/>
      <c r="L19" s="63"/>
      <c r="M19" s="63"/>
      <c r="N19" s="63"/>
      <c r="O19" s="63"/>
      <c r="P19" s="63"/>
      <c r="Q19" s="63"/>
      <c r="R19" s="63"/>
    </row>
    <row r="20" spans="1:18">
      <c r="A20" s="63"/>
      <c r="B20" s="86"/>
      <c r="C20" s="108"/>
      <c r="D20" s="166"/>
      <c r="E20" s="83"/>
      <c r="F20" s="83"/>
      <c r="G20" s="83"/>
      <c r="H20" s="83"/>
      <c r="I20" s="83" t="s">
        <v>97</v>
      </c>
      <c r="J20" s="81" t="s">
        <v>98</v>
      </c>
      <c r="K20" s="63"/>
      <c r="L20" s="63"/>
      <c r="M20" s="63"/>
      <c r="N20" s="63"/>
      <c r="O20" s="63"/>
      <c r="P20" s="63"/>
      <c r="Q20" s="63"/>
      <c r="R20" s="63"/>
    </row>
    <row r="21" spans="1:18">
      <c r="A21" s="63"/>
      <c r="B21" s="107"/>
      <c r="C21" s="106" t="s">
        <v>99</v>
      </c>
      <c r="D21" s="105">
        <v>2015</v>
      </c>
      <c r="E21" s="104">
        <v>2020</v>
      </c>
      <c r="F21" s="104">
        <v>2035</v>
      </c>
      <c r="G21" s="104">
        <v>2050</v>
      </c>
      <c r="H21" s="104" t="s">
        <v>100</v>
      </c>
      <c r="I21" s="150"/>
      <c r="J21" s="102"/>
      <c r="K21" s="63"/>
      <c r="L21" s="63"/>
      <c r="M21" s="63"/>
      <c r="N21" s="63"/>
      <c r="O21" s="63"/>
      <c r="P21" s="63"/>
      <c r="Q21" s="63"/>
      <c r="R21" s="63"/>
    </row>
    <row r="22" spans="1:18">
      <c r="A22" s="63"/>
      <c r="B22" s="126" t="s">
        <v>101</v>
      </c>
      <c r="C22" s="116"/>
      <c r="D22" s="178"/>
      <c r="E22" s="149"/>
      <c r="F22" s="149"/>
      <c r="G22" s="149"/>
      <c r="H22" s="149"/>
      <c r="I22" s="75"/>
      <c r="J22" s="72"/>
      <c r="K22" s="63"/>
      <c r="L22" s="63"/>
      <c r="M22" s="63"/>
      <c r="N22" s="63"/>
      <c r="O22" s="63"/>
      <c r="P22" s="63"/>
      <c r="Q22" s="63"/>
      <c r="R22" s="63"/>
    </row>
    <row r="23" spans="1:18">
      <c r="A23" s="63"/>
      <c r="B23" s="143" t="s">
        <v>102</v>
      </c>
      <c r="C23" s="116" t="s">
        <v>133</v>
      </c>
      <c r="D23" s="271">
        <f>D71</f>
        <v>0.19</v>
      </c>
      <c r="E23" s="270">
        <f>E71</f>
        <v>0.2</v>
      </c>
      <c r="F23" s="270">
        <f>F71</f>
        <v>0.22</v>
      </c>
      <c r="G23" s="270">
        <f>G71</f>
        <v>0.24</v>
      </c>
      <c r="H23" s="145"/>
      <c r="I23" s="184"/>
      <c r="J23" s="72"/>
      <c r="K23" s="241"/>
      <c r="L23" s="63"/>
      <c r="M23" s="63"/>
      <c r="N23" s="63"/>
      <c r="O23" s="63"/>
      <c r="P23" s="63"/>
      <c r="Q23" s="63"/>
      <c r="R23" s="63"/>
    </row>
    <row r="24" spans="1:18">
      <c r="A24" s="63"/>
      <c r="B24" s="143" t="s">
        <v>103</v>
      </c>
      <c r="C24" s="116" t="s">
        <v>133</v>
      </c>
      <c r="D24" s="142">
        <f>D23</f>
        <v>0.19</v>
      </c>
      <c r="E24" s="141">
        <f>E23</f>
        <v>0.2</v>
      </c>
      <c r="F24" s="141">
        <f>F23</f>
        <v>0.22</v>
      </c>
      <c r="G24" s="141">
        <f>G23</f>
        <v>0.24</v>
      </c>
      <c r="H24" s="145"/>
      <c r="I24" s="184"/>
      <c r="J24" s="72"/>
      <c r="K24" s="241"/>
      <c r="L24" s="63"/>
      <c r="M24" s="63"/>
      <c r="N24" s="63"/>
      <c r="O24" s="63"/>
      <c r="P24" s="63"/>
      <c r="Q24" s="63"/>
      <c r="R24" s="63"/>
    </row>
    <row r="25" spans="1:18">
      <c r="A25" s="63"/>
      <c r="B25" s="143" t="s">
        <v>104</v>
      </c>
      <c r="C25" s="116" t="s">
        <v>105</v>
      </c>
      <c r="D25" s="142">
        <f>D75</f>
        <v>13.33</v>
      </c>
      <c r="E25" s="141">
        <f>E75</f>
        <v>12.09</v>
      </c>
      <c r="F25" s="141">
        <f>F75</f>
        <v>10.47</v>
      </c>
      <c r="G25" s="141">
        <f>G75</f>
        <v>9.42</v>
      </c>
      <c r="H25" s="140"/>
      <c r="I25" s="184"/>
      <c r="J25" s="72"/>
      <c r="K25" s="241"/>
      <c r="L25" s="63"/>
      <c r="M25" s="63"/>
      <c r="N25" s="63"/>
      <c r="O25" s="63"/>
      <c r="P25" s="63"/>
      <c r="Q25" s="63"/>
      <c r="R25" s="63"/>
    </row>
    <row r="26" spans="1:18">
      <c r="A26" s="63"/>
      <c r="B26" s="143" t="s">
        <v>106</v>
      </c>
      <c r="C26" s="116" t="s">
        <v>105</v>
      </c>
      <c r="D26" s="142"/>
      <c r="E26" s="141"/>
      <c r="F26" s="141"/>
      <c r="G26" s="141"/>
      <c r="H26" s="140"/>
      <c r="I26" s="184"/>
      <c r="J26" s="72"/>
      <c r="K26" s="241"/>
      <c r="L26" s="63"/>
      <c r="M26" s="63"/>
      <c r="N26" s="63"/>
      <c r="O26" s="63"/>
      <c r="P26" s="63"/>
      <c r="Q26" s="63"/>
      <c r="R26" s="63"/>
    </row>
    <row r="27" spans="1:18">
      <c r="A27" s="63"/>
      <c r="B27" s="131" t="s">
        <v>107</v>
      </c>
      <c r="C27" s="116" t="s">
        <v>108</v>
      </c>
      <c r="D27" s="138">
        <v>6</v>
      </c>
      <c r="E27" s="123">
        <v>6</v>
      </c>
      <c r="F27" s="123">
        <v>6</v>
      </c>
      <c r="G27" s="123">
        <v>6</v>
      </c>
      <c r="H27" s="123"/>
      <c r="I27" s="97" t="s">
        <v>272</v>
      </c>
      <c r="J27" s="72"/>
      <c r="K27" s="241"/>
      <c r="L27" s="63"/>
      <c r="M27" s="63"/>
      <c r="N27" s="63"/>
      <c r="O27" s="63"/>
      <c r="P27" s="63"/>
      <c r="Q27" s="63"/>
      <c r="R27" s="63"/>
    </row>
    <row r="28" spans="1:18">
      <c r="A28" s="63"/>
      <c r="B28" s="131" t="s">
        <v>109</v>
      </c>
      <c r="C28" s="116" t="s">
        <v>110</v>
      </c>
      <c r="D28" s="175">
        <f>+D67*D68/1000</f>
        <v>126.63500000000002</v>
      </c>
      <c r="E28" s="137">
        <f>+E67*E68/1000</f>
        <v>120.90000000000002</v>
      </c>
      <c r="F28" s="137">
        <f>+F67*F68/1000</f>
        <v>115.17000000000002</v>
      </c>
      <c r="G28" s="137">
        <f>+G67*G68/1000</f>
        <v>113.03999999999999</v>
      </c>
      <c r="H28" s="136"/>
      <c r="I28" s="184"/>
      <c r="J28" s="72"/>
      <c r="K28" s="241"/>
      <c r="L28" s="63"/>
      <c r="M28" s="63"/>
      <c r="N28" s="63"/>
      <c r="O28" s="63"/>
      <c r="P28" s="63"/>
      <c r="Q28" s="63"/>
      <c r="R28" s="63"/>
    </row>
    <row r="29" spans="1:18">
      <c r="A29" s="63"/>
      <c r="B29" s="76"/>
      <c r="C29" s="135"/>
      <c r="D29" s="132"/>
      <c r="E29" s="96"/>
      <c r="F29" s="96"/>
      <c r="G29" s="96"/>
      <c r="H29" s="96"/>
      <c r="I29" s="75"/>
      <c r="J29" s="72"/>
      <c r="K29" s="241"/>
      <c r="L29" s="63"/>
      <c r="M29" s="63"/>
      <c r="N29" s="63"/>
      <c r="O29" s="63"/>
      <c r="P29" s="63"/>
      <c r="Q29" s="63"/>
      <c r="R29" s="63"/>
    </row>
    <row r="30" spans="1:18">
      <c r="A30" s="63"/>
      <c r="B30" s="126" t="s">
        <v>111</v>
      </c>
      <c r="C30" s="116"/>
      <c r="D30" s="132"/>
      <c r="E30" s="96"/>
      <c r="F30" s="96"/>
      <c r="G30" s="96"/>
      <c r="H30" s="96"/>
      <c r="I30" s="75"/>
      <c r="J30" s="72"/>
      <c r="K30" s="241"/>
      <c r="L30" s="63"/>
      <c r="M30" s="63"/>
      <c r="N30" s="63"/>
      <c r="O30" s="63"/>
      <c r="P30" s="63"/>
      <c r="Q30" s="63"/>
      <c r="R30" s="63"/>
    </row>
    <row r="31" spans="1:18" s="63" customFormat="1">
      <c r="B31" s="131" t="s">
        <v>112</v>
      </c>
      <c r="C31" s="116" t="s">
        <v>15</v>
      </c>
      <c r="D31" s="134">
        <v>790278.38024566823</v>
      </c>
      <c r="E31" s="134">
        <v>790278.38024566823</v>
      </c>
      <c r="F31" s="134">
        <v>790278.38024566823</v>
      </c>
      <c r="G31" s="134">
        <v>790278.38024566823</v>
      </c>
      <c r="H31" s="133">
        <v>2015</v>
      </c>
      <c r="I31" s="77"/>
      <c r="J31" s="72"/>
    </row>
    <row r="32" spans="1:18" s="63" customFormat="1">
      <c r="B32" s="76" t="s">
        <v>16</v>
      </c>
      <c r="C32" s="116" t="s">
        <v>17</v>
      </c>
      <c r="D32" s="134">
        <v>2508.7574133441076</v>
      </c>
      <c r="E32" s="134">
        <v>2627.7625726950455</v>
      </c>
      <c r="F32" s="134">
        <v>2758.5004344779982</v>
      </c>
      <c r="G32" s="134">
        <v>2810.47854776036</v>
      </c>
      <c r="H32" s="133">
        <v>2015</v>
      </c>
      <c r="I32" s="77"/>
      <c r="J32" s="72"/>
    </row>
    <row r="33" spans="1:18" s="63" customFormat="1">
      <c r="B33" s="127" t="s">
        <v>18</v>
      </c>
      <c r="C33" s="116" t="s">
        <v>17</v>
      </c>
      <c r="D33" s="134">
        <v>1229.5072103148589</v>
      </c>
      <c r="E33" s="134">
        <v>1287.8299882400509</v>
      </c>
      <c r="F33" s="134">
        <v>1351.9028008875764</v>
      </c>
      <c r="G33" s="134">
        <v>1377.3765532397576</v>
      </c>
      <c r="H33" s="133">
        <v>2015</v>
      </c>
      <c r="I33" s="77"/>
      <c r="J33" s="72"/>
    </row>
    <row r="34" spans="1:18" s="63" customFormat="1">
      <c r="B34" s="127" t="s">
        <v>19</v>
      </c>
      <c r="C34" s="116" t="s">
        <v>17</v>
      </c>
      <c r="D34" s="134">
        <v>1279.2502030292483</v>
      </c>
      <c r="E34" s="134">
        <v>1339.9325844549946</v>
      </c>
      <c r="F34" s="134">
        <v>1406.5976335904218</v>
      </c>
      <c r="G34" s="134">
        <v>1433.1019945206024</v>
      </c>
      <c r="H34" s="133">
        <v>2015</v>
      </c>
      <c r="I34" s="77"/>
      <c r="J34" s="72"/>
    </row>
    <row r="35" spans="1:18" s="63" customFormat="1">
      <c r="B35" s="127"/>
      <c r="C35" s="116"/>
      <c r="D35" s="134"/>
      <c r="E35" s="134"/>
      <c r="F35" s="134"/>
      <c r="G35" s="134"/>
      <c r="H35" s="133"/>
      <c r="I35" s="77"/>
      <c r="J35" s="72"/>
    </row>
    <row r="36" spans="1:18" s="63" customFormat="1">
      <c r="B36" s="127" t="s">
        <v>113</v>
      </c>
      <c r="C36" s="116" t="s">
        <v>17</v>
      </c>
      <c r="D36" s="134">
        <v>0</v>
      </c>
      <c r="E36" s="134">
        <v>0</v>
      </c>
      <c r="F36" s="134">
        <v>0</v>
      </c>
      <c r="G36" s="134">
        <v>0</v>
      </c>
      <c r="H36" s="133">
        <v>2015</v>
      </c>
      <c r="I36" s="77"/>
      <c r="J36" s="72"/>
    </row>
    <row r="37" spans="1:18" s="63" customFormat="1">
      <c r="B37" s="126"/>
      <c r="C37" s="116"/>
      <c r="D37" s="132"/>
      <c r="E37" s="96"/>
      <c r="F37" s="96"/>
      <c r="G37" s="96"/>
      <c r="H37" s="96"/>
      <c r="I37" s="77"/>
      <c r="J37" s="72"/>
    </row>
    <row r="38" spans="1:18">
      <c r="A38" s="63"/>
      <c r="B38" s="131" t="s">
        <v>112</v>
      </c>
      <c r="C38" s="116" t="s">
        <v>15</v>
      </c>
      <c r="D38" s="250">
        <f>'EU Lastbil'!D38+10000</f>
        <v>761018.91308317415</v>
      </c>
      <c r="E38" s="250">
        <f>'EU Lastbil'!E38+10000</f>
        <v>761018.91308317415</v>
      </c>
      <c r="F38" s="250">
        <f>'EU Lastbil'!F38+10000</f>
        <v>761018.91308317415</v>
      </c>
      <c r="G38" s="250">
        <f>'EU Lastbil'!G38+10000</f>
        <v>761018.91308317415</v>
      </c>
      <c r="H38" s="128">
        <v>2013</v>
      </c>
      <c r="I38" s="97" t="s">
        <v>278</v>
      </c>
      <c r="J38" s="72"/>
      <c r="K38" s="241"/>
      <c r="L38" s="63"/>
      <c r="M38" s="63"/>
      <c r="N38" s="63"/>
      <c r="O38" s="63"/>
      <c r="P38" s="63"/>
      <c r="Q38" s="63"/>
      <c r="R38" s="63"/>
    </row>
    <row r="39" spans="1:18">
      <c r="A39" s="63"/>
      <c r="B39" s="76" t="s">
        <v>16</v>
      </c>
      <c r="C39" s="116" t="s">
        <v>17</v>
      </c>
      <c r="D39" s="254">
        <f>+SUM(D40:D43)</f>
        <v>2415.8725426589363</v>
      </c>
      <c r="E39" s="255">
        <f>+SUM(E40:E43)</f>
        <v>2530.4716248107061</v>
      </c>
      <c r="F39" s="255">
        <f>+SUM(F40:F43)</f>
        <v>2656.3690148442683</v>
      </c>
      <c r="G39" s="255">
        <f>+SUM(G40:G43)</f>
        <v>2706.4226772789671</v>
      </c>
      <c r="H39" s="128">
        <v>2013</v>
      </c>
      <c r="I39" s="184"/>
      <c r="J39" s="72"/>
      <c r="K39" s="241"/>
      <c r="L39" s="63"/>
      <c r="M39" s="63"/>
      <c r="N39" s="63"/>
      <c r="O39" s="63"/>
      <c r="P39" s="63"/>
      <c r="Q39" s="63"/>
      <c r="R39" s="63"/>
    </row>
    <row r="40" spans="1:18">
      <c r="A40" s="63"/>
      <c r="B40" s="127" t="s">
        <v>18</v>
      </c>
      <c r="C40" s="116" t="s">
        <v>17</v>
      </c>
      <c r="D40" s="254">
        <v>1183.9856235607406</v>
      </c>
      <c r="E40" s="255">
        <v>1240.1490441655449</v>
      </c>
      <c r="F40" s="255">
        <v>1301.8496087489311</v>
      </c>
      <c r="G40" s="255">
        <v>1326.3802144339563</v>
      </c>
      <c r="H40" s="128">
        <v>2013</v>
      </c>
      <c r="I40" s="184"/>
      <c r="J40" s="72"/>
      <c r="K40" s="241"/>
      <c r="L40" s="63"/>
      <c r="M40" s="63"/>
      <c r="N40" s="63"/>
      <c r="O40" s="63"/>
      <c r="P40" s="63"/>
      <c r="Q40" s="63"/>
      <c r="R40" s="63"/>
    </row>
    <row r="41" spans="1:18">
      <c r="A41" s="63"/>
      <c r="B41" s="127" t="s">
        <v>19</v>
      </c>
      <c r="C41" s="116" t="s">
        <v>17</v>
      </c>
      <c r="D41" s="254">
        <f>(D68*D69)/D28</f>
        <v>1231.8869190981954</v>
      </c>
      <c r="E41" s="255">
        <f>(E68*E69)/E28</f>
        <v>1290.322580645161</v>
      </c>
      <c r="F41" s="255">
        <f>(F68*F69)/F28</f>
        <v>1354.5194060953372</v>
      </c>
      <c r="G41" s="255">
        <f>(G68*G69)/G28</f>
        <v>1380.0424628450107</v>
      </c>
      <c r="H41" s="128">
        <v>2013</v>
      </c>
      <c r="I41" s="117" t="s">
        <v>156</v>
      </c>
      <c r="J41" s="117"/>
      <c r="K41" s="241"/>
      <c r="L41" s="63"/>
      <c r="M41" s="63"/>
      <c r="N41" s="63"/>
      <c r="O41" s="63"/>
      <c r="P41" s="63"/>
      <c r="Q41" s="63"/>
      <c r="R41" s="63"/>
    </row>
    <row r="42" spans="1:18">
      <c r="A42" s="63"/>
      <c r="B42" s="127"/>
      <c r="C42" s="116"/>
      <c r="D42" s="132"/>
      <c r="E42" s="96"/>
      <c r="F42" s="96"/>
      <c r="G42" s="96"/>
      <c r="H42" s="128"/>
      <c r="I42" s="184"/>
      <c r="J42" s="72"/>
      <c r="K42" s="241"/>
      <c r="L42" s="63"/>
      <c r="M42" s="63"/>
      <c r="N42" s="63"/>
      <c r="O42" s="63"/>
      <c r="P42" s="63"/>
      <c r="Q42" s="63"/>
      <c r="R42" s="63"/>
    </row>
    <row r="43" spans="1:18">
      <c r="A43" s="63"/>
      <c r="B43" s="127" t="s">
        <v>113</v>
      </c>
      <c r="C43" s="116" t="s">
        <v>17</v>
      </c>
      <c r="D43" s="254">
        <v>0</v>
      </c>
      <c r="E43" s="253">
        <v>0</v>
      </c>
      <c r="F43" s="253">
        <v>0</v>
      </c>
      <c r="G43" s="253">
        <v>0</v>
      </c>
      <c r="H43" s="128">
        <v>2013</v>
      </c>
      <c r="I43" s="184"/>
      <c r="J43" s="117"/>
      <c r="K43" s="241"/>
      <c r="L43" s="63"/>
      <c r="M43" s="63"/>
      <c r="N43" s="63"/>
      <c r="O43" s="63"/>
      <c r="P43" s="63"/>
      <c r="Q43" s="63"/>
      <c r="R43" s="63"/>
    </row>
    <row r="44" spans="1:18">
      <c r="A44" s="63"/>
      <c r="B44" s="127"/>
      <c r="C44" s="116"/>
      <c r="D44" s="132"/>
      <c r="E44" s="96"/>
      <c r="F44" s="96"/>
      <c r="G44" s="96"/>
      <c r="H44" s="96"/>
      <c r="I44" s="184"/>
      <c r="J44" s="72"/>
      <c r="K44" s="241"/>
      <c r="L44" s="63"/>
      <c r="M44" s="63"/>
      <c r="N44" s="63"/>
      <c r="O44" s="63"/>
      <c r="P44" s="63"/>
      <c r="Q44" s="63"/>
      <c r="R44" s="63"/>
    </row>
    <row r="45" spans="1:18">
      <c r="A45" s="63"/>
      <c r="B45" s="126" t="s">
        <v>114</v>
      </c>
      <c r="C45" s="116"/>
      <c r="D45" s="132"/>
      <c r="E45" s="96"/>
      <c r="F45" s="96"/>
      <c r="G45" s="96"/>
      <c r="H45" s="125"/>
      <c r="I45" s="184"/>
      <c r="J45" s="72"/>
      <c r="K45" s="241"/>
      <c r="L45" s="63"/>
      <c r="M45" s="63"/>
      <c r="N45" s="63"/>
      <c r="O45" s="63"/>
      <c r="P45" s="63"/>
      <c r="Q45" s="63"/>
      <c r="R45" s="63"/>
    </row>
    <row r="46" spans="1:18">
      <c r="A46" s="63"/>
      <c r="B46" s="121" t="s">
        <v>30</v>
      </c>
      <c r="C46" s="116"/>
      <c r="D46" s="132"/>
      <c r="E46" s="96"/>
      <c r="F46" s="96"/>
      <c r="G46" s="96"/>
      <c r="H46" s="124"/>
      <c r="I46" s="184"/>
      <c r="J46" s="72"/>
      <c r="K46" s="241"/>
      <c r="L46" s="63"/>
      <c r="M46" s="63"/>
      <c r="N46" s="63"/>
      <c r="O46" s="63"/>
      <c r="P46" s="63"/>
      <c r="Q46" s="63"/>
      <c r="R46" s="63"/>
    </row>
    <row r="47" spans="1:18">
      <c r="A47" s="63"/>
      <c r="B47" s="76" t="s">
        <v>20</v>
      </c>
      <c r="C47" s="116" t="s">
        <v>134</v>
      </c>
      <c r="D47" s="252"/>
      <c r="E47" s="119"/>
      <c r="F47" s="119"/>
      <c r="G47" s="119"/>
      <c r="H47" s="124"/>
      <c r="I47" s="184"/>
      <c r="J47" s="117" t="s">
        <v>115</v>
      </c>
      <c r="K47" s="241"/>
      <c r="L47" s="63"/>
      <c r="M47" s="63"/>
      <c r="N47" s="63"/>
      <c r="O47" s="63"/>
      <c r="P47" s="63"/>
      <c r="Q47" s="63"/>
      <c r="R47" s="63"/>
    </row>
    <row r="48" spans="1:18">
      <c r="A48" s="63"/>
      <c r="B48" s="76" t="s">
        <v>21</v>
      </c>
      <c r="C48" s="116" t="s">
        <v>134</v>
      </c>
      <c r="D48" s="122">
        <f t="shared" ref="D48:G52" si="0">D78/D$75</f>
        <v>5.70067229895981E-4</v>
      </c>
      <c r="E48" s="122">
        <f t="shared" si="0"/>
        <v>1.6299243669067753E-4</v>
      </c>
      <c r="F48" s="122">
        <f t="shared" si="0"/>
        <v>1.6299243669067753E-4</v>
      </c>
      <c r="G48" s="122">
        <f t="shared" si="0"/>
        <v>1.6299243669067753E-4</v>
      </c>
      <c r="H48" s="118"/>
      <c r="I48" s="184"/>
      <c r="J48" s="72"/>
      <c r="K48" s="241"/>
      <c r="L48" s="63"/>
      <c r="M48" s="63"/>
      <c r="N48" s="63"/>
      <c r="O48" s="63"/>
      <c r="P48" s="63"/>
      <c r="Q48" s="63"/>
      <c r="R48" s="63"/>
    </row>
    <row r="49" spans="1:18">
      <c r="A49" s="63"/>
      <c r="B49" s="76" t="s">
        <v>22</v>
      </c>
      <c r="C49" s="116" t="s">
        <v>134</v>
      </c>
      <c r="D49" s="122">
        <f t="shared" si="0"/>
        <v>3.3862691824031407E-3</v>
      </c>
      <c r="E49" s="122">
        <f t="shared" si="0"/>
        <v>3.3862691824031407E-3</v>
      </c>
      <c r="F49" s="122">
        <f t="shared" si="0"/>
        <v>3.3862691824031407E-3</v>
      </c>
      <c r="G49" s="122">
        <f t="shared" si="0"/>
        <v>3.3862691824031407E-3</v>
      </c>
      <c r="H49" s="96"/>
      <c r="I49" s="184"/>
      <c r="J49" s="72"/>
      <c r="K49" s="241"/>
      <c r="L49" s="63"/>
      <c r="M49" s="63"/>
      <c r="N49" s="63"/>
      <c r="O49" s="63"/>
      <c r="P49" s="63"/>
      <c r="Q49" s="63"/>
      <c r="R49" s="63"/>
    </row>
    <row r="50" spans="1:18">
      <c r="A50" s="63"/>
      <c r="B50" s="76" t="s">
        <v>23</v>
      </c>
      <c r="C50" s="116" t="s">
        <v>134</v>
      </c>
      <c r="D50" s="122">
        <f t="shared" si="0"/>
        <v>4.2579461839753469E-4</v>
      </c>
      <c r="E50" s="122">
        <f t="shared" si="0"/>
        <v>4.2579461839753463E-4</v>
      </c>
      <c r="F50" s="122">
        <f t="shared" si="0"/>
        <v>4.2579461839753469E-4</v>
      </c>
      <c r="G50" s="122">
        <f t="shared" si="0"/>
        <v>4.2579461839753474E-4</v>
      </c>
      <c r="H50" s="123"/>
      <c r="I50" s="184"/>
      <c r="J50" s="72"/>
      <c r="K50" s="241"/>
      <c r="L50" s="63"/>
      <c r="M50" s="63"/>
      <c r="N50" s="63"/>
      <c r="O50" s="63"/>
      <c r="P50" s="63"/>
      <c r="Q50" s="63"/>
      <c r="R50" s="63"/>
    </row>
    <row r="51" spans="1:18">
      <c r="A51" s="63"/>
      <c r="B51" s="76" t="s">
        <v>116</v>
      </c>
      <c r="C51" s="116" t="s">
        <v>134</v>
      </c>
      <c r="D51" s="122">
        <f t="shared" si="0"/>
        <v>0.41867908999831532</v>
      </c>
      <c r="E51" s="122">
        <f t="shared" si="0"/>
        <v>4.3735563529504119E-2</v>
      </c>
      <c r="F51" s="122">
        <f t="shared" si="0"/>
        <v>4.3735563529504119E-2</v>
      </c>
      <c r="G51" s="122">
        <f t="shared" si="0"/>
        <v>4.3735563529504119E-2</v>
      </c>
      <c r="H51" s="96"/>
      <c r="I51" s="184"/>
      <c r="J51" s="72"/>
      <c r="K51" s="241"/>
      <c r="L51" s="63"/>
      <c r="M51" s="63"/>
      <c r="N51" s="63"/>
      <c r="O51" s="63"/>
      <c r="P51" s="63"/>
      <c r="Q51" s="63"/>
      <c r="R51" s="63"/>
    </row>
    <row r="52" spans="1:18">
      <c r="A52" s="63"/>
      <c r="B52" s="76" t="s">
        <v>24</v>
      </c>
      <c r="C52" s="116" t="s">
        <v>134</v>
      </c>
      <c r="D52" s="122">
        <f t="shared" si="0"/>
        <v>3.2979813853448933E-3</v>
      </c>
      <c r="E52" s="122">
        <f t="shared" si="0"/>
        <v>3.6064433411829615E-4</v>
      </c>
      <c r="F52" s="122">
        <f t="shared" si="0"/>
        <v>3.6064433411829615E-4</v>
      </c>
      <c r="G52" s="122">
        <f t="shared" si="0"/>
        <v>3.6064433411829615E-4</v>
      </c>
      <c r="H52" s="96"/>
      <c r="I52" s="184"/>
      <c r="J52" s="72"/>
      <c r="K52" s="241"/>
      <c r="L52" s="63"/>
      <c r="M52" s="63"/>
      <c r="N52" s="63"/>
      <c r="O52" s="63"/>
      <c r="P52" s="63"/>
      <c r="Q52" s="63"/>
      <c r="R52" s="63"/>
    </row>
    <row r="53" spans="1:18">
      <c r="A53" s="63"/>
      <c r="B53" s="76"/>
      <c r="C53" s="116"/>
      <c r="D53" s="120"/>
      <c r="E53" s="75"/>
      <c r="F53" s="75"/>
      <c r="G53" s="75"/>
      <c r="H53" s="96"/>
      <c r="I53" s="184"/>
      <c r="J53" s="72"/>
      <c r="K53" s="241"/>
      <c r="L53" s="63"/>
      <c r="M53" s="63"/>
      <c r="N53" s="63"/>
      <c r="O53" s="63"/>
      <c r="P53" s="63"/>
      <c r="Q53" s="63"/>
      <c r="R53" s="63"/>
    </row>
    <row r="54" spans="1:18">
      <c r="A54" s="63"/>
      <c r="B54" s="121" t="s">
        <v>31</v>
      </c>
      <c r="C54" s="116"/>
      <c r="D54" s="132"/>
      <c r="E54" s="96"/>
      <c r="F54" s="96"/>
      <c r="G54" s="96"/>
      <c r="H54" s="118"/>
      <c r="I54" s="184"/>
      <c r="J54" s="72"/>
      <c r="K54" s="241"/>
      <c r="L54" s="63"/>
      <c r="M54" s="63"/>
      <c r="N54" s="63"/>
      <c r="O54" s="63"/>
      <c r="P54" s="63"/>
      <c r="Q54" s="63"/>
      <c r="R54" s="63"/>
    </row>
    <row r="55" spans="1:18">
      <c r="A55" s="63"/>
      <c r="B55" s="76" t="s">
        <v>20</v>
      </c>
      <c r="C55" s="116" t="s">
        <v>134</v>
      </c>
      <c r="D55" s="252"/>
      <c r="E55" s="119"/>
      <c r="F55" s="119"/>
      <c r="G55" s="119"/>
      <c r="H55" s="194"/>
      <c r="I55" s="184"/>
      <c r="J55" s="117" t="s">
        <v>115</v>
      </c>
      <c r="K55" s="241"/>
      <c r="L55" s="63"/>
      <c r="M55" s="63"/>
      <c r="N55" s="63"/>
      <c r="O55" s="63"/>
      <c r="P55" s="63"/>
      <c r="Q55" s="63"/>
      <c r="R55" s="63"/>
    </row>
    <row r="56" spans="1:18">
      <c r="A56" s="63"/>
      <c r="B56" s="76" t="s">
        <v>21</v>
      </c>
      <c r="C56" s="116" t="s">
        <v>134</v>
      </c>
      <c r="D56" s="115">
        <f t="shared" ref="D56:G60" si="1">D48</f>
        <v>5.70067229895981E-4</v>
      </c>
      <c r="E56" s="115">
        <f t="shared" si="1"/>
        <v>1.6299243669067753E-4</v>
      </c>
      <c r="F56" s="115">
        <f t="shared" si="1"/>
        <v>1.6299243669067753E-4</v>
      </c>
      <c r="G56" s="115">
        <f t="shared" si="1"/>
        <v>1.6299243669067753E-4</v>
      </c>
      <c r="H56" s="194"/>
      <c r="I56" s="184"/>
      <c r="J56" s="72"/>
      <c r="K56" s="241"/>
      <c r="L56" s="63"/>
      <c r="M56" s="63"/>
      <c r="N56" s="63"/>
      <c r="O56" s="63"/>
      <c r="P56" s="63"/>
      <c r="Q56" s="63"/>
      <c r="R56" s="63"/>
    </row>
    <row r="57" spans="1:18">
      <c r="A57" s="63"/>
      <c r="B57" s="76" t="s">
        <v>22</v>
      </c>
      <c r="C57" s="116" t="s">
        <v>134</v>
      </c>
      <c r="D57" s="115">
        <f t="shared" si="1"/>
        <v>3.3862691824031407E-3</v>
      </c>
      <c r="E57" s="115">
        <f t="shared" si="1"/>
        <v>3.3862691824031407E-3</v>
      </c>
      <c r="F57" s="115">
        <f t="shared" si="1"/>
        <v>3.3862691824031407E-3</v>
      </c>
      <c r="G57" s="115">
        <f t="shared" si="1"/>
        <v>3.3862691824031407E-3</v>
      </c>
      <c r="H57" s="194"/>
      <c r="I57" s="184"/>
      <c r="J57" s="72"/>
      <c r="K57" s="241"/>
      <c r="L57" s="63"/>
      <c r="M57" s="63"/>
      <c r="N57" s="63"/>
      <c r="O57" s="63"/>
      <c r="P57" s="63"/>
      <c r="Q57" s="63"/>
      <c r="R57" s="63"/>
    </row>
    <row r="58" spans="1:18">
      <c r="A58" s="63"/>
      <c r="B58" s="76" t="s">
        <v>23</v>
      </c>
      <c r="C58" s="116" t="s">
        <v>134</v>
      </c>
      <c r="D58" s="115">
        <f t="shared" si="1"/>
        <v>4.2579461839753469E-4</v>
      </c>
      <c r="E58" s="115">
        <f t="shared" si="1"/>
        <v>4.2579461839753463E-4</v>
      </c>
      <c r="F58" s="115">
        <f t="shared" si="1"/>
        <v>4.2579461839753469E-4</v>
      </c>
      <c r="G58" s="115">
        <f t="shared" si="1"/>
        <v>4.2579461839753474E-4</v>
      </c>
      <c r="H58" s="194"/>
      <c r="I58" s="184"/>
      <c r="J58" s="72"/>
      <c r="K58" s="241"/>
      <c r="L58" s="63"/>
      <c r="M58" s="63"/>
      <c r="N58" s="63"/>
      <c r="O58" s="63"/>
      <c r="P58" s="63"/>
      <c r="Q58" s="63"/>
      <c r="R58" s="63"/>
    </row>
    <row r="59" spans="1:18">
      <c r="A59" s="63"/>
      <c r="B59" s="76" t="s">
        <v>116</v>
      </c>
      <c r="C59" s="116" t="s">
        <v>134</v>
      </c>
      <c r="D59" s="115">
        <f t="shared" si="1"/>
        <v>0.41867908999831532</v>
      </c>
      <c r="E59" s="115">
        <f t="shared" si="1"/>
        <v>4.3735563529504119E-2</v>
      </c>
      <c r="F59" s="115">
        <f t="shared" si="1"/>
        <v>4.3735563529504119E-2</v>
      </c>
      <c r="G59" s="115">
        <f t="shared" si="1"/>
        <v>4.3735563529504119E-2</v>
      </c>
      <c r="H59" s="194"/>
      <c r="I59" s="184"/>
      <c r="J59" s="72"/>
      <c r="K59" s="241"/>
      <c r="L59" s="63"/>
      <c r="M59" s="63"/>
      <c r="N59" s="63"/>
      <c r="O59" s="63"/>
      <c r="P59" s="63"/>
      <c r="Q59" s="63"/>
      <c r="R59" s="63"/>
    </row>
    <row r="60" spans="1:18">
      <c r="A60" s="63"/>
      <c r="B60" s="76" t="s">
        <v>24</v>
      </c>
      <c r="C60" s="116" t="s">
        <v>134</v>
      </c>
      <c r="D60" s="115">
        <f t="shared" si="1"/>
        <v>3.2979813853448933E-3</v>
      </c>
      <c r="E60" s="115">
        <f t="shared" si="1"/>
        <v>3.6064433411829615E-4</v>
      </c>
      <c r="F60" s="115">
        <f t="shared" si="1"/>
        <v>3.6064433411829615E-4</v>
      </c>
      <c r="G60" s="115">
        <f t="shared" si="1"/>
        <v>3.6064433411829615E-4</v>
      </c>
      <c r="H60" s="133"/>
      <c r="I60" s="184"/>
      <c r="J60" s="72"/>
      <c r="K60" s="241"/>
      <c r="L60" s="63"/>
      <c r="M60" s="63"/>
      <c r="N60" s="63"/>
      <c r="O60" s="63"/>
      <c r="P60" s="63"/>
      <c r="Q60" s="63"/>
      <c r="R60" s="63"/>
    </row>
    <row r="61" spans="1:18" ht="14.4" thickBot="1">
      <c r="A61" s="63"/>
      <c r="B61" s="113"/>
      <c r="C61" s="112"/>
      <c r="D61" s="111"/>
      <c r="E61" s="70"/>
      <c r="F61" s="70"/>
      <c r="G61" s="70"/>
      <c r="H61" s="70"/>
      <c r="I61" s="190"/>
      <c r="J61" s="88"/>
      <c r="K61" s="241"/>
      <c r="L61" s="63"/>
      <c r="M61" s="63"/>
      <c r="N61" s="63"/>
      <c r="O61" s="63"/>
      <c r="P61" s="63"/>
      <c r="Q61" s="63"/>
      <c r="R61" s="63"/>
    </row>
    <row r="62" spans="1:18">
      <c r="A62" s="63"/>
      <c r="B62" s="63"/>
      <c r="C62" s="63"/>
      <c r="D62" s="63"/>
      <c r="E62" s="63"/>
      <c r="F62" s="63"/>
      <c r="G62" s="63"/>
      <c r="I62" s="63"/>
      <c r="J62" s="63"/>
      <c r="K62" s="241"/>
      <c r="L62" s="63"/>
      <c r="M62" s="63"/>
      <c r="N62" s="63"/>
      <c r="O62" s="63"/>
      <c r="P62" s="63"/>
      <c r="Q62" s="63"/>
      <c r="R62" s="63"/>
    </row>
    <row r="63" spans="1:18">
      <c r="A63" s="63"/>
      <c r="B63" s="63"/>
      <c r="C63" s="63"/>
      <c r="D63" s="63"/>
      <c r="E63" s="63"/>
      <c r="F63" s="63"/>
      <c r="G63" s="63"/>
      <c r="I63" s="63"/>
      <c r="J63" s="63"/>
      <c r="K63" s="241"/>
      <c r="L63" s="63"/>
      <c r="M63" s="63"/>
      <c r="N63" s="63"/>
      <c r="O63" s="63"/>
      <c r="P63" s="63"/>
      <c r="Q63" s="63"/>
      <c r="R63" s="63"/>
    </row>
    <row r="64" spans="1:18" ht="16.2" thickBot="1">
      <c r="A64" s="63"/>
      <c r="B64" s="87" t="s">
        <v>117</v>
      </c>
      <c r="C64" s="63"/>
      <c r="D64" s="63"/>
      <c r="E64" s="63"/>
      <c r="F64" s="63"/>
      <c r="G64" s="63"/>
      <c r="I64" s="63"/>
      <c r="J64" s="63"/>
      <c r="K64" s="241"/>
      <c r="L64" s="63"/>
      <c r="M64" s="63"/>
      <c r="N64" s="63"/>
      <c r="O64" s="63"/>
      <c r="P64" s="63"/>
      <c r="Q64" s="63"/>
      <c r="R64" s="63"/>
    </row>
    <row r="65" spans="1:18">
      <c r="A65" s="63"/>
      <c r="B65" s="86"/>
      <c r="C65" s="108"/>
      <c r="D65" s="83"/>
      <c r="E65" s="83"/>
      <c r="F65" s="83"/>
      <c r="G65" s="83"/>
      <c r="H65" s="83"/>
      <c r="I65" s="83"/>
      <c r="J65" s="81"/>
      <c r="K65" s="241"/>
      <c r="L65" s="63"/>
      <c r="M65" s="63"/>
      <c r="N65" s="63"/>
      <c r="O65" s="63"/>
      <c r="P65" s="63"/>
      <c r="Q65" s="63"/>
      <c r="R65" s="63"/>
    </row>
    <row r="66" spans="1:18">
      <c r="A66" s="63"/>
      <c r="B66" s="107"/>
      <c r="C66" s="106" t="s">
        <v>99</v>
      </c>
      <c r="D66" s="105">
        <v>2015</v>
      </c>
      <c r="E66" s="104">
        <v>2020</v>
      </c>
      <c r="F66" s="104">
        <v>2035</v>
      </c>
      <c r="G66" s="104">
        <v>2050</v>
      </c>
      <c r="H66" s="104"/>
      <c r="I66" s="150"/>
      <c r="J66" s="102"/>
      <c r="K66" s="241"/>
      <c r="L66" s="63"/>
      <c r="M66" s="63"/>
      <c r="N66" s="63"/>
      <c r="O66" s="63"/>
      <c r="P66" s="63"/>
      <c r="Q66" s="63"/>
      <c r="R66" s="63"/>
    </row>
    <row r="67" spans="1:18">
      <c r="A67" s="63"/>
      <c r="B67" s="76" t="s">
        <v>25</v>
      </c>
      <c r="C67" s="93" t="s">
        <v>152</v>
      </c>
      <c r="D67" s="251">
        <f>'EU Lastbil'!D67</f>
        <v>2.5327000000000002</v>
      </c>
      <c r="E67" s="251">
        <f>'EU Lastbil'!E67</f>
        <v>2.4180000000000001</v>
      </c>
      <c r="F67" s="251">
        <f>'EU Lastbil'!F67</f>
        <v>2.3034000000000003</v>
      </c>
      <c r="G67" s="251">
        <f>'EU Lastbil'!G67</f>
        <v>2.2607999999999997</v>
      </c>
      <c r="H67" s="251"/>
      <c r="I67" s="77" t="s">
        <v>603</v>
      </c>
      <c r="J67" s="72"/>
      <c r="K67" s="241"/>
      <c r="L67" s="63"/>
      <c r="M67" s="63"/>
      <c r="N67" s="63"/>
      <c r="O67" s="63"/>
      <c r="P67" s="63"/>
      <c r="Q67" s="63"/>
      <c r="R67" s="63"/>
    </row>
    <row r="68" spans="1:18">
      <c r="A68" s="63"/>
      <c r="B68" s="76" t="s">
        <v>121</v>
      </c>
      <c r="C68" s="93" t="s">
        <v>122</v>
      </c>
      <c r="D68" s="250">
        <f>'EU Lastbil'!D68</f>
        <v>50000</v>
      </c>
      <c r="E68" s="250">
        <f>'EU Lastbil'!E68</f>
        <v>50000</v>
      </c>
      <c r="F68" s="250">
        <f>'EU Lastbil'!F68</f>
        <v>50000</v>
      </c>
      <c r="G68" s="250">
        <f>'EU Lastbil'!G68</f>
        <v>50000</v>
      </c>
      <c r="H68" s="250"/>
      <c r="I68" s="97" t="s">
        <v>272</v>
      </c>
      <c r="J68" s="72"/>
      <c r="K68" s="241"/>
      <c r="L68" s="63"/>
      <c r="M68" s="63"/>
      <c r="N68" s="63"/>
      <c r="O68" s="63"/>
      <c r="P68" s="63"/>
      <c r="Q68" s="63"/>
      <c r="R68" s="63"/>
    </row>
    <row r="69" spans="1:18">
      <c r="A69" s="63"/>
      <c r="B69" s="76" t="s">
        <v>124</v>
      </c>
      <c r="C69" s="199" t="s">
        <v>36</v>
      </c>
      <c r="D69" s="248">
        <f>'EU Lastbil'!D69</f>
        <v>3.12</v>
      </c>
      <c r="E69" s="248">
        <f>'EU Lastbil'!E69</f>
        <v>3.12</v>
      </c>
      <c r="F69" s="248">
        <f>'EU Lastbil'!F69</f>
        <v>3.12</v>
      </c>
      <c r="G69" s="248">
        <f>'EU Lastbil'!G69</f>
        <v>3.12</v>
      </c>
      <c r="H69" s="249"/>
      <c r="I69" s="97" t="s">
        <v>272</v>
      </c>
      <c r="J69" s="117"/>
      <c r="K69" s="241"/>
      <c r="L69" s="63"/>
      <c r="M69" s="63"/>
      <c r="N69" s="63"/>
      <c r="O69" s="63"/>
      <c r="P69" s="63"/>
      <c r="Q69" s="63"/>
      <c r="R69" s="63"/>
    </row>
    <row r="70" spans="1:18">
      <c r="A70" s="63"/>
      <c r="B70" s="163" t="s">
        <v>163</v>
      </c>
      <c r="C70" s="199" t="s">
        <v>164</v>
      </c>
      <c r="D70" s="263">
        <v>2.4703675918979746</v>
      </c>
      <c r="E70" s="263">
        <v>2.7237386269644333</v>
      </c>
      <c r="F70" s="263">
        <v>3.1451766953199614</v>
      </c>
      <c r="G70" s="263">
        <v>3.4957537154989384</v>
      </c>
      <c r="H70" s="247"/>
      <c r="I70" s="97"/>
      <c r="J70" s="117"/>
      <c r="K70" s="241"/>
      <c r="L70" s="63"/>
      <c r="M70" s="65"/>
      <c r="N70" s="185"/>
      <c r="O70" s="185"/>
      <c r="P70" s="63"/>
      <c r="Q70" s="63"/>
      <c r="R70" s="63"/>
    </row>
    <row r="71" spans="1:18">
      <c r="A71" s="63"/>
      <c r="B71" s="163" t="s">
        <v>165</v>
      </c>
      <c r="C71" s="199" t="s">
        <v>26</v>
      </c>
      <c r="D71" s="246">
        <v>0.19</v>
      </c>
      <c r="E71" s="246">
        <v>0.2</v>
      </c>
      <c r="F71" s="246">
        <v>0.22</v>
      </c>
      <c r="G71" s="246">
        <v>0.24</v>
      </c>
      <c r="H71" s="246"/>
      <c r="I71" s="77" t="s">
        <v>603</v>
      </c>
      <c r="J71" s="117"/>
      <c r="K71" s="241"/>
      <c r="L71" s="63"/>
      <c r="M71" s="63"/>
      <c r="N71" s="63"/>
      <c r="O71" s="63"/>
      <c r="P71" s="63"/>
      <c r="Q71" s="63"/>
      <c r="R71" s="63"/>
    </row>
    <row r="72" spans="1:18" ht="14.4" thickBot="1">
      <c r="A72" s="63"/>
      <c r="B72" s="245"/>
      <c r="C72" s="244"/>
      <c r="D72" s="243"/>
      <c r="E72" s="243"/>
      <c r="F72" s="243"/>
      <c r="G72" s="243"/>
      <c r="H72" s="243"/>
      <c r="I72" s="97"/>
      <c r="J72" s="88"/>
      <c r="K72" s="241"/>
      <c r="L72" s="63"/>
      <c r="M72" s="63"/>
      <c r="N72" s="63"/>
      <c r="O72" s="63"/>
      <c r="P72" s="63"/>
      <c r="Q72" s="63"/>
      <c r="R72" s="63"/>
    </row>
    <row r="73" spans="1:18">
      <c r="A73" s="63"/>
      <c r="B73" s="63"/>
      <c r="C73" s="63"/>
      <c r="D73" s="189"/>
      <c r="E73" s="189"/>
      <c r="F73" s="189"/>
      <c r="G73" s="189"/>
      <c r="H73" s="189"/>
      <c r="I73" s="63"/>
      <c r="J73" s="63"/>
      <c r="K73" s="241"/>
      <c r="L73" s="63"/>
      <c r="M73" s="63"/>
      <c r="N73" s="63"/>
      <c r="O73" s="63"/>
      <c r="P73" s="63"/>
      <c r="Q73" s="63"/>
      <c r="R73" s="63"/>
    </row>
    <row r="74" spans="1:18" ht="16.2" thickBot="1">
      <c r="A74" s="63"/>
      <c r="B74" s="87" t="s">
        <v>126</v>
      </c>
      <c r="C74" s="63"/>
      <c r="D74" s="63"/>
      <c r="E74" s="63"/>
      <c r="F74" s="63"/>
      <c r="G74" s="63"/>
      <c r="I74" s="63"/>
      <c r="J74" s="63"/>
      <c r="K74" s="241"/>
      <c r="L74" s="63"/>
      <c r="M74" s="63"/>
      <c r="N74" s="63"/>
      <c r="O74" s="63"/>
      <c r="P74" s="63"/>
      <c r="Q74" s="63"/>
      <c r="R74" s="63"/>
    </row>
    <row r="75" spans="1:18">
      <c r="A75" s="63"/>
      <c r="B75" s="86" t="s">
        <v>150</v>
      </c>
      <c r="C75" s="83"/>
      <c r="D75" s="180">
        <f>D67/D71</f>
        <v>13.33</v>
      </c>
      <c r="E75" s="180">
        <f>E67/E71</f>
        <v>12.09</v>
      </c>
      <c r="F75" s="180">
        <f>F67/F71</f>
        <v>10.47</v>
      </c>
      <c r="G75" s="180">
        <f>G67/G71</f>
        <v>9.42</v>
      </c>
      <c r="H75" s="180"/>
      <c r="I75" s="77"/>
      <c r="J75" s="81"/>
      <c r="K75" s="241"/>
      <c r="L75" s="63"/>
      <c r="M75" s="63"/>
      <c r="N75" s="63"/>
      <c r="O75" s="63"/>
      <c r="P75" s="63"/>
      <c r="Q75" s="63"/>
      <c r="R75" s="63"/>
    </row>
    <row r="76" spans="1:18">
      <c r="A76" s="63"/>
      <c r="B76" s="76"/>
      <c r="C76" s="75"/>
      <c r="D76" s="269"/>
      <c r="E76" s="269"/>
      <c r="F76" s="269"/>
      <c r="G76" s="269"/>
      <c r="H76" s="242"/>
      <c r="I76" s="75"/>
      <c r="J76" s="72"/>
      <c r="K76" s="241"/>
      <c r="L76" s="63"/>
      <c r="M76" s="63"/>
      <c r="N76" s="63"/>
      <c r="O76" s="63"/>
      <c r="P76" s="63"/>
      <c r="Q76" s="63"/>
      <c r="R76" s="63"/>
    </row>
    <row r="77" spans="1:18">
      <c r="A77" s="63"/>
      <c r="B77" s="76" t="s">
        <v>20</v>
      </c>
      <c r="C77" s="75" t="s">
        <v>27</v>
      </c>
      <c r="D77" s="267"/>
      <c r="E77" s="267"/>
      <c r="F77" s="267"/>
      <c r="G77" s="267"/>
      <c r="H77" s="267"/>
      <c r="I77" s="75"/>
      <c r="J77" s="72"/>
      <c r="K77" s="241"/>
      <c r="L77" s="63"/>
      <c r="M77" s="63"/>
      <c r="N77" s="63"/>
      <c r="O77" s="63"/>
      <c r="P77" s="63"/>
      <c r="Q77" s="63"/>
      <c r="R77" s="63"/>
    </row>
    <row r="78" spans="1:18">
      <c r="A78" s="63"/>
      <c r="B78" s="76" t="s">
        <v>21</v>
      </c>
      <c r="C78" s="75" t="s">
        <v>27</v>
      </c>
      <c r="D78" s="267">
        <f t="shared" ref="D78:G79" si="2">D88/1000*D$75</f>
        <v>7.5989961745134265E-3</v>
      </c>
      <c r="E78" s="267">
        <f t="shared" si="2"/>
        <v>1.9705785595902914E-3</v>
      </c>
      <c r="F78" s="267">
        <f t="shared" si="2"/>
        <v>1.7065308121513938E-3</v>
      </c>
      <c r="G78" s="267">
        <f t="shared" si="2"/>
        <v>1.5353887536261822E-3</v>
      </c>
      <c r="H78" s="267"/>
      <c r="I78" s="75"/>
      <c r="J78" s="72"/>
      <c r="K78" s="241"/>
      <c r="L78" s="63"/>
      <c r="M78" s="63"/>
      <c r="N78" s="63"/>
      <c r="O78" s="63"/>
      <c r="P78" s="63"/>
      <c r="Q78" s="63"/>
      <c r="R78" s="63"/>
    </row>
    <row r="79" spans="1:18">
      <c r="A79" s="63"/>
      <c r="B79" s="76" t="s">
        <v>22</v>
      </c>
      <c r="C79" s="75" t="s">
        <v>27</v>
      </c>
      <c r="D79" s="267">
        <f t="shared" si="2"/>
        <v>4.5138968201433864E-2</v>
      </c>
      <c r="E79" s="267">
        <f t="shared" si="2"/>
        <v>4.093999441525397E-2</v>
      </c>
      <c r="F79" s="267">
        <f t="shared" si="2"/>
        <v>3.5454238339760885E-2</v>
      </c>
      <c r="G79" s="267">
        <f t="shared" si="2"/>
        <v>3.1898655698237584E-2</v>
      </c>
      <c r="H79" s="267"/>
      <c r="I79" s="75"/>
      <c r="J79" s="72"/>
      <c r="K79" s="241"/>
      <c r="L79" s="63"/>
      <c r="M79" s="63"/>
      <c r="N79" s="63"/>
      <c r="O79" s="63"/>
      <c r="P79" s="63"/>
      <c r="Q79" s="63"/>
      <c r="R79" s="63"/>
    </row>
    <row r="80" spans="1:18">
      <c r="A80" s="63"/>
      <c r="B80" s="76" t="s">
        <v>23</v>
      </c>
      <c r="C80" s="75" t="s">
        <v>27</v>
      </c>
      <c r="D80" s="268">
        <f>D90/1000*D$75/1.1</f>
        <v>5.6758422632391375E-3</v>
      </c>
      <c r="E80" s="268">
        <f>E90/1000*E$75/1.1</f>
        <v>5.1478569364261937E-3</v>
      </c>
      <c r="F80" s="268">
        <f>F90/1000*F$75/1.1</f>
        <v>4.4580696546221883E-3</v>
      </c>
      <c r="G80" s="268">
        <f>G90/1000*G$75/1.1</f>
        <v>4.010985305304777E-3</v>
      </c>
      <c r="H80" s="268"/>
      <c r="I80" s="97" t="s">
        <v>614</v>
      </c>
      <c r="J80" s="117" t="s">
        <v>277</v>
      </c>
      <c r="K80" s="266"/>
      <c r="L80" s="63"/>
      <c r="M80" s="63"/>
      <c r="N80" s="63"/>
      <c r="O80" s="63"/>
      <c r="P80" s="63"/>
      <c r="Q80" s="63"/>
      <c r="R80" s="63"/>
    </row>
    <row r="81" spans="1:21">
      <c r="A81" s="63"/>
      <c r="B81" s="163" t="s">
        <v>37</v>
      </c>
      <c r="C81" s="75" t="s">
        <v>27</v>
      </c>
      <c r="D81" s="268">
        <f>1.2*$D91/1000*D$75</f>
        <v>5.5809922696775436</v>
      </c>
      <c r="E81" s="268">
        <f>1.2*$E91/1000*E$75</f>
        <v>0.52876296307170478</v>
      </c>
      <c r="F81" s="268">
        <f>1.2*$F91/1000*F$75</f>
        <v>0.45791135015390816</v>
      </c>
      <c r="G81" s="268">
        <f>1.2*$F91/1000*G$75</f>
        <v>0.4119890084479288</v>
      </c>
      <c r="H81" s="268"/>
      <c r="I81" s="97" t="s">
        <v>614</v>
      </c>
      <c r="J81" s="117" t="s">
        <v>276</v>
      </c>
      <c r="K81" s="241"/>
      <c r="L81" s="63"/>
      <c r="M81" s="63"/>
      <c r="N81" s="63"/>
      <c r="O81" s="63"/>
      <c r="P81" s="63"/>
      <c r="Q81" s="63"/>
      <c r="R81" s="63"/>
    </row>
    <row r="82" spans="1:21">
      <c r="A82" s="63"/>
      <c r="B82" s="76" t="s">
        <v>24</v>
      </c>
      <c r="C82" s="75" t="s">
        <v>27</v>
      </c>
      <c r="D82" s="267">
        <f>D92/1000*D$75</f>
        <v>4.3962091866647429E-2</v>
      </c>
      <c r="E82" s="267">
        <f>E92/1000*E$75</f>
        <v>4.3601899994902002E-3</v>
      </c>
      <c r="F82" s="267">
        <f>F92/1000*F$75</f>
        <v>3.7759461782185611E-3</v>
      </c>
      <c r="G82" s="267">
        <f>G92/1000*G$75</f>
        <v>3.3972696273943497E-3</v>
      </c>
      <c r="H82" s="267"/>
      <c r="I82" s="75"/>
      <c r="J82" s="117"/>
      <c r="K82" s="266"/>
      <c r="L82" s="63"/>
      <c r="M82" s="63"/>
      <c r="N82" s="63"/>
      <c r="O82" s="63"/>
      <c r="P82" s="63"/>
      <c r="Q82" s="63"/>
      <c r="R82" s="63"/>
    </row>
    <row r="83" spans="1:21" ht="14.4" thickBot="1">
      <c r="A83" s="63"/>
      <c r="B83" s="71"/>
      <c r="C83" s="70"/>
      <c r="D83" s="239"/>
      <c r="E83" s="239"/>
      <c r="F83" s="239"/>
      <c r="G83" s="239"/>
      <c r="H83" s="239"/>
      <c r="I83" s="70"/>
      <c r="J83" s="88"/>
      <c r="K83" s="63"/>
      <c r="L83" s="63"/>
      <c r="M83" s="63"/>
      <c r="N83" s="63"/>
      <c r="O83" s="63"/>
      <c r="P83" s="63"/>
      <c r="Q83" s="63"/>
      <c r="R83" s="63"/>
    </row>
    <row r="84" spans="1:21">
      <c r="A84" s="63"/>
      <c r="B84" s="63"/>
      <c r="C84" s="63"/>
      <c r="D84" s="63"/>
      <c r="E84" s="63"/>
      <c r="F84" s="63"/>
      <c r="G84" s="63"/>
      <c r="I84" s="63"/>
      <c r="J84" s="63"/>
      <c r="K84" s="63"/>
      <c r="L84" s="63"/>
      <c r="M84" s="63"/>
      <c r="N84" s="63"/>
      <c r="O84" s="63"/>
      <c r="P84" s="63"/>
      <c r="Q84" s="63"/>
      <c r="R84" s="63"/>
    </row>
    <row r="85" spans="1:21" ht="14.4" thickBot="1">
      <c r="A85" s="63"/>
      <c r="B85" s="152" t="s">
        <v>172</v>
      </c>
      <c r="C85" s="63"/>
      <c r="D85" s="63"/>
      <c r="E85" s="63"/>
      <c r="F85" s="63"/>
      <c r="G85" s="63"/>
      <c r="I85" s="63"/>
      <c r="J85" s="63"/>
      <c r="K85" s="63"/>
      <c r="L85" s="63"/>
      <c r="M85" s="63"/>
      <c r="N85" s="63"/>
      <c r="O85" s="63"/>
      <c r="P85" s="63"/>
      <c r="Q85" s="63"/>
      <c r="R85" s="63"/>
    </row>
    <row r="86" spans="1:21">
      <c r="A86" s="63"/>
      <c r="B86" s="86"/>
      <c r="C86" s="83"/>
      <c r="D86" s="238">
        <v>2015</v>
      </c>
      <c r="E86" s="238">
        <v>2020</v>
      </c>
      <c r="F86" s="238">
        <v>2035</v>
      </c>
      <c r="G86" s="238">
        <v>2050</v>
      </c>
      <c r="H86" s="238"/>
      <c r="I86" s="63"/>
      <c r="J86" s="63"/>
      <c r="K86" s="63"/>
      <c r="L86" s="63"/>
      <c r="M86" s="63"/>
      <c r="N86" s="63"/>
      <c r="O86" s="63"/>
      <c r="P86" s="63"/>
      <c r="Q86" s="63"/>
      <c r="R86" s="63"/>
    </row>
    <row r="87" spans="1:21">
      <c r="A87" s="63"/>
      <c r="B87" s="237" t="s">
        <v>20</v>
      </c>
      <c r="C87" s="133" t="s">
        <v>173</v>
      </c>
      <c r="D87" s="235"/>
      <c r="E87" s="235"/>
      <c r="F87" s="235"/>
      <c r="G87" s="235"/>
      <c r="H87" s="235"/>
      <c r="I87" s="63"/>
      <c r="J87" s="63"/>
      <c r="K87" s="63"/>
      <c r="L87" s="63"/>
      <c r="M87" s="63"/>
      <c r="N87" s="63"/>
      <c r="O87" s="63"/>
      <c r="P87" s="63"/>
      <c r="Q87" s="63"/>
      <c r="R87" s="63"/>
    </row>
    <row r="88" spans="1:21">
      <c r="A88" s="63"/>
      <c r="B88" s="237" t="s">
        <v>21</v>
      </c>
      <c r="C88" s="75" t="s">
        <v>173</v>
      </c>
      <c r="D88" s="236">
        <f>'EU Lastbil'!D88</f>
        <v>0.57006722989598102</v>
      </c>
      <c r="E88" s="236">
        <f>'EU Lastbil'!E88</f>
        <v>0.16299243669067753</v>
      </c>
      <c r="F88" s="236">
        <f>'EU Lastbil'!F88</f>
        <v>0.16299243669067753</v>
      </c>
      <c r="G88" s="236">
        <f>'EU Lastbil'!G88</f>
        <v>0.16299243669067753</v>
      </c>
      <c r="H88" s="236"/>
      <c r="I88" s="63"/>
      <c r="J88" s="63"/>
      <c r="K88" s="63"/>
      <c r="L88" s="63"/>
      <c r="M88" s="63"/>
      <c r="N88" s="63"/>
      <c r="O88" s="63"/>
      <c r="P88" s="63"/>
      <c r="Q88" s="63"/>
      <c r="R88" s="63"/>
    </row>
    <row r="89" spans="1:21">
      <c r="A89" s="63"/>
      <c r="B89" s="237" t="s">
        <v>22</v>
      </c>
      <c r="C89" s="75" t="s">
        <v>173</v>
      </c>
      <c r="D89" s="236">
        <f>'EU Lastbil'!D89</f>
        <v>3.3862691824031406</v>
      </c>
      <c r="E89" s="236">
        <f>'EU Lastbil'!E89</f>
        <v>3.3862691824031406</v>
      </c>
      <c r="F89" s="236">
        <f>'EU Lastbil'!F89</f>
        <v>3.3862691824031406</v>
      </c>
      <c r="G89" s="236">
        <f>'EU Lastbil'!G89</f>
        <v>3.3862691824031406</v>
      </c>
      <c r="H89" s="236"/>
      <c r="I89" s="63"/>
      <c r="J89" s="63"/>
      <c r="K89" s="63"/>
      <c r="L89" s="63"/>
      <c r="M89" s="63"/>
      <c r="N89" s="63"/>
      <c r="O89" s="63"/>
      <c r="P89" s="63"/>
      <c r="Q89" s="63"/>
      <c r="R89" s="63"/>
    </row>
    <row r="90" spans="1:21">
      <c r="A90" s="63"/>
      <c r="B90" s="237" t="s">
        <v>23</v>
      </c>
      <c r="C90" s="75" t="s">
        <v>173</v>
      </c>
      <c r="D90" s="236">
        <f>'EU Lastbil'!D90</f>
        <v>0.46837408023728822</v>
      </c>
      <c r="E90" s="236">
        <f>'EU Lastbil'!E90</f>
        <v>0.46837408023728822</v>
      </c>
      <c r="F90" s="236">
        <f>'EU Lastbil'!F90</f>
        <v>0.46837408023728822</v>
      </c>
      <c r="G90" s="236">
        <f>'EU Lastbil'!G90</f>
        <v>0.46837408023728822</v>
      </c>
      <c r="H90" s="236"/>
      <c r="I90" s="63"/>
      <c r="J90" s="63"/>
      <c r="K90" s="63"/>
      <c r="L90" s="63"/>
      <c r="M90" s="63"/>
      <c r="N90" s="63"/>
      <c r="O90" s="63"/>
      <c r="P90" s="63"/>
      <c r="Q90" s="63"/>
      <c r="R90" s="63"/>
      <c r="T90" s="265"/>
      <c r="U90" s="265"/>
    </row>
    <row r="91" spans="1:21">
      <c r="A91" s="63"/>
      <c r="B91" s="131" t="s">
        <v>37</v>
      </c>
      <c r="C91" s="75" t="s">
        <v>173</v>
      </c>
      <c r="D91" s="235">
        <f>'EU Lastbil'!D91</f>
        <v>348.89924166526276</v>
      </c>
      <c r="E91" s="235">
        <f>'EU Lastbil'!E91</f>
        <v>36.446302941253435</v>
      </c>
      <c r="F91" s="235">
        <f>'EU Lastbil'!F91</f>
        <v>36.446302941253435</v>
      </c>
      <c r="G91" s="235">
        <f>'EU Lastbil'!G91</f>
        <v>36.446302941253435</v>
      </c>
      <c r="H91" s="235"/>
      <c r="I91" s="63"/>
      <c r="J91" s="63"/>
      <c r="K91" s="63"/>
      <c r="L91" s="63"/>
      <c r="M91" s="63"/>
      <c r="N91" s="63"/>
      <c r="O91" s="63"/>
      <c r="P91" s="63"/>
      <c r="Q91" s="63"/>
      <c r="R91" s="63"/>
    </row>
    <row r="92" spans="1:21" ht="14.4" thickBot="1">
      <c r="A92" s="63"/>
      <c r="B92" s="234" t="s">
        <v>24</v>
      </c>
      <c r="C92" s="70" t="s">
        <v>173</v>
      </c>
      <c r="D92" s="233">
        <f>'EU Lastbil'!D92</f>
        <v>3.2979813853448934</v>
      </c>
      <c r="E92" s="233">
        <f>'EU Lastbil'!E92</f>
        <v>0.36064433411829616</v>
      </c>
      <c r="F92" s="233">
        <f>'EU Lastbil'!F92</f>
        <v>0.36064433411829616</v>
      </c>
      <c r="G92" s="233">
        <f>'EU Lastbil'!G92</f>
        <v>0.36064433411829616</v>
      </c>
      <c r="H92" s="233"/>
      <c r="I92" s="63"/>
      <c r="J92" s="63"/>
      <c r="K92" s="63"/>
      <c r="L92" s="63"/>
      <c r="M92" s="63"/>
      <c r="N92" s="63"/>
      <c r="O92" s="63"/>
      <c r="P92" s="63"/>
      <c r="Q92" s="63"/>
      <c r="R92" s="63"/>
      <c r="T92" s="265"/>
    </row>
    <row r="93" spans="1:21">
      <c r="A93" s="63"/>
      <c r="B93" s="63"/>
      <c r="C93" s="63"/>
      <c r="D93" s="63"/>
      <c r="E93" s="63"/>
      <c r="F93" s="63"/>
      <c r="G93" s="63"/>
      <c r="I93" s="63"/>
      <c r="J93" s="63"/>
      <c r="K93" s="63"/>
      <c r="L93" s="63"/>
      <c r="M93" s="63"/>
      <c r="N93" s="63"/>
      <c r="O93" s="63"/>
      <c r="P93" s="63"/>
      <c r="Q93" s="63"/>
      <c r="R93" s="63"/>
      <c r="T93" s="265"/>
    </row>
    <row r="94" spans="1:21">
      <c r="A94" s="63"/>
      <c r="B94" s="63"/>
      <c r="C94" s="63"/>
      <c r="D94" s="63"/>
      <c r="E94" s="63"/>
      <c r="F94" s="63"/>
      <c r="G94" s="63"/>
      <c r="I94" s="63"/>
      <c r="J94" s="63"/>
      <c r="K94" s="63"/>
      <c r="L94" s="63"/>
      <c r="M94" s="63"/>
      <c r="N94" s="63"/>
      <c r="O94" s="63"/>
      <c r="P94" s="63"/>
      <c r="Q94" s="63"/>
      <c r="R94" s="63"/>
    </row>
    <row r="95" spans="1:21">
      <c r="A95" s="63"/>
      <c r="B95" s="63"/>
      <c r="C95" s="63"/>
      <c r="D95" s="63"/>
      <c r="E95" s="63"/>
      <c r="F95" s="63"/>
      <c r="G95" s="63"/>
      <c r="H95" s="66"/>
      <c r="I95" s="63"/>
      <c r="J95" s="63"/>
      <c r="K95" s="63"/>
      <c r="L95" s="63"/>
      <c r="M95" s="63"/>
      <c r="N95" s="63"/>
      <c r="O95" s="63"/>
      <c r="P95" s="63"/>
      <c r="Q95" s="63"/>
      <c r="R95" s="63"/>
    </row>
    <row r="96" spans="1:21">
      <c r="A96" s="63"/>
      <c r="B96" s="63"/>
      <c r="C96" s="63"/>
      <c r="D96" s="63"/>
      <c r="E96" s="63"/>
      <c r="F96" s="63"/>
      <c r="G96" s="63"/>
      <c r="H96" s="66"/>
      <c r="I96" s="63"/>
      <c r="J96" s="63"/>
      <c r="K96" s="63"/>
      <c r="L96" s="63"/>
      <c r="M96" s="63"/>
      <c r="N96" s="63"/>
      <c r="O96" s="63"/>
      <c r="P96" s="63"/>
      <c r="Q96" s="63"/>
      <c r="R96" s="63"/>
    </row>
    <row r="97" spans="1:18">
      <c r="A97" s="63"/>
      <c r="B97" s="63"/>
      <c r="C97" s="63"/>
      <c r="D97" s="63"/>
      <c r="E97" s="63"/>
      <c r="F97" s="63"/>
      <c r="G97" s="63"/>
      <c r="H97" s="66"/>
      <c r="I97" s="63"/>
      <c r="J97" s="63"/>
      <c r="K97" s="63"/>
      <c r="L97" s="63"/>
      <c r="M97" s="63"/>
      <c r="N97" s="63"/>
      <c r="O97" s="63"/>
      <c r="P97" s="63"/>
      <c r="Q97" s="63"/>
      <c r="R97" s="63"/>
    </row>
    <row r="98" spans="1:18">
      <c r="A98" s="63"/>
      <c r="B98" s="63"/>
      <c r="C98" s="63"/>
      <c r="D98" s="63"/>
      <c r="E98" s="63"/>
      <c r="F98" s="63"/>
      <c r="G98" s="63"/>
      <c r="H98" s="66"/>
      <c r="I98" s="63"/>
      <c r="J98" s="63"/>
      <c r="K98" s="63"/>
      <c r="L98" s="63"/>
      <c r="M98" s="63"/>
      <c r="N98" s="63"/>
      <c r="O98" s="63"/>
      <c r="P98" s="63"/>
      <c r="Q98" s="63"/>
      <c r="R98" s="63"/>
    </row>
    <row r="99" spans="1:18">
      <c r="A99" s="63"/>
      <c r="B99" s="63"/>
      <c r="C99" s="63"/>
      <c r="D99" s="63"/>
      <c r="E99" s="63"/>
      <c r="F99" s="63"/>
      <c r="G99" s="63"/>
      <c r="H99" s="66"/>
      <c r="I99" s="63"/>
      <c r="J99" s="63"/>
      <c r="K99" s="63"/>
      <c r="L99" s="63"/>
      <c r="M99" s="63"/>
      <c r="N99" s="63"/>
      <c r="O99" s="63"/>
      <c r="P99" s="63"/>
      <c r="Q99" s="63"/>
      <c r="R99" s="63"/>
    </row>
    <row r="100" spans="1:18">
      <c r="A100" s="63"/>
      <c r="B100" s="63"/>
      <c r="C100" s="63"/>
      <c r="D100" s="63"/>
      <c r="E100" s="63"/>
      <c r="F100" s="63"/>
      <c r="G100" s="63"/>
      <c r="I100" s="63"/>
      <c r="J100" s="63"/>
      <c r="K100" s="63"/>
      <c r="L100" s="63"/>
      <c r="M100" s="63"/>
      <c r="N100" s="63"/>
      <c r="O100" s="63"/>
      <c r="P100" s="63"/>
      <c r="Q100" s="63"/>
      <c r="R100" s="63"/>
    </row>
    <row r="101" spans="1:18">
      <c r="A101" s="63"/>
      <c r="B101" s="63"/>
      <c r="C101" s="63"/>
      <c r="D101" s="63"/>
      <c r="E101" s="63"/>
      <c r="F101" s="63"/>
      <c r="G101" s="63"/>
      <c r="I101" s="63"/>
      <c r="J101" s="63"/>
      <c r="K101" s="63"/>
      <c r="L101" s="63"/>
      <c r="M101" s="63"/>
      <c r="N101" s="63"/>
      <c r="O101" s="63"/>
      <c r="P101" s="63"/>
      <c r="Q101" s="63"/>
      <c r="R101" s="63"/>
    </row>
    <row r="102" spans="1:18">
      <c r="A102" s="63"/>
      <c r="B102" s="63"/>
      <c r="C102" s="63"/>
      <c r="D102" s="63"/>
      <c r="E102" s="63"/>
      <c r="F102" s="63"/>
      <c r="G102" s="63"/>
      <c r="I102" s="63"/>
      <c r="J102" s="63"/>
      <c r="K102" s="63"/>
      <c r="L102" s="63"/>
      <c r="M102" s="63"/>
      <c r="N102" s="63"/>
      <c r="O102" s="63"/>
      <c r="P102" s="63"/>
      <c r="Q102" s="63"/>
      <c r="R102" s="63"/>
    </row>
    <row r="103" spans="1:18">
      <c r="A103" s="63"/>
      <c r="B103" s="63"/>
      <c r="C103" s="63"/>
      <c r="D103" s="63"/>
      <c r="E103" s="63"/>
      <c r="F103" s="63"/>
      <c r="G103" s="63"/>
      <c r="I103" s="63"/>
      <c r="J103" s="63"/>
      <c r="K103" s="63"/>
      <c r="L103" s="63"/>
      <c r="M103" s="63"/>
      <c r="N103" s="63"/>
      <c r="O103" s="63"/>
      <c r="P103" s="63"/>
      <c r="Q103" s="63"/>
      <c r="R103" s="63"/>
    </row>
    <row r="104" spans="1:18">
      <c r="A104" s="63"/>
      <c r="B104" s="63"/>
      <c r="C104" s="63"/>
      <c r="D104" s="63"/>
      <c r="E104" s="63"/>
      <c r="F104" s="63"/>
      <c r="G104" s="63"/>
      <c r="I104" s="63"/>
      <c r="J104" s="63"/>
      <c r="K104" s="63"/>
      <c r="L104" s="63"/>
      <c r="M104" s="63"/>
      <c r="N104" s="63"/>
      <c r="O104" s="63"/>
      <c r="P104" s="63"/>
      <c r="Q104" s="63"/>
      <c r="R104" s="63"/>
    </row>
    <row r="105" spans="1:18">
      <c r="A105" s="63"/>
      <c r="B105" s="63"/>
      <c r="C105" s="63"/>
      <c r="D105" s="63"/>
      <c r="E105" s="63"/>
      <c r="F105" s="63"/>
      <c r="G105" s="63"/>
      <c r="I105" s="63"/>
      <c r="J105" s="63"/>
      <c r="K105" s="63"/>
      <c r="L105" s="63"/>
      <c r="M105" s="63"/>
      <c r="N105" s="63"/>
      <c r="O105" s="63"/>
      <c r="P105" s="63"/>
      <c r="Q105" s="63"/>
      <c r="R105" s="63"/>
    </row>
    <row r="106" spans="1:18">
      <c r="A106" s="63"/>
      <c r="B106" s="63"/>
      <c r="C106" s="63"/>
      <c r="D106" s="63"/>
      <c r="E106" s="63"/>
      <c r="F106" s="63"/>
      <c r="G106" s="63"/>
      <c r="I106" s="63"/>
      <c r="J106" s="63"/>
      <c r="K106" s="63"/>
      <c r="L106" s="63"/>
      <c r="M106" s="63"/>
      <c r="N106" s="63"/>
      <c r="O106" s="63"/>
      <c r="P106" s="63"/>
      <c r="Q106" s="63"/>
      <c r="R106" s="63"/>
    </row>
    <row r="107" spans="1:18">
      <c r="A107" s="63"/>
      <c r="B107" s="63"/>
      <c r="C107" s="63"/>
      <c r="D107" s="63"/>
      <c r="E107" s="63"/>
      <c r="F107" s="63"/>
      <c r="G107" s="63"/>
      <c r="I107" s="63"/>
      <c r="J107" s="63"/>
      <c r="K107" s="63"/>
      <c r="L107" s="63"/>
      <c r="M107" s="63"/>
      <c r="N107" s="63"/>
      <c r="O107" s="63"/>
      <c r="P107" s="63"/>
      <c r="Q107" s="63"/>
      <c r="R107" s="63"/>
    </row>
    <row r="108" spans="1:18">
      <c r="A108" s="63"/>
      <c r="B108" s="63"/>
      <c r="C108" s="63"/>
      <c r="D108" s="63"/>
      <c r="E108" s="63"/>
      <c r="F108" s="63"/>
      <c r="G108" s="63"/>
      <c r="I108" s="63"/>
      <c r="J108" s="63"/>
      <c r="K108" s="63"/>
      <c r="L108" s="63"/>
      <c r="M108" s="63"/>
      <c r="N108" s="63"/>
      <c r="O108" s="63"/>
      <c r="P108" s="63"/>
      <c r="Q108" s="63"/>
      <c r="R108" s="63"/>
    </row>
    <row r="109" spans="1:18">
      <c r="A109" s="63"/>
      <c r="B109" s="63"/>
      <c r="C109" s="63"/>
      <c r="D109" s="63"/>
      <c r="E109" s="63"/>
      <c r="F109" s="63"/>
      <c r="G109" s="63"/>
      <c r="I109" s="63"/>
      <c r="J109" s="63"/>
      <c r="K109" s="63"/>
      <c r="L109" s="63"/>
      <c r="M109" s="63"/>
      <c r="N109" s="63"/>
      <c r="O109" s="63"/>
      <c r="P109" s="63"/>
      <c r="Q109" s="63"/>
      <c r="R109" s="63"/>
    </row>
    <row r="110" spans="1:18">
      <c r="A110" s="63"/>
      <c r="B110" s="63"/>
      <c r="C110" s="63"/>
      <c r="D110" s="63"/>
      <c r="E110" s="63"/>
      <c r="F110" s="63"/>
      <c r="G110" s="63"/>
      <c r="I110" s="63"/>
      <c r="J110" s="63"/>
      <c r="K110" s="63"/>
      <c r="L110" s="63"/>
      <c r="M110" s="63"/>
      <c r="N110" s="63"/>
      <c r="O110" s="63"/>
      <c r="P110" s="63"/>
      <c r="Q110" s="63"/>
      <c r="R110" s="63"/>
    </row>
    <row r="111" spans="1:18">
      <c r="A111" s="63"/>
      <c r="B111" s="63"/>
      <c r="C111" s="63"/>
      <c r="D111" s="63"/>
      <c r="E111" s="63"/>
      <c r="F111" s="63"/>
      <c r="G111" s="63"/>
      <c r="I111" s="63"/>
      <c r="J111" s="63"/>
      <c r="K111" s="63"/>
      <c r="L111" s="63"/>
      <c r="M111" s="63"/>
      <c r="N111" s="63"/>
      <c r="O111" s="63"/>
      <c r="P111" s="63"/>
      <c r="Q111" s="63"/>
      <c r="R111" s="63"/>
    </row>
    <row r="112" spans="1:18">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'C:\Users\B003920\Desktop\[Kopi af alternativ_drivmiddelmodel_3.0_2.xlsm]Sheet1'!#REF!</xm:f>
          </x14:formula1>
          <xm:sqref>C9</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2">
    <tabColor rgb="FF002060"/>
    <pageSetUpPr fitToPage="1"/>
  </sheetPr>
  <dimension ref="A1:S102"/>
  <sheetViews>
    <sheetView topLeftCell="A10" zoomScale="80" zoomScaleNormal="80" workbookViewId="0">
      <selection activeCell="N5" sqref="N5:N27"/>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12.3320312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34</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295</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236</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c r="C12" s="75"/>
      <c r="D12" s="75"/>
      <c r="E12" s="75"/>
      <c r="F12" s="75"/>
      <c r="G12" s="75"/>
      <c r="H12" s="75"/>
      <c r="I12" s="75"/>
      <c r="J12" s="75"/>
      <c r="K12" s="75"/>
      <c r="L12" s="75"/>
      <c r="M12" s="75"/>
      <c r="N12" s="75"/>
      <c r="O12" s="72"/>
    </row>
    <row r="13" spans="2:19">
      <c r="B13" s="131"/>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c r="H21" s="104" t="s">
        <v>100</v>
      </c>
      <c r="I21" s="150"/>
      <c r="J21" s="102"/>
    </row>
    <row r="22" spans="2:15">
      <c r="B22" s="126" t="s">
        <v>101</v>
      </c>
      <c r="C22" s="116"/>
      <c r="D22" s="178"/>
      <c r="E22" s="149"/>
      <c r="F22" s="149"/>
      <c r="G22" s="149"/>
      <c r="H22" s="149"/>
      <c r="I22" s="75"/>
      <c r="J22" s="72"/>
    </row>
    <row r="23" spans="2:15">
      <c r="B23" s="143" t="s">
        <v>102</v>
      </c>
      <c r="C23" s="116" t="s">
        <v>174</v>
      </c>
      <c r="D23" s="257">
        <f>D72</f>
        <v>0.16</v>
      </c>
      <c r="E23" s="256">
        <f>E72</f>
        <v>0.17699999999999999</v>
      </c>
      <c r="F23" s="256">
        <f>F72</f>
        <v>0.20599999999999999</v>
      </c>
      <c r="G23" s="256">
        <f>G72</f>
        <v>0.23200000000000001</v>
      </c>
      <c r="H23" s="145"/>
      <c r="I23" s="184"/>
      <c r="J23" s="72"/>
      <c r="K23" s="241"/>
    </row>
    <row r="24" spans="2:15">
      <c r="B24" s="143" t="s">
        <v>103</v>
      </c>
      <c r="C24" s="116" t="s">
        <v>174</v>
      </c>
      <c r="D24" s="142">
        <f>D23</f>
        <v>0.16</v>
      </c>
      <c r="E24" s="141">
        <f>E23</f>
        <v>0.17699999999999999</v>
      </c>
      <c r="F24" s="141">
        <f>F23</f>
        <v>0.20599999999999999</v>
      </c>
      <c r="G24" s="141">
        <f>G23</f>
        <v>0.23200000000000001</v>
      </c>
      <c r="H24" s="145"/>
      <c r="I24" s="184"/>
      <c r="J24" s="72"/>
      <c r="K24" s="241"/>
    </row>
    <row r="25" spans="2:15">
      <c r="B25" s="143" t="s">
        <v>104</v>
      </c>
      <c r="C25" s="116" t="s">
        <v>105</v>
      </c>
      <c r="D25" s="142">
        <f>D76</f>
        <v>15.829375000000001</v>
      </c>
      <c r="E25" s="141">
        <f>E76</f>
        <v>13.661016949152543</v>
      </c>
      <c r="F25" s="141">
        <f>F76</f>
        <v>11.181553398058254</v>
      </c>
      <c r="G25" s="141">
        <f>G76</f>
        <v>9.7448275862068954</v>
      </c>
      <c r="H25" s="140"/>
      <c r="I25" s="184"/>
      <c r="J25" s="72"/>
      <c r="K25" s="241"/>
    </row>
    <row r="26" spans="2:15">
      <c r="B26" s="143" t="s">
        <v>106</v>
      </c>
      <c r="C26" s="116" t="s">
        <v>105</v>
      </c>
      <c r="D26" s="142"/>
      <c r="E26" s="141"/>
      <c r="F26" s="141"/>
      <c r="G26" s="141"/>
      <c r="H26" s="140"/>
      <c r="I26" s="184"/>
      <c r="J26" s="72"/>
      <c r="K26" s="241"/>
    </row>
    <row r="27" spans="2:15">
      <c r="B27" s="131" t="s">
        <v>107</v>
      </c>
      <c r="C27" s="116" t="s">
        <v>108</v>
      </c>
      <c r="D27" s="138">
        <v>6</v>
      </c>
      <c r="E27" s="123">
        <v>6</v>
      </c>
      <c r="F27" s="123">
        <v>6</v>
      </c>
      <c r="G27" s="123">
        <v>6</v>
      </c>
      <c r="H27" s="123"/>
      <c r="I27" s="75" t="s">
        <v>605</v>
      </c>
      <c r="J27" s="72"/>
      <c r="K27" s="241"/>
    </row>
    <row r="28" spans="2:15">
      <c r="B28" s="131" t="s">
        <v>109</v>
      </c>
      <c r="C28" s="116" t="s">
        <v>110</v>
      </c>
      <c r="D28" s="175">
        <f>+D67*D69/1000</f>
        <v>126.63500000000002</v>
      </c>
      <c r="E28" s="137">
        <f>+E67*E69/1000</f>
        <v>120.90000000000002</v>
      </c>
      <c r="F28" s="137">
        <f>+F67*F69/1000</f>
        <v>115.17000000000002</v>
      </c>
      <c r="G28" s="137">
        <f>+G67*G69/1000</f>
        <v>113.03999999999999</v>
      </c>
      <c r="H28" s="136"/>
      <c r="I28" s="184"/>
      <c r="J28" s="72"/>
      <c r="K28" s="241"/>
    </row>
    <row r="29" spans="2:15">
      <c r="B29" s="76"/>
      <c r="C29" s="135"/>
      <c r="D29" s="132"/>
      <c r="E29" s="96"/>
      <c r="F29" s="96"/>
      <c r="G29" s="96"/>
      <c r="H29" s="96"/>
      <c r="I29" s="75"/>
      <c r="J29" s="72"/>
      <c r="K29" s="241"/>
    </row>
    <row r="30" spans="2:15">
      <c r="B30" s="126" t="s">
        <v>111</v>
      </c>
      <c r="C30" s="116"/>
      <c r="D30" s="132"/>
      <c r="E30" s="96"/>
      <c r="F30" s="96"/>
      <c r="G30" s="96"/>
      <c r="H30" s="96"/>
      <c r="I30" s="75"/>
      <c r="J30" s="72"/>
      <c r="K30" s="241"/>
    </row>
    <row r="31" spans="2:15">
      <c r="B31" s="131" t="s">
        <v>112</v>
      </c>
      <c r="C31" s="116" t="s">
        <v>15</v>
      </c>
      <c r="D31" s="134">
        <v>861886.33721906622</v>
      </c>
      <c r="E31" s="134">
        <v>861886.33721906622</v>
      </c>
      <c r="F31" s="134">
        <v>861886.33721906622</v>
      </c>
      <c r="G31" s="134">
        <v>861886.33721906622</v>
      </c>
      <c r="H31" s="133">
        <v>2015</v>
      </c>
      <c r="I31" s="77"/>
      <c r="J31" s="72"/>
    </row>
    <row r="32" spans="2:15">
      <c r="B32" s="76" t="s">
        <v>16</v>
      </c>
      <c r="C32" s="116" t="s">
        <v>17</v>
      </c>
      <c r="D32" s="134">
        <v>2669.3662884351793</v>
      </c>
      <c r="E32" s="134">
        <v>2795.9900739122327</v>
      </c>
      <c r="F32" s="134">
        <v>2935.097681132143</v>
      </c>
      <c r="G32" s="134">
        <v>2990.4033964613322</v>
      </c>
      <c r="H32" s="133">
        <v>2015</v>
      </c>
      <c r="I32" s="77"/>
      <c r="J32" s="72"/>
    </row>
    <row r="33" spans="2:11">
      <c r="B33" s="127" t="s">
        <v>18</v>
      </c>
      <c r="C33" s="116" t="s">
        <v>17</v>
      </c>
      <c r="D33" s="134">
        <v>1340.9141545201908</v>
      </c>
      <c r="E33" s="134">
        <v>1404.5216208243535</v>
      </c>
      <c r="F33" s="134">
        <v>1474.4001385574745</v>
      </c>
      <c r="G33" s="134">
        <v>1502.1820944591684</v>
      </c>
      <c r="H33" s="133">
        <v>2015</v>
      </c>
      <c r="I33" s="77"/>
      <c r="J33" s="72"/>
    </row>
    <row r="34" spans="2:11">
      <c r="B34" s="127" t="s">
        <v>19</v>
      </c>
      <c r="C34" s="116" t="s">
        <v>17</v>
      </c>
      <c r="D34" s="134">
        <v>1328.4521339149887</v>
      </c>
      <c r="E34" s="134">
        <v>1391.468453087879</v>
      </c>
      <c r="F34" s="134">
        <v>1460.6975425746687</v>
      </c>
      <c r="G34" s="134">
        <v>1488.2213020021638</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829975.63889802131</v>
      </c>
      <c r="E38" s="250">
        <v>829975.63889802131</v>
      </c>
      <c r="F38" s="250">
        <v>829975.63889802131</v>
      </c>
      <c r="G38" s="250">
        <v>829975.63889802131</v>
      </c>
      <c r="H38" s="128">
        <v>2013</v>
      </c>
      <c r="I38" s="75" t="s">
        <v>605</v>
      </c>
      <c r="J38" s="117"/>
      <c r="K38" s="241"/>
    </row>
    <row r="39" spans="2:11">
      <c r="B39" s="76" t="s">
        <v>16</v>
      </c>
      <c r="C39" s="116" t="s">
        <v>17</v>
      </c>
      <c r="D39" s="254">
        <f>+SUM(D40:D43)</f>
        <v>2570.5349940286969</v>
      </c>
      <c r="E39" s="255">
        <f>+SUM(E40:E43)</f>
        <v>2692.470628360827</v>
      </c>
      <c r="F39" s="255">
        <f>+SUM(F40:F43)</f>
        <v>2826.4278802537465</v>
      </c>
      <c r="G39" s="255">
        <f>+SUM(G40:G43)</f>
        <v>2879.6859427532208</v>
      </c>
      <c r="H39" s="128">
        <v>2013</v>
      </c>
      <c r="I39" s="184"/>
      <c r="J39" s="72"/>
      <c r="K39" s="241"/>
    </row>
    <row r="40" spans="2:11">
      <c r="B40" s="127" t="s">
        <v>18</v>
      </c>
      <c r="C40" s="116" t="s">
        <v>17</v>
      </c>
      <c r="D40" s="254">
        <v>1291.26780881134</v>
      </c>
      <c r="E40" s="255">
        <v>1352.5202561523906</v>
      </c>
      <c r="F40" s="255">
        <v>1419.8115739239736</v>
      </c>
      <c r="G40" s="255">
        <v>1446.5649236449406</v>
      </c>
      <c r="H40" s="128">
        <v>2013</v>
      </c>
      <c r="I40" s="184"/>
      <c r="J40" s="72"/>
      <c r="K40" s="241"/>
    </row>
    <row r="41" spans="2:11">
      <c r="B41" s="127" t="s">
        <v>19</v>
      </c>
      <c r="C41" s="116" t="s">
        <v>17</v>
      </c>
      <c r="D41" s="254">
        <f>(D69*D70)/D28</f>
        <v>1279.2671852173569</v>
      </c>
      <c r="E41" s="255">
        <f>(E69*E70)/E28</f>
        <v>1339.9503722084364</v>
      </c>
      <c r="F41" s="255">
        <f>(F69*F70)/F28</f>
        <v>1406.6163063297731</v>
      </c>
      <c r="G41" s="255">
        <f>(G69*G70)/G28</f>
        <v>1433.1210191082803</v>
      </c>
      <c r="H41" s="128">
        <v>2013</v>
      </c>
      <c r="I41" s="184"/>
      <c r="J41" s="117" t="s">
        <v>156</v>
      </c>
      <c r="K41" s="241"/>
    </row>
    <row r="42" spans="2:11">
      <c r="B42" s="127"/>
      <c r="C42" s="116"/>
      <c r="D42" s="132"/>
      <c r="E42" s="96"/>
      <c r="F42" s="96"/>
      <c r="G42" s="96"/>
      <c r="H42" s="128"/>
      <c r="I42" s="184"/>
      <c r="J42" s="72"/>
      <c r="K42" s="241"/>
    </row>
    <row r="43" spans="2:11">
      <c r="B43" s="127" t="s">
        <v>113</v>
      </c>
      <c r="C43" s="116" t="s">
        <v>17</v>
      </c>
      <c r="D43" s="254">
        <v>0</v>
      </c>
      <c r="E43" s="253">
        <v>0</v>
      </c>
      <c r="F43" s="253">
        <v>0</v>
      </c>
      <c r="G43" s="253">
        <v>0</v>
      </c>
      <c r="H43" s="128">
        <v>2013</v>
      </c>
      <c r="I43" s="184"/>
      <c r="J43" s="117"/>
      <c r="K43" s="241"/>
    </row>
    <row r="44" spans="2:11">
      <c r="B44" s="127"/>
      <c r="C44" s="116"/>
      <c r="D44" s="132"/>
      <c r="E44" s="96"/>
      <c r="F44" s="96"/>
      <c r="G44" s="96"/>
      <c r="H44" s="96"/>
      <c r="I44" s="184"/>
      <c r="J44" s="72"/>
      <c r="K44" s="241"/>
    </row>
    <row r="45" spans="2:11">
      <c r="B45" s="126" t="s">
        <v>114</v>
      </c>
      <c r="C45" s="116"/>
      <c r="D45" s="132"/>
      <c r="E45" s="96"/>
      <c r="F45" s="96"/>
      <c r="G45" s="96"/>
      <c r="H45" s="125"/>
      <c r="I45" s="184"/>
      <c r="J45" s="72"/>
      <c r="K45" s="241"/>
    </row>
    <row r="46" spans="2:11">
      <c r="B46" s="121" t="s">
        <v>30</v>
      </c>
      <c r="C46" s="116"/>
      <c r="D46" s="132"/>
      <c r="E46" s="96"/>
      <c r="F46" s="96"/>
      <c r="G46" s="96"/>
      <c r="H46" s="124"/>
      <c r="I46" s="184"/>
      <c r="J46" s="72"/>
      <c r="K46" s="241"/>
    </row>
    <row r="47" spans="2:11">
      <c r="B47" s="76" t="s">
        <v>20</v>
      </c>
      <c r="C47" s="116" t="s">
        <v>175</v>
      </c>
      <c r="D47" s="252"/>
      <c r="E47" s="119"/>
      <c r="F47" s="119"/>
      <c r="G47" s="119"/>
      <c r="H47" s="124"/>
      <c r="I47" s="184"/>
      <c r="J47" s="117" t="s">
        <v>115</v>
      </c>
      <c r="K47" s="241"/>
    </row>
    <row r="48" spans="2:11">
      <c r="B48" s="76" t="s">
        <v>21</v>
      </c>
      <c r="C48" s="116" t="s">
        <v>175</v>
      </c>
      <c r="D48" s="122">
        <f t="shared" ref="D48:G52" si="0">D79/D$76</f>
        <v>4.8888888888888898E-2</v>
      </c>
      <c r="E48" s="122">
        <f t="shared" si="0"/>
        <v>2.4583333333333336E-2</v>
      </c>
      <c r="F48" s="122">
        <f t="shared" si="0"/>
        <v>2.8611111111111115E-2</v>
      </c>
      <c r="G48" s="122">
        <f t="shared" si="0"/>
        <v>3.2222222222222222E-2</v>
      </c>
      <c r="H48" s="118"/>
      <c r="I48" s="184"/>
      <c r="J48" s="72"/>
      <c r="K48" s="241"/>
    </row>
    <row r="49" spans="2:11">
      <c r="B49" s="76" t="s">
        <v>22</v>
      </c>
      <c r="C49" s="116" t="s">
        <v>175</v>
      </c>
      <c r="D49" s="122">
        <f t="shared" si="0"/>
        <v>3.3862691824031407E-3</v>
      </c>
      <c r="E49" s="122">
        <f t="shared" si="0"/>
        <v>3.3862691824031407E-3</v>
      </c>
      <c r="F49" s="122">
        <f t="shared" si="0"/>
        <v>3.3862691824031411E-3</v>
      </c>
      <c r="G49" s="122">
        <f t="shared" si="0"/>
        <v>3.3862691824031407E-3</v>
      </c>
      <c r="H49" s="96"/>
      <c r="I49" s="184"/>
      <c r="J49" s="72"/>
      <c r="K49" s="241"/>
    </row>
    <row r="50" spans="2:11">
      <c r="B50" s="76" t="s">
        <v>23</v>
      </c>
      <c r="C50" s="116" t="s">
        <v>175</v>
      </c>
      <c r="D50" s="122">
        <f t="shared" si="0"/>
        <v>4.6837408023728819E-4</v>
      </c>
      <c r="E50" s="122">
        <f t="shared" si="0"/>
        <v>4.6837408023728819E-4</v>
      </c>
      <c r="F50" s="122">
        <f t="shared" si="0"/>
        <v>4.6837408023728819E-4</v>
      </c>
      <c r="G50" s="122">
        <f t="shared" si="0"/>
        <v>4.6837408023728819E-4</v>
      </c>
      <c r="H50" s="123"/>
      <c r="I50" s="184"/>
      <c r="J50" s="72"/>
      <c r="K50" s="241"/>
    </row>
    <row r="51" spans="2:11">
      <c r="B51" s="76" t="s">
        <v>116</v>
      </c>
      <c r="C51" s="116" t="s">
        <v>175</v>
      </c>
      <c r="D51" s="122">
        <f t="shared" si="0"/>
        <v>0.34889924166526276</v>
      </c>
      <c r="E51" s="122">
        <f t="shared" si="0"/>
        <v>3.6446302941253436E-2</v>
      </c>
      <c r="F51" s="122">
        <f t="shared" si="0"/>
        <v>3.6446302941253436E-2</v>
      </c>
      <c r="G51" s="122">
        <f t="shared" si="0"/>
        <v>3.6446302941253436E-2</v>
      </c>
      <c r="H51" s="96"/>
      <c r="I51" s="184"/>
      <c r="J51" s="72"/>
      <c r="K51" s="241"/>
    </row>
    <row r="52" spans="2:11">
      <c r="B52" s="76" t="s">
        <v>24</v>
      </c>
      <c r="C52" s="116" t="s">
        <v>175</v>
      </c>
      <c r="D52" s="122">
        <f t="shared" si="0"/>
        <v>3.2979813853448933E-3</v>
      </c>
      <c r="E52" s="122">
        <f t="shared" si="0"/>
        <v>3.6064433411829615E-4</v>
      </c>
      <c r="F52" s="122">
        <f t="shared" si="0"/>
        <v>3.6064433411829615E-4</v>
      </c>
      <c r="G52" s="122">
        <f t="shared" si="0"/>
        <v>3.6064433411829615E-4</v>
      </c>
      <c r="H52" s="96"/>
      <c r="I52" s="184"/>
      <c r="J52" s="72"/>
      <c r="K52" s="241"/>
    </row>
    <row r="53" spans="2:11">
      <c r="B53" s="76"/>
      <c r="C53" s="116"/>
      <c r="D53" s="120"/>
      <c r="E53" s="75"/>
      <c r="F53" s="75"/>
      <c r="G53" s="75"/>
      <c r="H53" s="96"/>
      <c r="I53" s="184"/>
      <c r="J53" s="72"/>
      <c r="K53" s="241"/>
    </row>
    <row r="54" spans="2:11">
      <c r="B54" s="121" t="s">
        <v>31</v>
      </c>
      <c r="C54" s="116"/>
      <c r="D54" s="132"/>
      <c r="E54" s="96"/>
      <c r="F54" s="96"/>
      <c r="G54" s="96"/>
      <c r="H54" s="118"/>
      <c r="I54" s="184"/>
      <c r="J54" s="72"/>
      <c r="K54" s="241"/>
    </row>
    <row r="55" spans="2:11">
      <c r="B55" s="76" t="s">
        <v>20</v>
      </c>
      <c r="C55" s="116" t="s">
        <v>175</v>
      </c>
      <c r="D55" s="252"/>
      <c r="E55" s="119"/>
      <c r="F55" s="119"/>
      <c r="G55" s="119"/>
      <c r="H55" s="302"/>
      <c r="I55" s="184"/>
      <c r="J55" s="117" t="s">
        <v>115</v>
      </c>
      <c r="K55" s="241"/>
    </row>
    <row r="56" spans="2:11">
      <c r="B56" s="76" t="s">
        <v>21</v>
      </c>
      <c r="C56" s="116" t="s">
        <v>175</v>
      </c>
      <c r="D56" s="115">
        <f t="shared" ref="D56:G60" si="1">D48</f>
        <v>4.8888888888888898E-2</v>
      </c>
      <c r="E56" s="115">
        <f t="shared" si="1"/>
        <v>2.4583333333333336E-2</v>
      </c>
      <c r="F56" s="115">
        <f t="shared" si="1"/>
        <v>2.8611111111111115E-2</v>
      </c>
      <c r="G56" s="115">
        <f t="shared" si="1"/>
        <v>3.2222222222222222E-2</v>
      </c>
      <c r="H56" s="115"/>
      <c r="I56" s="184"/>
      <c r="J56" s="72"/>
      <c r="K56" s="241"/>
    </row>
    <row r="57" spans="2:11">
      <c r="B57" s="76" t="s">
        <v>22</v>
      </c>
      <c r="C57" s="116" t="s">
        <v>175</v>
      </c>
      <c r="D57" s="115">
        <f t="shared" si="1"/>
        <v>3.3862691824031407E-3</v>
      </c>
      <c r="E57" s="115">
        <f t="shared" si="1"/>
        <v>3.3862691824031407E-3</v>
      </c>
      <c r="F57" s="115">
        <f t="shared" si="1"/>
        <v>3.3862691824031411E-3</v>
      </c>
      <c r="G57" s="115">
        <f t="shared" si="1"/>
        <v>3.3862691824031407E-3</v>
      </c>
      <c r="H57" s="115"/>
      <c r="I57" s="184"/>
      <c r="J57" s="72"/>
      <c r="K57" s="241"/>
    </row>
    <row r="58" spans="2:11">
      <c r="B58" s="76" t="s">
        <v>23</v>
      </c>
      <c r="C58" s="116" t="s">
        <v>175</v>
      </c>
      <c r="D58" s="115">
        <f t="shared" si="1"/>
        <v>4.6837408023728819E-4</v>
      </c>
      <c r="E58" s="115">
        <f t="shared" si="1"/>
        <v>4.6837408023728819E-4</v>
      </c>
      <c r="F58" s="115">
        <f t="shared" si="1"/>
        <v>4.6837408023728819E-4</v>
      </c>
      <c r="G58" s="115">
        <f t="shared" si="1"/>
        <v>4.6837408023728819E-4</v>
      </c>
      <c r="H58" s="115"/>
      <c r="I58" s="184"/>
      <c r="J58" s="72"/>
      <c r="K58" s="241"/>
    </row>
    <row r="59" spans="2:11">
      <c r="B59" s="76" t="s">
        <v>116</v>
      </c>
      <c r="C59" s="116" t="s">
        <v>175</v>
      </c>
      <c r="D59" s="115">
        <f t="shared" si="1"/>
        <v>0.34889924166526276</v>
      </c>
      <c r="E59" s="115">
        <f t="shared" si="1"/>
        <v>3.6446302941253436E-2</v>
      </c>
      <c r="F59" s="115">
        <f t="shared" si="1"/>
        <v>3.6446302941253436E-2</v>
      </c>
      <c r="G59" s="115">
        <f t="shared" si="1"/>
        <v>3.6446302941253436E-2</v>
      </c>
      <c r="H59" s="115"/>
      <c r="I59" s="184"/>
      <c r="J59" s="72"/>
      <c r="K59" s="241"/>
    </row>
    <row r="60" spans="2:11">
      <c r="B60" s="76" t="s">
        <v>24</v>
      </c>
      <c r="C60" s="116" t="s">
        <v>175</v>
      </c>
      <c r="D60" s="115">
        <f t="shared" si="1"/>
        <v>3.2979813853448933E-3</v>
      </c>
      <c r="E60" s="115">
        <f t="shared" si="1"/>
        <v>3.6064433411829615E-4</v>
      </c>
      <c r="F60" s="115">
        <f t="shared" si="1"/>
        <v>3.6064433411829615E-4</v>
      </c>
      <c r="G60" s="115">
        <f t="shared" si="1"/>
        <v>3.6064433411829615E-4</v>
      </c>
      <c r="H60" s="115"/>
      <c r="I60" s="184"/>
      <c r="J60" s="72"/>
      <c r="K60" s="241"/>
    </row>
    <row r="61" spans="2:11" ht="14.4" thickBot="1">
      <c r="B61" s="113"/>
      <c r="C61" s="112"/>
      <c r="D61" s="111"/>
      <c r="E61" s="70"/>
      <c r="F61" s="70"/>
      <c r="G61" s="70"/>
      <c r="H61" s="70"/>
      <c r="I61" s="190"/>
      <c r="J61" s="88"/>
      <c r="K61" s="241"/>
    </row>
    <row r="62" spans="2:11">
      <c r="K62" s="241"/>
    </row>
    <row r="63" spans="2:11">
      <c r="K63" s="241"/>
    </row>
    <row r="64" spans="2:11" ht="16.2" thickBot="1">
      <c r="B64" s="87" t="s">
        <v>117</v>
      </c>
      <c r="K64" s="241"/>
    </row>
    <row r="65" spans="1:11">
      <c r="B65" s="86"/>
      <c r="C65" s="108"/>
      <c r="D65" s="83"/>
      <c r="E65" s="83"/>
      <c r="F65" s="83"/>
      <c r="G65" s="83"/>
      <c r="H65" s="83"/>
      <c r="I65" s="83"/>
      <c r="J65" s="81"/>
      <c r="K65" s="241"/>
    </row>
    <row r="66" spans="1:11">
      <c r="B66" s="107"/>
      <c r="C66" s="106" t="s">
        <v>99</v>
      </c>
      <c r="D66" s="105">
        <v>2015</v>
      </c>
      <c r="E66" s="104">
        <v>2020</v>
      </c>
      <c r="F66" s="104">
        <v>2035</v>
      </c>
      <c r="G66" s="104">
        <v>2050</v>
      </c>
      <c r="H66" s="104"/>
      <c r="I66" s="150"/>
      <c r="J66" s="102"/>
      <c r="K66" s="241"/>
    </row>
    <row r="67" spans="1:11">
      <c r="B67" s="76" t="s">
        <v>25</v>
      </c>
      <c r="C67" s="93" t="s">
        <v>152</v>
      </c>
      <c r="D67" s="301">
        <f>'EU Lastbil'!D67</f>
        <v>2.5327000000000002</v>
      </c>
      <c r="E67" s="301">
        <f>'EU Lastbil'!E67</f>
        <v>2.4180000000000001</v>
      </c>
      <c r="F67" s="301">
        <f>'EU Lastbil'!F67</f>
        <v>2.3034000000000003</v>
      </c>
      <c r="G67" s="301">
        <f>'EU Lastbil'!G67</f>
        <v>2.2607999999999997</v>
      </c>
      <c r="H67" s="251"/>
      <c r="I67" s="75" t="s">
        <v>603</v>
      </c>
      <c r="J67" s="72"/>
      <c r="K67" s="241"/>
    </row>
    <row r="68" spans="1:11">
      <c r="B68" s="76" t="s">
        <v>176</v>
      </c>
      <c r="C68" s="93" t="s">
        <v>26</v>
      </c>
      <c r="D68" s="300">
        <f>D76/'EU Lastbil'!D75-1</f>
        <v>0.1875</v>
      </c>
      <c r="E68" s="300">
        <f>E76/'EU Lastbil'!E75-1</f>
        <v>0.12994350282485878</v>
      </c>
      <c r="F68" s="300">
        <f>F76/'EU Lastbil'!F75-1</f>
        <v>6.7961165048543881E-2</v>
      </c>
      <c r="G68" s="300">
        <f>G76/'EU Lastbil'!G75-1</f>
        <v>3.4482758620689502E-2</v>
      </c>
      <c r="H68" s="246"/>
      <c r="I68" s="75"/>
      <c r="J68" s="117"/>
      <c r="K68" s="241"/>
    </row>
    <row r="69" spans="1:11">
      <c r="B69" s="76" t="s">
        <v>121</v>
      </c>
      <c r="C69" s="93" t="s">
        <v>122</v>
      </c>
      <c r="D69" s="250">
        <v>50000</v>
      </c>
      <c r="E69" s="250">
        <v>50000</v>
      </c>
      <c r="F69" s="250">
        <v>50000</v>
      </c>
      <c r="G69" s="250">
        <v>50000</v>
      </c>
      <c r="H69" s="250"/>
      <c r="I69" s="75" t="s">
        <v>605</v>
      </c>
      <c r="J69" s="72"/>
      <c r="K69" s="241"/>
    </row>
    <row r="70" spans="1:11">
      <c r="B70" s="76" t="s">
        <v>124</v>
      </c>
      <c r="C70" s="199" t="s">
        <v>36</v>
      </c>
      <c r="D70" s="249">
        <f>162000/D69</f>
        <v>3.24</v>
      </c>
      <c r="E70" s="249">
        <f>162000/E69</f>
        <v>3.24</v>
      </c>
      <c r="F70" s="249">
        <f>162000/F69</f>
        <v>3.24</v>
      </c>
      <c r="G70" s="249">
        <f>162000/G69</f>
        <v>3.24</v>
      </c>
      <c r="H70" s="249"/>
      <c r="I70" s="75" t="s">
        <v>605</v>
      </c>
      <c r="J70" s="117"/>
      <c r="K70" s="241"/>
    </row>
    <row r="71" spans="1:11">
      <c r="B71" s="163" t="s">
        <v>163</v>
      </c>
      <c r="C71" s="199" t="s">
        <v>178</v>
      </c>
      <c r="D71" s="247">
        <v>2.4928337347494769</v>
      </c>
      <c r="E71" s="247">
        <v>2.8885111662531018</v>
      </c>
      <c r="F71" s="247">
        <v>3.5290266562472863</v>
      </c>
      <c r="G71" s="247">
        <v>4.0493276716206656</v>
      </c>
      <c r="H71" s="247"/>
      <c r="I71" s="75"/>
      <c r="J71" s="72"/>
      <c r="K71" s="241"/>
    </row>
    <row r="72" spans="1:11">
      <c r="B72" s="163" t="s">
        <v>165</v>
      </c>
      <c r="C72" s="199" t="s">
        <v>26</v>
      </c>
      <c r="D72" s="299">
        <v>0.16</v>
      </c>
      <c r="E72" s="299">
        <v>0.17699999999999999</v>
      </c>
      <c r="F72" s="299">
        <v>0.20599999999999999</v>
      </c>
      <c r="G72" s="299">
        <v>0.23200000000000001</v>
      </c>
      <c r="H72" s="299"/>
      <c r="I72" s="77" t="s">
        <v>603</v>
      </c>
      <c r="J72" s="117"/>
      <c r="K72" s="241"/>
    </row>
    <row r="73" spans="1:11" ht="14.4" thickBot="1">
      <c r="B73" s="245"/>
      <c r="C73" s="244"/>
      <c r="D73" s="243"/>
      <c r="E73" s="243"/>
      <c r="F73" s="243"/>
      <c r="G73" s="243"/>
      <c r="H73" s="243"/>
      <c r="I73" s="243"/>
      <c r="J73" s="88"/>
      <c r="K73" s="241"/>
    </row>
    <row r="74" spans="1:11">
      <c r="D74" s="189"/>
      <c r="E74" s="189"/>
      <c r="F74" s="189"/>
      <c r="G74" s="189"/>
      <c r="H74" s="189"/>
      <c r="I74" s="189"/>
      <c r="K74" s="241"/>
    </row>
    <row r="75" spans="1:11" ht="16.2" thickBot="1">
      <c r="B75" s="87" t="s">
        <v>126</v>
      </c>
      <c r="K75" s="241"/>
    </row>
    <row r="76" spans="1:11">
      <c r="A76" s="63" t="s">
        <v>183</v>
      </c>
      <c r="B76" s="86" t="s">
        <v>150</v>
      </c>
      <c r="C76" s="83"/>
      <c r="D76" s="180">
        <f>D67/D72</f>
        <v>15.829375000000001</v>
      </c>
      <c r="E76" s="180">
        <f>E67/E72</f>
        <v>13.661016949152543</v>
      </c>
      <c r="F76" s="180">
        <f>F67/F72</f>
        <v>11.181553398058254</v>
      </c>
      <c r="G76" s="180">
        <f>G67/G72</f>
        <v>9.7448275862068954</v>
      </c>
      <c r="H76" s="180"/>
      <c r="I76" s="77"/>
      <c r="J76" s="81"/>
      <c r="K76" s="241"/>
    </row>
    <row r="77" spans="1:11">
      <c r="B77" s="76"/>
      <c r="C77" s="75"/>
      <c r="D77" s="242"/>
      <c r="E77" s="242"/>
      <c r="F77" s="242"/>
      <c r="G77" s="242"/>
      <c r="H77" s="242"/>
      <c r="I77" s="75"/>
      <c r="J77" s="72"/>
      <c r="K77" s="241"/>
    </row>
    <row r="78" spans="1:11">
      <c r="B78" s="76" t="s">
        <v>20</v>
      </c>
      <c r="C78" s="75" t="s">
        <v>27</v>
      </c>
      <c r="D78" s="298"/>
      <c r="E78" s="298"/>
      <c r="F78" s="298"/>
      <c r="G78" s="298"/>
      <c r="H78" s="262"/>
      <c r="I78" s="75"/>
      <c r="J78" s="72"/>
      <c r="K78" s="241"/>
    </row>
    <row r="79" spans="1:11">
      <c r="B79" s="76" t="s">
        <v>21</v>
      </c>
      <c r="C79" s="75" t="s">
        <v>27</v>
      </c>
      <c r="D79" s="297">
        <f>D89/1000*D$67</f>
        <v>0.77388055555555568</v>
      </c>
      <c r="E79" s="297">
        <f>E89/1000*E$67</f>
        <v>0.33583333333333337</v>
      </c>
      <c r="F79" s="297">
        <f>F89/1000*F$67</f>
        <v>0.31991666666666674</v>
      </c>
      <c r="G79" s="297">
        <f>G89/1000*G$67</f>
        <v>0.31399999999999995</v>
      </c>
      <c r="H79" s="297"/>
      <c r="I79" s="75"/>
      <c r="J79" s="72" t="s">
        <v>179</v>
      </c>
      <c r="K79" s="241"/>
    </row>
    <row r="80" spans="1:11">
      <c r="B80" s="76" t="s">
        <v>22</v>
      </c>
      <c r="C80" s="75" t="s">
        <v>27</v>
      </c>
      <c r="D80" s="262">
        <f t="shared" ref="D80:G83" si="2">D90/1000*D$76</f>
        <v>5.3602524739202718E-2</v>
      </c>
      <c r="E80" s="262">
        <f t="shared" si="2"/>
        <v>4.6259880695202232E-2</v>
      </c>
      <c r="F80" s="262">
        <f t="shared" si="2"/>
        <v>3.7863749683239786E-2</v>
      </c>
      <c r="G80" s="262">
        <f t="shared" si="2"/>
        <v>3.2998609343004394E-2</v>
      </c>
      <c r="H80" s="262"/>
      <c r="I80" s="75"/>
      <c r="J80" s="72"/>
      <c r="K80" s="241"/>
    </row>
    <row r="81" spans="2:11">
      <c r="B81" s="76" t="s">
        <v>23</v>
      </c>
      <c r="C81" s="75" t="s">
        <v>27</v>
      </c>
      <c r="D81" s="262">
        <f t="shared" si="2"/>
        <v>7.4140689563561239E-3</v>
      </c>
      <c r="E81" s="262">
        <f t="shared" si="2"/>
        <v>6.3984662486653273E-3</v>
      </c>
      <c r="F81" s="262">
        <f t="shared" si="2"/>
        <v>5.237149788439659E-3</v>
      </c>
      <c r="G81" s="262">
        <f t="shared" si="2"/>
        <v>4.5642246577606077E-3</v>
      </c>
      <c r="H81" s="262"/>
      <c r="I81" s="75"/>
      <c r="J81" s="72"/>
      <c r="K81" s="241"/>
    </row>
    <row r="82" spans="2:11">
      <c r="B82" s="163" t="s">
        <v>37</v>
      </c>
      <c r="C82" s="75" t="s">
        <v>27</v>
      </c>
      <c r="D82" s="262">
        <f t="shared" si="2"/>
        <v>5.5228569335350688</v>
      </c>
      <c r="E82" s="262">
        <f t="shared" si="2"/>
        <v>0.49789356221441139</v>
      </c>
      <c r="F82" s="262">
        <f t="shared" si="2"/>
        <v>0.4075262824994329</v>
      </c>
      <c r="G82" s="262">
        <f t="shared" si="2"/>
        <v>0.35516293831717999</v>
      </c>
      <c r="H82" s="262"/>
      <c r="I82" s="75"/>
      <c r="J82" s="117"/>
      <c r="K82" s="241"/>
    </row>
    <row r="83" spans="2:11">
      <c r="B83" s="76" t="s">
        <v>24</v>
      </c>
      <c r="C83" s="75" t="s">
        <v>27</v>
      </c>
      <c r="D83" s="262">
        <f t="shared" si="2"/>
        <v>5.220498409164382E-2</v>
      </c>
      <c r="E83" s="262">
        <f t="shared" si="2"/>
        <v>4.9267683610058769E-3</v>
      </c>
      <c r="F83" s="262">
        <f t="shared" si="2"/>
        <v>4.0325638796508906E-3</v>
      </c>
      <c r="G83" s="262">
        <f t="shared" si="2"/>
        <v>3.514416855925189E-3</v>
      </c>
      <c r="H83" s="262"/>
      <c r="I83" s="75"/>
      <c r="J83" s="117"/>
    </row>
    <row r="84" spans="2:11" ht="14.4" thickBot="1">
      <c r="B84" s="71"/>
      <c r="C84" s="70"/>
      <c r="D84" s="239"/>
      <c r="E84" s="239"/>
      <c r="F84" s="239"/>
      <c r="G84" s="239"/>
      <c r="H84" s="239"/>
      <c r="I84" s="70"/>
      <c r="J84" s="88"/>
    </row>
    <row r="86" spans="2:11" ht="14.4" thickBot="1">
      <c r="B86" s="152" t="s">
        <v>172</v>
      </c>
    </row>
    <row r="87" spans="2:11">
      <c r="B87" s="86"/>
      <c r="C87" s="83"/>
      <c r="D87" s="238">
        <v>2015</v>
      </c>
      <c r="E87" s="238">
        <v>2020</v>
      </c>
      <c r="F87" s="238">
        <v>2035</v>
      </c>
      <c r="G87" s="238"/>
      <c r="H87" s="238"/>
      <c r="I87" s="83"/>
      <c r="J87" s="81"/>
    </row>
    <row r="88" spans="2:11">
      <c r="B88" s="237" t="s">
        <v>20</v>
      </c>
      <c r="C88" s="133" t="s">
        <v>173</v>
      </c>
      <c r="D88" s="296"/>
      <c r="E88" s="296"/>
      <c r="F88" s="296"/>
      <c r="G88" s="296"/>
      <c r="H88" s="235"/>
      <c r="I88" s="75"/>
      <c r="J88" s="72"/>
    </row>
    <row r="89" spans="2:11">
      <c r="B89" s="237" t="s">
        <v>21</v>
      </c>
      <c r="C89" s="75" t="s">
        <v>173</v>
      </c>
      <c r="D89" s="295">
        <f>'EU Lastbil Gas'!$G$101</f>
        <v>305.5555555555556</v>
      </c>
      <c r="E89" s="295">
        <f>'EU Lastbil Gas'!$I$101</f>
        <v>138.88888888888889</v>
      </c>
      <c r="F89" s="295">
        <f>'EU Lastbil Gas'!$I$101</f>
        <v>138.88888888888889</v>
      </c>
      <c r="G89" s="295">
        <f>F89</f>
        <v>138.88888888888889</v>
      </c>
      <c r="H89" s="295"/>
      <c r="I89" s="75" t="s">
        <v>606</v>
      </c>
      <c r="J89" s="117" t="s">
        <v>180</v>
      </c>
    </row>
    <row r="90" spans="2:11">
      <c r="B90" s="237" t="s">
        <v>22</v>
      </c>
      <c r="C90" s="75" t="s">
        <v>173</v>
      </c>
      <c r="D90" s="236">
        <f>'EU Lastbil'!D89</f>
        <v>3.3862691824031406</v>
      </c>
      <c r="E90" s="236">
        <f>'EU Lastbil'!E89</f>
        <v>3.3862691824031406</v>
      </c>
      <c r="F90" s="236">
        <f>'EU Lastbil'!F89</f>
        <v>3.3862691824031406</v>
      </c>
      <c r="G90" s="236">
        <f>'EU Lastbil'!G89</f>
        <v>3.3862691824031406</v>
      </c>
      <c r="H90" s="236"/>
      <c r="I90" s="75"/>
      <c r="J90" s="72"/>
    </row>
    <row r="91" spans="2:11">
      <c r="B91" s="237" t="s">
        <v>23</v>
      </c>
      <c r="C91" s="75" t="s">
        <v>173</v>
      </c>
      <c r="D91" s="236">
        <f>'EU Lastbil'!D90</f>
        <v>0.46837408023728822</v>
      </c>
      <c r="E91" s="236">
        <f>'EU Lastbil'!E90</f>
        <v>0.46837408023728822</v>
      </c>
      <c r="F91" s="236">
        <f>'EU Lastbil'!F90</f>
        <v>0.46837408023728822</v>
      </c>
      <c r="G91" s="236">
        <f>'EU Lastbil'!G90</f>
        <v>0.46837408023728822</v>
      </c>
      <c r="H91" s="236"/>
      <c r="I91" s="75"/>
      <c r="J91" s="72"/>
    </row>
    <row r="92" spans="2:11">
      <c r="B92" s="131" t="s">
        <v>37</v>
      </c>
      <c r="C92" s="75" t="s">
        <v>173</v>
      </c>
      <c r="D92" s="235">
        <f>'EU Lastbil'!D91</f>
        <v>348.89924166526276</v>
      </c>
      <c r="E92" s="235">
        <f>'EU Lastbil'!E91</f>
        <v>36.446302941253435</v>
      </c>
      <c r="F92" s="235">
        <f>'EU Lastbil'!F91</f>
        <v>36.446302941253435</v>
      </c>
      <c r="G92" s="235">
        <f>'EU Lastbil'!G91</f>
        <v>36.446302941253435</v>
      </c>
      <c r="H92" s="235"/>
      <c r="I92" s="75"/>
      <c r="J92" s="72"/>
    </row>
    <row r="93" spans="2:11" ht="14.4" thickBot="1">
      <c r="B93" s="234" t="s">
        <v>24</v>
      </c>
      <c r="C93" s="70" t="s">
        <v>173</v>
      </c>
      <c r="D93" s="233">
        <f>'EU Lastbil'!D92</f>
        <v>3.2979813853448934</v>
      </c>
      <c r="E93" s="233">
        <f>'EU Lastbil'!E92</f>
        <v>0.36064433411829616</v>
      </c>
      <c r="F93" s="233">
        <f>'EU Lastbil'!F92</f>
        <v>0.36064433411829616</v>
      </c>
      <c r="G93" s="233">
        <f>'EU Lastbil'!G92</f>
        <v>0.36064433411829616</v>
      </c>
      <c r="H93" s="233"/>
      <c r="I93" s="70"/>
      <c r="J93" s="88"/>
    </row>
    <row r="95" spans="2:11">
      <c r="B95" s="294" t="s">
        <v>294</v>
      </c>
      <c r="C95" s="293"/>
      <c r="D95" s="293"/>
      <c r="E95" s="293"/>
      <c r="F95" s="293"/>
      <c r="G95" s="293"/>
      <c r="H95" s="293"/>
      <c r="I95" s="293"/>
      <c r="J95" s="218"/>
    </row>
    <row r="96" spans="2:11">
      <c r="B96" s="292"/>
      <c r="C96" s="292"/>
      <c r="D96" s="291" t="s">
        <v>293</v>
      </c>
      <c r="E96" s="291" t="s">
        <v>292</v>
      </c>
      <c r="F96" s="291" t="s">
        <v>291</v>
      </c>
      <c r="G96" s="291" t="s">
        <v>290</v>
      </c>
      <c r="H96" s="291" t="s">
        <v>289</v>
      </c>
      <c r="I96" s="291" t="s">
        <v>288</v>
      </c>
      <c r="J96" s="291" t="s">
        <v>287</v>
      </c>
    </row>
    <row r="97" spans="2:10">
      <c r="B97" s="282" t="s">
        <v>37</v>
      </c>
      <c r="C97" s="282" t="s">
        <v>285</v>
      </c>
      <c r="D97" s="290"/>
      <c r="E97" s="290"/>
      <c r="F97" s="289">
        <v>5</v>
      </c>
      <c r="G97" s="289">
        <v>3.5</v>
      </c>
      <c r="H97" s="289">
        <v>2</v>
      </c>
      <c r="I97" s="289">
        <v>0.4</v>
      </c>
      <c r="J97" s="289">
        <v>2</v>
      </c>
    </row>
    <row r="98" spans="2:10">
      <c r="B98" s="279" t="s">
        <v>21</v>
      </c>
      <c r="C98" s="279" t="s">
        <v>185</v>
      </c>
      <c r="D98" s="288"/>
      <c r="E98" s="288"/>
      <c r="F98" s="287">
        <v>1.6</v>
      </c>
      <c r="G98" s="287">
        <v>1.1000000000000001</v>
      </c>
      <c r="H98" s="287">
        <v>1.1000000000000001</v>
      </c>
      <c r="I98" s="286">
        <v>0.5</v>
      </c>
      <c r="J98" s="285">
        <v>0.65</v>
      </c>
    </row>
    <row r="99" spans="2:10">
      <c r="B99" s="276" t="s">
        <v>286</v>
      </c>
      <c r="C99" s="276" t="s">
        <v>285</v>
      </c>
      <c r="D99" s="284"/>
      <c r="E99" s="284"/>
      <c r="F99" s="283">
        <v>0.15</v>
      </c>
      <c r="G99" s="283">
        <v>0.03</v>
      </c>
      <c r="H99" s="283">
        <v>0.01</v>
      </c>
      <c r="I99" s="283">
        <v>0.01</v>
      </c>
      <c r="J99" s="283">
        <v>0.02</v>
      </c>
    </row>
    <row r="100" spans="2:10">
      <c r="B100" s="282" t="str">
        <f>B97</f>
        <v>NOx</v>
      </c>
      <c r="C100" s="282" t="s">
        <v>173</v>
      </c>
      <c r="D100" s="281"/>
      <c r="E100" s="281"/>
      <c r="F100" s="280">
        <v>1388.8888888888889</v>
      </c>
      <c r="G100" s="280">
        <v>972.22222222222217</v>
      </c>
      <c r="H100" s="280">
        <v>555.55555555555554</v>
      </c>
      <c r="I100" s="280">
        <v>111.11111111111111</v>
      </c>
      <c r="J100" s="280">
        <v>555.55555555555554</v>
      </c>
    </row>
    <row r="101" spans="2:10">
      <c r="B101" s="279" t="s">
        <v>21</v>
      </c>
      <c r="C101" s="279" t="s">
        <v>173</v>
      </c>
      <c r="D101" s="278"/>
      <c r="E101" s="278"/>
      <c r="F101" s="277">
        <v>444.44444444444446</v>
      </c>
      <c r="G101" s="277">
        <v>305.5555555555556</v>
      </c>
      <c r="H101" s="277">
        <v>305.5555555555556</v>
      </c>
      <c r="I101" s="277">
        <v>138.88888888888889</v>
      </c>
      <c r="J101" s="277">
        <v>180.55555555555557</v>
      </c>
    </row>
    <row r="102" spans="2:10">
      <c r="B102" s="276" t="str">
        <f>B99</f>
        <v>PM</v>
      </c>
      <c r="C102" s="276" t="s">
        <v>173</v>
      </c>
      <c r="D102" s="275"/>
      <c r="E102" s="275"/>
      <c r="F102" s="274">
        <v>41.666666666666664</v>
      </c>
      <c r="G102" s="273">
        <v>8.3333333333333321</v>
      </c>
      <c r="H102" s="273">
        <v>2.7777777777777777</v>
      </c>
      <c r="I102" s="273">
        <v>2.7777777777777777</v>
      </c>
      <c r="J102" s="273">
        <v>5.5555555555555554</v>
      </c>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 r:id="rId1"/>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000-000000000000}">
          <x14:formula1>
            <xm:f>'C:\Users\B003920\Desktop\[Kopi af alternativ_drivmiddelmodel_3.0_2.xlsm]Sheet1'!#REF!</xm:f>
          </x14:formula1>
          <xm:sqref>C9</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O152"/>
  <sheetViews>
    <sheetView zoomScale="90" zoomScaleNormal="90" workbookViewId="0">
      <pane xSplit="2" ySplit="5" topLeftCell="N27" activePane="bottomRight" state="frozen"/>
      <selection pane="topRight" activeCell="C1" sqref="C1"/>
      <selection pane="bottomLeft" activeCell="A6" sqref="A6"/>
      <selection pane="bottomRight" activeCell="AB3" sqref="AB3:AE3"/>
    </sheetView>
  </sheetViews>
  <sheetFormatPr defaultColWidth="9.33203125" defaultRowHeight="13.2"/>
  <cols>
    <col min="1" max="1" width="6.33203125" style="550" customWidth="1"/>
    <col min="2" max="2" width="18.44140625" style="550" customWidth="1"/>
    <col min="3" max="3" width="75.5546875" style="550" bestFit="1" customWidth="1"/>
    <col min="4" max="4" width="75.5546875" style="549" bestFit="1" customWidth="1"/>
    <col min="5" max="5" width="51.33203125" style="549" customWidth="1"/>
    <col min="6" max="6" width="10" style="549" customWidth="1"/>
    <col min="7" max="7" width="51.33203125" style="549" customWidth="1"/>
    <col min="8" max="8" width="13.33203125" style="549" customWidth="1"/>
    <col min="9" max="9" width="18" style="549" customWidth="1"/>
    <col min="10" max="10" width="17" style="549" customWidth="1"/>
    <col min="11" max="11" width="12.5546875" style="549" customWidth="1"/>
    <col min="12" max="12" width="11.44140625" style="549" customWidth="1"/>
    <col min="13" max="13" width="12.44140625" style="549" customWidth="1"/>
    <col min="14" max="14" width="13.33203125" style="549" customWidth="1"/>
    <col min="15" max="15" width="9.6640625" style="549" customWidth="1"/>
    <col min="16" max="16" width="10.33203125" style="549" customWidth="1"/>
    <col min="17" max="18" width="10.44140625" style="549" customWidth="1"/>
    <col min="19" max="19" width="11.6640625" style="549" customWidth="1"/>
    <col min="20" max="20" width="10" style="549" customWidth="1"/>
    <col min="21" max="27" width="9.33203125" style="549" customWidth="1"/>
    <col min="28" max="31" width="13.33203125" style="549" customWidth="1"/>
    <col min="32" max="32" width="9.5546875" style="549" bestFit="1" customWidth="1"/>
    <col min="33" max="33" width="14.88671875" style="549" bestFit="1" customWidth="1"/>
    <col min="34" max="35" width="9.33203125" style="549" customWidth="1"/>
    <col min="36" max="16384" width="9.33203125" style="549"/>
  </cols>
  <sheetData>
    <row r="1" spans="2:38">
      <c r="R1" s="526" t="s">
        <v>956</v>
      </c>
      <c r="AG1" s="526"/>
    </row>
    <row r="2" spans="2:38">
      <c r="H2" s="2" t="s">
        <v>0</v>
      </c>
      <c r="I2" s="2"/>
      <c r="J2" s="2"/>
      <c r="K2" s="2"/>
      <c r="M2" s="550"/>
      <c r="P2" s="1231"/>
      <c r="Q2" s="1231"/>
    </row>
    <row r="3" spans="2:38" ht="27.6">
      <c r="B3" s="1156" t="s">
        <v>1</v>
      </c>
      <c r="C3" s="1267" t="s">
        <v>64</v>
      </c>
      <c r="D3" s="1156" t="s">
        <v>2</v>
      </c>
      <c r="E3" s="1156" t="s">
        <v>3</v>
      </c>
      <c r="F3" s="1156" t="s">
        <v>916</v>
      </c>
      <c r="G3" s="1156" t="s">
        <v>957</v>
      </c>
      <c r="H3" s="1232" t="s">
        <v>219</v>
      </c>
      <c r="I3" s="1232" t="s">
        <v>958</v>
      </c>
      <c r="J3" s="1232" t="s">
        <v>991</v>
      </c>
      <c r="K3" s="1232" t="s">
        <v>959</v>
      </c>
      <c r="L3" s="1232" t="s">
        <v>960</v>
      </c>
      <c r="M3" s="1232" t="s">
        <v>961</v>
      </c>
      <c r="N3" s="1232" t="s">
        <v>962</v>
      </c>
      <c r="O3" s="1232" t="s">
        <v>10</v>
      </c>
      <c r="P3" s="1233" t="s">
        <v>6</v>
      </c>
      <c r="Q3" s="1234" t="s">
        <v>4</v>
      </c>
      <c r="R3" s="1235" t="s">
        <v>7</v>
      </c>
      <c r="S3" s="1235" t="s">
        <v>963</v>
      </c>
      <c r="T3" s="1235" t="s">
        <v>964</v>
      </c>
      <c r="U3" s="1232" t="s">
        <v>965</v>
      </c>
      <c r="V3" s="1232" t="s">
        <v>5</v>
      </c>
      <c r="W3" s="1235" t="s">
        <v>966</v>
      </c>
      <c r="X3" s="1235" t="s">
        <v>897</v>
      </c>
      <c r="Y3" s="1158" t="s">
        <v>917</v>
      </c>
      <c r="Z3" s="483" t="s">
        <v>1174</v>
      </c>
      <c r="AA3" s="483" t="s">
        <v>505</v>
      </c>
      <c r="AB3" s="43" t="s">
        <v>1497</v>
      </c>
      <c r="AC3" s="43" t="s">
        <v>1498</v>
      </c>
      <c r="AD3" s="43" t="s">
        <v>1499</v>
      </c>
      <c r="AE3" s="43" t="s">
        <v>1500</v>
      </c>
      <c r="AG3" s="43" t="s">
        <v>1461</v>
      </c>
    </row>
    <row r="4" spans="2:38" ht="41.4" thickBot="1">
      <c r="B4" s="551" t="s">
        <v>967</v>
      </c>
      <c r="C4" s="20" t="s">
        <v>72</v>
      </c>
      <c r="D4" s="551"/>
      <c r="E4" s="551"/>
      <c r="F4" s="551"/>
      <c r="G4" s="551"/>
      <c r="H4" s="1236" t="s">
        <v>968</v>
      </c>
      <c r="I4" s="551" t="s">
        <v>969</v>
      </c>
      <c r="J4" s="551" t="s">
        <v>969</v>
      </c>
      <c r="K4" s="551" t="s">
        <v>970</v>
      </c>
      <c r="L4" s="551" t="s">
        <v>970</v>
      </c>
      <c r="M4" s="551" t="s">
        <v>971</v>
      </c>
      <c r="N4" s="551" t="s">
        <v>971</v>
      </c>
      <c r="O4" s="551" t="s">
        <v>14</v>
      </c>
      <c r="P4" s="551" t="s">
        <v>972</v>
      </c>
      <c r="Q4" s="551" t="s">
        <v>973</v>
      </c>
      <c r="R4" s="551" t="s">
        <v>974</v>
      </c>
      <c r="S4" s="551" t="s">
        <v>975</v>
      </c>
      <c r="T4" s="551" t="s">
        <v>975</v>
      </c>
      <c r="U4" s="551" t="s">
        <v>976</v>
      </c>
      <c r="V4" s="551"/>
      <c r="W4" s="551" t="s">
        <v>975</v>
      </c>
      <c r="X4" s="551" t="s">
        <v>975</v>
      </c>
      <c r="Y4" s="551" t="s">
        <v>918</v>
      </c>
      <c r="Z4" s="551" t="s">
        <v>91</v>
      </c>
      <c r="AA4" s="551" t="s">
        <v>91</v>
      </c>
      <c r="AB4" s="949" t="s">
        <v>1460</v>
      </c>
      <c r="AC4" s="949" t="s">
        <v>1460</v>
      </c>
      <c r="AD4" s="949" t="s">
        <v>1460</v>
      </c>
      <c r="AE4" s="949" t="s">
        <v>1460</v>
      </c>
      <c r="AJ4" s="949" t="s">
        <v>1258</v>
      </c>
      <c r="AK4" s="949" t="s">
        <v>1258</v>
      </c>
      <c r="AL4" s="949" t="s">
        <v>762</v>
      </c>
    </row>
    <row r="5" spans="2:38" ht="24.75" customHeight="1" thickBot="1">
      <c r="B5" s="551" t="s">
        <v>11</v>
      </c>
      <c r="C5" s="551"/>
      <c r="D5" s="551"/>
      <c r="E5" s="551"/>
      <c r="F5" s="551"/>
      <c r="G5" s="551"/>
      <c r="H5" s="1236" t="s">
        <v>977</v>
      </c>
      <c r="I5" s="551" t="s">
        <v>978</v>
      </c>
      <c r="J5" s="551" t="s">
        <v>978</v>
      </c>
      <c r="K5" s="551" t="s">
        <v>979</v>
      </c>
      <c r="L5" s="551" t="s">
        <v>979</v>
      </c>
      <c r="M5" s="551" t="s">
        <v>980</v>
      </c>
      <c r="N5" s="551" t="s">
        <v>980</v>
      </c>
      <c r="O5" s="551"/>
      <c r="P5" s="551" t="s">
        <v>981</v>
      </c>
      <c r="Q5" s="551" t="s">
        <v>982</v>
      </c>
      <c r="R5" s="551" t="s">
        <v>982</v>
      </c>
      <c r="S5" s="551"/>
      <c r="T5" s="551"/>
      <c r="U5" s="551" t="s">
        <v>983</v>
      </c>
      <c r="V5" s="551"/>
      <c r="W5" s="551"/>
      <c r="X5" s="551"/>
      <c r="Y5" s="551"/>
      <c r="Z5" s="551"/>
      <c r="AA5" s="551"/>
      <c r="AB5" s="551"/>
      <c r="AC5" s="551"/>
      <c r="AD5" s="551"/>
      <c r="AE5" s="551"/>
    </row>
    <row r="6" spans="2:38">
      <c r="B6" s="1253" t="str">
        <f>"TPS"&amp;LEFT(AK6,1)&amp;AL6&amp;RIGHT(E6,1)&amp;MID(G6,3,1)&amp;"N"</f>
        <v>TPSSFOICS1N</v>
      </c>
      <c r="C6" s="552" t="s">
        <v>996</v>
      </c>
      <c r="D6" s="534" t="s">
        <v>984</v>
      </c>
      <c r="E6" s="531" t="s">
        <v>985</v>
      </c>
      <c r="F6" s="531"/>
      <c r="G6" s="531">
        <v>2010</v>
      </c>
      <c r="H6" s="1237" t="s">
        <v>986</v>
      </c>
      <c r="I6" s="1237">
        <v>10.68</v>
      </c>
      <c r="J6" s="1237">
        <v>42.83</v>
      </c>
      <c r="K6" s="1238">
        <v>43203</v>
      </c>
      <c r="L6" s="1238">
        <v>21526</v>
      </c>
      <c r="M6" s="1237">
        <v>5.4</v>
      </c>
      <c r="N6" s="1237">
        <v>8.3000000000000007</v>
      </c>
      <c r="O6" s="1237">
        <v>25</v>
      </c>
      <c r="P6" s="1239"/>
      <c r="Q6" s="1239">
        <f>0.035*R6</f>
        <v>761.03230000000019</v>
      </c>
      <c r="R6" s="1237">
        <f>41.026*530</f>
        <v>21743.780000000002</v>
      </c>
      <c r="S6" s="1237"/>
      <c r="T6" s="1237"/>
      <c r="U6" s="1237">
        <v>1E-3</v>
      </c>
      <c r="V6" s="531"/>
      <c r="W6" s="1240"/>
      <c r="AB6" s="1530">
        <f t="array" ref="AB6">INDEX(EMIS_factors!$G$6:$O$152,MATCH($G6&amp;$AG6,EMIS_factors!$E$6:$E$152&amp;EMIS_factors!$D$6:$D$152,0),MATCH(RIGHT(AB$3,6),EMIS_factors!$G$4:$O$4,0))</f>
        <v>46.838407494145187</v>
      </c>
      <c r="AC6" s="1530">
        <f t="array" ref="AC6">INDEX(EMIS_factors!$G$6:$O$152,MATCH($G6&amp;$AG6,EMIS_factors!$E$6:$E$152&amp;EMIS_factors!$D$6:$D$152,0),MATCH(RIGHT(AC$3,6),EMIS_factors!$G$4:$O$4,0))</f>
        <v>763.50782733290771</v>
      </c>
      <c r="AD6" s="1530">
        <f t="array" ref="AD6">INDEX(EMIS_factors!$G$6:$O$152,MATCH($G6&amp;$AG6,EMIS_factors!$E$6:$E$152&amp;EMIS_factors!$D$6:$D$152,0),MATCH(RIGHT(AD$3,6),EMIS_factors!$G$4:$O$4,0))</f>
        <v>1.4159961116087596</v>
      </c>
      <c r="AE6" s="1530">
        <f t="array" ref="AE6">INDEX(EMIS_factors!$G$6:$O$152,MATCH($G6&amp;$AG6,EMIS_factors!$E$6:$E$152&amp;EMIS_factors!$D$6:$D$152,0),MATCH(RIGHT(AE$3,6),EMIS_factors!$G$4:$O$4,0))</f>
        <v>21.223703267388323</v>
      </c>
      <c r="AF6" s="1295"/>
      <c r="AG6" s="526" t="s">
        <v>1476</v>
      </c>
      <c r="AH6" s="1265"/>
      <c r="AI6" s="1265"/>
      <c r="AK6" s="526" t="s">
        <v>1239</v>
      </c>
      <c r="AL6" s="526" t="s">
        <v>1249</v>
      </c>
    </row>
    <row r="7" spans="2:38">
      <c r="B7" s="552" t="str">
        <f>"TPS"&amp;LEFT(AK7,1)&amp;AL7&amp;RIGHT(E6,1)&amp;MID(G7,3,1)&amp;"N"</f>
        <v>TPSSFOICS3N</v>
      </c>
      <c r="C7" s="552" t="s">
        <v>996</v>
      </c>
      <c r="D7" s="534" t="s">
        <v>987</v>
      </c>
      <c r="E7" s="531"/>
      <c r="F7" s="531"/>
      <c r="G7" s="531">
        <v>2030</v>
      </c>
      <c r="H7" s="1237"/>
      <c r="I7" s="1237">
        <v>10.68</v>
      </c>
      <c r="J7" s="1237">
        <v>42.83</v>
      </c>
      <c r="K7" s="1238">
        <v>43203</v>
      </c>
      <c r="L7" s="1238">
        <v>21526</v>
      </c>
      <c r="M7" s="1237">
        <v>5.4</v>
      </c>
      <c r="N7" s="1237">
        <v>8.3000000000000007</v>
      </c>
      <c r="O7" s="1237">
        <v>25</v>
      </c>
      <c r="P7" s="1239"/>
      <c r="Q7" s="1239">
        <v>722.98068500000011</v>
      </c>
      <c r="R7" s="1237">
        <v>20656.591</v>
      </c>
      <c r="S7" s="1237"/>
      <c r="U7" s="1237">
        <v>1E-3</v>
      </c>
      <c r="V7" s="1238"/>
      <c r="W7" s="1240"/>
      <c r="AB7" s="1530">
        <f t="array" ref="AB7">INDEX(EMIS_factors!$G$6:$O$152,MATCH($G7&amp;$AG7,EMIS_factors!$E$6:$E$152&amp;EMIS_factors!$D$6:$D$152,0),MATCH(RIGHT(AB$3,6),EMIS_factors!$G$4:$O$4,0))</f>
        <v>46.838407494145187</v>
      </c>
      <c r="AC7" s="1530">
        <f t="array" ref="AC7">INDEX(EMIS_factors!$G$6:$O$152,MATCH($G7&amp;$AG7,EMIS_factors!$E$6:$E$152&amp;EMIS_factors!$D$6:$D$152,0),MATCH(RIGHT(AC$3,6),EMIS_factors!$G$4:$O$4,0))</f>
        <v>399.39384904263659</v>
      </c>
      <c r="AD7" s="1530">
        <f t="array" ref="AD7">INDEX(EMIS_factors!$G$6:$O$152,MATCH($G7&amp;$AG7,EMIS_factors!$E$6:$E$152&amp;EMIS_factors!$D$6:$D$152,0),MATCH(RIGHT(AD$3,6),EMIS_factors!$G$4:$O$4,0))</f>
        <v>1.5129074758860661</v>
      </c>
      <c r="AE7" s="1530">
        <f t="array" ref="AE7">INDEX(EMIS_factors!$G$6:$O$152,MATCH($G7&amp;$AG7,EMIS_factors!$E$6:$E$152&amp;EMIS_factors!$D$6:$D$152,0),MATCH(RIGHT(AE$3,6),EMIS_factors!$G$4:$O$4,0))</f>
        <v>21.223703267388313</v>
      </c>
      <c r="AF7" s="1295"/>
      <c r="AG7" s="526" t="s">
        <v>1476</v>
      </c>
      <c r="AH7" s="1265"/>
      <c r="AI7" s="1265"/>
      <c r="AK7" s="526" t="s">
        <v>1239</v>
      </c>
      <c r="AL7" s="526" t="s">
        <v>1249</v>
      </c>
    </row>
    <row r="8" spans="2:38">
      <c r="B8" s="552" t="str">
        <f>"TPS"&amp;LEFT(AK8,1)&amp;AL8&amp;RIGHT(E8,1)&amp;MID(G8,3,1)&amp;"N"</f>
        <v>TPSMFOICM1N</v>
      </c>
      <c r="C8" s="552" t="s">
        <v>997</v>
      </c>
      <c r="D8" s="534" t="s">
        <v>984</v>
      </c>
      <c r="E8" s="531" t="s">
        <v>988</v>
      </c>
      <c r="F8" s="531"/>
      <c r="G8" s="531">
        <v>2010</v>
      </c>
      <c r="H8" s="1237" t="s">
        <v>986</v>
      </c>
      <c r="I8" s="1237">
        <v>66.36</v>
      </c>
      <c r="J8" s="1237">
        <v>34.69</v>
      </c>
      <c r="K8" s="1238">
        <v>57461</v>
      </c>
      <c r="L8" s="1238">
        <v>50445</v>
      </c>
      <c r="M8" s="1237">
        <v>1.54</v>
      </c>
      <c r="N8" s="1237">
        <v>1.62</v>
      </c>
      <c r="O8" s="1237">
        <v>25</v>
      </c>
      <c r="P8" s="1239"/>
      <c r="Q8" s="1239">
        <f>0.035*R8</f>
        <v>2004.5303600000002</v>
      </c>
      <c r="R8" s="1237">
        <f>41.026*1396</f>
        <v>57272.296000000002</v>
      </c>
      <c r="S8" s="1237"/>
      <c r="T8" s="1237"/>
      <c r="U8" s="1237">
        <v>1E-3</v>
      </c>
      <c r="V8" s="531"/>
      <c r="W8" s="1240"/>
      <c r="AB8" s="1530">
        <f t="array" ref="AB8">INDEX(EMIS_factors!$G$6:$O$152,MATCH($G8&amp;$AG8,EMIS_factors!$E$6:$E$152&amp;EMIS_factors!$D$6:$D$152,0),MATCH(RIGHT(AB$3,6),EMIS_factors!$G$4:$O$4,0))</f>
        <v>46.838407494145187</v>
      </c>
      <c r="AC8" s="1530">
        <f t="array" ref="AC8">INDEX(EMIS_factors!$G$6:$O$152,MATCH($G8&amp;$AG8,EMIS_factors!$E$6:$E$152&amp;EMIS_factors!$D$6:$D$152,0),MATCH(RIGHT(AC$3,6),EMIS_factors!$G$4:$O$4,0))</f>
        <v>763.50782733290771</v>
      </c>
      <c r="AD8" s="1530">
        <f t="array" ref="AD8">INDEX(EMIS_factors!$G$6:$O$152,MATCH($G8&amp;$AG8,EMIS_factors!$E$6:$E$152&amp;EMIS_factors!$D$6:$D$152,0),MATCH(RIGHT(AD$3,6),EMIS_factors!$G$4:$O$4,0))</f>
        <v>1.4159961116087596</v>
      </c>
      <c r="AE8" s="1530">
        <f t="array" ref="AE8">INDEX(EMIS_factors!$G$6:$O$152,MATCH($G8&amp;$AG8,EMIS_factors!$E$6:$E$152&amp;EMIS_factors!$D$6:$D$152,0),MATCH(RIGHT(AE$3,6),EMIS_factors!$G$4:$O$4,0))</f>
        <v>21.223703267388323</v>
      </c>
      <c r="AF8" s="1295"/>
      <c r="AG8" s="526" t="s">
        <v>1476</v>
      </c>
      <c r="AH8" s="1265"/>
      <c r="AI8" s="1265"/>
      <c r="AK8" s="526" t="s">
        <v>1236</v>
      </c>
      <c r="AL8" s="526" t="s">
        <v>1249</v>
      </c>
    </row>
    <row r="9" spans="2:38">
      <c r="B9" s="552" t="str">
        <f>"TPS"&amp;LEFT(AK9,1)&amp;AL9&amp;RIGHT(E8,1)&amp;MID(G9,3,1)&amp;"N"</f>
        <v>TPSMFOICM3N</v>
      </c>
      <c r="C9" s="552" t="s">
        <v>997</v>
      </c>
      <c r="D9" s="534" t="s">
        <v>987</v>
      </c>
      <c r="E9" s="531"/>
      <c r="F9" s="531"/>
      <c r="G9" s="531">
        <v>2030</v>
      </c>
      <c r="H9" s="1237"/>
      <c r="I9" s="1237">
        <v>66.36</v>
      </c>
      <c r="J9" s="1237">
        <v>34.69</v>
      </c>
      <c r="K9" s="1238">
        <v>57461</v>
      </c>
      <c r="L9" s="1238">
        <v>50445</v>
      </c>
      <c r="M9" s="1237">
        <v>1.54</v>
      </c>
      <c r="N9" s="1237">
        <v>1.62</v>
      </c>
      <c r="O9" s="1237">
        <v>25</v>
      </c>
      <c r="P9" s="1239"/>
      <c r="Q9" s="1239">
        <v>1904.3038420000003</v>
      </c>
      <c r="R9" s="1237">
        <v>54408.681199999999</v>
      </c>
      <c r="S9" s="1237"/>
      <c r="U9" s="1237">
        <v>1E-3</v>
      </c>
      <c r="V9" s="1238"/>
      <c r="W9" s="1240"/>
      <c r="AB9" s="1530">
        <f t="array" ref="AB9">INDEX(EMIS_factors!$G$6:$O$152,MATCH($G9&amp;$AG9,EMIS_factors!$E$6:$E$152&amp;EMIS_factors!$D$6:$D$152,0),MATCH(RIGHT(AB$3,6),EMIS_factors!$G$4:$O$4,0))</f>
        <v>46.838407494145187</v>
      </c>
      <c r="AC9" s="1530">
        <f t="array" ref="AC9">INDEX(EMIS_factors!$G$6:$O$152,MATCH($G9&amp;$AG9,EMIS_factors!$E$6:$E$152&amp;EMIS_factors!$D$6:$D$152,0),MATCH(RIGHT(AC$3,6),EMIS_factors!$G$4:$O$4,0))</f>
        <v>399.39384904263659</v>
      </c>
      <c r="AD9" s="1530">
        <f t="array" ref="AD9">INDEX(EMIS_factors!$G$6:$O$152,MATCH($G9&amp;$AG9,EMIS_factors!$E$6:$E$152&amp;EMIS_factors!$D$6:$D$152,0),MATCH(RIGHT(AD$3,6),EMIS_factors!$G$4:$O$4,0))</f>
        <v>1.5129074758860661</v>
      </c>
      <c r="AE9" s="1530">
        <f t="array" ref="AE9">INDEX(EMIS_factors!$G$6:$O$152,MATCH($G9&amp;$AG9,EMIS_factors!$E$6:$E$152&amp;EMIS_factors!$D$6:$D$152,0),MATCH(RIGHT(AE$3,6),EMIS_factors!$G$4:$O$4,0))</f>
        <v>21.223703267388313</v>
      </c>
      <c r="AF9" s="1295"/>
      <c r="AG9" s="526" t="s">
        <v>1476</v>
      </c>
      <c r="AH9" s="1265"/>
      <c r="AI9" s="1265"/>
      <c r="AK9" s="526" t="s">
        <v>1236</v>
      </c>
      <c r="AL9" s="526" t="s">
        <v>1249</v>
      </c>
    </row>
    <row r="10" spans="2:38">
      <c r="B10" s="552" t="str">
        <f>"TPS"&amp;LEFT(AK10,1)&amp;AL10&amp;RIGHT(E10,1)&amp;MID(G10,3,1)&amp;"N"</f>
        <v>TPSLFOICL1N</v>
      </c>
      <c r="C10" s="552" t="s">
        <v>998</v>
      </c>
      <c r="D10" s="534" t="s">
        <v>984</v>
      </c>
      <c r="E10" s="531" t="s">
        <v>989</v>
      </c>
      <c r="F10" s="531"/>
      <c r="G10" s="531">
        <v>2010</v>
      </c>
      <c r="H10" s="1237" t="s">
        <v>986</v>
      </c>
      <c r="I10" s="1237">
        <v>41.87</v>
      </c>
      <c r="J10" s="1237">
        <v>38.56</v>
      </c>
      <c r="K10" s="1238">
        <v>83713</v>
      </c>
      <c r="L10" s="1238">
        <v>52608</v>
      </c>
      <c r="M10" s="1237">
        <v>0.99</v>
      </c>
      <c r="N10" s="1237">
        <v>0.81</v>
      </c>
      <c r="O10" s="1237">
        <v>25</v>
      </c>
      <c r="P10" s="1239"/>
      <c r="Q10" s="1239">
        <f t="shared" ref="Q10:Q18" si="0">0.035*R10</f>
        <v>4923.7353900000007</v>
      </c>
      <c r="R10" s="1237">
        <f>41.026*3429</f>
        <v>140678.15400000001</v>
      </c>
      <c r="S10" s="1237"/>
      <c r="T10" s="1237"/>
      <c r="U10" s="1237">
        <v>1E-3</v>
      </c>
      <c r="V10" s="531"/>
      <c r="W10" s="1240"/>
      <c r="AB10" s="1530">
        <f t="array" ref="AB10">INDEX(EMIS_factors!$G$6:$O$152,MATCH($G10&amp;$AG10,EMIS_factors!$E$6:$E$152&amp;EMIS_factors!$D$6:$D$152,0),MATCH(RIGHT(AB$3,6),EMIS_factors!$G$4:$O$4,0))</f>
        <v>46.838407494145187</v>
      </c>
      <c r="AC10" s="1530">
        <f t="array" ref="AC10">INDEX(EMIS_factors!$G$6:$O$152,MATCH($G10&amp;$AG10,EMIS_factors!$E$6:$E$152&amp;EMIS_factors!$D$6:$D$152,0),MATCH(RIGHT(AC$3,6),EMIS_factors!$G$4:$O$4,0))</f>
        <v>763.50782733290771</v>
      </c>
      <c r="AD10" s="1530">
        <f t="array" ref="AD10">INDEX(EMIS_factors!$G$6:$O$152,MATCH($G10&amp;$AG10,EMIS_factors!$E$6:$E$152&amp;EMIS_factors!$D$6:$D$152,0),MATCH(RIGHT(AD$3,6),EMIS_factors!$G$4:$O$4,0))</f>
        <v>1.4159961116087596</v>
      </c>
      <c r="AE10" s="1530">
        <f t="array" ref="AE10">INDEX(EMIS_factors!$G$6:$O$152,MATCH($G10&amp;$AG10,EMIS_factors!$E$6:$E$152&amp;EMIS_factors!$D$6:$D$152,0),MATCH(RIGHT(AE$3,6),EMIS_factors!$G$4:$O$4,0))</f>
        <v>21.223703267388323</v>
      </c>
      <c r="AF10" s="1295"/>
      <c r="AG10" s="526" t="s">
        <v>1476</v>
      </c>
      <c r="AH10" s="1265"/>
      <c r="AI10" s="1265"/>
      <c r="AK10" s="526" t="s">
        <v>1240</v>
      </c>
      <c r="AL10" s="526" t="s">
        <v>1249</v>
      </c>
    </row>
    <row r="11" spans="2:38">
      <c r="B11" s="552" t="str">
        <f>"TPS"&amp;LEFT(AK11,1)&amp;AL11&amp;RIGHT(E10,1)&amp;MID(G11,3,1)&amp;"N"</f>
        <v>TPSLFOICL3N</v>
      </c>
      <c r="C11" s="552" t="s">
        <v>998</v>
      </c>
      <c r="D11" s="534" t="s">
        <v>987</v>
      </c>
      <c r="E11" s="531"/>
      <c r="F11" s="531"/>
      <c r="G11" s="531">
        <v>2030</v>
      </c>
      <c r="H11" s="1237"/>
      <c r="I11" s="1237">
        <v>41.87</v>
      </c>
      <c r="J11" s="1237">
        <v>38.56</v>
      </c>
      <c r="K11" s="1238">
        <v>83713</v>
      </c>
      <c r="L11" s="1238">
        <v>52608</v>
      </c>
      <c r="M11" s="1237">
        <v>0.99</v>
      </c>
      <c r="N11" s="1237">
        <v>0.81</v>
      </c>
      <c r="O11" s="1237">
        <v>25</v>
      </c>
      <c r="P11" s="1239"/>
      <c r="Q11" s="1239">
        <v>4677.5486205000007</v>
      </c>
      <c r="R11" s="1237">
        <v>133644.2463</v>
      </c>
      <c r="S11" s="1237"/>
      <c r="U11" s="1237">
        <v>1E-3</v>
      </c>
      <c r="V11" s="1238"/>
      <c r="W11" s="1240"/>
      <c r="AB11" s="1530">
        <f t="array" ref="AB11">INDEX(EMIS_factors!$G$6:$O$152,MATCH($G11&amp;$AG11,EMIS_factors!$E$6:$E$152&amp;EMIS_factors!$D$6:$D$152,0),MATCH(RIGHT(AB$3,6),EMIS_factors!$G$4:$O$4,0))</f>
        <v>46.838407494145187</v>
      </c>
      <c r="AC11" s="1530">
        <f t="array" ref="AC11">INDEX(EMIS_factors!$G$6:$O$152,MATCH($G11&amp;$AG11,EMIS_factors!$E$6:$E$152&amp;EMIS_factors!$D$6:$D$152,0),MATCH(RIGHT(AC$3,6),EMIS_factors!$G$4:$O$4,0))</f>
        <v>399.39384904263659</v>
      </c>
      <c r="AD11" s="1530">
        <f t="array" ref="AD11">INDEX(EMIS_factors!$G$6:$O$152,MATCH($G11&amp;$AG11,EMIS_factors!$E$6:$E$152&amp;EMIS_factors!$D$6:$D$152,0),MATCH(RIGHT(AD$3,6),EMIS_factors!$G$4:$O$4,0))</f>
        <v>1.5129074758860661</v>
      </c>
      <c r="AE11" s="1530">
        <f t="array" ref="AE11">INDEX(EMIS_factors!$G$6:$O$152,MATCH($G11&amp;$AG11,EMIS_factors!$E$6:$E$152&amp;EMIS_factors!$D$6:$D$152,0),MATCH(RIGHT(AE$3,6),EMIS_factors!$G$4:$O$4,0))</f>
        <v>21.223703267388313</v>
      </c>
      <c r="AF11" s="1295"/>
      <c r="AG11" s="526" t="s">
        <v>1476</v>
      </c>
      <c r="AH11" s="1265"/>
      <c r="AI11" s="1265"/>
      <c r="AK11" s="526" t="s">
        <v>1240</v>
      </c>
      <c r="AL11" s="526" t="s">
        <v>1249</v>
      </c>
    </row>
    <row r="12" spans="2:38">
      <c r="B12" s="552" t="str">
        <f>"TPS"&amp;LEFT(AK12,1)&amp;AL12&amp;RIGHT(E12,1)&amp;MID(G12,3,1)&amp;"N"</f>
        <v>TPSXFOICL1N</v>
      </c>
      <c r="C12" s="552" t="s">
        <v>999</v>
      </c>
      <c r="D12" s="534" t="s">
        <v>984</v>
      </c>
      <c r="E12" s="481" t="s">
        <v>990</v>
      </c>
      <c r="F12" s="481"/>
      <c r="G12" s="531">
        <v>2010</v>
      </c>
      <c r="H12" s="1237" t="s">
        <v>986</v>
      </c>
      <c r="I12" s="1237">
        <v>213.92</v>
      </c>
      <c r="J12" s="1237">
        <v>213.92</v>
      </c>
      <c r="K12" s="1238">
        <v>140122</v>
      </c>
      <c r="L12" s="1238">
        <v>140122</v>
      </c>
      <c r="M12" s="1237">
        <v>0.215</v>
      </c>
      <c r="N12" s="1237">
        <v>0.215</v>
      </c>
      <c r="O12" s="1237">
        <v>25</v>
      </c>
      <c r="P12" s="1241"/>
      <c r="Q12" s="1239">
        <f t="shared" si="0"/>
        <v>44281.104000000007</v>
      </c>
      <c r="R12" s="1237">
        <f>39.34*32160</f>
        <v>1265174.4000000001</v>
      </c>
      <c r="S12" s="1237"/>
      <c r="T12" s="1237"/>
      <c r="U12" s="1237">
        <v>1E-3</v>
      </c>
      <c r="V12" s="531"/>
      <c r="W12" s="1240"/>
      <c r="AB12" s="1530">
        <f t="array" ref="AB12">INDEX(EMIS_factors!$G$6:$O$152,MATCH($G12&amp;$AG12,EMIS_factors!$E$6:$E$152&amp;EMIS_factors!$D$6:$D$152,0),MATCH(RIGHT(AB$3,6),EMIS_factors!$G$4:$O$4,0))</f>
        <v>46.838407494145187</v>
      </c>
      <c r="AC12" s="1530">
        <f t="array" ref="AC12">INDEX(EMIS_factors!$G$6:$O$152,MATCH($G12&amp;$AG12,EMIS_factors!$E$6:$E$152&amp;EMIS_factors!$D$6:$D$152,0),MATCH(RIGHT(AC$3,6),EMIS_factors!$G$4:$O$4,0))</f>
        <v>763.50782733290771</v>
      </c>
      <c r="AD12" s="1530">
        <f t="array" ref="AD12">INDEX(EMIS_factors!$G$6:$O$152,MATCH($G12&amp;$AG12,EMIS_factors!$E$6:$E$152&amp;EMIS_factors!$D$6:$D$152,0),MATCH(RIGHT(AD$3,6),EMIS_factors!$G$4:$O$4,0))</f>
        <v>1.4159961116087596</v>
      </c>
      <c r="AE12" s="1530">
        <f t="array" ref="AE12">INDEX(EMIS_factors!$G$6:$O$152,MATCH($G12&amp;$AG12,EMIS_factors!$E$6:$E$152&amp;EMIS_factors!$D$6:$D$152,0),MATCH(RIGHT(AE$3,6),EMIS_factors!$G$4:$O$4,0))</f>
        <v>21.223703267388323</v>
      </c>
      <c r="AF12" s="1295"/>
      <c r="AG12" s="526" t="s">
        <v>1476</v>
      </c>
      <c r="AH12" s="1265"/>
      <c r="AI12" s="1265"/>
      <c r="AK12" s="549" t="s">
        <v>1259</v>
      </c>
      <c r="AL12" s="526" t="s">
        <v>1249</v>
      </c>
    </row>
    <row r="13" spans="2:38">
      <c r="B13" s="552" t="str">
        <f>"TPS"&amp;LEFT(AK13,1)&amp;AL13&amp;RIGHT(E12,1)&amp;MID(G13,3,1)&amp;"N"</f>
        <v>TPSXFOICL3N</v>
      </c>
      <c r="C13" s="552" t="s">
        <v>999</v>
      </c>
      <c r="D13" s="1246" t="s">
        <v>987</v>
      </c>
      <c r="E13" s="1269"/>
      <c r="F13" s="1269"/>
      <c r="G13" s="1247">
        <v>2030</v>
      </c>
      <c r="H13" s="1249"/>
      <c r="I13" s="1249">
        <v>213.92</v>
      </c>
      <c r="J13" s="1249">
        <v>213.92</v>
      </c>
      <c r="K13" s="1250">
        <v>140122</v>
      </c>
      <c r="L13" s="1250">
        <v>140122</v>
      </c>
      <c r="M13" s="1249">
        <v>0.215</v>
      </c>
      <c r="N13" s="1249">
        <v>0.215</v>
      </c>
      <c r="O13" s="1249">
        <v>25</v>
      </c>
      <c r="P13" s="1251"/>
      <c r="Q13" s="1252">
        <v>42067.048800000011</v>
      </c>
      <c r="R13" s="1249">
        <v>1201915.6800000002</v>
      </c>
      <c r="S13" s="1249"/>
      <c r="T13" s="1231"/>
      <c r="U13" s="1249">
        <v>1E-3</v>
      </c>
      <c r="V13" s="1250"/>
      <c r="W13" s="1270"/>
      <c r="X13" s="1231"/>
      <c r="AB13" s="1530">
        <f t="array" ref="AB13">INDEX(EMIS_factors!$G$6:$O$152,MATCH($G13&amp;$AG13,EMIS_factors!$E$6:$E$152&amp;EMIS_factors!$D$6:$D$152,0),MATCH(RIGHT(AB$3,6),EMIS_factors!$G$4:$O$4,0))</f>
        <v>46.838407494145187</v>
      </c>
      <c r="AC13" s="1530">
        <f t="array" ref="AC13">INDEX(EMIS_factors!$G$6:$O$152,MATCH($G13&amp;$AG13,EMIS_factors!$E$6:$E$152&amp;EMIS_factors!$D$6:$D$152,0),MATCH(RIGHT(AC$3,6),EMIS_factors!$G$4:$O$4,0))</f>
        <v>399.39384904263659</v>
      </c>
      <c r="AD13" s="1530">
        <f t="array" ref="AD13">INDEX(EMIS_factors!$G$6:$O$152,MATCH($G13&amp;$AG13,EMIS_factors!$E$6:$E$152&amp;EMIS_factors!$D$6:$D$152,0),MATCH(RIGHT(AD$3,6),EMIS_factors!$G$4:$O$4,0))</f>
        <v>1.5129074758860661</v>
      </c>
      <c r="AE13" s="1530">
        <f t="array" ref="AE13">INDEX(EMIS_factors!$G$6:$O$152,MATCH($G13&amp;$AG13,EMIS_factors!$E$6:$E$152&amp;EMIS_factors!$D$6:$D$152,0),MATCH(RIGHT(AE$3,6),EMIS_factors!$G$4:$O$4,0))</f>
        <v>21.223703267388313</v>
      </c>
      <c r="AF13" s="1295"/>
      <c r="AG13" s="526" t="s">
        <v>1476</v>
      </c>
      <c r="AH13" s="1265"/>
      <c r="AI13" s="1265"/>
      <c r="AK13" s="549" t="s">
        <v>1259</v>
      </c>
      <c r="AL13" s="526" t="s">
        <v>1249</v>
      </c>
    </row>
    <row r="14" spans="2:38">
      <c r="B14" s="552" t="str">
        <f>"TPS"&amp;LEFT(AK14,1)&amp;AL14&amp;RIGHT(E14,1)&amp;MID(G14,3,1)&amp;"N"</f>
        <v>TPSSNGICS1N</v>
      </c>
      <c r="C14" s="552" t="s">
        <v>1000</v>
      </c>
      <c r="D14" s="549" t="s">
        <v>1345</v>
      </c>
      <c r="E14" s="531" t="s">
        <v>985</v>
      </c>
      <c r="F14" s="531"/>
      <c r="G14" s="531">
        <v>2012</v>
      </c>
      <c r="H14" s="1237" t="s">
        <v>986</v>
      </c>
      <c r="I14" s="1237">
        <v>10.68</v>
      </c>
      <c r="J14" s="1237">
        <v>42.83</v>
      </c>
      <c r="K14" s="1238">
        <v>43203</v>
      </c>
      <c r="L14" s="1238">
        <v>21526</v>
      </c>
      <c r="M14" s="1237">
        <v>5.4</v>
      </c>
      <c r="N14" s="1237">
        <v>8.3000000000000007</v>
      </c>
      <c r="O14" s="1237">
        <v>25</v>
      </c>
      <c r="P14" s="1242"/>
      <c r="Q14" s="1239">
        <f t="shared" si="0"/>
        <v>837.13553000000024</v>
      </c>
      <c r="R14" s="1237">
        <f>1.1*R6</f>
        <v>23918.158000000003</v>
      </c>
      <c r="S14" s="1237"/>
      <c r="T14" s="1237"/>
      <c r="U14" s="1237">
        <v>1E-3</v>
      </c>
      <c r="V14" s="1238"/>
      <c r="W14" s="1240"/>
      <c r="AB14" s="1530">
        <f t="array" ref="AB14">INDEX(EMIS_factors!$G$6:$O$152,MATCH($G14&amp;$AG14,EMIS_factors!$E$6:$E$152&amp;EMIS_factors!$D$6:$D$152,0),MATCH(RIGHT(AB$3,6),EMIS_factors!$G$4:$O$4,0))</f>
        <v>0</v>
      </c>
      <c r="AC14" s="1530">
        <f t="array" ref="AC14">INDEX(EMIS_factors!$G$6:$O$152,MATCH($G14&amp;$AG14,EMIS_factors!$E$6:$E$152&amp;EMIS_factors!$D$6:$D$152,0),MATCH(RIGHT(AC$3,6),EMIS_factors!$G$4:$O$4,0))</f>
        <v>380.44327550338522</v>
      </c>
      <c r="AD14" s="1530">
        <f t="array" ref="AD14">INDEX(EMIS_factors!$G$6:$O$152,MATCH($G14&amp;$AG14,EMIS_factors!$E$6:$E$152&amp;EMIS_factors!$D$6:$D$152,0),MATCH(RIGHT(AD$3,6),EMIS_factors!$G$4:$O$4,0))</f>
        <v>1.8035533175767393</v>
      </c>
      <c r="AE14" s="1530">
        <f t="array" ref="AE14">INDEX(EMIS_factors!$G$6:$O$152,MATCH($G14&amp;$AG14,EMIS_factors!$E$6:$E$152&amp;EMIS_factors!$D$6:$D$152,0),MATCH(RIGHT(AE$3,6),EMIS_factors!$G$4:$O$4,0))</f>
        <v>0</v>
      </c>
      <c r="AF14" s="1295"/>
      <c r="AG14" s="526" t="s">
        <v>1487</v>
      </c>
      <c r="AH14" s="1265"/>
      <c r="AI14" s="1265"/>
      <c r="AK14" s="526" t="s">
        <v>1239</v>
      </c>
      <c r="AL14" s="526" t="s">
        <v>1252</v>
      </c>
    </row>
    <row r="15" spans="2:38">
      <c r="B15" s="552" t="str">
        <f>"TPS"&amp;LEFT(AK15,1)&amp;AL15&amp;RIGHT(E15,1)&amp;MID(G15,3,1)&amp;"N"</f>
        <v>TPSMNGICM1N</v>
      </c>
      <c r="C15" s="552" t="s">
        <v>1001</v>
      </c>
      <c r="D15" s="549" t="s">
        <v>1345</v>
      </c>
      <c r="E15" s="531" t="s">
        <v>988</v>
      </c>
      <c r="F15" s="531"/>
      <c r="G15" s="531">
        <v>2012</v>
      </c>
      <c r="H15" s="1237" t="s">
        <v>986</v>
      </c>
      <c r="I15" s="1237">
        <v>66.36</v>
      </c>
      <c r="J15" s="1237">
        <v>34.69</v>
      </c>
      <c r="K15" s="1238">
        <v>57461</v>
      </c>
      <c r="L15" s="1238">
        <v>50445</v>
      </c>
      <c r="M15" s="1237">
        <v>1.54</v>
      </c>
      <c r="N15" s="1237">
        <v>1.62</v>
      </c>
      <c r="O15" s="1237">
        <v>25</v>
      </c>
      <c r="P15" s="1242"/>
      <c r="Q15" s="1239">
        <f t="shared" si="0"/>
        <v>2204.9833960000005</v>
      </c>
      <c r="R15" s="1237">
        <f>1.1*R8</f>
        <v>62999.525600000008</v>
      </c>
      <c r="S15" s="1237"/>
      <c r="T15" s="1237"/>
      <c r="U15" s="1237">
        <v>1E-3</v>
      </c>
      <c r="V15" s="1238"/>
      <c r="W15" s="1240"/>
      <c r="AB15" s="1530">
        <f t="array" ref="AB15">INDEX(EMIS_factors!$G$6:$O$152,MATCH($G15&amp;$AG15,EMIS_factors!$E$6:$E$152&amp;EMIS_factors!$D$6:$D$152,0),MATCH(RIGHT(AB$3,6),EMIS_factors!$G$4:$O$4,0))</f>
        <v>0</v>
      </c>
      <c r="AC15" s="1530">
        <f t="array" ref="AC15">INDEX(EMIS_factors!$G$6:$O$152,MATCH($G15&amp;$AG15,EMIS_factors!$E$6:$E$152&amp;EMIS_factors!$D$6:$D$152,0),MATCH(RIGHT(AC$3,6),EMIS_factors!$G$4:$O$4,0))</f>
        <v>380.44327550338522</v>
      </c>
      <c r="AD15" s="1530">
        <f t="array" ref="AD15">INDEX(EMIS_factors!$G$6:$O$152,MATCH($G15&amp;$AG15,EMIS_factors!$E$6:$E$152&amp;EMIS_factors!$D$6:$D$152,0),MATCH(RIGHT(AD$3,6),EMIS_factors!$G$4:$O$4,0))</f>
        <v>1.8035533175767393</v>
      </c>
      <c r="AE15" s="1530">
        <f t="array" ref="AE15">INDEX(EMIS_factors!$G$6:$O$152,MATCH($G15&amp;$AG15,EMIS_factors!$E$6:$E$152&amp;EMIS_factors!$D$6:$D$152,0),MATCH(RIGHT(AE$3,6),EMIS_factors!$G$4:$O$4,0))</f>
        <v>0</v>
      </c>
      <c r="AF15" s="1295"/>
      <c r="AG15" s="526" t="s">
        <v>1487</v>
      </c>
      <c r="AK15" s="526" t="s">
        <v>1236</v>
      </c>
      <c r="AL15" s="526" t="s">
        <v>1252</v>
      </c>
    </row>
    <row r="16" spans="2:38">
      <c r="B16" s="552" t="str">
        <f>"TPS"&amp;LEFT(AK16,1)&amp;AL16&amp;RIGHT(E16,1)&amp;MID(G16,3,1)&amp;"N"</f>
        <v>TPSLNGICL1N</v>
      </c>
      <c r="C16" s="552" t="s">
        <v>1002</v>
      </c>
      <c r="D16" s="549" t="s">
        <v>1345</v>
      </c>
      <c r="E16" s="531" t="s">
        <v>989</v>
      </c>
      <c r="F16" s="531"/>
      <c r="G16" s="531">
        <v>2012</v>
      </c>
      <c r="H16" s="1237" t="s">
        <v>986</v>
      </c>
      <c r="I16" s="1237">
        <v>41.87</v>
      </c>
      <c r="J16" s="1237">
        <v>38.56</v>
      </c>
      <c r="K16" s="1238">
        <v>83713</v>
      </c>
      <c r="L16" s="1238">
        <v>52608</v>
      </c>
      <c r="M16" s="1237">
        <v>0.99</v>
      </c>
      <c r="N16" s="1237">
        <v>0.81</v>
      </c>
      <c r="O16" s="1237">
        <v>25</v>
      </c>
      <c r="P16" s="1242"/>
      <c r="Q16" s="1239">
        <f t="shared" si="0"/>
        <v>5416.1089290000018</v>
      </c>
      <c r="R16" s="1237">
        <f>1.1*R10</f>
        <v>154745.96940000003</v>
      </c>
      <c r="S16" s="1237"/>
      <c r="T16" s="1237"/>
      <c r="U16" s="1237">
        <v>1E-3</v>
      </c>
      <c r="V16" s="1238"/>
      <c r="W16" s="1240"/>
      <c r="AA16" s="1243"/>
      <c r="AB16" s="1530">
        <f t="array" ref="AB16">INDEX(EMIS_factors!$G$6:$O$152,MATCH($G16&amp;$AG16,EMIS_factors!$E$6:$E$152&amp;EMIS_factors!$D$6:$D$152,0),MATCH(RIGHT(AB$3,6),EMIS_factors!$G$4:$O$4,0))</f>
        <v>0</v>
      </c>
      <c r="AC16" s="1530">
        <f t="array" ref="AC16">INDEX(EMIS_factors!$G$6:$O$152,MATCH($G16&amp;$AG16,EMIS_factors!$E$6:$E$152&amp;EMIS_factors!$D$6:$D$152,0),MATCH(RIGHT(AC$3,6),EMIS_factors!$G$4:$O$4,0))</f>
        <v>380.44327550338522</v>
      </c>
      <c r="AD16" s="1530">
        <f t="array" ref="AD16">INDEX(EMIS_factors!$G$6:$O$152,MATCH($G16&amp;$AG16,EMIS_factors!$E$6:$E$152&amp;EMIS_factors!$D$6:$D$152,0),MATCH(RIGHT(AD$3,6),EMIS_factors!$G$4:$O$4,0))</f>
        <v>1.8035533175767393</v>
      </c>
      <c r="AE16" s="1530">
        <f t="array" ref="AE16">INDEX(EMIS_factors!$G$6:$O$152,MATCH($G16&amp;$AG16,EMIS_factors!$E$6:$E$152&amp;EMIS_factors!$D$6:$D$152,0),MATCH(RIGHT(AE$3,6),EMIS_factors!$G$4:$O$4,0))</f>
        <v>0</v>
      </c>
      <c r="AF16" s="1295"/>
      <c r="AG16" s="526" t="s">
        <v>1487</v>
      </c>
      <c r="AK16" s="526" t="s">
        <v>1240</v>
      </c>
      <c r="AL16" s="526" t="s">
        <v>1252</v>
      </c>
    </row>
    <row r="17" spans="2:38">
      <c r="B17" s="1231" t="str">
        <f>"TPS"&amp;LEFT(AK17,1)&amp;AL17&amp;RIGHT(E17,1)&amp;MID(G17,3,1)&amp;"N"</f>
        <v>TPSXNGICL1N</v>
      </c>
      <c r="C17" s="552" t="s">
        <v>1003</v>
      </c>
      <c r="D17" s="549" t="s">
        <v>1345</v>
      </c>
      <c r="E17" s="1269" t="s">
        <v>990</v>
      </c>
      <c r="F17" s="1269"/>
      <c r="G17" s="531">
        <v>2012</v>
      </c>
      <c r="H17" s="1249" t="s">
        <v>986</v>
      </c>
      <c r="I17" s="1249">
        <v>213.92</v>
      </c>
      <c r="J17" s="1249">
        <v>213.92</v>
      </c>
      <c r="K17" s="1250">
        <v>140122</v>
      </c>
      <c r="L17" s="1250">
        <v>140122</v>
      </c>
      <c r="M17" s="1249">
        <v>0.215</v>
      </c>
      <c r="N17" s="1249">
        <v>0.215</v>
      </c>
      <c r="O17" s="1249">
        <v>25</v>
      </c>
      <c r="P17" s="1271"/>
      <c r="Q17" s="1252">
        <f t="shared" si="0"/>
        <v>48709.214400000019</v>
      </c>
      <c r="R17" s="1249">
        <f>1.1*R12</f>
        <v>1391691.8400000003</v>
      </c>
      <c r="S17" s="1249"/>
      <c r="T17" s="1249"/>
      <c r="U17" s="1249">
        <v>1E-3</v>
      </c>
      <c r="V17" s="1250"/>
      <c r="W17" s="1231"/>
      <c r="X17" s="1231"/>
      <c r="AA17" s="1243"/>
      <c r="AB17" s="1530">
        <f t="array" ref="AB17">INDEX(EMIS_factors!$G$6:$O$152,MATCH($G17&amp;$AG17,EMIS_factors!$E$6:$E$152&amp;EMIS_factors!$D$6:$D$152,0),MATCH(RIGHT(AB$3,6),EMIS_factors!$G$4:$O$4,0))</f>
        <v>0</v>
      </c>
      <c r="AC17" s="1530">
        <f t="array" ref="AC17">INDEX(EMIS_factors!$G$6:$O$152,MATCH($G17&amp;$AG17,EMIS_factors!$E$6:$E$152&amp;EMIS_factors!$D$6:$D$152,0),MATCH(RIGHT(AC$3,6),EMIS_factors!$G$4:$O$4,0))</f>
        <v>380.44327550338522</v>
      </c>
      <c r="AD17" s="1530">
        <f t="array" ref="AD17">INDEX(EMIS_factors!$G$6:$O$152,MATCH($G17&amp;$AG17,EMIS_factors!$E$6:$E$152&amp;EMIS_factors!$D$6:$D$152,0),MATCH(RIGHT(AD$3,6),EMIS_factors!$G$4:$O$4,0))</f>
        <v>1.8035533175767393</v>
      </c>
      <c r="AE17" s="1530">
        <f t="array" ref="AE17">INDEX(EMIS_factors!$G$6:$O$152,MATCH($G17&amp;$AG17,EMIS_factors!$E$6:$E$152&amp;EMIS_factors!$D$6:$D$152,0),MATCH(RIGHT(AE$3,6),EMIS_factors!$G$4:$O$4,0))</f>
        <v>0</v>
      </c>
      <c r="AF17" s="1295"/>
      <c r="AG17" s="526" t="s">
        <v>1487</v>
      </c>
      <c r="AK17" s="549" t="s">
        <v>1259</v>
      </c>
      <c r="AL17" s="526" t="s">
        <v>1252</v>
      </c>
    </row>
    <row r="18" spans="2:38">
      <c r="B18" s="552" t="str">
        <f>"TPS"&amp;LEFT(AK18,1)&amp;AL18&amp;RIGHT(E18,1)&amp;MID(G18,3,1)&amp;"N"</f>
        <v>TPSSNGDUS2N</v>
      </c>
      <c r="C18" s="552" t="s">
        <v>1004</v>
      </c>
      <c r="D18" s="549" t="s">
        <v>1344</v>
      </c>
      <c r="E18" s="531" t="s">
        <v>985</v>
      </c>
      <c r="F18" s="531"/>
      <c r="G18" s="531">
        <v>2020</v>
      </c>
      <c r="H18" s="1237" t="s">
        <v>986</v>
      </c>
      <c r="I18" s="1237">
        <v>10.68</v>
      </c>
      <c r="J18" s="1237">
        <v>42.83</v>
      </c>
      <c r="K18" s="1238">
        <v>43203</v>
      </c>
      <c r="L18" s="1238">
        <v>21526</v>
      </c>
      <c r="M18" s="1237">
        <v>5.4</v>
      </c>
      <c r="N18" s="1237">
        <v>8.3000000000000007</v>
      </c>
      <c r="O18" s="1237">
        <v>25</v>
      </c>
      <c r="P18" s="1242"/>
      <c r="Q18" s="1239">
        <f t="shared" si="0"/>
        <v>807.9452500000001</v>
      </c>
      <c r="R18" s="1237">
        <f>43.555*530</f>
        <v>23084.15</v>
      </c>
      <c r="S18" s="1237">
        <v>0.95</v>
      </c>
      <c r="T18" s="1237"/>
      <c r="U18" s="1237">
        <v>1E-3</v>
      </c>
      <c r="V18" s="1238"/>
      <c r="W18" s="1240">
        <v>5</v>
      </c>
      <c r="AA18" s="1243"/>
      <c r="AB18" s="1530">
        <f t="array" ref="AB18">INDEX(EMIS_factors!$G$6:$O$152,MATCH($G18&amp;$AG18,EMIS_factors!$E$6:$E$152&amp;EMIS_factors!$D$6:$D$152,0),MATCH(RIGHT(AB$3,6),EMIS_factors!$G$4:$O$4,0))</f>
        <v>0</v>
      </c>
      <c r="AC18" s="1530">
        <f t="array" ref="AC18">INDEX(EMIS_factors!$G$6:$O$152,MATCH($G18&amp;$AG18,EMIS_factors!$E$6:$E$152&amp;EMIS_factors!$D$6:$D$152,0),MATCH(RIGHT(AC$3,6),EMIS_factors!$G$4:$O$4,0))</f>
        <v>2114.3909535161811</v>
      </c>
      <c r="AD18" s="1530">
        <f t="array" ref="AD18">INDEX(EMIS_factors!$G$6:$O$152,MATCH($G18&amp;$AG18,EMIS_factors!$E$6:$E$152&amp;EMIS_factors!$D$6:$D$152,0),MATCH(RIGHT(AD$3,6),EMIS_factors!$G$4:$O$4,0))</f>
        <v>1.9355600084592535</v>
      </c>
      <c r="AE18" s="1530">
        <f t="array" ref="AE18">INDEX(EMIS_factors!$G$6:$O$152,MATCH($G18&amp;$AG18,EMIS_factors!$E$6:$E$152&amp;EMIS_factors!$D$6:$D$152,0),MATCH(RIGHT(AE$3,6),EMIS_factors!$G$4:$O$4,0))</f>
        <v>0</v>
      </c>
      <c r="AF18" s="1295"/>
      <c r="AG18" s="526" t="s">
        <v>1487</v>
      </c>
      <c r="AK18" s="526" t="s">
        <v>1239</v>
      </c>
      <c r="AL18" s="526" t="s">
        <v>1257</v>
      </c>
    </row>
    <row r="19" spans="2:38">
      <c r="B19" s="552"/>
      <c r="C19" s="552"/>
      <c r="D19" s="534" t="s">
        <v>984</v>
      </c>
      <c r="E19" s="531"/>
      <c r="F19" s="531"/>
      <c r="G19" s="531"/>
      <c r="H19" s="1244"/>
      <c r="I19" s="1237"/>
      <c r="J19" s="1237"/>
      <c r="K19" s="1238"/>
      <c r="L19" s="1238"/>
      <c r="M19" s="1237"/>
      <c r="N19" s="1237"/>
      <c r="O19" s="1237"/>
      <c r="P19" s="1242"/>
      <c r="Q19" s="1239"/>
      <c r="R19" s="1237"/>
      <c r="S19" s="1237"/>
      <c r="T19" s="1237"/>
      <c r="U19" s="1237"/>
      <c r="V19" s="1238"/>
      <c r="W19" s="552"/>
      <c r="AA19" s="1243"/>
      <c r="AB19" s="1530"/>
      <c r="AC19" s="1530"/>
      <c r="AD19" s="1530"/>
      <c r="AE19" s="1530"/>
      <c r="AF19" s="1295"/>
      <c r="AG19" s="526" t="s">
        <v>1487</v>
      </c>
      <c r="AK19" s="526" t="s">
        <v>1239</v>
      </c>
      <c r="AL19" s="526" t="s">
        <v>1257</v>
      </c>
    </row>
    <row r="20" spans="2:38">
      <c r="B20" s="552"/>
      <c r="C20" s="552"/>
      <c r="D20" s="549" t="s">
        <v>1343</v>
      </c>
      <c r="E20" s="531" t="s">
        <v>985</v>
      </c>
      <c r="F20" s="531"/>
      <c r="G20" s="549">
        <v>2030</v>
      </c>
      <c r="H20" s="1237" t="s">
        <v>986</v>
      </c>
      <c r="I20" s="1237">
        <v>10.68</v>
      </c>
      <c r="J20" s="1237">
        <v>42.83</v>
      </c>
      <c r="K20" s="1238">
        <v>43203</v>
      </c>
      <c r="L20" s="1238">
        <v>21526</v>
      </c>
      <c r="M20" s="1237">
        <v>5.4</v>
      </c>
      <c r="N20" s="1237">
        <v>8.3000000000000007</v>
      </c>
      <c r="O20" s="1237">
        <v>25</v>
      </c>
      <c r="P20" s="1242"/>
      <c r="Q20" s="1239">
        <v>767.54798750000009</v>
      </c>
      <c r="R20" s="1237">
        <v>21929.942500000001</v>
      </c>
      <c r="S20" s="1237">
        <v>0.95</v>
      </c>
      <c r="T20" s="1237"/>
      <c r="U20" s="1237">
        <v>1E-3</v>
      </c>
      <c r="V20" s="1238"/>
      <c r="W20" s="1240">
        <v>5</v>
      </c>
      <c r="AA20" s="1243"/>
      <c r="AB20" s="1530">
        <f t="array" ref="AB20">INDEX(EMIS_factors!$G$6:$O$152,MATCH($G20&amp;$AG20,EMIS_factors!$E$6:$E$152&amp;EMIS_factors!$D$6:$D$152,0),MATCH(RIGHT(AB$3,6),EMIS_factors!$G$4:$O$4,0))</f>
        <v>0</v>
      </c>
      <c r="AC20" s="1530">
        <f t="array" ref="AC20">INDEX(EMIS_factors!$G$6:$O$152,MATCH($G20&amp;$AG20,EMIS_factors!$E$6:$E$152&amp;EMIS_factors!$D$6:$D$152,0),MATCH(RIGHT(AC$3,6),EMIS_factors!$G$4:$O$4,0))</f>
        <v>1841.6905186345921</v>
      </c>
      <c r="AD20" s="1530">
        <f t="array" ref="AD20">INDEX(EMIS_factors!$G$6:$O$152,MATCH($G20&amp;$AG20,EMIS_factors!$E$6:$E$152&amp;EMIS_factors!$D$6:$D$152,0),MATCH(RIGHT(AD$3,6),EMIS_factors!$G$4:$O$4,0))</f>
        <v>2.0545492605634381</v>
      </c>
      <c r="AE20" s="1530">
        <f t="array" ref="AE20">INDEX(EMIS_factors!$G$6:$O$152,MATCH($G20&amp;$AG20,EMIS_factors!$E$6:$E$152&amp;EMIS_factors!$D$6:$D$152,0),MATCH(RIGHT(AE$3,6),EMIS_factors!$G$4:$O$4,0))</f>
        <v>0</v>
      </c>
      <c r="AF20" s="1295"/>
      <c r="AG20" s="526" t="s">
        <v>1487</v>
      </c>
      <c r="AK20" s="526" t="s">
        <v>1239</v>
      </c>
      <c r="AL20" s="526" t="s">
        <v>1257</v>
      </c>
    </row>
    <row r="21" spans="2:38">
      <c r="B21" s="1231"/>
      <c r="C21" s="552"/>
      <c r="D21" s="1246" t="s">
        <v>987</v>
      </c>
      <c r="E21" s="1247"/>
      <c r="F21" s="1247"/>
      <c r="G21" s="1248"/>
      <c r="H21" s="1249"/>
      <c r="I21" s="1249"/>
      <c r="J21" s="1250"/>
      <c r="K21" s="1250"/>
      <c r="L21" s="1249"/>
      <c r="M21" s="1249"/>
      <c r="N21" s="1249"/>
      <c r="O21" s="1271"/>
      <c r="P21" s="1252"/>
      <c r="Q21" s="1249"/>
      <c r="R21" s="1249"/>
      <c r="S21" s="1249"/>
      <c r="T21" s="1250"/>
      <c r="U21" s="1250"/>
      <c r="V21" s="1231"/>
      <c r="W21" s="1231"/>
      <c r="X21" s="1231"/>
      <c r="AA21" s="1243"/>
      <c r="AB21" s="1530"/>
      <c r="AC21" s="1530"/>
      <c r="AD21" s="1530"/>
      <c r="AE21" s="1530"/>
      <c r="AF21" s="1295"/>
      <c r="AG21" s="526" t="s">
        <v>1487</v>
      </c>
      <c r="AK21" s="526" t="s">
        <v>1239</v>
      </c>
      <c r="AL21" s="526" t="s">
        <v>1257</v>
      </c>
    </row>
    <row r="22" spans="2:38">
      <c r="B22" s="552" t="str">
        <f>"TPS"&amp;LEFT(AK22,1)&amp;AL22&amp;RIGHT(E22,1)&amp;MID(G22,3,1)&amp;"N"</f>
        <v>TPSMNGDUM2N</v>
      </c>
      <c r="C22" s="552" t="s">
        <v>1005</v>
      </c>
      <c r="D22" s="549" t="s">
        <v>1344</v>
      </c>
      <c r="E22" s="531" t="s">
        <v>988</v>
      </c>
      <c r="F22" s="531"/>
      <c r="G22" s="531">
        <v>2020</v>
      </c>
      <c r="H22" s="1237" t="s">
        <v>986</v>
      </c>
      <c r="I22" s="1237">
        <v>66.36</v>
      </c>
      <c r="J22" s="1237">
        <v>34.69</v>
      </c>
      <c r="K22" s="1238">
        <v>57461</v>
      </c>
      <c r="L22" s="1238">
        <v>50445</v>
      </c>
      <c r="M22" s="1237">
        <v>1.54</v>
      </c>
      <c r="N22" s="1237">
        <v>1.62</v>
      </c>
      <c r="O22" s="1237">
        <v>25</v>
      </c>
      <c r="P22" s="1242"/>
      <c r="Q22" s="1239">
        <f>0.035*R22</f>
        <v>2128.0973000000004</v>
      </c>
      <c r="R22" s="1237">
        <f>43.555*1396</f>
        <v>60802.78</v>
      </c>
      <c r="S22" s="1237">
        <v>0.95</v>
      </c>
      <c r="T22" s="1237"/>
      <c r="U22" s="1237">
        <v>1E-3</v>
      </c>
      <c r="V22" s="1238"/>
      <c r="W22" s="1240">
        <v>5</v>
      </c>
      <c r="AA22" s="1243"/>
      <c r="AB22" s="1530">
        <f t="array" ref="AB22">INDEX(EMIS_factors!$G$6:$O$152,MATCH($G22&amp;$AG22,EMIS_factors!$E$6:$E$152&amp;EMIS_factors!$D$6:$D$152,0),MATCH(RIGHT(AB$3,6),EMIS_factors!$G$4:$O$4,0))</f>
        <v>0</v>
      </c>
      <c r="AC22" s="1530">
        <f t="array" ref="AC22">INDEX(EMIS_factors!$G$6:$O$152,MATCH($G22&amp;$AG22,EMIS_factors!$E$6:$E$152&amp;EMIS_factors!$D$6:$D$152,0),MATCH(RIGHT(AC$3,6),EMIS_factors!$G$4:$O$4,0))</f>
        <v>2114.3909535161811</v>
      </c>
      <c r="AD22" s="1530">
        <f t="array" ref="AD22">INDEX(EMIS_factors!$G$6:$O$152,MATCH($G22&amp;$AG22,EMIS_factors!$E$6:$E$152&amp;EMIS_factors!$D$6:$D$152,0),MATCH(RIGHT(AD$3,6),EMIS_factors!$G$4:$O$4,0))</f>
        <v>1.9355600084592535</v>
      </c>
      <c r="AE22" s="1530">
        <f t="array" ref="AE22">INDEX(EMIS_factors!$G$6:$O$152,MATCH($G22&amp;$AG22,EMIS_factors!$E$6:$E$152&amp;EMIS_factors!$D$6:$D$152,0),MATCH(RIGHT(AE$3,6),EMIS_factors!$G$4:$O$4,0))</f>
        <v>0</v>
      </c>
      <c r="AF22" s="1295"/>
      <c r="AG22" s="526" t="s">
        <v>1487</v>
      </c>
      <c r="AK22" s="526" t="s">
        <v>1236</v>
      </c>
      <c r="AL22" s="526" t="s">
        <v>1257</v>
      </c>
    </row>
    <row r="23" spans="2:38">
      <c r="B23" s="552"/>
      <c r="C23" s="552"/>
      <c r="D23" s="534" t="s">
        <v>984</v>
      </c>
      <c r="E23" s="531"/>
      <c r="F23" s="531"/>
      <c r="G23" s="531"/>
      <c r="H23" s="1244"/>
      <c r="P23" s="1242"/>
      <c r="Q23" s="1239"/>
      <c r="R23" s="1237"/>
      <c r="S23" s="1237"/>
      <c r="T23" s="1237"/>
      <c r="U23" s="1237"/>
      <c r="V23" s="1238"/>
      <c r="W23" s="552"/>
      <c r="AA23" s="1243"/>
      <c r="AB23" s="1530"/>
      <c r="AC23" s="1530"/>
      <c r="AD23" s="1530"/>
      <c r="AE23" s="1530"/>
      <c r="AF23" s="1295"/>
      <c r="AG23" s="526" t="s">
        <v>1487</v>
      </c>
      <c r="AK23" s="526" t="s">
        <v>1236</v>
      </c>
      <c r="AL23" s="526" t="s">
        <v>1257</v>
      </c>
    </row>
    <row r="24" spans="2:38">
      <c r="B24" s="552"/>
      <c r="C24" s="552"/>
      <c r="D24" s="549" t="s">
        <v>1343</v>
      </c>
      <c r="E24" s="531" t="s">
        <v>988</v>
      </c>
      <c r="F24" s="531"/>
      <c r="G24" s="531">
        <v>2030</v>
      </c>
      <c r="H24" s="1237" t="s">
        <v>986</v>
      </c>
      <c r="I24" s="1237">
        <v>66.36</v>
      </c>
      <c r="J24" s="1237">
        <v>34.69</v>
      </c>
      <c r="K24" s="1238">
        <v>57461</v>
      </c>
      <c r="L24" s="1238">
        <v>50445</v>
      </c>
      <c r="M24" s="1237">
        <v>1.54</v>
      </c>
      <c r="N24" s="1237">
        <v>1.62</v>
      </c>
      <c r="O24" s="1237">
        <v>25</v>
      </c>
      <c r="P24" s="1242"/>
      <c r="Q24" s="1239">
        <v>2021.6924350000002</v>
      </c>
      <c r="R24" s="1237">
        <v>57762.640999999996</v>
      </c>
      <c r="S24" s="1237">
        <v>0.95</v>
      </c>
      <c r="T24" s="1237"/>
      <c r="U24" s="1237">
        <v>1E-3</v>
      </c>
      <c r="V24" s="1238"/>
      <c r="W24" s="1240">
        <v>5</v>
      </c>
      <c r="X24" s="1240"/>
      <c r="AA24" s="1243"/>
      <c r="AB24" s="1530">
        <f t="array" ref="AB24">INDEX(EMIS_factors!$G$6:$O$152,MATCH($G24&amp;$AG24,EMIS_factors!$E$6:$E$152&amp;EMIS_factors!$D$6:$D$152,0),MATCH(RIGHT(AB$3,6),EMIS_factors!$G$4:$O$4,0))</f>
        <v>0</v>
      </c>
      <c r="AC24" s="1530">
        <f t="array" ref="AC24">INDEX(EMIS_factors!$G$6:$O$152,MATCH($G24&amp;$AG24,EMIS_factors!$E$6:$E$152&amp;EMIS_factors!$D$6:$D$152,0),MATCH(RIGHT(AC$3,6),EMIS_factors!$G$4:$O$4,0))</f>
        <v>1841.6905186345921</v>
      </c>
      <c r="AD24" s="1530">
        <f t="array" ref="AD24">INDEX(EMIS_factors!$G$6:$O$152,MATCH($G24&amp;$AG24,EMIS_factors!$E$6:$E$152&amp;EMIS_factors!$D$6:$D$152,0),MATCH(RIGHT(AD$3,6),EMIS_factors!$G$4:$O$4,0))</f>
        <v>2.0545492605634381</v>
      </c>
      <c r="AE24" s="1530">
        <f t="array" ref="AE24">INDEX(EMIS_factors!$G$6:$O$152,MATCH($G24&amp;$AG24,EMIS_factors!$E$6:$E$152&amp;EMIS_factors!$D$6:$D$152,0),MATCH(RIGHT(AE$3,6),EMIS_factors!$G$4:$O$4,0))</f>
        <v>0</v>
      </c>
      <c r="AF24" s="1295"/>
      <c r="AG24" s="526" t="s">
        <v>1487</v>
      </c>
      <c r="AK24" s="526" t="s">
        <v>1236</v>
      </c>
      <c r="AL24" s="526" t="s">
        <v>1257</v>
      </c>
    </row>
    <row r="25" spans="2:38">
      <c r="B25" s="1231"/>
      <c r="C25" s="552"/>
      <c r="D25" s="1246" t="s">
        <v>987</v>
      </c>
      <c r="E25" s="1247"/>
      <c r="F25" s="1247"/>
      <c r="G25" s="1247"/>
      <c r="H25" s="1248"/>
      <c r="I25" s="1231"/>
      <c r="J25" s="1231"/>
      <c r="K25" s="1231"/>
      <c r="L25" s="1231"/>
      <c r="M25" s="1231"/>
      <c r="N25" s="1231"/>
      <c r="O25" s="1231"/>
      <c r="P25" s="1271"/>
      <c r="Q25" s="1252"/>
      <c r="R25" s="1249"/>
      <c r="S25" s="1249"/>
      <c r="T25" s="1249"/>
      <c r="U25" s="1249"/>
      <c r="V25" s="1250"/>
      <c r="W25" s="1231"/>
      <c r="X25" s="1231"/>
      <c r="AA25" s="1243"/>
      <c r="AB25" s="1530"/>
      <c r="AC25" s="1530"/>
      <c r="AD25" s="1530"/>
      <c r="AE25" s="1530"/>
      <c r="AF25" s="1295"/>
      <c r="AG25" s="526" t="s">
        <v>1487</v>
      </c>
      <c r="AK25" s="526" t="s">
        <v>1236</v>
      </c>
      <c r="AL25" s="526" t="s">
        <v>1257</v>
      </c>
    </row>
    <row r="26" spans="2:38">
      <c r="B26" s="552" t="str">
        <f>"TPS"&amp;LEFT(AK26,1)&amp;AL26&amp;RIGHT(E26,1)&amp;MID(G26,3,1)&amp;"N"</f>
        <v>TPSLNGDUL2N</v>
      </c>
      <c r="C26" s="552" t="s">
        <v>1006</v>
      </c>
      <c r="D26" s="549" t="s">
        <v>1344</v>
      </c>
      <c r="E26" s="531" t="s">
        <v>989</v>
      </c>
      <c r="F26" s="531"/>
      <c r="G26" s="531">
        <v>2020</v>
      </c>
      <c r="H26" s="1237" t="s">
        <v>986</v>
      </c>
      <c r="I26" s="1237">
        <v>41.87</v>
      </c>
      <c r="J26" s="1237">
        <v>38.56</v>
      </c>
      <c r="K26" s="1238">
        <v>83713</v>
      </c>
      <c r="L26" s="1238">
        <v>52608</v>
      </c>
      <c r="M26" s="1237">
        <v>0.99</v>
      </c>
      <c r="N26" s="1237">
        <v>0.81</v>
      </c>
      <c r="O26" s="1237">
        <v>25</v>
      </c>
      <c r="P26" s="1239"/>
      <c r="Q26" s="1239">
        <f>0.035*R26</f>
        <v>5227.2533250000006</v>
      </c>
      <c r="R26" s="1237">
        <f>43.555*3429</f>
        <v>149350.095</v>
      </c>
      <c r="S26" s="1237">
        <v>0.95</v>
      </c>
      <c r="T26" s="1237"/>
      <c r="U26" s="1237">
        <v>1E-3</v>
      </c>
      <c r="V26" s="1238"/>
      <c r="W26" s="1240">
        <v>5</v>
      </c>
      <c r="Z26" s="1243"/>
      <c r="AB26" s="1530">
        <f t="array" ref="AB26">INDEX(EMIS_factors!$G$6:$O$152,MATCH($G26&amp;$AG26,EMIS_factors!$E$6:$E$152&amp;EMIS_factors!$D$6:$D$152,0),MATCH(RIGHT(AB$3,6),EMIS_factors!$G$4:$O$4,0))</f>
        <v>0</v>
      </c>
      <c r="AC26" s="1530">
        <f t="array" ref="AC26">INDEX(EMIS_factors!$G$6:$O$152,MATCH($G26&amp;$AG26,EMIS_factors!$E$6:$E$152&amp;EMIS_factors!$D$6:$D$152,0),MATCH(RIGHT(AC$3,6),EMIS_factors!$G$4:$O$4,0))</f>
        <v>2114.3909535161811</v>
      </c>
      <c r="AD26" s="1530">
        <f t="array" ref="AD26">INDEX(EMIS_factors!$G$6:$O$152,MATCH($G26&amp;$AG26,EMIS_factors!$E$6:$E$152&amp;EMIS_factors!$D$6:$D$152,0),MATCH(RIGHT(AD$3,6),EMIS_factors!$G$4:$O$4,0))</f>
        <v>1.9355600084592535</v>
      </c>
      <c r="AE26" s="1530">
        <f t="array" ref="AE26">INDEX(EMIS_factors!$G$6:$O$152,MATCH($G26&amp;$AG26,EMIS_factors!$E$6:$E$152&amp;EMIS_factors!$D$6:$D$152,0),MATCH(RIGHT(AE$3,6),EMIS_factors!$G$4:$O$4,0))</f>
        <v>0</v>
      </c>
      <c r="AF26" s="1295"/>
      <c r="AG26" s="526" t="s">
        <v>1487</v>
      </c>
      <c r="AK26" s="526" t="s">
        <v>1240</v>
      </c>
      <c r="AL26" s="526" t="s">
        <v>1257</v>
      </c>
    </row>
    <row r="27" spans="2:38">
      <c r="B27" s="552"/>
      <c r="C27" s="552"/>
      <c r="D27" s="534" t="s">
        <v>984</v>
      </c>
      <c r="E27" s="531"/>
      <c r="F27" s="531"/>
      <c r="G27" s="531"/>
      <c r="H27" s="1244"/>
      <c r="P27" s="1239"/>
      <c r="Q27" s="1239"/>
      <c r="R27" s="1237"/>
      <c r="S27" s="1237"/>
      <c r="T27" s="1237"/>
      <c r="U27" s="1237"/>
      <c r="V27" s="1238"/>
      <c r="Z27" s="1243"/>
      <c r="AB27" s="1530"/>
      <c r="AC27" s="1530"/>
      <c r="AD27" s="1530"/>
      <c r="AE27" s="1530"/>
      <c r="AF27" s="1295"/>
      <c r="AG27" s="526" t="s">
        <v>1487</v>
      </c>
      <c r="AK27" s="526" t="s">
        <v>1240</v>
      </c>
      <c r="AL27" s="526" t="s">
        <v>1257</v>
      </c>
    </row>
    <row r="28" spans="2:38">
      <c r="B28" s="552"/>
      <c r="C28" s="552"/>
      <c r="D28" s="549" t="s">
        <v>1343</v>
      </c>
      <c r="E28" s="531" t="s">
        <v>989</v>
      </c>
      <c r="F28" s="531"/>
      <c r="G28" s="531">
        <v>2030</v>
      </c>
      <c r="H28" s="1237" t="s">
        <v>986</v>
      </c>
      <c r="I28" s="1237">
        <v>41.87</v>
      </c>
      <c r="J28" s="1237">
        <v>38.56</v>
      </c>
      <c r="K28" s="1238">
        <v>83713</v>
      </c>
      <c r="L28" s="1238">
        <v>52608</v>
      </c>
      <c r="M28" s="1237">
        <v>0.99</v>
      </c>
      <c r="N28" s="1237">
        <v>0.81</v>
      </c>
      <c r="O28" s="1237">
        <v>25</v>
      </c>
      <c r="P28" s="1239"/>
      <c r="Q28" s="1239">
        <v>4965.8906587500005</v>
      </c>
      <c r="R28" s="1237">
        <v>141882.59025000001</v>
      </c>
      <c r="S28" s="1237">
        <v>0.95</v>
      </c>
      <c r="U28" s="1237">
        <v>1E-3</v>
      </c>
      <c r="V28" s="1238"/>
      <c r="W28" s="1240">
        <v>5</v>
      </c>
      <c r="Z28" s="1243"/>
      <c r="AB28" s="1530">
        <f t="array" ref="AB28">INDEX(EMIS_factors!$G$6:$O$152,MATCH($G28&amp;$AG28,EMIS_factors!$E$6:$E$152&amp;EMIS_factors!$D$6:$D$152,0),MATCH(RIGHT(AB$3,6),EMIS_factors!$G$4:$O$4,0))</f>
        <v>0</v>
      </c>
      <c r="AC28" s="1530">
        <f t="array" ref="AC28">INDEX(EMIS_factors!$G$6:$O$152,MATCH($G28&amp;$AG28,EMIS_factors!$E$6:$E$152&amp;EMIS_factors!$D$6:$D$152,0),MATCH(RIGHT(AC$3,6),EMIS_factors!$G$4:$O$4,0))</f>
        <v>1841.6905186345921</v>
      </c>
      <c r="AD28" s="1530">
        <f t="array" ref="AD28">INDEX(EMIS_factors!$G$6:$O$152,MATCH($G28&amp;$AG28,EMIS_factors!$E$6:$E$152&amp;EMIS_factors!$D$6:$D$152,0),MATCH(RIGHT(AD$3,6),EMIS_factors!$G$4:$O$4,0))</f>
        <v>2.0545492605634381</v>
      </c>
      <c r="AE28" s="1530">
        <f t="array" ref="AE28">INDEX(EMIS_factors!$G$6:$O$152,MATCH($G28&amp;$AG28,EMIS_factors!$E$6:$E$152&amp;EMIS_factors!$D$6:$D$152,0),MATCH(RIGHT(AE$3,6),EMIS_factors!$G$4:$O$4,0))</f>
        <v>0</v>
      </c>
      <c r="AF28" s="1295"/>
      <c r="AG28" s="526" t="s">
        <v>1487</v>
      </c>
      <c r="AK28" s="526" t="s">
        <v>1240</v>
      </c>
      <c r="AL28" s="526" t="s">
        <v>1257</v>
      </c>
    </row>
    <row r="29" spans="2:38">
      <c r="B29" s="1231"/>
      <c r="C29" s="552"/>
      <c r="D29" s="1246" t="s">
        <v>987</v>
      </c>
      <c r="E29" s="1247"/>
      <c r="F29" s="1247"/>
      <c r="G29" s="1247"/>
      <c r="H29" s="1248"/>
      <c r="I29" s="1231"/>
      <c r="J29" s="1231"/>
      <c r="K29" s="1231"/>
      <c r="L29" s="1231"/>
      <c r="M29" s="1231"/>
      <c r="N29" s="1231"/>
      <c r="O29" s="1231"/>
      <c r="P29" s="1252"/>
      <c r="Q29" s="1252"/>
      <c r="R29" s="1249"/>
      <c r="S29" s="1249"/>
      <c r="T29" s="1249"/>
      <c r="U29" s="1249"/>
      <c r="V29" s="1250"/>
      <c r="W29" s="1231"/>
      <c r="X29" s="1231"/>
      <c r="Z29" s="1243"/>
      <c r="AB29" s="1530"/>
      <c r="AC29" s="1530"/>
      <c r="AD29" s="1530"/>
      <c r="AE29" s="1530"/>
      <c r="AF29" s="1295"/>
      <c r="AG29" s="526" t="s">
        <v>1487</v>
      </c>
      <c r="AK29" s="526" t="s">
        <v>1240</v>
      </c>
      <c r="AL29" s="526" t="s">
        <v>1257</v>
      </c>
    </row>
    <row r="30" spans="2:38">
      <c r="B30" s="552" t="str">
        <f>"TPS"&amp;LEFT(AK30,1)&amp;AL30&amp;RIGHT(E30,1)&amp;MID(G30,3,1)&amp;"N"</f>
        <v>TPSXNGDUL2N</v>
      </c>
      <c r="C30" s="552" t="s">
        <v>1007</v>
      </c>
      <c r="D30" s="549" t="s">
        <v>1344</v>
      </c>
      <c r="E30" s="531" t="s">
        <v>990</v>
      </c>
      <c r="F30" s="531"/>
      <c r="G30" s="531">
        <v>2020</v>
      </c>
      <c r="H30" s="1237" t="s">
        <v>986</v>
      </c>
      <c r="I30" s="1237">
        <v>213.92</v>
      </c>
      <c r="J30" s="1237">
        <v>213.92</v>
      </c>
      <c r="K30" s="1238">
        <v>140122</v>
      </c>
      <c r="L30" s="1238">
        <v>140122</v>
      </c>
      <c r="M30" s="1237">
        <v>0.215</v>
      </c>
      <c r="N30" s="1237">
        <v>0.215</v>
      </c>
      <c r="O30" s="1237">
        <v>25</v>
      </c>
      <c r="P30" s="1239"/>
      <c r="Q30" s="1239">
        <f>0.035*R30</f>
        <v>49025.508000000009</v>
      </c>
      <c r="R30" s="1237">
        <f>43.555*32160</f>
        <v>1400728.8</v>
      </c>
      <c r="S30" s="1237">
        <v>0.95</v>
      </c>
      <c r="T30" s="1237"/>
      <c r="U30" s="1237">
        <v>1E-3</v>
      </c>
      <c r="V30" s="1238"/>
      <c r="W30" s="1240">
        <v>5</v>
      </c>
      <c r="Z30" s="1243"/>
      <c r="AB30" s="1530">
        <f t="array" ref="AB30">INDEX(EMIS_factors!$G$6:$O$152,MATCH($G30&amp;$AG30,EMIS_factors!$E$6:$E$152&amp;EMIS_factors!$D$6:$D$152,0),MATCH(RIGHT(AB$3,6),EMIS_factors!$G$4:$O$4,0))</f>
        <v>0</v>
      </c>
      <c r="AC30" s="1530">
        <f t="array" ref="AC30">INDEX(EMIS_factors!$G$6:$O$152,MATCH($G30&amp;$AG30,EMIS_factors!$E$6:$E$152&amp;EMIS_factors!$D$6:$D$152,0),MATCH(RIGHT(AC$3,6),EMIS_factors!$G$4:$O$4,0))</f>
        <v>2114.3909535161811</v>
      </c>
      <c r="AD30" s="1530">
        <f t="array" ref="AD30">INDEX(EMIS_factors!$G$6:$O$152,MATCH($G30&amp;$AG30,EMIS_factors!$E$6:$E$152&amp;EMIS_factors!$D$6:$D$152,0),MATCH(RIGHT(AD$3,6),EMIS_factors!$G$4:$O$4,0))</f>
        <v>1.9355600084592535</v>
      </c>
      <c r="AE30" s="1530">
        <f t="array" ref="AE30">INDEX(EMIS_factors!$G$6:$O$152,MATCH($G30&amp;$AG30,EMIS_factors!$E$6:$E$152&amp;EMIS_factors!$D$6:$D$152,0),MATCH(RIGHT(AE$3,6),EMIS_factors!$G$4:$O$4,0))</f>
        <v>0</v>
      </c>
      <c r="AF30" s="1295"/>
      <c r="AG30" s="526" t="s">
        <v>1487</v>
      </c>
      <c r="AK30" s="549" t="s">
        <v>1259</v>
      </c>
      <c r="AL30" s="526" t="s">
        <v>1257</v>
      </c>
    </row>
    <row r="31" spans="2:38">
      <c r="B31" s="552"/>
      <c r="C31" s="552"/>
      <c r="D31" s="534" t="s">
        <v>984</v>
      </c>
      <c r="E31" s="531"/>
      <c r="F31" s="531"/>
      <c r="G31" s="531"/>
      <c r="H31" s="1244"/>
      <c r="P31" s="1239"/>
      <c r="Q31" s="1239"/>
      <c r="R31" s="1237"/>
      <c r="S31" s="1237"/>
      <c r="T31" s="1237"/>
      <c r="U31" s="1237"/>
      <c r="V31" s="1238"/>
      <c r="Z31" s="1243"/>
      <c r="AB31" s="1530"/>
      <c r="AC31" s="1530"/>
      <c r="AD31" s="1530"/>
      <c r="AE31" s="1530"/>
      <c r="AF31" s="1295"/>
      <c r="AG31" s="526" t="s">
        <v>1487</v>
      </c>
      <c r="AK31" s="549" t="s">
        <v>1259</v>
      </c>
      <c r="AL31" s="526" t="s">
        <v>1257</v>
      </c>
    </row>
    <row r="32" spans="2:38">
      <c r="B32" s="552"/>
      <c r="C32" s="552"/>
      <c r="D32" s="549" t="s">
        <v>1343</v>
      </c>
      <c r="E32" s="531" t="s">
        <v>990</v>
      </c>
      <c r="F32" s="531"/>
      <c r="G32" s="531">
        <v>2030</v>
      </c>
      <c r="H32" s="1237" t="s">
        <v>986</v>
      </c>
      <c r="I32" s="1237">
        <v>213.92</v>
      </c>
      <c r="J32" s="1237">
        <v>213.92</v>
      </c>
      <c r="K32" s="1238">
        <v>140122</v>
      </c>
      <c r="L32" s="1238">
        <v>140122</v>
      </c>
      <c r="M32" s="1237">
        <v>0.215</v>
      </c>
      <c r="N32" s="1237">
        <v>0.215</v>
      </c>
      <c r="O32" s="1237">
        <v>25</v>
      </c>
      <c r="P32" s="1239"/>
      <c r="Q32" s="1239">
        <v>46574.232600000003</v>
      </c>
      <c r="R32" s="1237">
        <v>1330692.3599999999</v>
      </c>
      <c r="S32" s="1237">
        <v>0.95</v>
      </c>
      <c r="U32" s="1237">
        <v>1E-3</v>
      </c>
      <c r="V32" s="1238"/>
      <c r="W32" s="1240">
        <v>5</v>
      </c>
      <c r="Z32" s="1243"/>
      <c r="AB32" s="1530">
        <f t="array" ref="AB32">INDEX(EMIS_factors!$G$6:$O$152,MATCH($G32&amp;$AG32,EMIS_factors!$E$6:$E$152&amp;EMIS_factors!$D$6:$D$152,0),MATCH(RIGHT(AB$3,6),EMIS_factors!$G$4:$O$4,0))</f>
        <v>0</v>
      </c>
      <c r="AC32" s="1530">
        <f t="array" ref="AC32">INDEX(EMIS_factors!$G$6:$O$152,MATCH($G32&amp;$AG32,EMIS_factors!$E$6:$E$152&amp;EMIS_factors!$D$6:$D$152,0),MATCH(RIGHT(AC$3,6),EMIS_factors!$G$4:$O$4,0))</f>
        <v>1841.6905186345921</v>
      </c>
      <c r="AD32" s="1530">
        <f t="array" ref="AD32">INDEX(EMIS_factors!$G$6:$O$152,MATCH($G32&amp;$AG32,EMIS_factors!$E$6:$E$152&amp;EMIS_factors!$D$6:$D$152,0),MATCH(RIGHT(AD$3,6),EMIS_factors!$G$4:$O$4,0))</f>
        <v>2.0545492605634381</v>
      </c>
      <c r="AE32" s="1530">
        <f t="array" ref="AE32">INDEX(EMIS_factors!$G$6:$O$152,MATCH($G32&amp;$AG32,EMIS_factors!$E$6:$E$152&amp;EMIS_factors!$D$6:$D$152,0),MATCH(RIGHT(AE$3,6),EMIS_factors!$G$4:$O$4,0))</f>
        <v>0</v>
      </c>
      <c r="AF32" s="1295"/>
      <c r="AG32" s="526" t="s">
        <v>1487</v>
      </c>
      <c r="AK32" s="549" t="s">
        <v>1259</v>
      </c>
      <c r="AL32" s="526" t="s">
        <v>1257</v>
      </c>
    </row>
    <row r="33" spans="2:41" ht="13.8" thickBot="1">
      <c r="B33" s="1231"/>
      <c r="C33" s="552"/>
      <c r="D33" s="1246" t="s">
        <v>987</v>
      </c>
      <c r="E33" s="1247"/>
      <c r="F33" s="1247"/>
      <c r="G33" s="1247"/>
      <c r="H33" s="1248"/>
      <c r="I33" s="1231"/>
      <c r="J33" s="1231"/>
      <c r="K33" s="1231"/>
      <c r="L33" s="1231"/>
      <c r="M33" s="1231"/>
      <c r="N33" s="1231"/>
      <c r="O33" s="1231"/>
      <c r="P33" s="1252"/>
      <c r="Q33" s="1252"/>
      <c r="R33" s="1249"/>
      <c r="S33" s="1249"/>
      <c r="T33" s="1249"/>
      <c r="U33" s="1249"/>
      <c r="V33" s="1250"/>
      <c r="W33" s="1231"/>
      <c r="X33" s="1231"/>
      <c r="Z33" s="1243"/>
      <c r="AB33" s="1530"/>
      <c r="AC33" s="1530"/>
      <c r="AD33" s="1530"/>
      <c r="AE33" s="1530"/>
      <c r="AF33" s="1295"/>
      <c r="AG33" s="526" t="s">
        <v>1487</v>
      </c>
      <c r="AK33" s="549" t="s">
        <v>1259</v>
      </c>
      <c r="AL33" s="526" t="s">
        <v>1257</v>
      </c>
    </row>
    <row r="34" spans="2:41">
      <c r="B34" s="552" t="str">
        <f t="shared" ref="B34:B50" si="1">"TPS"&amp;LEFT(AK34,1)&amp;AL34&amp;RIGHT(E34,1)&amp;MID(G34,3,1)&amp;"N"</f>
        <v>TPSSELCCS2N</v>
      </c>
      <c r="C34" s="552" t="s">
        <v>1008</v>
      </c>
      <c r="D34" s="1254" t="s">
        <v>80</v>
      </c>
      <c r="E34" s="1255" t="s">
        <v>985</v>
      </c>
      <c r="F34" s="1255"/>
      <c r="G34" s="1255">
        <v>2020</v>
      </c>
      <c r="H34" s="1256" t="s">
        <v>986</v>
      </c>
      <c r="I34" s="1237">
        <v>10.68</v>
      </c>
      <c r="J34" s="1237">
        <v>42.83</v>
      </c>
      <c r="K34" s="1238">
        <v>43203</v>
      </c>
      <c r="L34" s="1238">
        <v>21526</v>
      </c>
      <c r="M34" s="1237">
        <v>5.4</v>
      </c>
      <c r="N34" s="1237">
        <v>8.3000000000000007</v>
      </c>
      <c r="O34" s="1237">
        <v>25</v>
      </c>
      <c r="P34" s="1257"/>
      <c r="Q34" s="1239">
        <f>0.53*100</f>
        <v>53</v>
      </c>
      <c r="R34" s="1237">
        <v>45198.631800000003</v>
      </c>
      <c r="T34" s="1237"/>
      <c r="U34" s="1237">
        <v>1E-3</v>
      </c>
      <c r="V34" s="1258"/>
      <c r="W34" s="552"/>
      <c r="X34" s="552"/>
      <c r="Y34" s="552"/>
      <c r="AA34" s="1243"/>
      <c r="AB34" s="1530">
        <f t="array" ref="AB34">INDEX(EMIS_factors!$G$6:$O$152,MATCH($G34&amp;$AG34,EMIS_factors!$E$6:$E$152&amp;EMIS_factors!$D$6:$D$152,0),MATCH(RIGHT(AB$3,6),EMIS_factors!$G$4:$O$4,0))</f>
        <v>0</v>
      </c>
      <c r="AC34" s="1530">
        <f t="array" ref="AC34">INDEX(EMIS_factors!$G$6:$O$152,MATCH($G34&amp;$AG34,EMIS_factors!$E$6:$E$152&amp;EMIS_factors!$D$6:$D$152,0),MATCH(RIGHT(AC$3,6),EMIS_factors!$G$4:$O$4,0))</f>
        <v>0</v>
      </c>
      <c r="AD34" s="1530">
        <f t="array" ref="AD34">INDEX(EMIS_factors!$G$6:$O$152,MATCH($G34&amp;$AG34,EMIS_factors!$E$6:$E$152&amp;EMIS_factors!$D$6:$D$152,0),MATCH(RIGHT(AD$3,6),EMIS_factors!$G$4:$O$4,0))</f>
        <v>0</v>
      </c>
      <c r="AE34" s="1530">
        <f t="array" ref="AE34">INDEX(EMIS_factors!$G$6:$O$152,MATCH($G34&amp;$AG34,EMIS_factors!$E$6:$E$152&amp;EMIS_factors!$D$6:$D$152,0),MATCH(RIGHT(AE$3,6),EMIS_factors!$G$4:$O$4,0))</f>
        <v>0</v>
      </c>
      <c r="AF34" s="1295"/>
      <c r="AG34" s="526" t="s">
        <v>1485</v>
      </c>
      <c r="AK34" s="526" t="s">
        <v>1239</v>
      </c>
      <c r="AL34" s="526" t="s">
        <v>1253</v>
      </c>
      <c r="AM34" s="526"/>
      <c r="AN34" s="549" t="s">
        <v>992</v>
      </c>
      <c r="AO34" s="654"/>
    </row>
    <row r="35" spans="2:41" ht="13.8" thickBot="1">
      <c r="B35" s="1259" t="str">
        <f t="shared" si="1"/>
        <v>TPSMELCCM2N</v>
      </c>
      <c r="C35" s="552" t="s">
        <v>1009</v>
      </c>
      <c r="D35" s="1260" t="s">
        <v>80</v>
      </c>
      <c r="E35" s="1261" t="s">
        <v>988</v>
      </c>
      <c r="F35" s="1261"/>
      <c r="G35" s="1261">
        <v>2020</v>
      </c>
      <c r="H35" s="1262" t="s">
        <v>986</v>
      </c>
      <c r="I35" s="1237">
        <v>66.36</v>
      </c>
      <c r="J35" s="1237">
        <v>34.69</v>
      </c>
      <c r="K35" s="1238">
        <v>57461</v>
      </c>
      <c r="L35" s="1238">
        <v>50445</v>
      </c>
      <c r="M35" s="1237">
        <v>1.54</v>
      </c>
      <c r="N35" s="1237">
        <v>1.62</v>
      </c>
      <c r="O35" s="1237">
        <v>25</v>
      </c>
      <c r="P35" s="1263"/>
      <c r="Q35" s="1263">
        <f>100*1.396</f>
        <v>139.6</v>
      </c>
      <c r="R35" s="1262">
        <v>73976</v>
      </c>
      <c r="T35" s="1237"/>
      <c r="U35" s="1237">
        <v>1E-3</v>
      </c>
      <c r="V35" s="1264"/>
      <c r="W35" s="552"/>
      <c r="X35" s="552"/>
      <c r="Y35" s="552"/>
      <c r="AA35" s="1243"/>
      <c r="AB35" s="1530">
        <f t="array" ref="AB35">INDEX(EMIS_factors!$G$6:$O$152,MATCH($G35&amp;$AG35,EMIS_factors!$E$6:$E$152&amp;EMIS_factors!$D$6:$D$152,0),MATCH(RIGHT(AB$3,6),EMIS_factors!$G$4:$O$4,0))</f>
        <v>0</v>
      </c>
      <c r="AC35" s="1530">
        <f t="array" ref="AC35">INDEX(EMIS_factors!$G$6:$O$152,MATCH($G35&amp;$AG35,EMIS_factors!$E$6:$E$152&amp;EMIS_factors!$D$6:$D$152,0),MATCH(RIGHT(AC$3,6),EMIS_factors!$G$4:$O$4,0))</f>
        <v>0</v>
      </c>
      <c r="AD35" s="1530">
        <f t="array" ref="AD35">INDEX(EMIS_factors!$G$6:$O$152,MATCH($G35&amp;$AG35,EMIS_factors!$E$6:$E$152&amp;EMIS_factors!$D$6:$D$152,0),MATCH(RIGHT(AD$3,6),EMIS_factors!$G$4:$O$4,0))</f>
        <v>0</v>
      </c>
      <c r="AE35" s="1530">
        <f t="array" ref="AE35">INDEX(EMIS_factors!$G$6:$O$152,MATCH($G35&amp;$AG35,EMIS_factors!$E$6:$E$152&amp;EMIS_factors!$D$6:$D$152,0),MATCH(RIGHT(AE$3,6),EMIS_factors!$G$4:$O$4,0))</f>
        <v>0</v>
      </c>
      <c r="AF35" s="1295"/>
      <c r="AG35" s="526" t="s">
        <v>1485</v>
      </c>
      <c r="AK35" s="526" t="s">
        <v>1236</v>
      </c>
      <c r="AL35" s="526" t="s">
        <v>1253</v>
      </c>
      <c r="AM35" s="526"/>
      <c r="AN35" s="549" t="s">
        <v>993</v>
      </c>
    </row>
    <row r="36" spans="2:41">
      <c r="B36" s="552" t="str">
        <f t="shared" si="1"/>
        <v>TPSSMOICS3N</v>
      </c>
      <c r="C36" s="552" t="s">
        <v>1010</v>
      </c>
      <c r="D36" s="534" t="s">
        <v>995</v>
      </c>
      <c r="E36" s="531" t="s">
        <v>985</v>
      </c>
      <c r="F36" s="531"/>
      <c r="G36" s="531">
        <v>2030</v>
      </c>
      <c r="H36" s="1237" t="s">
        <v>986</v>
      </c>
      <c r="I36" s="1237">
        <v>10.68</v>
      </c>
      <c r="J36" s="1237">
        <v>42.83</v>
      </c>
      <c r="K36" s="1238">
        <v>43203</v>
      </c>
      <c r="L36" s="1238">
        <v>21526</v>
      </c>
      <c r="M36" s="1237">
        <v>5.4</v>
      </c>
      <c r="N36" s="1237">
        <v>8.3000000000000007</v>
      </c>
      <c r="O36" s="1237">
        <v>25</v>
      </c>
      <c r="P36" s="1257"/>
      <c r="Q36" s="1257">
        <f>0.035*R36</f>
        <v>766.24485000000016</v>
      </c>
      <c r="R36" s="1237">
        <f>41.307*530</f>
        <v>21892.710000000003</v>
      </c>
      <c r="U36" s="1256">
        <v>1E-3</v>
      </c>
      <c r="V36" s="1258"/>
      <c r="W36" s="552"/>
      <c r="X36" s="552"/>
      <c r="Y36" s="552"/>
      <c r="AA36" s="1243"/>
      <c r="AB36" s="1530">
        <f t="array" ref="AB36">INDEX(EMIS_factors!$G$6:$O$152,MATCH($G36&amp;$AG36,EMIS_factors!$E$6:$E$152&amp;EMIS_factors!$D$6:$D$152,0),MATCH(RIGHT(AB$3,6),EMIS_factors!$G$4:$O$4,0))</f>
        <v>46.838407494145187</v>
      </c>
      <c r="AC36" s="1530">
        <f t="array" ref="AC36">INDEX(EMIS_factors!$G$6:$O$152,MATCH($G36&amp;$AG36,EMIS_factors!$E$6:$E$152&amp;EMIS_factors!$D$6:$D$152,0),MATCH(RIGHT(AC$3,6),EMIS_factors!$G$4:$O$4,0))</f>
        <v>399.39384904263659</v>
      </c>
      <c r="AD36" s="1530">
        <f t="array" ref="AD36">INDEX(EMIS_factors!$G$6:$O$152,MATCH($G36&amp;$AG36,EMIS_factors!$E$6:$E$152&amp;EMIS_factors!$D$6:$D$152,0),MATCH(RIGHT(AD$3,6),EMIS_factors!$G$4:$O$4,0))</f>
        <v>1.5129074758860661</v>
      </c>
      <c r="AE36" s="1530">
        <f t="array" ref="AE36">INDEX(EMIS_factors!$G$6:$O$152,MATCH($G36&amp;$AG36,EMIS_factors!$E$6:$E$152&amp;EMIS_factors!$D$6:$D$152,0),MATCH(RIGHT(AE$3,6),EMIS_factors!$G$4:$O$4,0))</f>
        <v>21.223703267388313</v>
      </c>
      <c r="AF36" s="1295"/>
      <c r="AG36" s="526" t="s">
        <v>1476</v>
      </c>
      <c r="AK36" s="526" t="s">
        <v>1239</v>
      </c>
      <c r="AL36" s="526" t="s">
        <v>1250</v>
      </c>
      <c r="AM36" s="526"/>
      <c r="AN36" s="526" t="s">
        <v>994</v>
      </c>
    </row>
    <row r="37" spans="2:41">
      <c r="B37" s="552" t="str">
        <f t="shared" si="1"/>
        <v>TPSMMOICM3N</v>
      </c>
      <c r="C37" s="552" t="s">
        <v>1011</v>
      </c>
      <c r="D37" s="534" t="s">
        <v>995</v>
      </c>
      <c r="E37" s="531" t="s">
        <v>988</v>
      </c>
      <c r="F37" s="531"/>
      <c r="G37" s="531">
        <v>2030</v>
      </c>
      <c r="H37" s="1237" t="s">
        <v>986</v>
      </c>
      <c r="I37" s="1237">
        <v>66.36</v>
      </c>
      <c r="J37" s="1237">
        <v>34.69</v>
      </c>
      <c r="K37" s="1238">
        <v>57461</v>
      </c>
      <c r="L37" s="1238">
        <v>50445</v>
      </c>
      <c r="M37" s="1237">
        <v>1.54</v>
      </c>
      <c r="N37" s="1237">
        <v>1.62</v>
      </c>
      <c r="O37" s="1237">
        <v>25</v>
      </c>
      <c r="P37" s="1239"/>
      <c r="Q37" s="1239">
        <f t="shared" ref="Q37:Q49" si="2">0.035*R37</f>
        <v>2018.2600200000002</v>
      </c>
      <c r="R37" s="1237">
        <f>41.307*1396</f>
        <v>57664.572</v>
      </c>
      <c r="U37" s="1237">
        <v>1E-3</v>
      </c>
      <c r="V37" s="1238"/>
      <c r="W37" s="552"/>
      <c r="X37" s="552"/>
      <c r="Y37" s="552"/>
      <c r="AA37" s="1243"/>
      <c r="AB37" s="1530">
        <f t="array" ref="AB37">INDEX(EMIS_factors!$G$6:$O$152,MATCH($G37&amp;$AG37,EMIS_factors!$E$6:$E$152&amp;EMIS_factors!$D$6:$D$152,0),MATCH(RIGHT(AB$3,6),EMIS_factors!$G$4:$O$4,0))</f>
        <v>46.838407494145187</v>
      </c>
      <c r="AC37" s="1530">
        <f t="array" ref="AC37">INDEX(EMIS_factors!$G$6:$O$152,MATCH($G37&amp;$AG37,EMIS_factors!$E$6:$E$152&amp;EMIS_factors!$D$6:$D$152,0),MATCH(RIGHT(AC$3,6),EMIS_factors!$G$4:$O$4,0))</f>
        <v>399.39384904263659</v>
      </c>
      <c r="AD37" s="1530">
        <f t="array" ref="AD37">INDEX(EMIS_factors!$G$6:$O$152,MATCH($G37&amp;$AG37,EMIS_factors!$E$6:$E$152&amp;EMIS_factors!$D$6:$D$152,0),MATCH(RIGHT(AD$3,6),EMIS_factors!$G$4:$O$4,0))</f>
        <v>1.5129074758860661</v>
      </c>
      <c r="AE37" s="1530">
        <f t="array" ref="AE37">INDEX(EMIS_factors!$G$6:$O$152,MATCH($G37&amp;$AG37,EMIS_factors!$E$6:$E$152&amp;EMIS_factors!$D$6:$D$152,0),MATCH(RIGHT(AE$3,6),EMIS_factors!$G$4:$O$4,0))</f>
        <v>21.223703267388313</v>
      </c>
      <c r="AF37" s="1295"/>
      <c r="AG37" s="526" t="s">
        <v>1476</v>
      </c>
      <c r="AK37" s="526" t="s">
        <v>1236</v>
      </c>
      <c r="AL37" s="526" t="s">
        <v>1250</v>
      </c>
      <c r="AM37" s="526"/>
    </row>
    <row r="38" spans="2:41">
      <c r="B38" s="552" t="str">
        <f t="shared" si="1"/>
        <v>TPSLMOICL3N</v>
      </c>
      <c r="C38" s="552" t="s">
        <v>1012</v>
      </c>
      <c r="D38" s="534" t="s">
        <v>995</v>
      </c>
      <c r="E38" s="531" t="s">
        <v>989</v>
      </c>
      <c r="F38" s="531"/>
      <c r="G38" s="531">
        <v>2030</v>
      </c>
      <c r="H38" s="1237" t="s">
        <v>986</v>
      </c>
      <c r="I38" s="1237">
        <v>41.87</v>
      </c>
      <c r="J38" s="1237">
        <v>38.56</v>
      </c>
      <c r="K38" s="1238">
        <v>83713</v>
      </c>
      <c r="L38" s="1238">
        <v>52608</v>
      </c>
      <c r="M38" s="1237">
        <v>0.99</v>
      </c>
      <c r="N38" s="1237">
        <v>0.81</v>
      </c>
      <c r="O38" s="1237">
        <v>25</v>
      </c>
      <c r="P38" s="1239"/>
      <c r="Q38" s="1239">
        <f t="shared" si="2"/>
        <v>4957.4596050000009</v>
      </c>
      <c r="R38" s="1237">
        <f>41.307*3429</f>
        <v>141641.70300000001</v>
      </c>
      <c r="U38" s="1237">
        <v>1E-3</v>
      </c>
      <c r="V38" s="1238"/>
      <c r="W38" s="552"/>
      <c r="X38" s="552"/>
      <c r="Y38" s="552"/>
      <c r="AA38" s="1243"/>
      <c r="AB38" s="1530">
        <f t="array" ref="AB38">INDEX(EMIS_factors!$G$6:$O$152,MATCH($G38&amp;$AG38,EMIS_factors!$E$6:$E$152&amp;EMIS_factors!$D$6:$D$152,0),MATCH(RIGHT(AB$3,6),EMIS_factors!$G$4:$O$4,0))</f>
        <v>46.838407494145187</v>
      </c>
      <c r="AC38" s="1530">
        <f t="array" ref="AC38">INDEX(EMIS_factors!$G$6:$O$152,MATCH($G38&amp;$AG38,EMIS_factors!$E$6:$E$152&amp;EMIS_factors!$D$6:$D$152,0),MATCH(RIGHT(AC$3,6),EMIS_factors!$G$4:$O$4,0))</f>
        <v>399.39384904263659</v>
      </c>
      <c r="AD38" s="1530">
        <f t="array" ref="AD38">INDEX(EMIS_factors!$G$6:$O$152,MATCH($G38&amp;$AG38,EMIS_factors!$E$6:$E$152&amp;EMIS_factors!$D$6:$D$152,0),MATCH(RIGHT(AD$3,6),EMIS_factors!$G$4:$O$4,0))</f>
        <v>1.5129074758860661</v>
      </c>
      <c r="AE38" s="1530">
        <f t="array" ref="AE38">INDEX(EMIS_factors!$G$6:$O$152,MATCH($G38&amp;$AG38,EMIS_factors!$E$6:$E$152&amp;EMIS_factors!$D$6:$D$152,0),MATCH(RIGHT(AE$3,6),EMIS_factors!$G$4:$O$4,0))</f>
        <v>21.223703267388313</v>
      </c>
      <c r="AF38" s="1295"/>
      <c r="AG38" s="526" t="s">
        <v>1476</v>
      </c>
      <c r="AK38" s="526" t="s">
        <v>1240</v>
      </c>
      <c r="AL38" s="526" t="s">
        <v>1250</v>
      </c>
      <c r="AM38" s="526"/>
    </row>
    <row r="39" spans="2:41">
      <c r="B39" s="552" t="str">
        <f t="shared" si="1"/>
        <v>TPSXMOICL3N</v>
      </c>
      <c r="C39" s="552" t="s">
        <v>1013</v>
      </c>
      <c r="D39" s="534" t="s">
        <v>995</v>
      </c>
      <c r="E39" s="481" t="s">
        <v>990</v>
      </c>
      <c r="F39" s="481"/>
      <c r="G39" s="481">
        <v>2030</v>
      </c>
      <c r="H39" s="1237" t="s">
        <v>986</v>
      </c>
      <c r="I39" s="1237">
        <v>213.92</v>
      </c>
      <c r="J39" s="1237">
        <v>213.92</v>
      </c>
      <c r="K39" s="1238">
        <v>140122</v>
      </c>
      <c r="L39" s="1238">
        <v>140122</v>
      </c>
      <c r="M39" s="1237">
        <v>0.215</v>
      </c>
      <c r="N39" s="1237">
        <v>0.215</v>
      </c>
      <c r="O39" s="1237">
        <v>25</v>
      </c>
      <c r="P39" s="1239"/>
      <c r="Q39" s="1239">
        <f t="shared" si="2"/>
        <v>45229.984800000006</v>
      </c>
      <c r="R39" s="1237">
        <f>40.183*32160</f>
        <v>1292285.28</v>
      </c>
      <c r="U39" s="1237">
        <v>1E-3</v>
      </c>
      <c r="V39" s="1238"/>
      <c r="W39" s="552"/>
      <c r="X39" s="552"/>
      <c r="Y39" s="552"/>
      <c r="AA39" s="1243"/>
      <c r="AB39" s="1530">
        <f t="array" ref="AB39">INDEX(EMIS_factors!$G$6:$O$152,MATCH($G39&amp;$AG39,EMIS_factors!$E$6:$E$152&amp;EMIS_factors!$D$6:$D$152,0),MATCH(RIGHT(AB$3,6),EMIS_factors!$G$4:$O$4,0))</f>
        <v>46.838407494145187</v>
      </c>
      <c r="AC39" s="1530">
        <f t="array" ref="AC39">INDEX(EMIS_factors!$G$6:$O$152,MATCH($G39&amp;$AG39,EMIS_factors!$E$6:$E$152&amp;EMIS_factors!$D$6:$D$152,0),MATCH(RIGHT(AC$3,6),EMIS_factors!$G$4:$O$4,0))</f>
        <v>399.39384904263659</v>
      </c>
      <c r="AD39" s="1530">
        <f t="array" ref="AD39">INDEX(EMIS_factors!$G$6:$O$152,MATCH($G39&amp;$AG39,EMIS_factors!$E$6:$E$152&amp;EMIS_factors!$D$6:$D$152,0),MATCH(RIGHT(AD$3,6),EMIS_factors!$G$4:$O$4,0))</f>
        <v>1.5129074758860661</v>
      </c>
      <c r="AE39" s="1530">
        <f t="array" ref="AE39">INDEX(EMIS_factors!$G$6:$O$152,MATCH($G39&amp;$AG39,EMIS_factors!$E$6:$E$152&amp;EMIS_factors!$D$6:$D$152,0),MATCH(RIGHT(AE$3,6),EMIS_factors!$G$4:$O$4,0))</f>
        <v>21.223703267388313</v>
      </c>
      <c r="AF39" s="1295"/>
      <c r="AG39" s="526" t="s">
        <v>1476</v>
      </c>
      <c r="AK39" s="549" t="s">
        <v>1259</v>
      </c>
      <c r="AL39" s="526" t="s">
        <v>1250</v>
      </c>
      <c r="AM39" s="526"/>
    </row>
    <row r="40" spans="2:41">
      <c r="B40" s="552" t="str">
        <f t="shared" si="1"/>
        <v>TPSSH2ICS3N</v>
      </c>
      <c r="C40" s="552" t="s">
        <v>1014</v>
      </c>
      <c r="D40" s="534" t="s">
        <v>1341</v>
      </c>
      <c r="E40" s="531" t="s">
        <v>985</v>
      </c>
      <c r="F40" s="531"/>
      <c r="G40" s="531">
        <v>2030</v>
      </c>
      <c r="H40" s="1237" t="s">
        <v>986</v>
      </c>
      <c r="I40" s="1237">
        <v>10.68</v>
      </c>
      <c r="J40" s="1237">
        <v>42.83</v>
      </c>
      <c r="K40" s="1238">
        <v>43203</v>
      </c>
      <c r="L40" s="1238">
        <v>21526</v>
      </c>
      <c r="M40" s="1237">
        <v>5.4</v>
      </c>
      <c r="N40" s="1237">
        <v>8.3000000000000007</v>
      </c>
      <c r="O40" s="1237">
        <v>25</v>
      </c>
      <c r="P40" s="1237"/>
      <c r="Q40" s="1239">
        <f t="shared" si="2"/>
        <v>844.43310000000008</v>
      </c>
      <c r="R40" s="1237">
        <f>45.522*530</f>
        <v>24126.66</v>
      </c>
      <c r="U40" s="1237">
        <v>1E-3</v>
      </c>
      <c r="V40" s="1238"/>
      <c r="W40" s="552"/>
      <c r="X40" s="552"/>
      <c r="Y40" s="552"/>
      <c r="AA40" s="1243"/>
      <c r="AB40" s="1530">
        <f t="array" ref="AB40">INDEX(EMIS_factors!$G$6:$O$152,MATCH($G40&amp;$AG40,EMIS_factors!$E$6:$E$152&amp;EMIS_factors!$D$6:$D$152,0),MATCH(RIGHT(AB$3,6),EMIS_factors!$G$4:$O$4,0))</f>
        <v>0</v>
      </c>
      <c r="AC40" s="1530">
        <f t="array" ref="AC40">INDEX(EMIS_factors!$G$6:$O$152,MATCH($G40&amp;$AG40,EMIS_factors!$E$6:$E$152&amp;EMIS_factors!$D$6:$D$152,0),MATCH(RIGHT(AC$3,6),EMIS_factors!$G$4:$O$4,0))</f>
        <v>0</v>
      </c>
      <c r="AD40" s="1530">
        <f t="array" ref="AD40">INDEX(EMIS_factors!$G$6:$O$152,MATCH($G40&amp;$AG40,EMIS_factors!$E$6:$E$152&amp;EMIS_factors!$D$6:$D$152,0),MATCH(RIGHT(AD$3,6),EMIS_factors!$G$4:$O$4,0))</f>
        <v>0</v>
      </c>
      <c r="AE40" s="1530">
        <f t="array" ref="AE40">INDEX(EMIS_factors!$G$6:$O$152,MATCH($G40&amp;$AG40,EMIS_factors!$E$6:$E$152&amp;EMIS_factors!$D$6:$D$152,0),MATCH(RIGHT(AE$3,6),EMIS_factors!$G$4:$O$4,0))</f>
        <v>0</v>
      </c>
      <c r="AF40" s="1295"/>
      <c r="AG40" s="526" t="s">
        <v>1485</v>
      </c>
      <c r="AK40" s="526" t="s">
        <v>1239</v>
      </c>
      <c r="AL40" s="526" t="s">
        <v>1251</v>
      </c>
      <c r="AM40" s="526"/>
    </row>
    <row r="41" spans="2:41">
      <c r="B41" s="552" t="str">
        <f t="shared" si="1"/>
        <v>TPSMH2ICM3N</v>
      </c>
      <c r="C41" s="552" t="s">
        <v>1015</v>
      </c>
      <c r="D41" s="534" t="s">
        <v>1341</v>
      </c>
      <c r="E41" s="531" t="s">
        <v>988</v>
      </c>
      <c r="F41" s="531"/>
      <c r="G41" s="531">
        <v>2030</v>
      </c>
      <c r="H41" s="1237" t="s">
        <v>986</v>
      </c>
      <c r="I41" s="1237">
        <v>66.36</v>
      </c>
      <c r="J41" s="1237">
        <v>34.69</v>
      </c>
      <c r="K41" s="1238">
        <v>57461</v>
      </c>
      <c r="L41" s="1238">
        <v>50445</v>
      </c>
      <c r="M41" s="1237">
        <v>1.54</v>
      </c>
      <c r="N41" s="1237">
        <v>1.62</v>
      </c>
      <c r="O41" s="1237">
        <v>25</v>
      </c>
      <c r="P41" s="1237"/>
      <c r="Q41" s="1239">
        <f t="shared" si="2"/>
        <v>2224.2049200000001</v>
      </c>
      <c r="R41" s="1237">
        <f>45.522*1396</f>
        <v>63548.712</v>
      </c>
      <c r="U41" s="1237">
        <v>1E-3</v>
      </c>
      <c r="V41" s="1238"/>
      <c r="W41" s="552"/>
      <c r="X41" s="552"/>
      <c r="Y41" s="552"/>
      <c r="AA41" s="1243"/>
      <c r="AB41" s="1530">
        <f t="array" ref="AB41">INDEX(EMIS_factors!$G$6:$O$152,MATCH($G41&amp;$AG41,EMIS_factors!$E$6:$E$152&amp;EMIS_factors!$D$6:$D$152,0),MATCH(RIGHT(AB$3,6),EMIS_factors!$G$4:$O$4,0))</f>
        <v>0</v>
      </c>
      <c r="AC41" s="1530">
        <f t="array" ref="AC41">INDEX(EMIS_factors!$G$6:$O$152,MATCH($G41&amp;$AG41,EMIS_factors!$E$6:$E$152&amp;EMIS_factors!$D$6:$D$152,0),MATCH(RIGHT(AC$3,6),EMIS_factors!$G$4:$O$4,0))</f>
        <v>0</v>
      </c>
      <c r="AD41" s="1530">
        <f t="array" ref="AD41">INDEX(EMIS_factors!$G$6:$O$152,MATCH($G41&amp;$AG41,EMIS_factors!$E$6:$E$152&amp;EMIS_factors!$D$6:$D$152,0),MATCH(RIGHT(AD$3,6),EMIS_factors!$G$4:$O$4,0))</f>
        <v>0</v>
      </c>
      <c r="AE41" s="1530">
        <f t="array" ref="AE41">INDEX(EMIS_factors!$G$6:$O$152,MATCH($G41&amp;$AG41,EMIS_factors!$E$6:$E$152&amp;EMIS_factors!$D$6:$D$152,0),MATCH(RIGHT(AE$3,6),EMIS_factors!$G$4:$O$4,0))</f>
        <v>0</v>
      </c>
      <c r="AF41" s="1295"/>
      <c r="AG41" s="526" t="s">
        <v>1485</v>
      </c>
      <c r="AK41" s="526" t="s">
        <v>1236</v>
      </c>
      <c r="AL41" s="526" t="s">
        <v>1251</v>
      </c>
      <c r="AM41" s="526"/>
    </row>
    <row r="42" spans="2:41">
      <c r="B42" s="552" t="str">
        <f t="shared" si="1"/>
        <v>TPSSFOFCS3N</v>
      </c>
      <c r="C42" s="552" t="s">
        <v>1016</v>
      </c>
      <c r="D42" s="534" t="s">
        <v>987</v>
      </c>
      <c r="E42" s="531" t="s">
        <v>985</v>
      </c>
      <c r="F42" s="531"/>
      <c r="G42" s="531">
        <v>2030</v>
      </c>
      <c r="H42" s="1237" t="s">
        <v>986</v>
      </c>
      <c r="I42" s="1237">
        <v>10.68</v>
      </c>
      <c r="J42" s="1237">
        <v>42.83</v>
      </c>
      <c r="K42" s="1238">
        <v>43203</v>
      </c>
      <c r="L42" s="1238">
        <v>21526</v>
      </c>
      <c r="M42" s="1237">
        <v>5.4</v>
      </c>
      <c r="N42" s="1237">
        <v>8.3000000000000007</v>
      </c>
      <c r="O42" s="1237">
        <v>25</v>
      </c>
      <c r="P42" s="1237"/>
      <c r="Q42" s="1239">
        <f t="shared" si="2"/>
        <v>1105.0606</v>
      </c>
      <c r="R42" s="1237">
        <f>59.572*530</f>
        <v>31573.16</v>
      </c>
      <c r="U42" s="1237">
        <v>1E-3</v>
      </c>
      <c r="V42" s="1238"/>
      <c r="W42" s="552"/>
      <c r="X42" s="552"/>
      <c r="Y42" s="552"/>
      <c r="AA42" s="1243"/>
      <c r="AB42" s="1530">
        <f t="array" ref="AB42">INDEX(EMIS_factors!$G$6:$O$152,MATCH($G42&amp;$AG42,EMIS_factors!$E$6:$E$152&amp;EMIS_factors!$D$6:$D$152,0),MATCH(RIGHT(AB$3,6),EMIS_factors!$G$4:$O$4,0))</f>
        <v>46.838407494145187</v>
      </c>
      <c r="AC42" s="1530">
        <f t="array" ref="AC42">INDEX(EMIS_factors!$G$6:$O$152,MATCH($G42&amp;$AG42,EMIS_factors!$E$6:$E$152&amp;EMIS_factors!$D$6:$D$152,0),MATCH(RIGHT(AC$3,6),EMIS_factors!$G$4:$O$4,0))</f>
        <v>399.39384904263659</v>
      </c>
      <c r="AD42" s="1530">
        <f t="array" ref="AD42">INDEX(EMIS_factors!$G$6:$O$152,MATCH($G42&amp;$AG42,EMIS_factors!$E$6:$E$152&amp;EMIS_factors!$D$6:$D$152,0),MATCH(RIGHT(AD$3,6),EMIS_factors!$G$4:$O$4,0))</f>
        <v>1.5129074758860661</v>
      </c>
      <c r="AE42" s="1530">
        <f t="array" ref="AE42">INDEX(EMIS_factors!$G$6:$O$152,MATCH($G42&amp;$AG42,EMIS_factors!$E$6:$E$152&amp;EMIS_factors!$D$6:$D$152,0),MATCH(RIGHT(AE$3,6),EMIS_factors!$G$4:$O$4,0))</f>
        <v>21.223703267388313</v>
      </c>
      <c r="AF42" s="1295"/>
      <c r="AG42" s="526" t="s">
        <v>1476</v>
      </c>
      <c r="AK42" s="526" t="s">
        <v>1239</v>
      </c>
      <c r="AL42" s="526" t="s">
        <v>1245</v>
      </c>
      <c r="AM42" s="526"/>
    </row>
    <row r="43" spans="2:41">
      <c r="B43" s="552" t="str">
        <f t="shared" si="1"/>
        <v>TPSMFOFCM3N</v>
      </c>
      <c r="C43" s="552" t="s">
        <v>1017</v>
      </c>
      <c r="D43" s="534" t="s">
        <v>987</v>
      </c>
      <c r="E43" s="531" t="s">
        <v>988</v>
      </c>
      <c r="F43" s="531"/>
      <c r="G43" s="531">
        <v>2030</v>
      </c>
      <c r="H43" s="1237" t="s">
        <v>986</v>
      </c>
      <c r="I43" s="1237">
        <v>66.36</v>
      </c>
      <c r="J43" s="1237">
        <v>34.69</v>
      </c>
      <c r="K43" s="1238">
        <v>57461</v>
      </c>
      <c r="L43" s="1238">
        <v>50445</v>
      </c>
      <c r="M43" s="1237">
        <v>1.54</v>
      </c>
      <c r="N43" s="1237">
        <v>1.62</v>
      </c>
      <c r="O43" s="1237">
        <v>25</v>
      </c>
      <c r="P43" s="1237"/>
      <c r="Q43" s="1239">
        <f t="shared" si="2"/>
        <v>2910.6879200000003</v>
      </c>
      <c r="R43" s="1237">
        <f>59.572*1396</f>
        <v>83162.512000000002</v>
      </c>
      <c r="U43" s="1237">
        <v>1E-3</v>
      </c>
      <c r="V43" s="1238"/>
      <c r="W43" s="552"/>
      <c r="X43" s="552"/>
      <c r="Y43" s="552"/>
      <c r="AA43" s="1243"/>
      <c r="AB43" s="1530">
        <f t="array" ref="AB43">INDEX(EMIS_factors!$G$6:$O$152,MATCH($G43&amp;$AG43,EMIS_factors!$E$6:$E$152&amp;EMIS_factors!$D$6:$D$152,0),MATCH(RIGHT(AB$3,6),EMIS_factors!$G$4:$O$4,0))</f>
        <v>46.838407494145187</v>
      </c>
      <c r="AC43" s="1530">
        <f t="array" ref="AC43">INDEX(EMIS_factors!$G$6:$O$152,MATCH($G43&amp;$AG43,EMIS_factors!$E$6:$E$152&amp;EMIS_factors!$D$6:$D$152,0),MATCH(RIGHT(AC$3,6),EMIS_factors!$G$4:$O$4,0))</f>
        <v>399.39384904263659</v>
      </c>
      <c r="AD43" s="1530">
        <f t="array" ref="AD43">INDEX(EMIS_factors!$G$6:$O$152,MATCH($G43&amp;$AG43,EMIS_factors!$E$6:$E$152&amp;EMIS_factors!$D$6:$D$152,0),MATCH(RIGHT(AD$3,6),EMIS_factors!$G$4:$O$4,0))</f>
        <v>1.5129074758860661</v>
      </c>
      <c r="AE43" s="1530">
        <f t="array" ref="AE43">INDEX(EMIS_factors!$G$6:$O$152,MATCH($G43&amp;$AG43,EMIS_factors!$E$6:$E$152&amp;EMIS_factors!$D$6:$D$152,0),MATCH(RIGHT(AE$3,6),EMIS_factors!$G$4:$O$4,0))</f>
        <v>21.223703267388313</v>
      </c>
      <c r="AF43" s="1295"/>
      <c r="AG43" s="526" t="s">
        <v>1476</v>
      </c>
      <c r="AK43" s="526" t="s">
        <v>1236</v>
      </c>
      <c r="AL43" s="526" t="s">
        <v>1245</v>
      </c>
      <c r="AM43" s="526"/>
    </row>
    <row r="44" spans="2:41">
      <c r="B44" s="552" t="str">
        <f t="shared" si="1"/>
        <v>TPSSMOFCS3N</v>
      </c>
      <c r="C44" s="552" t="s">
        <v>1018</v>
      </c>
      <c r="D44" s="534" t="s">
        <v>995</v>
      </c>
      <c r="E44" s="531" t="s">
        <v>985</v>
      </c>
      <c r="F44" s="531"/>
      <c r="G44" s="531">
        <v>2030</v>
      </c>
      <c r="H44" s="1237" t="s">
        <v>986</v>
      </c>
      <c r="I44" s="1237">
        <v>10.68</v>
      </c>
      <c r="J44" s="1237">
        <v>42.83</v>
      </c>
      <c r="K44" s="1238">
        <v>43203</v>
      </c>
      <c r="L44" s="1238">
        <v>21526</v>
      </c>
      <c r="M44" s="1237">
        <v>5.4</v>
      </c>
      <c r="N44" s="1237">
        <v>8.3000000000000007</v>
      </c>
      <c r="O44" s="1237">
        <v>25</v>
      </c>
      <c r="P44" s="1237"/>
      <c r="Q44" s="1239">
        <f t="shared" si="2"/>
        <v>1110.2731500000002</v>
      </c>
      <c r="R44" s="1237">
        <f>59.853*530</f>
        <v>31722.09</v>
      </c>
      <c r="U44" s="1237">
        <v>1E-3</v>
      </c>
      <c r="V44" s="1238"/>
      <c r="W44" s="552"/>
      <c r="X44" s="552"/>
      <c r="Y44" s="552"/>
      <c r="AA44" s="1243"/>
      <c r="AB44" s="1530">
        <f t="array" ref="AB44">INDEX(EMIS_factors!$G$6:$O$152,MATCH($G44&amp;$AG44,EMIS_factors!$E$6:$E$152&amp;EMIS_factors!$D$6:$D$152,0),MATCH(RIGHT(AB$3,6),EMIS_factors!$G$4:$O$4,0))</f>
        <v>46.838407494145187</v>
      </c>
      <c r="AC44" s="1530">
        <f t="array" ref="AC44">INDEX(EMIS_factors!$G$6:$O$152,MATCH($G44&amp;$AG44,EMIS_factors!$E$6:$E$152&amp;EMIS_factors!$D$6:$D$152,0),MATCH(RIGHT(AC$3,6),EMIS_factors!$G$4:$O$4,0))</f>
        <v>399.39384904263659</v>
      </c>
      <c r="AD44" s="1530">
        <f t="array" ref="AD44">INDEX(EMIS_factors!$G$6:$O$152,MATCH($G44&amp;$AG44,EMIS_factors!$E$6:$E$152&amp;EMIS_factors!$D$6:$D$152,0),MATCH(RIGHT(AD$3,6),EMIS_factors!$G$4:$O$4,0))</f>
        <v>1.5129074758860661</v>
      </c>
      <c r="AE44" s="1530">
        <f t="array" ref="AE44">INDEX(EMIS_factors!$G$6:$O$152,MATCH($G44&amp;$AG44,EMIS_factors!$E$6:$E$152&amp;EMIS_factors!$D$6:$D$152,0),MATCH(RIGHT(AE$3,6),EMIS_factors!$G$4:$O$4,0))</f>
        <v>21.223703267388313</v>
      </c>
      <c r="AF44" s="1295"/>
      <c r="AG44" s="526" t="s">
        <v>1476</v>
      </c>
      <c r="AK44" s="526" t="s">
        <v>1239</v>
      </c>
      <c r="AL44" s="526" t="s">
        <v>1246</v>
      </c>
      <c r="AM44" s="526"/>
    </row>
    <row r="45" spans="2:41">
      <c r="B45" s="552" t="str">
        <f t="shared" si="1"/>
        <v>TPSMMOFCM3N</v>
      </c>
      <c r="C45" s="552" t="s">
        <v>1019</v>
      </c>
      <c r="D45" s="534" t="s">
        <v>995</v>
      </c>
      <c r="E45" s="531" t="s">
        <v>988</v>
      </c>
      <c r="F45" s="531"/>
      <c r="G45" s="531">
        <v>2030</v>
      </c>
      <c r="H45" s="1237" t="s">
        <v>986</v>
      </c>
      <c r="I45" s="1237">
        <v>66.36</v>
      </c>
      <c r="J45" s="1237">
        <v>34.69</v>
      </c>
      <c r="K45" s="1238">
        <v>57461</v>
      </c>
      <c r="L45" s="1238">
        <v>50445</v>
      </c>
      <c r="M45" s="1237">
        <v>1.54</v>
      </c>
      <c r="N45" s="1237">
        <v>1.62</v>
      </c>
      <c r="O45" s="1237">
        <v>25</v>
      </c>
      <c r="P45" s="1237"/>
      <c r="Q45" s="1239">
        <f t="shared" si="2"/>
        <v>2924.4175800000003</v>
      </c>
      <c r="R45" s="1237">
        <f>59.853*1396</f>
        <v>83554.788</v>
      </c>
      <c r="U45" s="1237">
        <v>1E-3</v>
      </c>
      <c r="V45" s="1238"/>
      <c r="W45" s="552"/>
      <c r="X45" s="552"/>
      <c r="Y45" s="552"/>
      <c r="AA45" s="1243"/>
      <c r="AB45" s="1530">
        <f t="array" ref="AB45">INDEX(EMIS_factors!$G$6:$O$152,MATCH($G45&amp;$AG45,EMIS_factors!$E$6:$E$152&amp;EMIS_factors!$D$6:$D$152,0),MATCH(RIGHT(AB$3,6),EMIS_factors!$G$4:$O$4,0))</f>
        <v>46.838407494145187</v>
      </c>
      <c r="AC45" s="1530">
        <f t="array" ref="AC45">INDEX(EMIS_factors!$G$6:$O$152,MATCH($G45&amp;$AG45,EMIS_factors!$E$6:$E$152&amp;EMIS_factors!$D$6:$D$152,0),MATCH(RIGHT(AC$3,6),EMIS_factors!$G$4:$O$4,0))</f>
        <v>399.39384904263659</v>
      </c>
      <c r="AD45" s="1530">
        <f t="array" ref="AD45">INDEX(EMIS_factors!$G$6:$O$152,MATCH($G45&amp;$AG45,EMIS_factors!$E$6:$E$152&amp;EMIS_factors!$D$6:$D$152,0),MATCH(RIGHT(AD$3,6),EMIS_factors!$G$4:$O$4,0))</f>
        <v>1.5129074758860661</v>
      </c>
      <c r="AE45" s="1530">
        <f t="array" ref="AE45">INDEX(EMIS_factors!$G$6:$O$152,MATCH($G45&amp;$AG45,EMIS_factors!$E$6:$E$152&amp;EMIS_factors!$D$6:$D$152,0),MATCH(RIGHT(AE$3,6),EMIS_factors!$G$4:$O$4,0))</f>
        <v>21.223703267388313</v>
      </c>
      <c r="AF45" s="1295"/>
      <c r="AG45" s="526" t="s">
        <v>1476</v>
      </c>
      <c r="AK45" s="526" t="s">
        <v>1236</v>
      </c>
      <c r="AL45" s="526" t="s">
        <v>1246</v>
      </c>
      <c r="AM45" s="526"/>
    </row>
    <row r="46" spans="2:41">
      <c r="B46" s="552" t="str">
        <f t="shared" si="1"/>
        <v>TPSSH2FCS3N</v>
      </c>
      <c r="C46" s="552" t="s">
        <v>1020</v>
      </c>
      <c r="D46" s="534" t="s">
        <v>1341</v>
      </c>
      <c r="E46" s="531" t="s">
        <v>985</v>
      </c>
      <c r="F46" s="531"/>
      <c r="G46" s="531">
        <v>2030</v>
      </c>
      <c r="H46" s="1237" t="s">
        <v>986</v>
      </c>
      <c r="I46" s="1237">
        <v>10.68</v>
      </c>
      <c r="J46" s="1237">
        <v>42.83</v>
      </c>
      <c r="K46" s="1238">
        <v>43203</v>
      </c>
      <c r="L46" s="1238">
        <v>21526</v>
      </c>
      <c r="M46" s="1237">
        <v>5.4</v>
      </c>
      <c r="N46" s="1237">
        <v>8.3000000000000007</v>
      </c>
      <c r="O46" s="1237">
        <v>25</v>
      </c>
      <c r="P46" s="1237"/>
      <c r="Q46" s="1239">
        <f t="shared" si="2"/>
        <v>1157.1861000000001</v>
      </c>
      <c r="R46" s="1237">
        <f>62.382*530</f>
        <v>33062.46</v>
      </c>
      <c r="U46" s="1237">
        <v>1E-3</v>
      </c>
      <c r="V46" s="1238"/>
      <c r="W46" s="552"/>
      <c r="X46" s="552"/>
      <c r="Y46" s="552"/>
      <c r="AA46" s="1243"/>
      <c r="AB46" s="1530">
        <f t="array" ref="AB46">INDEX(EMIS_factors!$G$6:$O$152,MATCH($G46&amp;$AG46,EMIS_factors!$E$6:$E$152&amp;EMIS_factors!$D$6:$D$152,0),MATCH(RIGHT(AB$3,6),EMIS_factors!$G$4:$O$4,0))</f>
        <v>0</v>
      </c>
      <c r="AC46" s="1530">
        <f t="array" ref="AC46">INDEX(EMIS_factors!$G$6:$O$152,MATCH($G46&amp;$AG46,EMIS_factors!$E$6:$E$152&amp;EMIS_factors!$D$6:$D$152,0),MATCH(RIGHT(AC$3,6),EMIS_factors!$G$4:$O$4,0))</f>
        <v>0</v>
      </c>
      <c r="AD46" s="1530">
        <f t="array" ref="AD46">INDEX(EMIS_factors!$G$6:$O$152,MATCH($G46&amp;$AG46,EMIS_factors!$E$6:$E$152&amp;EMIS_factors!$D$6:$D$152,0),MATCH(RIGHT(AD$3,6),EMIS_factors!$G$4:$O$4,0))</f>
        <v>0</v>
      </c>
      <c r="AE46" s="1530">
        <f t="array" ref="AE46">INDEX(EMIS_factors!$G$6:$O$152,MATCH($G46&amp;$AG46,EMIS_factors!$E$6:$E$152&amp;EMIS_factors!$D$6:$D$152,0),MATCH(RIGHT(AE$3,6),EMIS_factors!$G$4:$O$4,0))</f>
        <v>0</v>
      </c>
      <c r="AF46" s="1295"/>
      <c r="AG46" s="526" t="s">
        <v>1485</v>
      </c>
      <c r="AK46" s="526" t="s">
        <v>1239</v>
      </c>
      <c r="AL46" s="526" t="s">
        <v>1247</v>
      </c>
      <c r="AM46" s="526"/>
    </row>
    <row r="47" spans="2:41">
      <c r="B47" s="552" t="str">
        <f t="shared" si="1"/>
        <v>TPSMH2FCM3N</v>
      </c>
      <c r="C47" s="552" t="s">
        <v>1021</v>
      </c>
      <c r="D47" s="534" t="s">
        <v>1341</v>
      </c>
      <c r="E47" s="531" t="s">
        <v>988</v>
      </c>
      <c r="F47" s="531"/>
      <c r="G47" s="531">
        <v>2030</v>
      </c>
      <c r="H47" s="1237" t="s">
        <v>986</v>
      </c>
      <c r="I47" s="1237">
        <v>66.36</v>
      </c>
      <c r="J47" s="1237">
        <v>34.69</v>
      </c>
      <c r="K47" s="1238">
        <v>57461</v>
      </c>
      <c r="L47" s="1238">
        <v>50445</v>
      </c>
      <c r="M47" s="1237">
        <v>1.54</v>
      </c>
      <c r="N47" s="1237">
        <v>1.62</v>
      </c>
      <c r="O47" s="1237">
        <v>25</v>
      </c>
      <c r="P47" s="1237"/>
      <c r="Q47" s="1239">
        <f t="shared" si="2"/>
        <v>3047.98452</v>
      </c>
      <c r="R47" s="1237">
        <f>62.382*1396</f>
        <v>87085.271999999997</v>
      </c>
      <c r="U47" s="1237">
        <v>1E-3</v>
      </c>
      <c r="V47" s="1238"/>
      <c r="W47" s="552"/>
      <c r="X47" s="552"/>
      <c r="Y47" s="552"/>
      <c r="AA47" s="1243"/>
      <c r="AB47" s="1530">
        <f t="array" ref="AB47">INDEX(EMIS_factors!$G$6:$O$152,MATCH($G47&amp;$AG47,EMIS_factors!$E$6:$E$152&amp;EMIS_factors!$D$6:$D$152,0),MATCH(RIGHT(AB$3,6),EMIS_factors!$G$4:$O$4,0))</f>
        <v>0</v>
      </c>
      <c r="AC47" s="1530">
        <f t="array" ref="AC47">INDEX(EMIS_factors!$G$6:$O$152,MATCH($G47&amp;$AG47,EMIS_factors!$E$6:$E$152&amp;EMIS_factors!$D$6:$D$152,0),MATCH(RIGHT(AC$3,6),EMIS_factors!$G$4:$O$4,0))</f>
        <v>0</v>
      </c>
      <c r="AD47" s="1530">
        <f t="array" ref="AD47">INDEX(EMIS_factors!$G$6:$O$152,MATCH($G47&amp;$AG47,EMIS_factors!$E$6:$E$152&amp;EMIS_factors!$D$6:$D$152,0),MATCH(RIGHT(AD$3,6),EMIS_factors!$G$4:$O$4,0))</f>
        <v>0</v>
      </c>
      <c r="AE47" s="1530">
        <f t="array" ref="AE47">INDEX(EMIS_factors!$G$6:$O$152,MATCH($G47&amp;$AG47,EMIS_factors!$E$6:$E$152&amp;EMIS_factors!$D$6:$D$152,0),MATCH(RIGHT(AE$3,6),EMIS_factors!$G$4:$O$4,0))</f>
        <v>0</v>
      </c>
      <c r="AF47" s="1295"/>
      <c r="AG47" s="526" t="s">
        <v>1485</v>
      </c>
      <c r="AK47" s="526" t="s">
        <v>1236</v>
      </c>
      <c r="AL47" s="526" t="s">
        <v>1247</v>
      </c>
      <c r="AM47" s="526"/>
    </row>
    <row r="48" spans="2:41">
      <c r="B48" s="552" t="str">
        <f t="shared" si="1"/>
        <v>TPSSNGFCS3N</v>
      </c>
      <c r="C48" s="552" t="s">
        <v>1022</v>
      </c>
      <c r="D48" s="549" t="s">
        <v>1343</v>
      </c>
      <c r="E48" s="531" t="s">
        <v>985</v>
      </c>
      <c r="F48" s="531"/>
      <c r="G48" s="531">
        <v>2030</v>
      </c>
      <c r="H48" s="1237" t="s">
        <v>986</v>
      </c>
      <c r="I48" s="1237">
        <v>10.68</v>
      </c>
      <c r="J48" s="1237">
        <v>42.83</v>
      </c>
      <c r="K48" s="1238">
        <v>43203</v>
      </c>
      <c r="L48" s="1238">
        <v>21526</v>
      </c>
      <c r="M48" s="1237">
        <v>5.4</v>
      </c>
      <c r="N48" s="1237">
        <v>8.3000000000000007</v>
      </c>
      <c r="O48" s="1237">
        <v>25</v>
      </c>
      <c r="P48" s="1239"/>
      <c r="Q48" s="1239">
        <f t="shared" si="2"/>
        <v>1120.6982500000001</v>
      </c>
      <c r="R48" s="1237">
        <f>60.415*530</f>
        <v>32019.95</v>
      </c>
      <c r="U48" s="1237">
        <v>1E-3</v>
      </c>
      <c r="V48" s="1238"/>
      <c r="W48" s="552"/>
      <c r="X48" s="552"/>
      <c r="Y48" s="552"/>
      <c r="AA48" s="1243"/>
      <c r="AB48" s="1530">
        <f t="array" ref="AB48">INDEX(EMIS_factors!$G$6:$O$152,MATCH($G48&amp;$AG48,EMIS_factors!$E$6:$E$152&amp;EMIS_factors!$D$6:$D$152,0),MATCH(RIGHT(AB$3,6),EMIS_factors!$G$4:$O$4,0))</f>
        <v>0</v>
      </c>
      <c r="AC48" s="1530">
        <f t="array" ref="AC48">INDEX(EMIS_factors!$G$6:$O$152,MATCH($G48&amp;$AG48,EMIS_factors!$E$6:$E$152&amp;EMIS_factors!$D$6:$D$152,0),MATCH(RIGHT(AC$3,6),EMIS_factors!$G$4:$O$4,0))</f>
        <v>1841.6905186345921</v>
      </c>
      <c r="AD48" s="1530">
        <f t="array" ref="AD48">INDEX(EMIS_factors!$G$6:$O$152,MATCH($G48&amp;$AG48,EMIS_factors!$E$6:$E$152&amp;EMIS_factors!$D$6:$D$152,0),MATCH(RIGHT(AD$3,6),EMIS_factors!$G$4:$O$4,0))</f>
        <v>2.0545492605634381</v>
      </c>
      <c r="AE48" s="1530">
        <f t="array" ref="AE48">INDEX(EMIS_factors!$G$6:$O$152,MATCH($G48&amp;$AG48,EMIS_factors!$E$6:$E$152&amp;EMIS_factors!$D$6:$D$152,0),MATCH(RIGHT(AE$3,6),EMIS_factors!$G$4:$O$4,0))</f>
        <v>0</v>
      </c>
      <c r="AF48" s="1295"/>
      <c r="AG48" s="526" t="s">
        <v>1487</v>
      </c>
      <c r="AK48" s="526" t="s">
        <v>1239</v>
      </c>
      <c r="AL48" s="526" t="s">
        <v>1248</v>
      </c>
      <c r="AM48" s="526"/>
    </row>
    <row r="49" spans="2:39" ht="13.8" thickBot="1">
      <c r="B49" s="1259" t="str">
        <f t="shared" si="1"/>
        <v>TPSMNGFCM3N</v>
      </c>
      <c r="C49" s="552" t="s">
        <v>1023</v>
      </c>
      <c r="D49" s="549" t="s">
        <v>1343</v>
      </c>
      <c r="E49" s="1261" t="s">
        <v>988</v>
      </c>
      <c r="F49" s="1261"/>
      <c r="G49" s="1261">
        <v>2030</v>
      </c>
      <c r="H49" s="1262" t="s">
        <v>986</v>
      </c>
      <c r="I49" s="1249">
        <v>66.36</v>
      </c>
      <c r="J49" s="1249">
        <v>34.69</v>
      </c>
      <c r="K49" s="1250">
        <v>57461</v>
      </c>
      <c r="L49" s="1250">
        <v>50445</v>
      </c>
      <c r="M49" s="1249">
        <v>1.54</v>
      </c>
      <c r="N49" s="1249">
        <v>1.62</v>
      </c>
      <c r="O49" s="1249">
        <v>25</v>
      </c>
      <c r="P49" s="1251"/>
      <c r="Q49" s="1252">
        <f t="shared" si="2"/>
        <v>2951.8769000000002</v>
      </c>
      <c r="R49" s="1249">
        <f>60.415*1396</f>
        <v>84339.34</v>
      </c>
      <c r="U49" s="1249">
        <v>1E-3</v>
      </c>
      <c r="V49" s="1250"/>
      <c r="W49" s="552"/>
      <c r="X49" s="552"/>
      <c r="Y49" s="552"/>
      <c r="AA49" s="1243"/>
      <c r="AB49" s="1530">
        <f t="array" ref="AB49">INDEX(EMIS_factors!$G$6:$O$152,MATCH($G49&amp;$AG49,EMIS_factors!$E$6:$E$152&amp;EMIS_factors!$D$6:$D$152,0),MATCH(RIGHT(AB$3,6),EMIS_factors!$G$4:$O$4,0))</f>
        <v>0</v>
      </c>
      <c r="AC49" s="1530">
        <f t="array" ref="AC49">INDEX(EMIS_factors!$G$6:$O$152,MATCH($G49&amp;$AG49,EMIS_factors!$E$6:$E$152&amp;EMIS_factors!$D$6:$D$152,0),MATCH(RIGHT(AC$3,6),EMIS_factors!$G$4:$O$4,0))</f>
        <v>1841.6905186345921</v>
      </c>
      <c r="AD49" s="1530">
        <f t="array" ref="AD49">INDEX(EMIS_factors!$G$6:$O$152,MATCH($G49&amp;$AG49,EMIS_factors!$E$6:$E$152&amp;EMIS_factors!$D$6:$D$152,0),MATCH(RIGHT(AD$3,6),EMIS_factors!$G$4:$O$4,0))</f>
        <v>2.0545492605634381</v>
      </c>
      <c r="AE49" s="1530">
        <f t="array" ref="AE49">INDEX(EMIS_factors!$G$6:$O$152,MATCH($G49&amp;$AG49,EMIS_factors!$E$6:$E$152&amp;EMIS_factors!$D$6:$D$152,0),MATCH(RIGHT(AE$3,6),EMIS_factors!$G$4:$O$4,0))</f>
        <v>0</v>
      </c>
      <c r="AF49" s="1295"/>
      <c r="AG49" s="526" t="s">
        <v>1487</v>
      </c>
      <c r="AK49" s="526" t="s">
        <v>1236</v>
      </c>
      <c r="AL49" s="526" t="s">
        <v>1248</v>
      </c>
      <c r="AM49" s="526"/>
    </row>
    <row r="50" spans="2:39">
      <c r="B50" s="552" t="str">
        <f t="shared" si="1"/>
        <v>TPSIFOICI1N</v>
      </c>
      <c r="C50" s="54" t="s">
        <v>599</v>
      </c>
      <c r="D50" s="536" t="s">
        <v>1350</v>
      </c>
      <c r="E50" s="531" t="s">
        <v>896</v>
      </c>
      <c r="F50" s="536" t="s">
        <v>1129</v>
      </c>
      <c r="G50" s="48">
        <v>2011</v>
      </c>
      <c r="H50" s="552" t="str">
        <f>"MKr"&amp;RIGHT('EU Diesel IC-reg.tog'!$H$38,2)</f>
        <v>MKr11</v>
      </c>
      <c r="I50" s="1244"/>
      <c r="J50" s="1237"/>
      <c r="K50" s="1237"/>
      <c r="L50" s="1289">
        <v>56412.833206397569</v>
      </c>
      <c r="M50" s="1141">
        <v>401.44550513977305</v>
      </c>
      <c r="N50" s="1141">
        <v>401.44550513977305</v>
      </c>
      <c r="O50" s="480">
        <v>28</v>
      </c>
      <c r="P50" s="1239"/>
      <c r="Q50" s="1141">
        <f>'EU 9000 TEU HFO'!$D$68*365*6.5/1000</f>
        <v>27283.75</v>
      </c>
      <c r="R50" s="501">
        <v>188100</v>
      </c>
      <c r="S50" s="1237"/>
      <c r="T50" s="1237"/>
      <c r="U50" s="1238"/>
      <c r="V50" s="48"/>
      <c r="W50" s="552"/>
      <c r="X50" s="535"/>
      <c r="Y50" s="494">
        <v>0.61107357157177566</v>
      </c>
      <c r="AA50" s="549">
        <v>5</v>
      </c>
      <c r="AB50" s="1530">
        <f t="array" ref="AB50">INDEX(EMIS_factors!$G$6:$O$152,MATCH($G50&amp;$AG50,EMIS_factors!$E$6:$E$152&amp;EMIS_factors!$D$6:$D$152,0),MATCH(RIGHT(AB$3,6),EMIS_factors!$G$4:$O$4,0))</f>
        <v>46.838407494145187</v>
      </c>
      <c r="AC50" s="1530">
        <f t="array" ref="AC50">INDEX(EMIS_factors!$G$6:$O$152,MATCH($G50&amp;$AG50,EMIS_factors!$E$6:$E$152&amp;EMIS_factors!$D$6:$D$152,0),MATCH(RIGHT(AC$3,6),EMIS_factors!$G$4:$O$4,0))</f>
        <v>763.50782733290771</v>
      </c>
      <c r="AD50" s="1530">
        <f t="array" ref="AD50">INDEX(EMIS_factors!$G$6:$O$152,MATCH($G50&amp;$AG50,EMIS_factors!$E$6:$E$152&amp;EMIS_factors!$D$6:$D$152,0),MATCH(RIGHT(AD$3,6),EMIS_factors!$G$4:$O$4,0))</f>
        <v>1.4159961116087596</v>
      </c>
      <c r="AE50" s="1530">
        <f t="array" ref="AE50">INDEX(EMIS_factors!$G$6:$O$152,MATCH($G50&amp;$AG50,EMIS_factors!$E$6:$E$152&amp;EMIS_factors!$D$6:$D$152,0),MATCH(RIGHT(AE$3,6),EMIS_factors!$G$4:$O$4,0))</f>
        <v>21.223703267388323</v>
      </c>
      <c r="AF50" s="1295"/>
      <c r="AG50" s="526" t="s">
        <v>1476</v>
      </c>
      <c r="AK50" s="549" t="s">
        <v>496</v>
      </c>
      <c r="AL50" s="526" t="s">
        <v>1249</v>
      </c>
    </row>
    <row r="51" spans="2:39">
      <c r="B51" s="536"/>
      <c r="C51" s="54"/>
      <c r="D51" s="536" t="s">
        <v>925</v>
      </c>
      <c r="E51" s="531"/>
      <c r="F51" s="481"/>
      <c r="G51" s="479"/>
      <c r="H51" s="552"/>
      <c r="I51" s="1244"/>
      <c r="J51" s="1237"/>
      <c r="K51" s="1237"/>
      <c r="L51" s="552"/>
      <c r="M51" s="504"/>
      <c r="N51" s="504"/>
      <c r="O51" s="480"/>
      <c r="P51" s="1239"/>
      <c r="Q51" s="1141"/>
      <c r="R51" s="501"/>
      <c r="S51" s="1237"/>
      <c r="T51" s="1237"/>
      <c r="U51" s="1238"/>
      <c r="V51" s="48"/>
      <c r="W51" s="552"/>
      <c r="Y51" s="1140"/>
      <c r="Z51" s="549">
        <v>0.87</v>
      </c>
      <c r="AA51" s="549">
        <v>5</v>
      </c>
      <c r="AB51" s="1530"/>
      <c r="AC51" s="1530"/>
      <c r="AD51" s="1530"/>
      <c r="AE51" s="1530"/>
      <c r="AF51" s="1295"/>
      <c r="AG51" s="526" t="s">
        <v>1476</v>
      </c>
      <c r="AK51" s="549" t="s">
        <v>496</v>
      </c>
      <c r="AL51" s="526" t="s">
        <v>1249</v>
      </c>
    </row>
    <row r="52" spans="2:39">
      <c r="B52" s="552" t="str">
        <f>"TPS"&amp;LEFT(AK52,1)&amp;AL52&amp;RIGHT(E52,1)&amp;MID(G52,3,1)&amp;"N"</f>
        <v>TPSIFOICI2N</v>
      </c>
      <c r="C52" s="54" t="s">
        <v>600</v>
      </c>
      <c r="D52" s="536" t="s">
        <v>984</v>
      </c>
      <c r="E52" s="531" t="s">
        <v>896</v>
      </c>
      <c r="F52" s="536" t="s">
        <v>1129</v>
      </c>
      <c r="G52" s="55">
        <f>'EU Diesel IC-reg.tog'!$E$21</f>
        <v>2020</v>
      </c>
      <c r="H52" s="552" t="str">
        <f>"MKr"&amp;RIGHT('EU Diesel IC-reg.tog'!$H$38,2)</f>
        <v>MKr11</v>
      </c>
      <c r="I52" s="1244"/>
      <c r="J52" s="1237"/>
      <c r="K52" s="1237"/>
      <c r="L52" s="1289">
        <v>56412.833206397569</v>
      </c>
      <c r="M52" s="527">
        <v>485.844670567425</v>
      </c>
      <c r="N52" s="527">
        <v>485.84467056742517</v>
      </c>
      <c r="O52" s="480">
        <v>28</v>
      </c>
      <c r="P52" s="1239"/>
      <c r="Q52" s="1141">
        <f>'EU 9000 TEU HFO'!$D$68*365*6.5/1000</f>
        <v>27283.75</v>
      </c>
      <c r="R52" s="501">
        <v>188100</v>
      </c>
      <c r="S52" s="1237"/>
      <c r="T52" s="1237"/>
      <c r="U52" s="1238"/>
      <c r="V52" s="48"/>
      <c r="W52" s="552"/>
      <c r="Y52" s="535">
        <v>0.73954455653795614</v>
      </c>
      <c r="AA52" s="549">
        <v>5</v>
      </c>
      <c r="AB52" s="1530">
        <f t="array" ref="AB52">INDEX(EMIS_factors!$G$6:$O$152,MATCH($G52&amp;$AG52,EMIS_factors!$E$6:$E$152&amp;EMIS_factors!$D$6:$D$152,0),MATCH(RIGHT(AB$3,6),EMIS_factors!$G$4:$O$4,0))</f>
        <v>46.83840749414518</v>
      </c>
      <c r="AC52" s="1530">
        <f t="array" ref="AC52">INDEX(EMIS_factors!$G$6:$O$152,MATCH($G52&amp;$AG52,EMIS_factors!$E$6:$E$152&amp;EMIS_factors!$D$6:$D$152,0),MATCH(RIGHT(AC$3,6),EMIS_factors!$G$4:$O$4,0))</f>
        <v>763.09852811817711</v>
      </c>
      <c r="AD52" s="1530">
        <f t="array" ref="AD52">INDEX(EMIS_factors!$G$6:$O$152,MATCH($G52&amp;$AG52,EMIS_factors!$E$6:$E$152&amp;EMIS_factors!$D$6:$D$152,0),MATCH(RIGHT(AD$3,6),EMIS_factors!$G$4:$O$4,0))</f>
        <v>1.4232778876348522</v>
      </c>
      <c r="AE52" s="1530">
        <f t="array" ref="AE52">INDEX(EMIS_factors!$G$6:$O$152,MATCH($G52&amp;$AG52,EMIS_factors!$E$6:$E$152&amp;EMIS_factors!$D$6:$D$152,0),MATCH(RIGHT(AE$3,6),EMIS_factors!$G$4:$O$4,0))</f>
        <v>21.223703267388316</v>
      </c>
      <c r="AF52" s="1295"/>
      <c r="AG52" s="526" t="s">
        <v>1476</v>
      </c>
      <c r="AK52" s="549" t="s">
        <v>496</v>
      </c>
      <c r="AL52" s="526" t="s">
        <v>1249</v>
      </c>
    </row>
    <row r="53" spans="2:39">
      <c r="B53" s="536"/>
      <c r="C53" s="54"/>
      <c r="D53" s="550" t="s">
        <v>926</v>
      </c>
      <c r="E53" s="531"/>
      <c r="F53" s="481"/>
      <c r="H53" s="552"/>
      <c r="I53" s="1244"/>
      <c r="J53" s="1237"/>
      <c r="K53" s="1237"/>
      <c r="L53" s="1237"/>
      <c r="M53" s="504"/>
      <c r="N53" s="504"/>
      <c r="O53" s="480"/>
      <c r="P53" s="1239"/>
      <c r="Q53" s="1141"/>
      <c r="R53" s="501"/>
      <c r="S53" s="1237"/>
      <c r="T53" s="1237"/>
      <c r="U53" s="1238"/>
      <c r="V53" s="48"/>
      <c r="W53" s="552"/>
      <c r="Y53" s="1140"/>
      <c r="Z53" s="549">
        <v>0.87</v>
      </c>
      <c r="AA53" s="549">
        <v>5</v>
      </c>
      <c r="AB53" s="1530"/>
      <c r="AC53" s="1530"/>
      <c r="AD53" s="1530"/>
      <c r="AE53" s="1530"/>
      <c r="AF53" s="1295"/>
      <c r="AG53" s="526" t="s">
        <v>1476</v>
      </c>
      <c r="AK53" s="549" t="s">
        <v>496</v>
      </c>
      <c r="AL53" s="526" t="s">
        <v>1249</v>
      </c>
    </row>
    <row r="54" spans="2:39">
      <c r="B54" s="552" t="str">
        <f>"TPS"&amp;LEFT(AK54,1)&amp;AL54&amp;RIGHT(E54,1)&amp;MID(G54,3,1)&amp;"N"</f>
        <v>TPSIFOICI3N</v>
      </c>
      <c r="C54" s="54" t="s">
        <v>601</v>
      </c>
      <c r="D54" s="536" t="s">
        <v>1349</v>
      </c>
      <c r="E54" s="531" t="s">
        <v>896</v>
      </c>
      <c r="F54" s="536" t="s">
        <v>1129</v>
      </c>
      <c r="G54" s="55">
        <f>'EU Diesel IC-reg.tog'!$F$21</f>
        <v>2035</v>
      </c>
      <c r="H54" s="552" t="str">
        <f>"MKr"&amp;RIGHT('EU Diesel IC-reg.tog'!$H$38,2)</f>
        <v>MKr11</v>
      </c>
      <c r="I54" s="1244"/>
      <c r="J54" s="1237"/>
      <c r="K54" s="1237"/>
      <c r="L54" s="1289">
        <v>56412.833206397569</v>
      </c>
      <c r="M54" s="527">
        <v>590.19458193675109</v>
      </c>
      <c r="N54" s="527">
        <v>590.19458193675109</v>
      </c>
      <c r="O54" s="480">
        <v>28</v>
      </c>
      <c r="P54" s="1239"/>
      <c r="Q54" s="1141">
        <f>'EU 9000 TEU HFO'!$E$68*365*6.5/1000</f>
        <v>27283.75</v>
      </c>
      <c r="R54" s="501">
        <v>188100</v>
      </c>
      <c r="S54" s="1237"/>
      <c r="T54" s="1237"/>
      <c r="U54" s="1238"/>
      <c r="V54" s="48"/>
      <c r="W54" s="552"/>
      <c r="Y54" s="535">
        <v>0.89838423021035352</v>
      </c>
      <c r="AA54" s="549">
        <v>5</v>
      </c>
      <c r="AB54" s="1530">
        <f t="array" ref="AB54">INDEX(EMIS_factors!$G$6:$O$152,MATCH($G54&amp;$AG54,EMIS_factors!$E$6:$E$152&amp;EMIS_factors!$D$6:$D$152,0),MATCH(RIGHT(AB$3,6),EMIS_factors!$G$4:$O$4,0))</f>
        <v>0</v>
      </c>
      <c r="AC54" s="1530">
        <f t="array" ref="AC54">INDEX(EMIS_factors!$G$6:$O$152,MATCH($G54&amp;$AG54,EMIS_factors!$E$6:$E$152&amp;EMIS_factors!$D$6:$D$152,0),MATCH(RIGHT(AC$3,6),EMIS_factors!$G$4:$O$4,0))</f>
        <v>399.39384904263659</v>
      </c>
      <c r="AD54" s="1530">
        <f t="array" ref="AD54">INDEX(EMIS_factors!$G$6:$O$152,MATCH($G54&amp;$AG54,EMIS_factors!$E$6:$E$152&amp;EMIS_factors!$D$6:$D$152,0),MATCH(RIGHT(AD$3,6),EMIS_factors!$G$4:$O$4,0))</f>
        <v>1.5129074758860661</v>
      </c>
      <c r="AE54" s="1530">
        <f t="array" ref="AE54">INDEX(EMIS_factors!$G$6:$O$152,MATCH($G54&amp;$AG54,EMIS_factors!$E$6:$E$152&amp;EMIS_factors!$D$6:$D$152,0),MATCH(RIGHT(AE$3,6),EMIS_factors!$G$4:$O$4,0))</f>
        <v>0</v>
      </c>
      <c r="AF54" s="1295"/>
      <c r="AG54" s="526" t="s">
        <v>1476</v>
      </c>
      <c r="AK54" s="549" t="s">
        <v>496</v>
      </c>
      <c r="AL54" s="526" t="s">
        <v>1249</v>
      </c>
    </row>
    <row r="55" spans="2:39">
      <c r="B55" s="552"/>
      <c r="C55" s="552"/>
      <c r="D55" s="550" t="s">
        <v>1351</v>
      </c>
      <c r="E55" s="531"/>
      <c r="G55" s="531"/>
      <c r="H55" s="1244"/>
      <c r="I55" s="1244"/>
      <c r="J55" s="1237"/>
      <c r="K55" s="1237"/>
      <c r="L55" s="1237"/>
      <c r="M55" s="1238"/>
      <c r="N55" s="1237"/>
      <c r="O55" s="1241"/>
      <c r="P55" s="1239"/>
      <c r="Q55" s="1239"/>
      <c r="R55" s="1237"/>
      <c r="S55" s="1237"/>
      <c r="T55" s="1237"/>
      <c r="U55" s="1238"/>
      <c r="V55" s="552"/>
      <c r="W55" s="552"/>
      <c r="Y55" s="535"/>
      <c r="Z55" s="549">
        <v>0.87</v>
      </c>
      <c r="AA55" s="549">
        <v>5</v>
      </c>
      <c r="AB55" s="1530"/>
      <c r="AC55" s="1530"/>
      <c r="AD55" s="1530"/>
      <c r="AE55" s="1530"/>
      <c r="AF55" s="1295"/>
      <c r="AG55" s="526"/>
      <c r="AK55" s="549" t="s">
        <v>496</v>
      </c>
      <c r="AL55" s="526" t="s">
        <v>1249</v>
      </c>
    </row>
    <row r="56" spans="2:39">
      <c r="B56" s="552"/>
      <c r="C56" s="552"/>
      <c r="D56" s="534"/>
      <c r="E56" s="531"/>
      <c r="F56" s="481"/>
      <c r="G56" s="531"/>
      <c r="H56" s="1244"/>
      <c r="I56" s="1244"/>
      <c r="J56" s="1237"/>
      <c r="K56" s="1237"/>
      <c r="L56" s="1237"/>
      <c r="M56" s="1238"/>
      <c r="N56" s="1237"/>
      <c r="O56" s="1241"/>
      <c r="P56" s="1239"/>
      <c r="Q56" s="1239"/>
      <c r="R56" s="1237"/>
      <c r="S56" s="1237"/>
      <c r="T56" s="1237"/>
      <c r="U56" s="1238"/>
      <c r="V56" s="552"/>
      <c r="W56" s="552"/>
      <c r="X56" s="552"/>
      <c r="Z56" s="1243"/>
      <c r="AB56" s="1530"/>
      <c r="AC56" s="1530"/>
      <c r="AD56" s="1530"/>
      <c r="AE56" s="1530"/>
      <c r="AF56" s="1295"/>
      <c r="AG56" s="526"/>
    </row>
    <row r="57" spans="2:39">
      <c r="B57" s="552"/>
      <c r="C57" s="552"/>
      <c r="D57" s="534"/>
      <c r="E57" s="531"/>
      <c r="F57" s="531"/>
      <c r="G57" s="531"/>
      <c r="H57" s="1244"/>
      <c r="I57" s="1237"/>
      <c r="J57" s="1237"/>
      <c r="K57" s="1237"/>
      <c r="L57" s="1238"/>
      <c r="M57" s="1237"/>
      <c r="N57" s="1241"/>
      <c r="O57" s="1239"/>
      <c r="P57" s="1237"/>
      <c r="Q57" s="1237"/>
      <c r="R57" s="1237"/>
      <c r="S57" s="1238"/>
      <c r="T57" s="552"/>
      <c r="X57" s="1243"/>
      <c r="AB57" s="1530"/>
      <c r="AC57" s="1530"/>
      <c r="AD57" s="1530"/>
      <c r="AE57" s="1530"/>
      <c r="AG57" s="526"/>
    </row>
    <row r="58" spans="2:39">
      <c r="B58" s="552"/>
      <c r="C58" s="552"/>
      <c r="D58" s="534"/>
      <c r="E58" s="531"/>
      <c r="F58" s="531"/>
      <c r="G58" s="531"/>
      <c r="H58" s="1244"/>
      <c r="I58" s="1237"/>
      <c r="J58" s="1237"/>
      <c r="K58" s="1237"/>
      <c r="L58" s="1238"/>
      <c r="M58" s="1237"/>
      <c r="N58" s="1241"/>
      <c r="O58" s="1239"/>
      <c r="P58" s="1237"/>
      <c r="Q58" s="1237"/>
      <c r="R58" s="1237"/>
      <c r="S58" s="1238"/>
      <c r="AB58" s="1530"/>
      <c r="AC58" s="1530"/>
      <c r="AD58" s="1530"/>
      <c r="AE58" s="1530"/>
      <c r="AG58" s="526"/>
    </row>
    <row r="59" spans="2:39">
      <c r="B59" s="552"/>
      <c r="C59" s="552"/>
      <c r="D59" s="534"/>
      <c r="E59" s="531"/>
      <c r="F59" s="531"/>
      <c r="G59" s="531"/>
      <c r="H59" s="552"/>
      <c r="I59" s="552"/>
      <c r="J59" s="552"/>
      <c r="K59" s="552"/>
      <c r="L59" s="552"/>
      <c r="M59" s="552"/>
      <c r="N59" s="552"/>
      <c r="O59" s="552"/>
      <c r="P59" s="552"/>
      <c r="Q59" s="552"/>
      <c r="R59" s="552"/>
      <c r="S59" s="552"/>
      <c r="T59" s="526"/>
      <c r="AB59" s="1530"/>
      <c r="AC59" s="1530"/>
      <c r="AD59" s="1530"/>
      <c r="AE59" s="1530"/>
      <c r="AG59" s="526"/>
    </row>
    <row r="60" spans="2:39">
      <c r="B60" s="552"/>
      <c r="C60" s="552"/>
      <c r="D60" s="534"/>
      <c r="E60" s="531"/>
      <c r="F60" s="531"/>
      <c r="G60" s="531"/>
      <c r="H60" s="552"/>
      <c r="I60" s="552"/>
      <c r="J60" s="552"/>
      <c r="K60" s="552"/>
      <c r="L60" s="552"/>
      <c r="M60" s="552"/>
      <c r="N60" s="552"/>
      <c r="O60" s="552"/>
      <c r="P60" s="552"/>
      <c r="Q60" s="552"/>
      <c r="R60" s="552"/>
      <c r="S60" s="552"/>
      <c r="T60" s="526"/>
      <c r="AB60" s="1530"/>
      <c r="AC60" s="1530"/>
      <c r="AD60" s="1530"/>
      <c r="AE60" s="1530"/>
      <c r="AG60" s="526"/>
    </row>
    <row r="61" spans="2:39">
      <c r="B61" s="552"/>
      <c r="C61" s="552"/>
      <c r="D61" s="534"/>
      <c r="E61" s="531"/>
      <c r="F61" s="531"/>
      <c r="G61" s="531"/>
      <c r="H61" s="552"/>
      <c r="I61" s="552"/>
      <c r="J61" s="552"/>
      <c r="K61" s="552"/>
      <c r="L61" s="552"/>
      <c r="M61" s="552"/>
      <c r="N61" s="552"/>
      <c r="O61" s="552"/>
      <c r="P61" s="552"/>
      <c r="Q61" s="552"/>
      <c r="R61" s="552"/>
      <c r="S61" s="552"/>
      <c r="AB61" s="1530"/>
      <c r="AC61" s="1530"/>
      <c r="AD61" s="1530"/>
      <c r="AE61" s="1530"/>
      <c r="AG61" s="526"/>
    </row>
    <row r="62" spans="2:39">
      <c r="B62" s="18" t="s">
        <v>62</v>
      </c>
      <c r="C62" s="18"/>
      <c r="D62" s="18"/>
      <c r="E62" s="553"/>
      <c r="F62" s="553"/>
      <c r="G62" s="553"/>
      <c r="H62" s="553"/>
      <c r="I62" s="553"/>
      <c r="J62" s="553"/>
      <c r="K62" s="553"/>
      <c r="L62" s="553"/>
      <c r="M62" s="1266"/>
      <c r="N62" s="1242"/>
      <c r="O62" s="1237"/>
      <c r="R62" s="476"/>
      <c r="AB62" s="1530"/>
      <c r="AC62" s="1530"/>
      <c r="AD62" s="1530"/>
      <c r="AE62" s="1530"/>
      <c r="AG62" s="526"/>
    </row>
    <row r="63" spans="2:39" ht="13.8">
      <c r="B63" s="1267" t="s">
        <v>63</v>
      </c>
      <c r="C63" s="1267" t="s">
        <v>1</v>
      </c>
      <c r="D63" s="1267" t="s">
        <v>64</v>
      </c>
      <c r="E63" s="1267" t="s">
        <v>65</v>
      </c>
      <c r="F63" s="1267" t="s">
        <v>66</v>
      </c>
      <c r="G63" s="1267" t="s">
        <v>67</v>
      </c>
      <c r="H63" s="1267" t="s">
        <v>68</v>
      </c>
      <c r="I63" s="1267" t="s">
        <v>69</v>
      </c>
      <c r="J63" s="1266"/>
      <c r="K63" s="1242"/>
      <c r="L63" s="1237"/>
      <c r="O63" s="552"/>
      <c r="AB63" s="1530"/>
      <c r="AC63" s="1530"/>
      <c r="AD63" s="1530"/>
      <c r="AE63" s="1530"/>
      <c r="AG63" s="526"/>
    </row>
    <row r="64" spans="2:39" ht="21" thickBot="1">
      <c r="B64" s="20" t="s">
        <v>70</v>
      </c>
      <c r="C64" s="20" t="s">
        <v>71</v>
      </c>
      <c r="D64" s="20" t="s">
        <v>72</v>
      </c>
      <c r="E64" s="20" t="s">
        <v>73</v>
      </c>
      <c r="F64" s="20" t="s">
        <v>74</v>
      </c>
      <c r="G64" s="20" t="s">
        <v>75</v>
      </c>
      <c r="H64" s="20" t="s">
        <v>76</v>
      </c>
      <c r="I64" s="20" t="s">
        <v>77</v>
      </c>
      <c r="L64" s="519"/>
      <c r="O64" s="552"/>
      <c r="AB64" s="1530"/>
      <c r="AC64" s="1530"/>
      <c r="AD64" s="1530"/>
      <c r="AE64" s="1530"/>
      <c r="AG64" s="526"/>
    </row>
    <row r="65" spans="2:33">
      <c r="B65" s="545" t="s">
        <v>78</v>
      </c>
      <c r="C65" s="553" t="str">
        <f t="shared" ref="C65:D72" si="3">B6</f>
        <v>TPSSFOICS1N</v>
      </c>
      <c r="D65" s="553" t="str">
        <f t="shared" si="3"/>
        <v>Transport Passengers Ferry Short Distance - 530kW DICI Engine</v>
      </c>
      <c r="E65" s="545" t="s">
        <v>81</v>
      </c>
      <c r="F65" s="547" t="s">
        <v>82</v>
      </c>
      <c r="G65" s="545"/>
      <c r="H65" s="545"/>
      <c r="I65" s="548"/>
      <c r="K65" s="1268"/>
      <c r="L65" s="519"/>
      <c r="O65" s="552"/>
      <c r="AB65" s="1530"/>
      <c r="AC65" s="1530"/>
      <c r="AD65" s="1530"/>
      <c r="AE65" s="1530"/>
      <c r="AG65" s="526"/>
    </row>
    <row r="66" spans="2:33">
      <c r="B66" s="57"/>
      <c r="C66" s="553" t="str">
        <f t="shared" si="3"/>
        <v>TPSSFOICS3N</v>
      </c>
      <c r="D66" s="553" t="str">
        <f t="shared" si="3"/>
        <v>Transport Passengers Ferry Short Distance - 530kW DICI Engine</v>
      </c>
      <c r="E66" s="545" t="s">
        <v>81</v>
      </c>
      <c r="F66" s="547" t="s">
        <v>82</v>
      </c>
      <c r="G66" s="553"/>
      <c r="H66" s="553"/>
      <c r="I66" s="548"/>
      <c r="L66" s="519"/>
      <c r="O66" s="552"/>
      <c r="AB66" s="1530"/>
      <c r="AC66" s="1530"/>
      <c r="AD66" s="1530"/>
      <c r="AE66" s="1530"/>
      <c r="AG66" s="526"/>
    </row>
    <row r="67" spans="2:33">
      <c r="B67" s="57"/>
      <c r="C67" s="553" t="str">
        <f t="shared" si="3"/>
        <v>TPSMFOICM1N</v>
      </c>
      <c r="D67" s="553" t="str">
        <f t="shared" si="3"/>
        <v>Transport Passengers Ferry Medium Distance - 1396kW DICI Engine</v>
      </c>
      <c r="E67" s="545" t="s">
        <v>81</v>
      </c>
      <c r="F67" s="547" t="s">
        <v>82</v>
      </c>
      <c r="G67" s="553"/>
      <c r="H67" s="553"/>
      <c r="I67" s="548"/>
      <c r="L67" s="519"/>
      <c r="O67" s="552"/>
      <c r="AB67" s="1530"/>
      <c r="AC67" s="1530"/>
      <c r="AD67" s="1530"/>
      <c r="AE67" s="1530"/>
      <c r="AG67" s="526"/>
    </row>
    <row r="68" spans="2:33">
      <c r="B68" s="57"/>
      <c r="C68" s="553" t="str">
        <f t="shared" si="3"/>
        <v>TPSMFOICM3N</v>
      </c>
      <c r="D68" s="553" t="str">
        <f t="shared" si="3"/>
        <v>Transport Passengers Ferry Medium Distance - 1396kW DICI Engine</v>
      </c>
      <c r="E68" s="545" t="s">
        <v>81</v>
      </c>
      <c r="F68" s="547" t="s">
        <v>82</v>
      </c>
      <c r="G68" s="553"/>
      <c r="H68" s="553"/>
      <c r="I68" s="548"/>
      <c r="L68" s="519"/>
      <c r="O68" s="552"/>
      <c r="AB68" s="1530"/>
      <c r="AC68" s="1530"/>
      <c r="AD68" s="1530"/>
      <c r="AE68" s="1530"/>
      <c r="AG68" s="526"/>
    </row>
    <row r="69" spans="2:33">
      <c r="C69" s="553" t="str">
        <f t="shared" si="3"/>
        <v>TPSLFOICL1N</v>
      </c>
      <c r="D69" s="553" t="str">
        <f t="shared" si="3"/>
        <v>Transport Passengers Ferry Long Distance - 3429 kW DICI Engine</v>
      </c>
      <c r="E69" s="545" t="s">
        <v>81</v>
      </c>
      <c r="F69" s="547" t="s">
        <v>82</v>
      </c>
      <c r="G69" s="547"/>
      <c r="AB69" s="1530"/>
      <c r="AC69" s="1530"/>
      <c r="AD69" s="1530"/>
      <c r="AE69" s="1530"/>
      <c r="AG69" s="526"/>
    </row>
    <row r="70" spans="2:33">
      <c r="B70" s="552"/>
      <c r="C70" s="553" t="str">
        <f t="shared" si="3"/>
        <v>TPSLFOICL3N</v>
      </c>
      <c r="D70" s="553" t="str">
        <f t="shared" si="3"/>
        <v>Transport Passengers Ferry Long Distance - 3429 kW DICI Engine</v>
      </c>
      <c r="E70" s="545" t="s">
        <v>81</v>
      </c>
      <c r="F70" s="547" t="s">
        <v>82</v>
      </c>
      <c r="G70" s="1237"/>
      <c r="H70" s="1237"/>
      <c r="I70" s="1238"/>
      <c r="J70" s="1237"/>
      <c r="K70" s="1241"/>
      <c r="L70" s="1239"/>
      <c r="M70" s="1237"/>
      <c r="N70" s="1237"/>
      <c r="O70" s="1237"/>
      <c r="P70" s="1238"/>
      <c r="AB70" s="1530"/>
      <c r="AC70" s="1530"/>
      <c r="AD70" s="1530"/>
      <c r="AE70" s="1530"/>
      <c r="AG70" s="526"/>
    </row>
    <row r="71" spans="2:33">
      <c r="B71" s="552"/>
      <c r="C71" s="553" t="str">
        <f t="shared" si="3"/>
        <v>TPSXFOICL1N</v>
      </c>
      <c r="D71" s="553" t="str">
        <f t="shared" si="3"/>
        <v>Transport Passengers Ferry Extra Long Distance - 32160 kW DICI Engine</v>
      </c>
      <c r="E71" s="545" t="s">
        <v>81</v>
      </c>
      <c r="F71" s="547" t="s">
        <v>82</v>
      </c>
      <c r="G71" s="1237"/>
      <c r="H71" s="1237"/>
      <c r="I71" s="1238"/>
      <c r="J71" s="1237"/>
      <c r="K71" s="1241"/>
      <c r="L71" s="1239"/>
      <c r="M71" s="1237"/>
      <c r="N71" s="1237"/>
      <c r="O71" s="1237"/>
      <c r="P71" s="1238"/>
      <c r="AB71" s="1530"/>
      <c r="AC71" s="1530"/>
      <c r="AD71" s="1530"/>
      <c r="AE71" s="1530"/>
      <c r="AG71" s="526"/>
    </row>
    <row r="72" spans="2:33">
      <c r="B72" s="552"/>
      <c r="C72" s="553" t="str">
        <f t="shared" si="3"/>
        <v>TPSXFOICL3N</v>
      </c>
      <c r="D72" s="553" t="str">
        <f t="shared" si="3"/>
        <v>Transport Passengers Ferry Extra Long Distance - 32160 kW DICI Engine</v>
      </c>
      <c r="E72" s="545" t="s">
        <v>81</v>
      </c>
      <c r="F72" s="547" t="s">
        <v>82</v>
      </c>
      <c r="G72" s="1237"/>
      <c r="H72" s="1237"/>
      <c r="I72" s="1238"/>
      <c r="J72" s="1237"/>
      <c r="K72" s="1241"/>
      <c r="L72" s="1239"/>
      <c r="M72" s="1237"/>
      <c r="N72" s="1237"/>
      <c r="O72" s="1237"/>
      <c r="P72" s="1238"/>
      <c r="AB72" s="1530"/>
      <c r="AC72" s="1530"/>
      <c r="AD72" s="1530"/>
      <c r="AE72" s="1530"/>
      <c r="AG72" s="526"/>
    </row>
    <row r="73" spans="2:33">
      <c r="C73" s="553" t="str">
        <f t="shared" ref="C73:D73" si="4">B14</f>
        <v>TPSSNGICS1N</v>
      </c>
      <c r="D73" s="553" t="str">
        <f t="shared" si="4"/>
        <v>Transport Passengers Ferry Short Distance - 530kW PISI Engine</v>
      </c>
      <c r="E73" s="545" t="s">
        <v>81</v>
      </c>
      <c r="F73" s="547" t="s">
        <v>82</v>
      </c>
      <c r="AB73" s="1530"/>
      <c r="AC73" s="1530"/>
      <c r="AD73" s="1530"/>
      <c r="AE73" s="1530"/>
      <c r="AG73" s="526"/>
    </row>
    <row r="74" spans="2:33">
      <c r="C74" s="553" t="str">
        <f t="shared" ref="C74:D74" si="5">B15</f>
        <v>TPSMNGICM1N</v>
      </c>
      <c r="D74" s="553" t="str">
        <f t="shared" si="5"/>
        <v>Transport Passengers Ferry Medium Distance - 1396kW PISI Engine</v>
      </c>
      <c r="E74" s="545" t="s">
        <v>81</v>
      </c>
      <c r="F74" s="547" t="s">
        <v>82</v>
      </c>
      <c r="AB74" s="1530"/>
      <c r="AC74" s="1530"/>
      <c r="AD74" s="1530"/>
      <c r="AE74" s="1530"/>
      <c r="AG74" s="526"/>
    </row>
    <row r="75" spans="2:33">
      <c r="C75" s="553" t="str">
        <f t="shared" ref="C75:D75" si="6">B16</f>
        <v>TPSLNGICL1N</v>
      </c>
      <c r="D75" s="553" t="str">
        <f t="shared" si="6"/>
        <v>Transport Passengers Ferry Long Distance - 3429 kW PISI Engine</v>
      </c>
      <c r="E75" s="545" t="s">
        <v>81</v>
      </c>
      <c r="F75" s="547" t="s">
        <v>82</v>
      </c>
      <c r="AB75" s="1530"/>
      <c r="AC75" s="1530"/>
      <c r="AD75" s="1530"/>
      <c r="AE75" s="1530"/>
      <c r="AG75" s="526"/>
    </row>
    <row r="76" spans="2:33">
      <c r="C76" s="553" t="str">
        <f t="shared" ref="C76:D76" si="7">B17</f>
        <v>TPSXNGICL1N</v>
      </c>
      <c r="D76" s="553" t="str">
        <f t="shared" si="7"/>
        <v>Transport Passengers Ferry Extra Long Distance - 32160 kW PISI Engine</v>
      </c>
      <c r="E76" s="545" t="s">
        <v>81</v>
      </c>
      <c r="F76" s="547" t="s">
        <v>82</v>
      </c>
      <c r="AB76" s="1530"/>
      <c r="AC76" s="1530"/>
      <c r="AD76" s="1530"/>
      <c r="AE76" s="1530"/>
      <c r="AG76" s="526"/>
    </row>
    <row r="77" spans="2:33">
      <c r="C77" s="553" t="str">
        <f t="shared" ref="C77:D77" si="8">B18</f>
        <v>TPSSNGDUS2N</v>
      </c>
      <c r="D77" s="553" t="str">
        <f t="shared" si="8"/>
        <v>Transport Passengers Ferry Short Distance - 530kW PIDF Engine</v>
      </c>
      <c r="E77" s="545" t="s">
        <v>81</v>
      </c>
      <c r="F77" s="547" t="s">
        <v>82</v>
      </c>
      <c r="AB77" s="1530"/>
      <c r="AC77" s="1530"/>
      <c r="AD77" s="1530"/>
      <c r="AE77" s="1530"/>
      <c r="AG77" s="526"/>
    </row>
    <row r="78" spans="2:33">
      <c r="C78" s="553" t="str">
        <f t="shared" ref="C78:D78" si="9">B22</f>
        <v>TPSMNGDUM2N</v>
      </c>
      <c r="D78" s="553" t="str">
        <f t="shared" si="9"/>
        <v>Transport Passengers Ferry Medium Distance - 1396kW PIDF Engine</v>
      </c>
      <c r="E78" s="545" t="s">
        <v>81</v>
      </c>
      <c r="F78" s="547" t="s">
        <v>82</v>
      </c>
      <c r="AB78" s="1530"/>
      <c r="AC78" s="1530"/>
      <c r="AD78" s="1530"/>
      <c r="AE78" s="1530"/>
      <c r="AG78" s="526"/>
    </row>
    <row r="79" spans="2:33">
      <c r="C79" s="553" t="str">
        <f t="shared" ref="C79:D79" si="10">B26</f>
        <v>TPSLNGDUL2N</v>
      </c>
      <c r="D79" s="553" t="str">
        <f t="shared" si="10"/>
        <v>Transport Passengers Ferry Long Distance - 3429 kW PIDF Engine</v>
      </c>
      <c r="E79" s="545" t="s">
        <v>81</v>
      </c>
      <c r="F79" s="547" t="s">
        <v>82</v>
      </c>
      <c r="AB79" s="1530"/>
      <c r="AC79" s="1530"/>
      <c r="AD79" s="1530"/>
      <c r="AE79" s="1530"/>
      <c r="AG79" s="526"/>
    </row>
    <row r="80" spans="2:33">
      <c r="C80" s="553" t="str">
        <f t="shared" ref="C80:D80" si="11">B30</f>
        <v>TPSXNGDUL2N</v>
      </c>
      <c r="D80" s="553" t="str">
        <f t="shared" si="11"/>
        <v>Transport Passengers Ferry Extra Long Distance - 32160 kW PIDF Engine</v>
      </c>
      <c r="E80" s="545" t="s">
        <v>81</v>
      </c>
      <c r="F80" s="547" t="s">
        <v>82</v>
      </c>
      <c r="AB80" s="1530"/>
      <c r="AC80" s="1530"/>
      <c r="AD80" s="1530"/>
      <c r="AE80" s="1530"/>
      <c r="AG80" s="526"/>
    </row>
    <row r="81" spans="3:33">
      <c r="C81" s="553" t="str">
        <f t="shared" ref="C81:D81" si="12">B34</f>
        <v>TPSSELCCS2N</v>
      </c>
      <c r="D81" s="553" t="str">
        <f t="shared" si="12"/>
        <v>Transport Passengers Ferry Short Distance - ELC Engine</v>
      </c>
      <c r="E81" s="545" t="s">
        <v>81</v>
      </c>
      <c r="F81" s="547" t="s">
        <v>82</v>
      </c>
      <c r="AB81" s="1530"/>
      <c r="AC81" s="1530"/>
      <c r="AD81" s="1530"/>
      <c r="AE81" s="1530"/>
      <c r="AG81" s="526"/>
    </row>
    <row r="82" spans="3:33">
      <c r="C82" s="553" t="str">
        <f t="shared" ref="C82:D82" si="13">B35</f>
        <v>TPSMELCCM2N</v>
      </c>
      <c r="D82" s="553" t="str">
        <f t="shared" si="13"/>
        <v>Transport Passengers Ferry Medium Distance - ELC Engine</v>
      </c>
      <c r="E82" s="545" t="s">
        <v>81</v>
      </c>
      <c r="F82" s="547" t="s">
        <v>82</v>
      </c>
      <c r="AB82" s="1530"/>
      <c r="AC82" s="1530"/>
      <c r="AD82" s="1530"/>
      <c r="AE82" s="1530"/>
      <c r="AG82" s="526"/>
    </row>
    <row r="83" spans="3:33">
      <c r="C83" s="553" t="str">
        <f t="shared" ref="C83:D83" si="14">B36</f>
        <v>TPSSMOICS3N</v>
      </c>
      <c r="D83" s="553" t="str">
        <f t="shared" si="14"/>
        <v>Transport Passengers Ferry Short Distance - Methanol DICI 530 Kw Engine</v>
      </c>
      <c r="E83" s="545" t="s">
        <v>81</v>
      </c>
      <c r="F83" s="547" t="s">
        <v>82</v>
      </c>
      <c r="AB83" s="1530"/>
      <c r="AC83" s="1530"/>
      <c r="AD83" s="1530"/>
      <c r="AE83" s="1530"/>
      <c r="AG83" s="526"/>
    </row>
    <row r="84" spans="3:33">
      <c r="C84" s="553" t="str">
        <f t="shared" ref="C84:D84" si="15">B37</f>
        <v>TPSMMOICM3N</v>
      </c>
      <c r="D84" s="553" t="str">
        <f t="shared" si="15"/>
        <v>Transport Passengers Ferry Medium Distance - Methanol DICI 1396 kW Engine</v>
      </c>
      <c r="E84" s="545" t="s">
        <v>81</v>
      </c>
      <c r="F84" s="547" t="s">
        <v>82</v>
      </c>
      <c r="AB84" s="1530"/>
      <c r="AC84" s="1530"/>
      <c r="AD84" s="1530"/>
      <c r="AE84" s="1530"/>
      <c r="AG84" s="526"/>
    </row>
    <row r="85" spans="3:33">
      <c r="C85" s="553" t="str">
        <f t="shared" ref="C85:D85" si="16">B38</f>
        <v>TPSLMOICL3N</v>
      </c>
      <c r="D85" s="553" t="str">
        <f t="shared" si="16"/>
        <v>Transport Passengers Ferry Long Distance - Methanol DICI 3429 kW Engine</v>
      </c>
      <c r="E85" s="545" t="s">
        <v>81</v>
      </c>
      <c r="F85" s="547" t="s">
        <v>82</v>
      </c>
      <c r="AB85" s="1530"/>
      <c r="AC85" s="1530"/>
      <c r="AD85" s="1530"/>
      <c r="AE85" s="1530"/>
      <c r="AG85" s="526"/>
    </row>
    <row r="86" spans="3:33">
      <c r="C86" s="553" t="str">
        <f t="shared" ref="C86:D86" si="17">B39</f>
        <v>TPSXMOICL3N</v>
      </c>
      <c r="D86" s="553" t="str">
        <f t="shared" si="17"/>
        <v>Transport Passengers Ferry Extra Long Distance - Methanol DICI 32160 kW Engine</v>
      </c>
      <c r="E86" s="545" t="s">
        <v>81</v>
      </c>
      <c r="F86" s="547" t="s">
        <v>82</v>
      </c>
      <c r="AB86" s="1530"/>
      <c r="AC86" s="1530"/>
      <c r="AD86" s="1530"/>
      <c r="AE86" s="1530"/>
      <c r="AG86" s="526"/>
    </row>
    <row r="87" spans="3:33">
      <c r="C87" s="553" t="str">
        <f t="shared" ref="C87:D87" si="18">B40</f>
        <v>TPSSH2ICS3N</v>
      </c>
      <c r="D87" s="553" t="str">
        <f t="shared" si="18"/>
        <v>Transport Passengers Ferry Short Distance - H2 DICI 530 kW Engine</v>
      </c>
      <c r="E87" s="545" t="s">
        <v>81</v>
      </c>
      <c r="F87" s="547" t="s">
        <v>82</v>
      </c>
      <c r="AB87" s="1530"/>
      <c r="AC87" s="1530"/>
      <c r="AD87" s="1530"/>
      <c r="AE87" s="1530"/>
      <c r="AG87" s="526"/>
    </row>
    <row r="88" spans="3:33">
      <c r="C88" s="553" t="str">
        <f t="shared" ref="C88:D88" si="19">B41</f>
        <v>TPSMH2ICM3N</v>
      </c>
      <c r="D88" s="553" t="str">
        <f t="shared" si="19"/>
        <v>Transport Passengers Ferry Medium Distance - H2 DICI 1396 kW Engine</v>
      </c>
      <c r="E88" s="545" t="s">
        <v>81</v>
      </c>
      <c r="F88" s="547" t="s">
        <v>82</v>
      </c>
      <c r="AB88" s="1530"/>
      <c r="AC88" s="1530"/>
      <c r="AD88" s="1530"/>
      <c r="AE88" s="1530"/>
      <c r="AG88" s="526"/>
    </row>
    <row r="89" spans="3:33">
      <c r="C89" s="553" t="str">
        <f t="shared" ref="C89:D89" si="20">B42</f>
        <v>TPSSFOFCS3N</v>
      </c>
      <c r="D89" s="553" t="str">
        <f t="shared" si="20"/>
        <v>Transport Passengers Ferry Short Distance - MFO Fuel cell 530 kW Engine</v>
      </c>
      <c r="E89" s="545" t="s">
        <v>81</v>
      </c>
      <c r="F89" s="547" t="s">
        <v>82</v>
      </c>
      <c r="AB89" s="1530"/>
      <c r="AC89" s="1530"/>
      <c r="AD89" s="1530"/>
      <c r="AE89" s="1530"/>
      <c r="AG89" s="526"/>
    </row>
    <row r="90" spans="3:33">
      <c r="C90" s="553" t="str">
        <f t="shared" ref="C90:D90" si="21">B43</f>
        <v>TPSMFOFCM3N</v>
      </c>
      <c r="D90" s="553" t="str">
        <f t="shared" si="21"/>
        <v>Transport Passengers Ferry Medium Distance - MFO Fuel cell 1396 kW Engine</v>
      </c>
      <c r="E90" s="545" t="s">
        <v>81</v>
      </c>
      <c r="F90" s="547" t="s">
        <v>82</v>
      </c>
      <c r="AB90" s="1530"/>
      <c r="AC90" s="1530"/>
      <c r="AD90" s="1530"/>
      <c r="AE90" s="1530"/>
      <c r="AG90" s="526"/>
    </row>
    <row r="91" spans="3:33">
      <c r="C91" s="553" t="str">
        <f t="shared" ref="C91:D91" si="22">B44</f>
        <v>TPSSMOFCS3N</v>
      </c>
      <c r="D91" s="553" t="str">
        <f t="shared" si="22"/>
        <v>Transport Passengers Ferry Short Distance - Methanol Fuel cell 530 kW Engine</v>
      </c>
      <c r="E91" s="545" t="s">
        <v>81</v>
      </c>
      <c r="F91" s="547" t="s">
        <v>82</v>
      </c>
      <c r="AB91" s="1530"/>
      <c r="AC91" s="1530"/>
      <c r="AD91" s="1530"/>
      <c r="AE91" s="1530"/>
      <c r="AG91" s="526"/>
    </row>
    <row r="92" spans="3:33">
      <c r="C92" s="553" t="str">
        <f t="shared" ref="C92:D92" si="23">B45</f>
        <v>TPSMMOFCM3N</v>
      </c>
      <c r="D92" s="553" t="str">
        <f t="shared" si="23"/>
        <v>Transport Passengers Ferry Medium Distance - Methanol Fuel cell 1396 kW Engine</v>
      </c>
      <c r="E92" s="545" t="s">
        <v>81</v>
      </c>
      <c r="F92" s="547" t="s">
        <v>82</v>
      </c>
      <c r="AB92" s="1530"/>
      <c r="AC92" s="1530"/>
      <c r="AD92" s="1530"/>
      <c r="AE92" s="1530"/>
      <c r="AG92" s="526"/>
    </row>
    <row r="93" spans="3:33">
      <c r="C93" s="553" t="str">
        <f t="shared" ref="C93:D93" si="24">B46</f>
        <v>TPSSH2FCS3N</v>
      </c>
      <c r="D93" s="553" t="str">
        <f t="shared" si="24"/>
        <v>Transport Passengers Ferry Short Distance - H2 Fuel cell 530 kW Engine</v>
      </c>
      <c r="E93" s="545" t="s">
        <v>81</v>
      </c>
      <c r="F93" s="547" t="s">
        <v>82</v>
      </c>
      <c r="G93" s="548"/>
      <c r="H93" s="547"/>
      <c r="AB93" s="1530"/>
      <c r="AC93" s="1530"/>
      <c r="AD93" s="1530"/>
      <c r="AE93" s="1530"/>
      <c r="AG93" s="526"/>
    </row>
    <row r="94" spans="3:33">
      <c r="C94" s="553" t="str">
        <f t="shared" ref="C94:D94" si="25">B47</f>
        <v>TPSMH2FCM3N</v>
      </c>
      <c r="D94" s="553" t="str">
        <f t="shared" si="25"/>
        <v>Transport Passengers Ferry Medium Distance - H2 Fuel cell 1396 kW Engine</v>
      </c>
      <c r="E94" s="545" t="s">
        <v>81</v>
      </c>
      <c r="F94" s="547" t="s">
        <v>82</v>
      </c>
      <c r="G94" s="548"/>
      <c r="H94" s="547"/>
      <c r="AB94" s="1530"/>
      <c r="AC94" s="1530"/>
      <c r="AD94" s="1530"/>
      <c r="AE94" s="1530"/>
      <c r="AG94" s="526"/>
    </row>
    <row r="95" spans="3:33">
      <c r="C95" s="553" t="str">
        <f t="shared" ref="C95:D95" si="26">B48</f>
        <v>TPSSNGFCS3N</v>
      </c>
      <c r="D95" s="553" t="str">
        <f t="shared" si="26"/>
        <v>Transport Passengers Ferry Short Distance - LNG Fuel cell 530 kW Engine</v>
      </c>
      <c r="E95" s="545" t="s">
        <v>81</v>
      </c>
      <c r="F95" s="547" t="s">
        <v>82</v>
      </c>
      <c r="G95" s="548"/>
      <c r="H95" s="547"/>
      <c r="AB95" s="1530"/>
      <c r="AC95" s="1530"/>
      <c r="AD95" s="1530"/>
      <c r="AE95" s="1530"/>
      <c r="AG95" s="526"/>
    </row>
    <row r="96" spans="3:33">
      <c r="C96" s="553" t="str">
        <f t="shared" ref="C96:D96" si="27">B49</f>
        <v>TPSMNGFCM3N</v>
      </c>
      <c r="D96" s="553" t="str">
        <f t="shared" si="27"/>
        <v>Transport Passengers Ferry Medium Distance - LNG Fuel cell 1396 kW Engine</v>
      </c>
      <c r="E96" s="545" t="s">
        <v>81</v>
      </c>
      <c r="F96" s="547" t="s">
        <v>82</v>
      </c>
      <c r="G96" s="548"/>
      <c r="H96" s="547"/>
      <c r="AB96" s="1530"/>
      <c r="AC96" s="1530"/>
      <c r="AD96" s="1530"/>
      <c r="AE96" s="1530"/>
      <c r="AG96" s="526"/>
    </row>
    <row r="97" spans="3:33">
      <c r="C97" s="553" t="str">
        <f t="shared" ref="C97:D97" si="28">B50</f>
        <v>TPSIFOICI1N</v>
      </c>
      <c r="D97" s="553" t="str">
        <f t="shared" si="28"/>
        <v>Transport passenger Ship Internnational - Fuel Oil - Blending 2 - New</v>
      </c>
      <c r="E97" s="545" t="s">
        <v>81</v>
      </c>
      <c r="F97" s="547" t="s">
        <v>82</v>
      </c>
      <c r="AB97" s="1530"/>
      <c r="AC97" s="1530"/>
      <c r="AD97" s="1530"/>
      <c r="AE97" s="1530"/>
      <c r="AG97" s="526"/>
    </row>
    <row r="98" spans="3:33">
      <c r="C98" s="553" t="str">
        <f t="shared" ref="C98:D98" si="29">B52</f>
        <v>TPSIFOICI2N</v>
      </c>
      <c r="D98" s="553" t="str">
        <f t="shared" si="29"/>
        <v>Transport passenger Ship Internnational - Fuel Oil - Blending 3 - New</v>
      </c>
      <c r="E98" s="545" t="s">
        <v>81</v>
      </c>
      <c r="F98" s="547" t="s">
        <v>82</v>
      </c>
      <c r="AB98" s="1530"/>
      <c r="AC98" s="1530"/>
      <c r="AD98" s="1530"/>
      <c r="AE98" s="1530"/>
      <c r="AG98" s="526"/>
    </row>
    <row r="99" spans="3:33">
      <c r="C99" s="553" t="str">
        <f t="shared" ref="C99:D99" si="30">B54</f>
        <v>TPSIFOICI3N</v>
      </c>
      <c r="D99" s="553" t="str">
        <f t="shared" si="30"/>
        <v>Transport passenger Ship Internnational - Fuel Oil - Blending 4 - New</v>
      </c>
      <c r="E99" s="545" t="s">
        <v>81</v>
      </c>
      <c r="F99" s="547" t="s">
        <v>82</v>
      </c>
      <c r="AB99" s="1530"/>
      <c r="AC99" s="1530"/>
      <c r="AD99" s="1530"/>
      <c r="AE99" s="1530"/>
      <c r="AG99" s="526"/>
    </row>
    <row r="100" spans="3:33">
      <c r="C100" s="553"/>
      <c r="D100" s="553"/>
      <c r="E100" s="545"/>
      <c r="F100" s="547"/>
      <c r="AB100" s="1530"/>
      <c r="AC100" s="1530"/>
      <c r="AD100" s="1530"/>
      <c r="AE100" s="1530"/>
      <c r="AG100" s="526"/>
    </row>
    <row r="101" spans="3:33">
      <c r="C101" s="553"/>
      <c r="D101" s="553"/>
      <c r="E101" s="545"/>
      <c r="F101" s="547"/>
      <c r="AB101" s="1530"/>
      <c r="AC101" s="1530"/>
      <c r="AD101" s="1530"/>
      <c r="AE101" s="1530"/>
      <c r="AG101" s="526"/>
    </row>
    <row r="102" spans="3:33">
      <c r="C102" s="553"/>
      <c r="D102" s="553"/>
      <c r="E102" s="545"/>
      <c r="F102" s="547"/>
      <c r="AB102" s="1530"/>
      <c r="AC102" s="1530"/>
      <c r="AD102" s="1530"/>
      <c r="AE102" s="1530"/>
      <c r="AG102" s="526"/>
    </row>
    <row r="103" spans="3:33">
      <c r="C103" s="553"/>
      <c r="D103" s="553"/>
      <c r="E103" s="545"/>
      <c r="F103" s="547"/>
      <c r="AB103" s="1530"/>
      <c r="AC103" s="1530"/>
      <c r="AD103" s="1530"/>
      <c r="AE103" s="1530"/>
      <c r="AG103" s="526"/>
    </row>
    <row r="104" spans="3:33">
      <c r="C104" s="553"/>
      <c r="D104" s="553"/>
      <c r="E104" s="545"/>
      <c r="F104" s="547"/>
      <c r="AB104" s="1530"/>
      <c r="AC104" s="1530"/>
      <c r="AD104" s="1530"/>
      <c r="AE104" s="1530"/>
      <c r="AG104" s="526"/>
    </row>
    <row r="105" spans="3:33">
      <c r="C105" s="553"/>
      <c r="D105" s="553"/>
      <c r="E105" s="545"/>
      <c r="F105" s="547"/>
      <c r="AB105" s="1530"/>
      <c r="AC105" s="1530"/>
      <c r="AD105" s="1530"/>
      <c r="AE105" s="1530"/>
      <c r="AG105" s="526"/>
    </row>
    <row r="106" spans="3:33">
      <c r="C106" s="553"/>
      <c r="D106" s="553"/>
      <c r="E106" s="545"/>
      <c r="F106" s="547"/>
      <c r="AB106" s="1530"/>
      <c r="AC106" s="1530"/>
      <c r="AD106" s="1530"/>
      <c r="AE106" s="1530"/>
      <c r="AG106" s="526"/>
    </row>
    <row r="107" spans="3:33">
      <c r="C107" s="553"/>
      <c r="D107" s="553"/>
      <c r="E107" s="545"/>
      <c r="F107" s="547"/>
      <c r="AB107" s="1530"/>
      <c r="AC107" s="1530"/>
      <c r="AD107" s="1530"/>
      <c r="AE107" s="1530"/>
      <c r="AG107" s="526"/>
    </row>
    <row r="108" spans="3:33">
      <c r="C108" s="553"/>
      <c r="D108" s="553"/>
      <c r="E108" s="545"/>
      <c r="F108" s="547"/>
      <c r="AB108" s="1530"/>
      <c r="AC108" s="1530"/>
      <c r="AD108" s="1530"/>
      <c r="AE108" s="1530"/>
      <c r="AG108" s="526"/>
    </row>
    <row r="109" spans="3:33">
      <c r="C109" s="553"/>
      <c r="D109" s="553"/>
      <c r="E109" s="545"/>
      <c r="F109" s="547"/>
      <c r="AB109" s="1530"/>
      <c r="AC109" s="1530"/>
      <c r="AD109" s="1530"/>
      <c r="AE109" s="1530"/>
      <c r="AG109" s="526"/>
    </row>
    <row r="110" spans="3:33">
      <c r="C110" s="553"/>
      <c r="D110" s="553"/>
      <c r="E110" s="545"/>
      <c r="F110" s="547"/>
      <c r="AB110" s="1530"/>
      <c r="AC110" s="1530"/>
      <c r="AD110" s="1530"/>
      <c r="AE110" s="1530"/>
      <c r="AG110" s="526"/>
    </row>
    <row r="111" spans="3:33">
      <c r="C111" s="553"/>
      <c r="D111" s="553"/>
      <c r="E111" s="545"/>
      <c r="F111" s="547"/>
      <c r="AB111" s="1530"/>
      <c r="AC111" s="1530"/>
      <c r="AD111" s="1530"/>
      <c r="AE111" s="1530"/>
      <c r="AG111" s="526"/>
    </row>
    <row r="112" spans="3:33">
      <c r="C112" s="553"/>
      <c r="D112" s="553"/>
      <c r="E112" s="545"/>
      <c r="F112" s="547"/>
      <c r="AB112" s="1530"/>
      <c r="AC112" s="1530"/>
      <c r="AD112" s="1530"/>
      <c r="AE112" s="1530"/>
      <c r="AG112" s="526"/>
    </row>
    <row r="113" spans="3:33">
      <c r="C113" s="553"/>
      <c r="D113" s="553"/>
      <c r="E113" s="545"/>
      <c r="F113" s="547"/>
      <c r="AB113" s="1530"/>
      <c r="AC113" s="1530"/>
      <c r="AD113" s="1530"/>
      <c r="AE113" s="1530"/>
      <c r="AG113" s="526"/>
    </row>
    <row r="114" spans="3:33">
      <c r="C114" s="553"/>
      <c r="D114" s="553"/>
      <c r="E114" s="545"/>
      <c r="F114" s="547"/>
      <c r="AB114" s="1530"/>
      <c r="AC114" s="1530"/>
      <c r="AD114" s="1530"/>
      <c r="AE114" s="1530"/>
      <c r="AG114" s="526"/>
    </row>
    <row r="115" spans="3:33">
      <c r="C115" s="553"/>
      <c r="D115" s="553"/>
      <c r="E115" s="545"/>
      <c r="F115" s="547"/>
      <c r="AB115" s="1530"/>
      <c r="AC115" s="1530"/>
      <c r="AD115" s="1530"/>
      <c r="AE115" s="1530"/>
      <c r="AG115" s="526"/>
    </row>
    <row r="116" spans="3:33">
      <c r="C116" s="553"/>
      <c r="D116" s="553"/>
      <c r="E116" s="545"/>
      <c r="F116" s="547"/>
      <c r="AB116" s="1530"/>
      <c r="AC116" s="1530"/>
      <c r="AD116" s="1530"/>
      <c r="AE116" s="1530"/>
      <c r="AG116" s="526"/>
    </row>
    <row r="117" spans="3:33">
      <c r="C117" s="553"/>
      <c r="D117" s="553"/>
      <c r="E117" s="545"/>
      <c r="F117" s="547"/>
      <c r="AB117" s="1530"/>
      <c r="AC117" s="1530"/>
      <c r="AD117" s="1530"/>
      <c r="AE117" s="1530"/>
      <c r="AG117" s="526"/>
    </row>
    <row r="118" spans="3:33">
      <c r="C118" s="553"/>
      <c r="D118" s="553"/>
      <c r="E118" s="545"/>
      <c r="F118" s="547"/>
      <c r="AB118" s="1530"/>
      <c r="AC118" s="1530"/>
      <c r="AD118" s="1530"/>
      <c r="AE118" s="1530"/>
      <c r="AG118" s="526"/>
    </row>
    <row r="119" spans="3:33">
      <c r="C119" s="553"/>
      <c r="D119" s="553"/>
      <c r="E119" s="545"/>
      <c r="F119" s="547"/>
      <c r="AB119" s="1530"/>
      <c r="AC119" s="1530"/>
      <c r="AD119" s="1530"/>
      <c r="AE119" s="1530"/>
      <c r="AG119" s="526"/>
    </row>
    <row r="120" spans="3:33">
      <c r="C120" s="553"/>
      <c r="D120" s="553"/>
      <c r="E120" s="545"/>
      <c r="F120" s="547"/>
      <c r="AB120" s="1530"/>
      <c r="AC120" s="1530"/>
      <c r="AD120" s="1530"/>
      <c r="AE120" s="1530"/>
      <c r="AG120" s="526"/>
    </row>
    <row r="121" spans="3:33">
      <c r="C121" s="553"/>
      <c r="D121" s="553"/>
      <c r="E121" s="545"/>
      <c r="F121" s="547"/>
      <c r="AB121" s="1530"/>
      <c r="AC121" s="1530"/>
      <c r="AD121" s="1530"/>
      <c r="AE121" s="1530"/>
      <c r="AG121" s="526"/>
    </row>
    <row r="122" spans="3:33">
      <c r="C122" s="553"/>
      <c r="D122" s="553"/>
      <c r="E122" s="545"/>
      <c r="F122" s="547"/>
      <c r="AB122" s="1530"/>
      <c r="AC122" s="1530"/>
      <c r="AD122" s="1530"/>
      <c r="AE122" s="1530"/>
      <c r="AG122" s="526"/>
    </row>
    <row r="123" spans="3:33">
      <c r="C123" s="553"/>
      <c r="D123" s="553"/>
      <c r="E123" s="545"/>
      <c r="F123" s="547"/>
      <c r="AB123" s="1530"/>
      <c r="AC123" s="1530"/>
      <c r="AD123" s="1530"/>
      <c r="AE123" s="1530"/>
      <c r="AG123" s="526"/>
    </row>
    <row r="124" spans="3:33">
      <c r="C124" s="553"/>
      <c r="D124" s="553"/>
      <c r="E124" s="545"/>
      <c r="F124" s="547"/>
      <c r="AB124" s="1530"/>
      <c r="AC124" s="1530"/>
      <c r="AD124" s="1530"/>
      <c r="AE124" s="1530"/>
      <c r="AG124" s="526"/>
    </row>
    <row r="125" spans="3:33">
      <c r="C125" s="553"/>
      <c r="D125" s="553"/>
      <c r="E125" s="545"/>
      <c r="F125" s="547"/>
      <c r="AB125" s="1530"/>
      <c r="AC125" s="1530"/>
      <c r="AD125" s="1530"/>
      <c r="AE125" s="1530"/>
      <c r="AG125" s="526"/>
    </row>
    <row r="126" spans="3:33">
      <c r="C126" s="553"/>
      <c r="D126" s="553"/>
      <c r="E126" s="545"/>
      <c r="F126" s="547"/>
      <c r="AB126" s="1530"/>
      <c r="AC126" s="1530"/>
      <c r="AD126" s="1530"/>
      <c r="AE126" s="1530"/>
      <c r="AG126" s="526"/>
    </row>
    <row r="127" spans="3:33">
      <c r="AB127" s="1530"/>
      <c r="AC127" s="1530"/>
      <c r="AD127" s="1530"/>
      <c r="AE127" s="1530"/>
      <c r="AG127" s="526"/>
    </row>
    <row r="128" spans="3:33">
      <c r="AB128" s="1530"/>
      <c r="AC128" s="1530"/>
      <c r="AD128" s="1530"/>
      <c r="AE128" s="1530"/>
      <c r="AG128" s="526"/>
    </row>
    <row r="129" spans="28:33">
      <c r="AB129" s="1530"/>
      <c r="AC129" s="1530"/>
      <c r="AD129" s="1530"/>
      <c r="AE129" s="1530"/>
      <c r="AG129" s="526"/>
    </row>
    <row r="130" spans="28:33">
      <c r="AB130" s="1530"/>
      <c r="AC130" s="1530"/>
      <c r="AD130" s="1530"/>
      <c r="AE130" s="1530"/>
      <c r="AG130" s="526"/>
    </row>
    <row r="131" spans="28:33">
      <c r="AB131" s="1530"/>
      <c r="AC131" s="1530"/>
      <c r="AD131" s="1530"/>
      <c r="AE131" s="1530"/>
      <c r="AG131" s="526"/>
    </row>
    <row r="132" spans="28:33">
      <c r="AB132" s="1530"/>
      <c r="AC132" s="1530"/>
      <c r="AD132" s="1530"/>
      <c r="AE132" s="1530"/>
      <c r="AG132" s="526"/>
    </row>
    <row r="133" spans="28:33">
      <c r="AB133" s="1530"/>
      <c r="AC133" s="1530"/>
      <c r="AD133" s="1530"/>
      <c r="AE133" s="1530"/>
      <c r="AG133" s="526"/>
    </row>
    <row r="134" spans="28:33">
      <c r="AB134" s="1530"/>
      <c r="AC134" s="1530"/>
      <c r="AD134" s="1530"/>
      <c r="AE134" s="1530"/>
      <c r="AG134" s="526"/>
    </row>
    <row r="135" spans="28:33">
      <c r="AB135" s="1530"/>
      <c r="AC135" s="1530"/>
      <c r="AD135" s="1530"/>
      <c r="AE135" s="1530"/>
      <c r="AG135" s="526"/>
    </row>
    <row r="136" spans="28:33">
      <c r="AB136" s="1530"/>
      <c r="AC136" s="1530"/>
      <c r="AD136" s="1530"/>
      <c r="AE136" s="1530"/>
      <c r="AG136" s="526"/>
    </row>
    <row r="137" spans="28:33">
      <c r="AB137" s="1530"/>
      <c r="AC137" s="1530"/>
      <c r="AD137" s="1530"/>
      <c r="AE137" s="1530"/>
      <c r="AG137" s="526"/>
    </row>
    <row r="138" spans="28:33">
      <c r="AB138" s="1530"/>
      <c r="AC138" s="1530"/>
      <c r="AD138" s="1530"/>
      <c r="AE138" s="1530"/>
      <c r="AG138" s="526"/>
    </row>
    <row r="139" spans="28:33">
      <c r="AB139" s="1530"/>
      <c r="AC139" s="1530"/>
      <c r="AD139" s="1530"/>
      <c r="AE139" s="1530"/>
      <c r="AG139" s="526"/>
    </row>
    <row r="140" spans="28:33">
      <c r="AB140" s="1530"/>
      <c r="AC140" s="1530"/>
      <c r="AD140" s="1530"/>
      <c r="AE140" s="1530"/>
      <c r="AG140" s="526"/>
    </row>
    <row r="141" spans="28:33">
      <c r="AB141" s="1530"/>
      <c r="AC141" s="1530"/>
      <c r="AD141" s="1530"/>
      <c r="AE141" s="1530"/>
      <c r="AG141" s="526"/>
    </row>
    <row r="142" spans="28:33">
      <c r="AB142" s="1530"/>
      <c r="AC142" s="1530"/>
      <c r="AD142" s="1530"/>
      <c r="AE142" s="1530"/>
      <c r="AG142" s="526"/>
    </row>
    <row r="143" spans="28:33">
      <c r="AB143" s="1530"/>
      <c r="AC143" s="1530"/>
      <c r="AD143" s="1530"/>
      <c r="AE143" s="1530"/>
      <c r="AG143" s="526"/>
    </row>
    <row r="144" spans="28:33">
      <c r="AB144" s="1530"/>
      <c r="AC144" s="1530"/>
      <c r="AD144" s="1530"/>
      <c r="AE144" s="1530"/>
      <c r="AG144" s="526"/>
    </row>
    <row r="145" spans="28:33">
      <c r="AB145" s="1530"/>
      <c r="AC145" s="1530"/>
      <c r="AD145" s="1530"/>
      <c r="AE145" s="1530"/>
      <c r="AG145" s="526"/>
    </row>
    <row r="146" spans="28:33">
      <c r="AB146" s="1530"/>
      <c r="AC146" s="1530"/>
      <c r="AD146" s="1530"/>
      <c r="AE146" s="1530"/>
      <c r="AG146" s="526"/>
    </row>
    <row r="147" spans="28:33">
      <c r="AB147" s="1530"/>
      <c r="AC147" s="1530"/>
      <c r="AD147" s="1530"/>
      <c r="AE147" s="1530"/>
      <c r="AG147" s="526"/>
    </row>
    <row r="148" spans="28:33">
      <c r="AB148" s="1530"/>
      <c r="AC148" s="1530"/>
      <c r="AD148" s="1530"/>
      <c r="AE148" s="1530"/>
      <c r="AG148" s="526"/>
    </row>
    <row r="149" spans="28:33">
      <c r="AB149" s="1530"/>
      <c r="AC149" s="1530"/>
      <c r="AD149" s="1530"/>
      <c r="AE149" s="1530"/>
      <c r="AG149" s="526"/>
    </row>
    <row r="150" spans="28:33">
      <c r="AB150" s="1530"/>
      <c r="AC150" s="1530"/>
      <c r="AD150" s="1530"/>
      <c r="AE150" s="1530"/>
      <c r="AG150" s="526"/>
    </row>
    <row r="151" spans="28:33">
      <c r="AB151" s="1530"/>
      <c r="AC151" s="1530"/>
      <c r="AD151" s="1530"/>
      <c r="AE151" s="1530"/>
      <c r="AG151" s="526"/>
    </row>
    <row r="152" spans="28:33">
      <c r="AB152" s="1530"/>
      <c r="AC152" s="1530"/>
      <c r="AD152" s="1530"/>
      <c r="AE152" s="1530"/>
      <c r="AG152" s="526"/>
    </row>
  </sheetData>
  <pageMargins left="0.7" right="0.7" top="0.75" bottom="0.75" header="0.3" footer="0.3"/>
  <pageSetup paperSize="9" orientation="portrait"/>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BM289"/>
  <sheetViews>
    <sheetView zoomScale="85" zoomScaleNormal="85" workbookViewId="0">
      <pane xSplit="3" ySplit="6" topLeftCell="I7" activePane="bottomRight" state="frozen"/>
      <selection pane="topRight" activeCell="D1" sqref="D1"/>
      <selection pane="bottomLeft" activeCell="A7" sqref="A7"/>
      <selection pane="bottomRight" activeCell="W4" sqref="W4:Z4"/>
    </sheetView>
  </sheetViews>
  <sheetFormatPr defaultColWidth="9.33203125" defaultRowHeight="13.2"/>
  <cols>
    <col min="1" max="1" width="9.33203125" style="549"/>
    <col min="2" max="2" width="6.33203125" style="550" customWidth="1"/>
    <col min="3" max="3" width="16.44140625" style="550" customWidth="1"/>
    <col min="4" max="4" width="66" style="550" bestFit="1" customWidth="1"/>
    <col min="5" max="5" width="11.88671875" style="549" bestFit="1" customWidth="1"/>
    <col min="6" max="6" width="10.33203125" style="549" bestFit="1" customWidth="1"/>
    <col min="7" max="7" width="7.6640625" style="549" customWidth="1"/>
    <col min="8" max="8" width="7.5546875" style="549" customWidth="1"/>
    <col min="9" max="9" width="16.44140625" style="549" bestFit="1" customWidth="1"/>
    <col min="10" max="10" width="17.44140625" style="549" bestFit="1" customWidth="1"/>
    <col min="11" max="11" width="12.5546875" style="549" customWidth="1"/>
    <col min="12" max="12" width="12.109375" style="549" bestFit="1" customWidth="1"/>
    <col min="13" max="13" width="12.6640625" style="549" customWidth="1"/>
    <col min="14" max="14" width="12.6640625" style="549" bestFit="1" customWidth="1"/>
    <col min="15" max="15" width="5.109375" style="549" bestFit="1" customWidth="1"/>
    <col min="16" max="17" width="11.44140625" style="549" bestFit="1" customWidth="1"/>
    <col min="18" max="18" width="12.44140625" style="549" bestFit="1" customWidth="1"/>
    <col min="19" max="19" width="9.6640625" style="549" bestFit="1" customWidth="1"/>
    <col min="20" max="20" width="10.33203125" style="549" bestFit="1" customWidth="1"/>
    <col min="21" max="21" width="5.6640625" style="549" bestFit="1" customWidth="1"/>
    <col min="22" max="22" width="11.5546875" style="549" bestFit="1" customWidth="1"/>
    <col min="23" max="26" width="13.33203125" style="549" customWidth="1"/>
    <col min="27" max="27" width="9.5546875" style="549" bestFit="1" customWidth="1"/>
    <col min="28" max="28" width="14.88671875" style="549" bestFit="1" customWidth="1"/>
    <col min="29" max="30" width="9.33203125" style="549" customWidth="1"/>
    <col min="31" max="16384" width="9.33203125" style="549"/>
  </cols>
  <sheetData>
    <row r="1" spans="3:65">
      <c r="I1" s="526" t="s">
        <v>1222</v>
      </c>
      <c r="J1" s="526" t="s">
        <v>1222</v>
      </c>
      <c r="K1" s="526" t="s">
        <v>1223</v>
      </c>
      <c r="L1" s="526" t="s">
        <v>1223</v>
      </c>
      <c r="M1" s="526" t="s">
        <v>1224</v>
      </c>
      <c r="N1" s="526" t="s">
        <v>1224</v>
      </c>
      <c r="R1" s="526"/>
      <c r="AB1" s="526"/>
      <c r="AE1" s="526" t="s">
        <v>1212</v>
      </c>
      <c r="AG1" s="526"/>
      <c r="AH1" s="526"/>
      <c r="AI1" s="526"/>
    </row>
    <row r="2" spans="3:65">
      <c r="R2" s="526"/>
    </row>
    <row r="3" spans="3:65">
      <c r="H3" s="2" t="s">
        <v>0</v>
      </c>
      <c r="I3" s="2"/>
      <c r="J3" s="2"/>
      <c r="K3" s="2"/>
      <c r="M3" s="550"/>
      <c r="P3" s="1231"/>
      <c r="Q3" s="1231"/>
      <c r="AL3" s="552"/>
      <c r="AN3" s="553"/>
    </row>
    <row r="4" spans="3:65" ht="24" customHeight="1">
      <c r="C4" s="1156" t="s">
        <v>1</v>
      </c>
      <c r="D4" s="1267" t="s">
        <v>1342</v>
      </c>
      <c r="E4" s="1156" t="s">
        <v>2</v>
      </c>
      <c r="F4" s="1156" t="s">
        <v>3</v>
      </c>
      <c r="G4" s="1156" t="s">
        <v>957</v>
      </c>
      <c r="H4" s="1232" t="s">
        <v>219</v>
      </c>
      <c r="I4" s="1232" t="s">
        <v>958</v>
      </c>
      <c r="J4" s="1232" t="s">
        <v>991</v>
      </c>
      <c r="K4" s="1232" t="s">
        <v>959</v>
      </c>
      <c r="L4" s="1232" t="s">
        <v>960</v>
      </c>
      <c r="M4" s="1232" t="s">
        <v>961</v>
      </c>
      <c r="N4" s="1232" t="s">
        <v>962</v>
      </c>
      <c r="O4" s="1232" t="s">
        <v>10</v>
      </c>
      <c r="P4" s="1233" t="s">
        <v>6</v>
      </c>
      <c r="Q4" s="1234" t="s">
        <v>4</v>
      </c>
      <c r="R4" s="1235" t="s">
        <v>7</v>
      </c>
      <c r="S4" s="1235" t="s">
        <v>963</v>
      </c>
      <c r="T4" s="1232" t="s">
        <v>965</v>
      </c>
      <c r="U4" s="1232" t="s">
        <v>5</v>
      </c>
      <c r="V4" s="1235" t="s">
        <v>966</v>
      </c>
      <c r="W4" s="43" t="s">
        <v>1497</v>
      </c>
      <c r="X4" s="43" t="s">
        <v>1498</v>
      </c>
      <c r="Y4" s="43" t="s">
        <v>1499</v>
      </c>
      <c r="Z4" s="43" t="s">
        <v>1500</v>
      </c>
      <c r="AB4" s="43" t="s">
        <v>1461</v>
      </c>
      <c r="AE4" s="549" t="s">
        <v>1172</v>
      </c>
      <c r="AF4" s="549" t="s">
        <v>1170</v>
      </c>
      <c r="AG4" s="549" t="s">
        <v>1136</v>
      </c>
      <c r="AH4" s="549" t="s">
        <v>762</v>
      </c>
      <c r="AL4" s="552"/>
      <c r="AN4" s="553"/>
    </row>
    <row r="5" spans="3:65" ht="21" thickBot="1">
      <c r="C5" s="551" t="s">
        <v>967</v>
      </c>
      <c r="D5" s="20" t="s">
        <v>71</v>
      </c>
      <c r="E5" s="551"/>
      <c r="F5" s="551"/>
      <c r="G5" s="551"/>
      <c r="H5" s="1236" t="s">
        <v>968</v>
      </c>
      <c r="I5" s="551" t="s">
        <v>969</v>
      </c>
      <c r="J5" s="551" t="s">
        <v>969</v>
      </c>
      <c r="K5" s="551" t="s">
        <v>970</v>
      </c>
      <c r="L5" s="551" t="s">
        <v>970</v>
      </c>
      <c r="M5" s="551" t="s">
        <v>971</v>
      </c>
      <c r="N5" s="551" t="s">
        <v>971</v>
      </c>
      <c r="O5" s="551" t="s">
        <v>14</v>
      </c>
      <c r="P5" s="551" t="s">
        <v>972</v>
      </c>
      <c r="Q5" s="551" t="s">
        <v>973</v>
      </c>
      <c r="R5" s="551" t="s">
        <v>974</v>
      </c>
      <c r="S5" s="551" t="s">
        <v>975</v>
      </c>
      <c r="T5" s="551" t="s">
        <v>976</v>
      </c>
      <c r="U5" s="551"/>
      <c r="V5" s="551" t="s">
        <v>975</v>
      </c>
      <c r="W5" s="949" t="s">
        <v>1460</v>
      </c>
      <c r="X5" s="949" t="s">
        <v>1460</v>
      </c>
      <c r="Y5" s="949" t="s">
        <v>1460</v>
      </c>
      <c r="Z5" s="949" t="s">
        <v>1460</v>
      </c>
      <c r="AL5" s="552"/>
      <c r="AN5" s="553"/>
    </row>
    <row r="6" spans="3:65" ht="24.75" customHeight="1" thickBot="1">
      <c r="C6" s="1442" t="s">
        <v>11</v>
      </c>
      <c r="D6" s="1442"/>
      <c r="E6" s="1442"/>
      <c r="F6" s="1442"/>
      <c r="G6" s="1442"/>
      <c r="H6" s="1443" t="s">
        <v>977</v>
      </c>
      <c r="I6" s="1442" t="s">
        <v>1024</v>
      </c>
      <c r="J6" s="1442" t="s">
        <v>1024</v>
      </c>
      <c r="K6" s="1442" t="s">
        <v>979</v>
      </c>
      <c r="L6" s="1442" t="s">
        <v>979</v>
      </c>
      <c r="M6" s="1442" t="s">
        <v>980</v>
      </c>
      <c r="N6" s="1442" t="s">
        <v>980</v>
      </c>
      <c r="O6" s="1442"/>
      <c r="P6" s="1442" t="s">
        <v>1025</v>
      </c>
      <c r="Q6" s="1442" t="s">
        <v>982</v>
      </c>
      <c r="R6" s="1442" t="s">
        <v>982</v>
      </c>
      <c r="S6" s="1442"/>
      <c r="T6" s="1442" t="s">
        <v>983</v>
      </c>
      <c r="U6" s="1442"/>
      <c r="V6" s="1442"/>
      <c r="W6" s="1530"/>
      <c r="X6" s="1530"/>
      <c r="Y6" s="1530"/>
      <c r="Z6" s="1530"/>
      <c r="AL6" s="1253"/>
      <c r="AM6" s="553"/>
      <c r="AN6" s="553"/>
    </row>
    <row r="7" spans="3:65">
      <c r="C7" s="552" t="str">
        <f t="shared" ref="C7:C28" si="0">"TFS"&amp;LEFT(AG7,1)&amp;AH7&amp;RIGHT(F7,1)&amp;MID(G7,3,1)&amp;"N"</f>
        <v>TFSSFOICL2N</v>
      </c>
      <c r="D7" s="552" t="s">
        <v>1031</v>
      </c>
      <c r="E7" s="534" t="s">
        <v>984</v>
      </c>
      <c r="F7" s="531" t="s">
        <v>1026</v>
      </c>
      <c r="G7" s="531">
        <v>2020</v>
      </c>
      <c r="H7" s="1237" t="s">
        <v>986</v>
      </c>
      <c r="I7" s="1239">
        <f t="array" ref="I7">INDEX($AN$12:$BM$15,MATCH($F7,$AM$12:$AM$15,0),MATCH(I$1&amp;$AG7,$AN$9:$BM$9&amp;$AN$11:$BM$11,0))</f>
        <v>810</v>
      </c>
      <c r="J7" s="1239">
        <f>I7</f>
        <v>810</v>
      </c>
      <c r="K7" s="1275">
        <v>46488</v>
      </c>
      <c r="L7" s="1237">
        <v>83879</v>
      </c>
      <c r="M7" s="1265">
        <f t="array" ref="M7">1/(INDEX($AN$12:$BM$15,MATCH($F7,$AM$12:$AM$15,0),MATCH(($G7&amp;M$1)&amp;$AG7,$AN$9:$BM$9&amp;$AN$11:$BM$11,0))/1.852)</f>
        <v>2.3752039567310899</v>
      </c>
      <c r="N7" s="1265">
        <f>M7</f>
        <v>2.3752039567310899</v>
      </c>
      <c r="O7" s="1237">
        <v>30</v>
      </c>
      <c r="P7" s="1239"/>
      <c r="Q7" s="1265">
        <f t="shared" ref="Q7:Q78" si="1">0.035*R7</f>
        <v>998.53256266034725</v>
      </c>
      <c r="R7" s="1265">
        <f t="array" ref="R7">(AF7*(INDEX(ShipData!$P$19:$R$26,MATCH($AH7,ShipData!$N$19:$N$26,0),MATCH($AI7,ShipData!$P$18:$R$18,0))+INDEX(ShipData!$P$30:$R$37,MATCH($AH7,ShipData!$N$30:$N$37,0),MATCH($AI7,ShipData!$P$29:$R$29,0)))+K7*0.1*(1/M7)*INDEX(ShipData!$P$41:$R$48,MATCH($AH7,ShipData!$N$41:$N$48,0),MATCH($AI7,ShipData!$P$40:$R$40,0)))*6.5/1000</f>
        <v>28529.501790295632</v>
      </c>
      <c r="S7" s="1237"/>
      <c r="T7" s="1237">
        <v>1E-3</v>
      </c>
      <c r="U7" s="1278"/>
      <c r="V7" s="1240"/>
      <c r="W7" s="1530">
        <f t="array" ref="W7">INDEX(EMIS_factors!$G$6:$O$152,MATCH($G7&amp;$AB7,EMIS_factors!$E$6:$E$152&amp;EMIS_factors!$D$6:$D$152,0),MATCH(RIGHT(W$4,6),EMIS_factors!$G$4:$O$4,0))</f>
        <v>46.838407494145208</v>
      </c>
      <c r="X7" s="1530">
        <f t="array" ref="X7">INDEX(EMIS_factors!$G$6:$O$152,MATCH($G7&amp;$AB7,EMIS_factors!$E$6:$E$152&amp;EMIS_factors!$D$6:$D$152,0),MATCH(RIGHT(X$4,6),EMIS_factors!$G$4:$O$4,0))</f>
        <v>1402.4856581824845</v>
      </c>
      <c r="Y7" s="1530">
        <f t="array" ref="Y7">INDEX(EMIS_factors!$G$6:$O$152,MATCH($G7&amp;$AB7,EMIS_factors!$E$6:$E$152&amp;EMIS_factors!$D$6:$D$152,0),MATCH(RIGHT(Y$4,6),EMIS_factors!$G$4:$O$4,0))</f>
        <v>1.8637630108223573</v>
      </c>
      <c r="Z7" s="1530">
        <f t="array" ref="Z7">INDEX(EMIS_factors!$G$6:$O$152,MATCH($G7&amp;$AB7,EMIS_factors!$E$6:$E$152&amp;EMIS_factors!$D$6:$D$152,0),MATCH(RIGHT(Z$4,6),EMIS_factors!$G$4:$O$4,0))</f>
        <v>21.22370326738832</v>
      </c>
      <c r="AA7" s="1295"/>
      <c r="AB7" s="526" t="s">
        <v>1462</v>
      </c>
      <c r="AE7" s="1265">
        <f t="array" ref="AE7">INDEX($AN$12:$BM$15,MATCH(F7,$AM$12:$AM$15,0),MATCH($AG7&amp;$AE$1,$AN$11:$BM$11&amp;$AN$9:$BM$9,0))/1000</f>
        <v>1.5804878048780491</v>
      </c>
      <c r="AF7" s="549">
        <f t="array" ref="AF7">(AE7^INDEX(ShipData!$X$36:$X$39,MATCH($F7,ShipData!$U$36:$U$39,0)))*0.756*INDEX(ShipData!$W$36:$W$39,MATCH($F7,ShipData!$U$36:$U$39,0))</f>
        <v>1602.8300580975306</v>
      </c>
      <c r="AG7" s="526" t="s">
        <v>1239</v>
      </c>
      <c r="AH7" s="526" t="s">
        <v>1249</v>
      </c>
      <c r="AI7" s="549" t="s">
        <v>1143</v>
      </c>
      <c r="AL7" s="654" t="s">
        <v>1225</v>
      </c>
      <c r="BH7"/>
      <c r="BI7"/>
    </row>
    <row r="8" spans="3:65" ht="13.8" thickBot="1">
      <c r="C8" s="552" t="str">
        <f t="shared" si="0"/>
        <v>TFSSFOICL3N</v>
      </c>
      <c r="D8" s="552" t="s">
        <v>1031</v>
      </c>
      <c r="E8" s="534" t="s">
        <v>987</v>
      </c>
      <c r="F8" s="531" t="s">
        <v>1026</v>
      </c>
      <c r="G8" s="531">
        <v>2030</v>
      </c>
      <c r="H8" s="1237" t="s">
        <v>986</v>
      </c>
      <c r="I8" s="1275">
        <f t="array" ref="I8">INDEX($AN$12:$BM$15,MATCH(F8,$AM$12:$AM$15,0),MATCH(I$1&amp;$AG8,$AN$9:$BM$9&amp;$AN$11:$BM$11,0))</f>
        <v>810</v>
      </c>
      <c r="J8" s="1275">
        <f t="shared" ref="J8:J60" si="2">I8</f>
        <v>810</v>
      </c>
      <c r="K8" s="1275">
        <v>46488</v>
      </c>
      <c r="L8" s="1274">
        <v>83879</v>
      </c>
      <c r="M8" s="1265">
        <f t="array" ref="M8">1/(INDEX($AN$12:$BM$15,MATCH($F8,$AM$12:$AM$15,0),MATCH(($G8&amp;M$1)&amp;$AG8,$AN$9:$BM$9&amp;$AN$11:$BM$11,0))/1.852)</f>
        <v>3.8453314985699092</v>
      </c>
      <c r="N8" s="1276">
        <f t="shared" ref="N8:N60" si="3">M8</f>
        <v>3.8453314985699092</v>
      </c>
      <c r="O8" s="1274">
        <v>30</v>
      </c>
      <c r="P8" s="1275"/>
      <c r="Q8" s="1275">
        <v>2198.2346189999998</v>
      </c>
      <c r="R8" s="1265">
        <f t="array" ref="R8">(AF8*(INDEX(ShipData!$P$19:$R$26,MATCH($AH8,ShipData!$N$19:$N$26,0),MATCH($AI8,ShipData!$P$18:$R$18,0))+INDEX(ShipData!$P$30:$R$37,MATCH($AH8,ShipData!$N$30:$N$37,0),MATCH($AI8,ShipData!$P$29:$R$29,0)))+K8*0.1*(1/M8)*INDEX(ShipData!$P$41:$R$48,MATCH($AH8,ShipData!$N$41:$N$48,0),MATCH($AI8,ShipData!$P$40:$R$40,0)))*6.5/1000</f>
        <v>28383.588183035234</v>
      </c>
      <c r="S8" s="1274"/>
      <c r="T8" s="1274">
        <v>1E-3</v>
      </c>
      <c r="U8" s="1277"/>
      <c r="V8" s="552"/>
      <c r="W8" s="1530">
        <f t="array" ref="W8">INDEX(EMIS_factors!$G$6:$O$152,MATCH($G8&amp;$AB8,EMIS_factors!$E$6:$E$152&amp;EMIS_factors!$D$6:$D$152,0),MATCH(RIGHT(W$4,6),EMIS_factors!$G$4:$O$4,0))</f>
        <v>46.838407494145208</v>
      </c>
      <c r="X8" s="1530">
        <f t="array" ref="X8">INDEX(EMIS_factors!$G$6:$O$152,MATCH($G8&amp;$AB8,EMIS_factors!$E$6:$E$152&amp;EMIS_factors!$D$6:$D$152,0),MATCH(RIGHT(X$4,6),EMIS_factors!$G$4:$O$4,0))</f>
        <v>938.56734047344298</v>
      </c>
      <c r="Y8" s="1530">
        <f t="array" ref="Y8">INDEX(EMIS_factors!$G$6:$O$152,MATCH($G8&amp;$AB8,EMIS_factors!$E$6:$E$152&amp;EMIS_factors!$D$6:$D$152,0),MATCH(RIGHT(Y$4,6),EMIS_factors!$G$4:$O$4,0))</f>
        <v>1.9042584079204421</v>
      </c>
      <c r="Z8" s="1530">
        <f t="array" ref="Z8">INDEX(EMIS_factors!$G$6:$O$152,MATCH($G8&amp;$AB8,EMIS_factors!$E$6:$E$152&amp;EMIS_factors!$D$6:$D$152,0),MATCH(RIGHT(Z$4,6),EMIS_factors!$G$4:$O$4,0))</f>
        <v>21.22370326738832</v>
      </c>
      <c r="AA8" s="1295"/>
      <c r="AB8" s="526" t="s">
        <v>1462</v>
      </c>
      <c r="AE8" s="1265">
        <f t="array" ref="AE8">INDEX($AN$12:$BM$15,MATCH(F8,$AM$12:$AM$15,0),MATCH($AG8&amp;$AE$1,$AN$11:$BM$11&amp;$AN$9:$BM$9,0))/1000</f>
        <v>1.5804878048780491</v>
      </c>
      <c r="AF8" s="549">
        <f t="array" ref="AF8">(AE8^INDEX(ShipData!$X$36:$X$39,MATCH($F8,ShipData!$U$36:$U$39,0)))*0.756*INDEX(ShipData!$W$36:$W$39,MATCH($F8,ShipData!$U$36:$U$39,0))</f>
        <v>1602.8300580975306</v>
      </c>
      <c r="AG8" s="526" t="s">
        <v>1239</v>
      </c>
      <c r="AH8" s="526" t="s">
        <v>1249</v>
      </c>
      <c r="AI8" s="549" t="s">
        <v>1143</v>
      </c>
      <c r="BH8"/>
      <c r="BI8"/>
    </row>
    <row r="9" spans="3:65">
      <c r="C9" s="552" t="str">
        <f t="shared" si="0"/>
        <v>TFSMFOICL2N</v>
      </c>
      <c r="D9" s="552" t="s">
        <v>1032</v>
      </c>
      <c r="E9" s="534" t="s">
        <v>984</v>
      </c>
      <c r="F9" s="531" t="s">
        <v>1026</v>
      </c>
      <c r="G9" s="531">
        <v>2020</v>
      </c>
      <c r="H9" s="1237" t="s">
        <v>986</v>
      </c>
      <c r="I9" s="1239">
        <f t="array" ref="I9">INDEX($AN$12:$BM$15,MATCH(F9,$AM$12:$AM$15,0),MATCH(I$1&amp;$AG9,$AN$9:$BM$9&amp;$AN$11:$BM$11,0))</f>
        <v>3045.9905660377353</v>
      </c>
      <c r="J9" s="1239">
        <f t="shared" si="2"/>
        <v>3045.9905660377353</v>
      </c>
      <c r="K9" s="1239">
        <v>25616</v>
      </c>
      <c r="L9" s="1237">
        <v>46219</v>
      </c>
      <c r="M9" s="1265">
        <f t="array" ref="M9">1/(INDEX($AN$12:$BM$15,MATCH($F9,$AM$12:$AM$15,0),MATCH(($G9&amp;M$1)&amp;$AG9,$AN$9:$BM$9&amp;$AN$11:$BM$11,0))/1.852)</f>
        <v>1.4081877865043426</v>
      </c>
      <c r="N9" s="1265">
        <f t="shared" si="3"/>
        <v>1.4081877865043426</v>
      </c>
      <c r="O9" s="1237">
        <v>30</v>
      </c>
      <c r="P9" s="1239"/>
      <c r="Q9" s="1265">
        <f t="array" ref="Q9">0.035*R9</f>
        <v>2083.6283517593583</v>
      </c>
      <c r="R9" s="1265">
        <f t="array" ref="R9">(AF9*(INDEX(ShipData!$P$19:$R$26,MATCH($AH9,ShipData!$N$19:$N$26,0),MATCH($AI9,ShipData!$P$18:$R$18,0))+INDEX(ShipData!$P$30:$R$37,MATCH($AH9,ShipData!$N$30:$N$37,0),MATCH($AI9,ShipData!$P$29:$R$29,0)))+K9*0.1*(1/M9)*INDEX(ShipData!$P$41:$R$48,MATCH($AH9,ShipData!$N$41:$N$48,0),MATCH($AI9,ShipData!$P$40:$R$40,0)))*6.5/1000</f>
        <v>59532.238621695942</v>
      </c>
      <c r="S9" s="1237"/>
      <c r="T9" s="1237">
        <v>1E-3</v>
      </c>
      <c r="U9" s="1278"/>
      <c r="V9" s="552"/>
      <c r="W9" s="1530">
        <f t="array" ref="W9">INDEX(EMIS_factors!$G$6:$O$152,MATCH($G9&amp;$AB9,EMIS_factors!$E$6:$E$152&amp;EMIS_factors!$D$6:$D$152,0),MATCH(RIGHT(W$4,6),EMIS_factors!$G$4:$O$4,0))</f>
        <v>46.838407494145208</v>
      </c>
      <c r="X9" s="1530">
        <f t="array" ref="X9">INDEX(EMIS_factors!$G$6:$O$152,MATCH($G9&amp;$AB9,EMIS_factors!$E$6:$E$152&amp;EMIS_factors!$D$6:$D$152,0),MATCH(RIGHT(X$4,6),EMIS_factors!$G$4:$O$4,0))</f>
        <v>1402.4856581824845</v>
      </c>
      <c r="Y9" s="1530">
        <f t="array" ref="Y9">INDEX(EMIS_factors!$G$6:$O$152,MATCH($G9&amp;$AB9,EMIS_factors!$E$6:$E$152&amp;EMIS_factors!$D$6:$D$152,0),MATCH(RIGHT(Y$4,6),EMIS_factors!$G$4:$O$4,0))</f>
        <v>1.8637630108223573</v>
      </c>
      <c r="Z9" s="1530">
        <f t="array" ref="Z9">INDEX(EMIS_factors!$G$6:$O$152,MATCH($G9&amp;$AB9,EMIS_factors!$E$6:$E$152&amp;EMIS_factors!$D$6:$D$152,0),MATCH(RIGHT(Z$4,6),EMIS_factors!$G$4:$O$4,0))</f>
        <v>21.22370326738832</v>
      </c>
      <c r="AA9" s="1295"/>
      <c r="AB9" s="526" t="s">
        <v>1462</v>
      </c>
      <c r="AE9" s="1265">
        <f t="array" ref="AE9">INDEX($AN$12:$BM$15,MATCH(F9,$AM$12:$AM$15,0),MATCH($AG9&amp;$AE$1,$AN$11:$BM$11&amp;$AN$9:$BM$9,0))/1000</f>
        <v>5.9433962264150946</v>
      </c>
      <c r="AF9" s="549">
        <f t="array" ref="AF9">(AE9^INDEX(ShipData!$X$36:$X$39,MATCH($F9,ShipData!$U$36:$U$39,0)))*0.756*INDEX(ShipData!$W$36:$W$39,MATCH($F9,ShipData!$U$36:$U$39,0))</f>
        <v>3369.7610132900404</v>
      </c>
      <c r="AG9" s="526" t="s">
        <v>1236</v>
      </c>
      <c r="AH9" s="526" t="s">
        <v>1249</v>
      </c>
      <c r="AI9" s="549" t="s">
        <v>1143</v>
      </c>
      <c r="AL9" s="1311"/>
      <c r="AM9" s="1315"/>
      <c r="AN9" s="1255" t="s">
        <v>1212</v>
      </c>
      <c r="AO9" s="1255" t="s">
        <v>1212</v>
      </c>
      <c r="AP9" s="1255" t="s">
        <v>1212</v>
      </c>
      <c r="AQ9" s="1255" t="s">
        <v>1222</v>
      </c>
      <c r="AR9" s="1255" t="s">
        <v>1222</v>
      </c>
      <c r="AS9" s="1255" t="s">
        <v>1222</v>
      </c>
      <c r="AT9" s="1255" t="s">
        <v>1213</v>
      </c>
      <c r="AU9" s="1255" t="s">
        <v>78</v>
      </c>
      <c r="AV9" s="1255" t="s">
        <v>1216</v>
      </c>
      <c r="AW9" s="1255" t="s">
        <v>1216</v>
      </c>
      <c r="AX9" s="1255" t="s">
        <v>1216</v>
      </c>
      <c r="AY9" s="1255" t="s">
        <v>1217</v>
      </c>
      <c r="AZ9" s="1255" t="s">
        <v>1217</v>
      </c>
      <c r="BA9" s="1255" t="s">
        <v>1217</v>
      </c>
      <c r="BB9" s="1255" t="s">
        <v>1218</v>
      </c>
      <c r="BC9" s="1255" t="s">
        <v>1218</v>
      </c>
      <c r="BD9" s="1255" t="s">
        <v>1218</v>
      </c>
      <c r="BE9" s="1255" t="s">
        <v>1219</v>
      </c>
      <c r="BF9" s="1255" t="s">
        <v>1219</v>
      </c>
      <c r="BG9" s="1255" t="s">
        <v>1219</v>
      </c>
      <c r="BH9" s="1255" t="s">
        <v>1220</v>
      </c>
      <c r="BI9" s="1255" t="s">
        <v>1220</v>
      </c>
      <c r="BJ9" s="1255" t="s">
        <v>1220</v>
      </c>
      <c r="BK9" s="1255" t="s">
        <v>1221</v>
      </c>
      <c r="BL9" s="1255" t="s">
        <v>1221</v>
      </c>
      <c r="BM9" s="1304" t="s">
        <v>1221</v>
      </c>
    </row>
    <row r="10" spans="3:65">
      <c r="C10" s="552" t="str">
        <f t="shared" si="0"/>
        <v>TFSMFOICL3N</v>
      </c>
      <c r="D10" s="552" t="s">
        <v>1032</v>
      </c>
      <c r="E10" s="534" t="s">
        <v>987</v>
      </c>
      <c r="F10" s="531" t="s">
        <v>1026</v>
      </c>
      <c r="G10" s="531">
        <v>2030</v>
      </c>
      <c r="H10" s="1237" t="s">
        <v>986</v>
      </c>
      <c r="I10" s="1239">
        <f t="array" ref="I10">INDEX($AN$12:$BM$15,MATCH(F10,$AM$12:$AM$15,0),MATCH(I$1&amp;$AG10,$AN$9:$BM$9&amp;$AN$11:$BM$11,0))</f>
        <v>3045.9905660377353</v>
      </c>
      <c r="J10" s="1239">
        <f t="shared" si="2"/>
        <v>3045.9905660377353</v>
      </c>
      <c r="K10" s="1239">
        <v>25616</v>
      </c>
      <c r="L10" s="1237">
        <v>46219</v>
      </c>
      <c r="M10" s="1265">
        <f t="array" ref="M10">1/(INDEX($AN$12:$BM$15,MATCH($F10,$AM$12:$AM$15,0),MATCH(($G10&amp;M$1)&amp;$AG10,$AN$9:$BM$9&amp;$AN$11:$BM$11,0))/1.852)</f>
        <v>1.9876124255718461</v>
      </c>
      <c r="N10" s="1265">
        <f t="shared" si="3"/>
        <v>1.9876124255718461</v>
      </c>
      <c r="O10" s="1237">
        <v>30</v>
      </c>
      <c r="P10" s="1239"/>
      <c r="Q10" s="1239">
        <v>4710.5027550000013</v>
      </c>
      <c r="R10" s="1265">
        <f t="array" ref="R10">(AF10*(INDEX(ShipData!$P$19:$R$26,MATCH($AH10,ShipData!$N$19:$N$26,0),MATCH($AI10,ShipData!$P$18:$R$18,0))+INDEX(ShipData!$P$30:$R$37,MATCH($AH10,ShipData!$N$30:$N$37,0),MATCH($AI10,ShipData!$P$29:$R$29,0)))+K10*0.1*(1/M10)*INDEX(ShipData!$P$41:$R$48,MATCH($AH10,ShipData!$N$41:$N$48,0),MATCH($AI10,ShipData!$P$40:$R$40,0)))*6.5/1000</f>
        <v>59428.831462225498</v>
      </c>
      <c r="S10" s="1237"/>
      <c r="T10" s="1237">
        <v>1E-3</v>
      </c>
      <c r="U10" s="1278"/>
      <c r="V10" s="552"/>
      <c r="W10" s="1530">
        <f t="array" ref="W10">INDEX(EMIS_factors!$G$6:$O$152,MATCH($G10&amp;$AB10,EMIS_factors!$E$6:$E$152&amp;EMIS_factors!$D$6:$D$152,0),MATCH(RIGHT(W$4,6),EMIS_factors!$G$4:$O$4,0))</f>
        <v>46.838407494145208</v>
      </c>
      <c r="X10" s="1530">
        <f t="array" ref="X10">INDEX(EMIS_factors!$G$6:$O$152,MATCH($G10&amp;$AB10,EMIS_factors!$E$6:$E$152&amp;EMIS_factors!$D$6:$D$152,0),MATCH(RIGHT(X$4,6),EMIS_factors!$G$4:$O$4,0))</f>
        <v>938.56734047344298</v>
      </c>
      <c r="Y10" s="1530">
        <f t="array" ref="Y10">INDEX(EMIS_factors!$G$6:$O$152,MATCH($G10&amp;$AB10,EMIS_factors!$E$6:$E$152&amp;EMIS_factors!$D$6:$D$152,0),MATCH(RIGHT(Y$4,6),EMIS_factors!$G$4:$O$4,0))</f>
        <v>1.9042584079204421</v>
      </c>
      <c r="Z10" s="1530">
        <f t="array" ref="Z10">INDEX(EMIS_factors!$G$6:$O$152,MATCH($G10&amp;$AB10,EMIS_factors!$E$6:$E$152&amp;EMIS_factors!$D$6:$D$152,0),MATCH(RIGHT(Z$4,6),EMIS_factors!$G$4:$O$4,0))</f>
        <v>21.22370326738832</v>
      </c>
      <c r="AA10" s="1295"/>
      <c r="AB10" s="526" t="s">
        <v>1462</v>
      </c>
      <c r="AE10" s="1265">
        <f t="array" ref="AE10">INDEX($AN$12:$BM$15,MATCH(F10,$AM$12:$AM$15,0),MATCH($AG10&amp;$AE$1,$AN$11:$BM$11&amp;$AN$9:$BM$9,0))/1000</f>
        <v>5.9433962264150946</v>
      </c>
      <c r="AF10" s="549">
        <f t="array" ref="AF10">(AE10^INDEX(ShipData!$X$36:$X$39,MATCH($F10,ShipData!$U$36:$U$39,0)))*0.756*INDEX(ShipData!$W$36:$W$39,MATCH($F10,ShipData!$U$36:$U$39,0))</f>
        <v>3369.7610132900404</v>
      </c>
      <c r="AG10" s="526" t="s">
        <v>1236</v>
      </c>
      <c r="AH10" s="526" t="s">
        <v>1249</v>
      </c>
      <c r="AI10" s="549" t="s">
        <v>1143</v>
      </c>
      <c r="AL10" s="1313"/>
      <c r="AM10" s="1320"/>
      <c r="AN10" s="532" t="s">
        <v>1214</v>
      </c>
      <c r="AO10" s="532" t="s">
        <v>1214</v>
      </c>
      <c r="AP10" s="532" t="s">
        <v>1214</v>
      </c>
      <c r="AQ10" s="1331" t="s">
        <v>1214</v>
      </c>
      <c r="AR10" s="1331" t="s">
        <v>1214</v>
      </c>
      <c r="AS10" s="1331" t="s">
        <v>1214</v>
      </c>
      <c r="AT10" s="552" t="s">
        <v>26</v>
      </c>
      <c r="AU10" s="532" t="s">
        <v>1215</v>
      </c>
      <c r="AV10" s="1305" t="s">
        <v>316</v>
      </c>
      <c r="AW10" s="1305"/>
      <c r="AX10" s="1305"/>
      <c r="AY10" s="1305" t="s">
        <v>316</v>
      </c>
      <c r="AZ10" s="1305"/>
      <c r="BA10" s="1305"/>
      <c r="BB10" s="1305" t="s">
        <v>316</v>
      </c>
      <c r="BC10" s="1305"/>
      <c r="BD10" s="1305"/>
      <c r="BE10" s="1305" t="s">
        <v>322</v>
      </c>
      <c r="BF10" s="1305"/>
      <c r="BG10" s="1305"/>
      <c r="BH10" s="1305" t="s">
        <v>322</v>
      </c>
      <c r="BI10" s="1305"/>
      <c r="BJ10" s="1305"/>
      <c r="BK10" s="1305" t="s">
        <v>322</v>
      </c>
      <c r="BL10" s="1305" t="s">
        <v>322</v>
      </c>
      <c r="BM10" s="1306" t="s">
        <v>322</v>
      </c>
    </row>
    <row r="11" spans="3:65">
      <c r="C11" s="552" t="str">
        <f t="shared" si="0"/>
        <v>TFSLFOICL2N</v>
      </c>
      <c r="D11" s="552" t="s">
        <v>1033</v>
      </c>
      <c r="E11" s="534" t="s">
        <v>984</v>
      </c>
      <c r="F11" s="531" t="s">
        <v>1026</v>
      </c>
      <c r="G11" s="531">
        <v>2020</v>
      </c>
      <c r="H11" s="1237" t="s">
        <v>986</v>
      </c>
      <c r="I11" s="1239">
        <f t="array" ref="I11">INDEX($AN$12:$BM$15,MATCH(F11,$AM$12:$AM$15,0),MATCH(I$1&amp;$AG11,$AN$9:$BM$9&amp;$AN$11:$BM$11,0))</f>
        <v>7427.5362318840562</v>
      </c>
      <c r="J11" s="1239">
        <f t="shared" si="2"/>
        <v>7427.5362318840562</v>
      </c>
      <c r="K11" s="1239">
        <v>3985</v>
      </c>
      <c r="L11" s="1237">
        <v>7190</v>
      </c>
      <c r="M11" s="1265">
        <f t="array" ref="M11">1/(INDEX($AN$12:$BM$15,MATCH($F11,$AM$12:$AM$15,0),MATCH(($G11&amp;M$1)&amp;$AG11,$AN$9:$BM$9&amp;$AN$11:$BM$11,0))/1.852)</f>
        <v>0.84765820280384263</v>
      </c>
      <c r="N11" s="1265">
        <f t="shared" si="3"/>
        <v>0.84765820280384263</v>
      </c>
      <c r="O11" s="1237">
        <v>30</v>
      </c>
      <c r="P11" s="1239"/>
      <c r="Q11" s="1265">
        <f t="array" ref="Q11">0.035*R11</f>
        <v>3418.2580312494697</v>
      </c>
      <c r="R11" s="1265">
        <f>(AF11*(INDEX(ShipData!$P$19:$R$26,MATCH($AH11,ShipData!$N$19:$N$26,0),MATCH($AI11,ShipData!$P$18:$R$18,0))+INDEX(ShipData!$P$30:$R$37,MATCH($AH11,ShipData!$N$30:$N$37,0),MATCH($AI11,ShipData!$P$29:$R$29,0)))+K11*0.1*(1/M11)*INDEX(ShipData!$P$41:$R$48,MATCH($AH11,ShipData!$N$41:$N$48,0),MATCH($AI11,ShipData!$P$40:$R$40,0)))*6.5/1000</f>
        <v>97664.515178556263</v>
      </c>
      <c r="S11" s="1237"/>
      <c r="T11" s="1237">
        <v>1E-3</v>
      </c>
      <c r="U11" s="1278"/>
      <c r="V11" s="552"/>
      <c r="W11" s="1530">
        <f t="array" ref="W11">INDEX(EMIS_factors!$G$6:$O$152,MATCH($G11&amp;$AB11,EMIS_factors!$E$6:$E$152&amp;EMIS_factors!$D$6:$D$152,0),MATCH(RIGHT(W$4,6),EMIS_factors!$G$4:$O$4,0))</f>
        <v>46.838407494145208</v>
      </c>
      <c r="X11" s="1530">
        <f t="array" ref="X11">INDEX(EMIS_factors!$G$6:$O$152,MATCH($G11&amp;$AB11,EMIS_factors!$E$6:$E$152&amp;EMIS_factors!$D$6:$D$152,0),MATCH(RIGHT(X$4,6),EMIS_factors!$G$4:$O$4,0))</f>
        <v>1402.4856581824845</v>
      </c>
      <c r="Y11" s="1530">
        <f t="array" ref="Y11">INDEX(EMIS_factors!$G$6:$O$152,MATCH($G11&amp;$AB11,EMIS_factors!$E$6:$E$152&amp;EMIS_factors!$D$6:$D$152,0),MATCH(RIGHT(Y$4,6),EMIS_factors!$G$4:$O$4,0))</f>
        <v>1.8637630108223573</v>
      </c>
      <c r="Z11" s="1530">
        <f t="array" ref="Z11">INDEX(EMIS_factors!$G$6:$O$152,MATCH($G11&amp;$AB11,EMIS_factors!$E$6:$E$152&amp;EMIS_factors!$D$6:$D$152,0),MATCH(RIGHT(Z$4,6),EMIS_factors!$G$4:$O$4,0))</f>
        <v>21.22370326738832</v>
      </c>
      <c r="AA11" s="1295"/>
      <c r="AB11" s="526" t="s">
        <v>1462</v>
      </c>
      <c r="AE11" s="1265">
        <f t="array" ref="AE11">INDEX($AN$12:$BM$15,MATCH(F11,$AM$12:$AM$15,0),MATCH($AG11&amp;$AE$1,$AN$11:$BM$11&amp;$AN$9:$BM$9,0))/1000</f>
        <v>14.492753623188404</v>
      </c>
      <c r="AF11" s="549">
        <f t="array" ref="AF11">(AE11^INDEX(ShipData!$X$36:$X$39,MATCH($F11,ShipData!$U$36:$U$39,0)))*0.756*INDEX(ShipData!$W$36:$W$39,MATCH($F11,ShipData!$U$36:$U$39,0))</f>
        <v>5556.1159914410127</v>
      </c>
      <c r="AG11" s="526" t="s">
        <v>1240</v>
      </c>
      <c r="AH11" s="526" t="s">
        <v>1249</v>
      </c>
      <c r="AI11" s="549" t="s">
        <v>1143</v>
      </c>
      <c r="AL11" s="1312"/>
      <c r="AM11" s="1316"/>
      <c r="AN11" s="1247" t="s">
        <v>1239</v>
      </c>
      <c r="AO11" s="1247" t="s">
        <v>1236</v>
      </c>
      <c r="AP11" s="1247" t="s">
        <v>1240</v>
      </c>
      <c r="AQ11" s="1247" t="s">
        <v>1239</v>
      </c>
      <c r="AR11" s="1247" t="s">
        <v>1236</v>
      </c>
      <c r="AS11" s="1247" t="s">
        <v>1240</v>
      </c>
      <c r="AT11" s="1247"/>
      <c r="AU11" s="1247"/>
      <c r="AV11" s="1247" t="s">
        <v>1239</v>
      </c>
      <c r="AW11" s="1247" t="s">
        <v>1236</v>
      </c>
      <c r="AX11" s="1247" t="s">
        <v>1240</v>
      </c>
      <c r="AY11" s="1247" t="s">
        <v>1239</v>
      </c>
      <c r="AZ11" s="1247" t="s">
        <v>1236</v>
      </c>
      <c r="BA11" s="1247" t="s">
        <v>1240</v>
      </c>
      <c r="BB11" s="1247" t="s">
        <v>1239</v>
      </c>
      <c r="BC11" s="1247" t="s">
        <v>1236</v>
      </c>
      <c r="BD11" s="1247" t="s">
        <v>1240</v>
      </c>
      <c r="BE11" s="1247" t="s">
        <v>1239</v>
      </c>
      <c r="BF11" s="1247" t="s">
        <v>1236</v>
      </c>
      <c r="BG11" s="1247" t="s">
        <v>1240</v>
      </c>
      <c r="BH11" s="1247" t="s">
        <v>1239</v>
      </c>
      <c r="BI11" s="1247" t="s">
        <v>1236</v>
      </c>
      <c r="BJ11" s="1247" t="s">
        <v>1240</v>
      </c>
      <c r="BK11" s="1247" t="s">
        <v>1239</v>
      </c>
      <c r="BL11" s="1247" t="s">
        <v>1236</v>
      </c>
      <c r="BM11" s="1310" t="s">
        <v>1240</v>
      </c>
    </row>
    <row r="12" spans="3:65">
      <c r="C12" s="552" t="str">
        <f t="shared" si="0"/>
        <v>TFSLFOICL3N</v>
      </c>
      <c r="D12" s="552" t="s">
        <v>1033</v>
      </c>
      <c r="E12" s="534" t="s">
        <v>987</v>
      </c>
      <c r="F12" s="531" t="s">
        <v>1026</v>
      </c>
      <c r="G12" s="531">
        <v>2030</v>
      </c>
      <c r="H12" s="1237" t="s">
        <v>986</v>
      </c>
      <c r="I12" s="1239">
        <f t="array" ref="I12">INDEX($AN$12:$BM$15,MATCH(F12,$AM$12:$AM$15,0),MATCH(I$1&amp;$AG12,$AN$9:$BM$9&amp;$AN$11:$BM$11,0))</f>
        <v>7427.5362318840562</v>
      </c>
      <c r="J12" s="1239">
        <f t="shared" si="2"/>
        <v>7427.5362318840562</v>
      </c>
      <c r="K12" s="1239">
        <v>3985</v>
      </c>
      <c r="L12" s="1237">
        <v>7190</v>
      </c>
      <c r="M12" s="1265">
        <f t="array" ref="M12">1/(INDEX($AN$12:$BM$15,MATCH($F12,$AM$12:$AM$15,0),MATCH(($G12&amp;M$1)&amp;$AG12,$AN$9:$BM$9&amp;$AN$11:$BM$11,0))/1.852)</f>
        <v>1.155074490575144</v>
      </c>
      <c r="N12" s="1265">
        <f t="shared" si="3"/>
        <v>1.155074490575144</v>
      </c>
      <c r="O12" s="1237">
        <v>30</v>
      </c>
      <c r="P12" s="1239"/>
      <c r="Q12" s="1239">
        <v>7224.0632100000021</v>
      </c>
      <c r="R12" s="1265">
        <f t="array" ref="R12">(AF12*(INDEX(ShipData!$P$19:$R$26,MATCH($AH12,ShipData!$N$19:$N$26,0),MATCH($AI12,ShipData!$P$18:$R$18,0))+INDEX(ShipData!$P$30:$R$37,MATCH($AH12,ShipData!$N$30:$N$37,0),MATCH($AI12,ShipData!$P$29:$R$29,0)))+K12*0.1*(1/M12)*INDEX(ShipData!$P$41:$R$48,MATCH($AH12,ShipData!$N$41:$N$48,0),MATCH($AI12,ShipData!$P$40:$R$40,0)))*6.5/1000</f>
        <v>97640.116907647374</v>
      </c>
      <c r="S12" s="1237"/>
      <c r="T12" s="1237">
        <v>1E-3</v>
      </c>
      <c r="U12" s="1278"/>
      <c r="V12" s="1240"/>
      <c r="W12" s="1530">
        <f t="array" ref="W12">INDEX(EMIS_factors!$G$6:$O$152,MATCH($G12&amp;$AB12,EMIS_factors!$E$6:$E$152&amp;EMIS_factors!$D$6:$D$152,0),MATCH(RIGHT(W$4,6),EMIS_factors!$G$4:$O$4,0))</f>
        <v>46.838407494145208</v>
      </c>
      <c r="X12" s="1530">
        <f t="array" ref="X12">INDEX(EMIS_factors!$G$6:$O$152,MATCH($G12&amp;$AB12,EMIS_factors!$E$6:$E$152&amp;EMIS_factors!$D$6:$D$152,0),MATCH(RIGHT(X$4,6),EMIS_factors!$G$4:$O$4,0))</f>
        <v>938.56734047344298</v>
      </c>
      <c r="Y12" s="1530">
        <f t="array" ref="Y12">INDEX(EMIS_factors!$G$6:$O$152,MATCH($G12&amp;$AB12,EMIS_factors!$E$6:$E$152&amp;EMIS_factors!$D$6:$D$152,0),MATCH(RIGHT(Y$4,6),EMIS_factors!$G$4:$O$4,0))</f>
        <v>1.9042584079204421</v>
      </c>
      <c r="Z12" s="1530">
        <f t="array" ref="Z12">INDEX(EMIS_factors!$G$6:$O$152,MATCH($G12&amp;$AB12,EMIS_factors!$E$6:$E$152&amp;EMIS_factors!$D$6:$D$152,0),MATCH(RIGHT(Z$4,6),EMIS_factors!$G$4:$O$4,0))</f>
        <v>21.22370326738832</v>
      </c>
      <c r="AA12" s="1295"/>
      <c r="AB12" s="526" t="s">
        <v>1462</v>
      </c>
      <c r="AE12" s="1265">
        <f t="array" ref="AE12">INDEX($AN$12:$BM$15,MATCH(F12,$AM$12:$AM$15,0),MATCH($AG12&amp;$AE$1,$AN$11:$BM$11&amp;$AN$9:$BM$9,0))/1000</f>
        <v>14.492753623188404</v>
      </c>
      <c r="AF12" s="549">
        <f t="array" ref="AF12">(AE12^INDEX(ShipData!$X$36:$X$39,MATCH($F12,ShipData!$U$36:$U$39,0)))*0.756*INDEX(ShipData!$W$36:$W$39,MATCH($F12,ShipData!$U$36:$U$39,0))</f>
        <v>5556.1159914410127</v>
      </c>
      <c r="AG12" s="526" t="s">
        <v>1240</v>
      </c>
      <c r="AH12" s="526" t="s">
        <v>1249</v>
      </c>
      <c r="AI12" s="549" t="s">
        <v>1143</v>
      </c>
      <c r="AL12" s="1313" t="s">
        <v>1209</v>
      </c>
      <c r="AM12" s="1318" t="s">
        <v>1027</v>
      </c>
      <c r="AN12" s="549">
        <v>2545</v>
      </c>
      <c r="AO12" s="549">
        <v>6956.666666666667</v>
      </c>
      <c r="AP12" s="549">
        <v>15000</v>
      </c>
      <c r="AQ12" s="549">
        <f>AN12*$AT12</f>
        <v>1527</v>
      </c>
      <c r="AR12" s="549">
        <f>AO12*$AT12</f>
        <v>4174</v>
      </c>
      <c r="AS12" s="549">
        <f>AP12*$AT12</f>
        <v>9000</v>
      </c>
      <c r="AT12" s="552">
        <f>AVERAGE(ShipData!E62)</f>
        <v>0.6</v>
      </c>
      <c r="AU12" s="532">
        <f>SUM(ShipData!F26:G26)</f>
        <v>838.07</v>
      </c>
      <c r="AV12" s="1305">
        <f t="array" ref="AV12">INDEX(ShipData!$P$72:$X$75,MATCH($AL12,ShipData!$N$72:$N$75,0),MATCH(AV$11&amp;LEFT(AV$9,4),ShipData!$P$70:$X$70&amp;ShipData!$P$71:$X$71,0))</f>
        <v>0.69481239852860355</v>
      </c>
      <c r="AW12" s="1305">
        <f t="array" ref="AW12">INDEX(ShipData!$P$72:$X$75,MATCH($AL12,ShipData!$N$72:$N$75,0),MATCH(AW$11&amp;LEFT(AW$9,4),ShipData!$P$70:$X$70&amp;ShipData!$P$71:$X$71,0))</f>
        <v>1.1978009817472215</v>
      </c>
      <c r="AX12" s="1305">
        <f t="array" ref="AX12">INDEX(ShipData!$P$72:$X$75,MATCH($AL12,ShipData!$N$72:$N$75,0),MATCH(AX$11&amp;LEFT(AX$9,4),ShipData!$P$70:$X$70&amp;ShipData!$P$71:$X$71,0))</f>
        <v>1.9819564083868411</v>
      </c>
      <c r="AY12" s="1305">
        <f t="array" ref="AY12">INDEX(ShipData!$P$72:$X$75,MATCH($AL12,ShipData!$N$72:$N$75,0),MATCH(AY$11&amp;LEFT(AY$9,4),ShipData!$P$70:$X$70&amp;ShipData!$P$71:$X$71,0))</f>
        <v>0.54167868253407836</v>
      </c>
      <c r="AZ12" s="1305">
        <f t="array" ref="AZ12">INDEX(ShipData!$P$72:$X$75,MATCH($AL12,ShipData!$N$72:$N$75,0),MATCH(AZ$11&amp;LEFT(AZ$9,4),ShipData!$P$70:$X$70&amp;ShipData!$P$71:$X$71,0))</f>
        <v>0.95272109162558627</v>
      </c>
      <c r="BA12" s="1305">
        <f t="array" ref="BA12">INDEX(ShipData!$P$72:$X$75,MATCH($AL12,ShipData!$N$72:$N$75,0),MATCH(BA$11&amp;LEFT(BA$9,4),ShipData!$P$70:$X$70&amp;ShipData!$P$71:$X$71,0))</f>
        <v>1.5778116017068144</v>
      </c>
      <c r="BB12" s="1305">
        <f t="array" ref="BB12">INDEX(ShipData!$P$72:$X$75,MATCH($AL12,ShipData!$N$72:$N$75,0),MATCH(BB$11&amp;LEFT(BB$9,4),ShipData!$P$70:$X$70&amp;ShipData!$P$71:$X$71,0))</f>
        <v>0.47593108632638464</v>
      </c>
      <c r="BC12" s="1305">
        <f t="array" ref="BC12">INDEX(ShipData!$P$72:$X$75,MATCH($AL12,ShipData!$N$72:$N$75,0),MATCH(BC$11&amp;LEFT(BC$9,4),ShipData!$P$70:$X$70&amp;ShipData!$P$71:$X$71,0))</f>
        <v>0.84976407647311891</v>
      </c>
      <c r="BD12" s="1305">
        <f t="array" ref="BD12">INDEX(ShipData!$P$72:$X$75,MATCH($AL12,ShipData!$N$72:$N$75,0),MATCH(BD$11&amp;LEFT(BD$9,4),ShipData!$P$70:$X$70&amp;ShipData!$P$71:$X$71,0))</f>
        <v>1.4128760984357018</v>
      </c>
      <c r="BE12" s="1305">
        <f t="array" ref="BE12">INDEX(ShipData!$P$81:$X$84,MATCH($AL12,ShipData!$N$81:$N$84,0),MATCH(BE$11&amp;LEFT(BE$9,4),ShipData!$P$79:$X$79&amp;ShipData!$P$80:$X$80,0))</f>
        <v>12.547076074467574</v>
      </c>
      <c r="BF12" s="1305">
        <f t="array" ref="BF12">INDEX(ShipData!$P$81:$X$84,MATCH($AL12,ShipData!$N$81:$N$84,0),MATCH(BF$11&amp;LEFT(BF$9,4),ShipData!$P$79:$X$79&amp;ShipData!$P$80:$X$80,0))</f>
        <v>13.163431603665668</v>
      </c>
      <c r="BG12" s="1305">
        <f t="array" ref="BG12">INDEX(ShipData!$P$81:$X$84,MATCH($AL12,ShipData!$N$81:$N$84,0),MATCH(BG$11&amp;LEFT(BG$9,4),ShipData!$P$79:$X$79&amp;ShipData!$P$80:$X$80,0))</f>
        <v>13.634488759291706</v>
      </c>
      <c r="BH12" s="1305">
        <f t="array" ref="BH12">INDEX(ShipData!$P$81:$X$84,MATCH($AL12,ShipData!$N$81:$N$84,0),MATCH(BH$11&amp;LEFT(BH$9,4),ShipData!$P$79:$X$79&amp;ShipData!$P$80:$X$80,0))</f>
        <v>11.919722270744195</v>
      </c>
      <c r="BI12" s="1305">
        <f t="array" ref="BI12">INDEX(ShipData!$P$81:$X$84,MATCH($AL12,ShipData!$N$81:$N$84,0),MATCH(BI$11&amp;LEFT(BI$9,4),ShipData!$P$79:$X$79&amp;ShipData!$P$80:$X$80,0))</f>
        <v>12.505260023482384</v>
      </c>
      <c r="BJ12" s="1305">
        <f t="array" ref="BJ12">INDEX(ShipData!$P$81:$X$84,MATCH($AL12,ShipData!$N$81:$N$84,0),MATCH(BJ$11&amp;LEFT(BJ$9,4),ShipData!$P$79:$X$79&amp;ShipData!$P$80:$X$80,0))</f>
        <v>12.95276432132712</v>
      </c>
      <c r="BK12" s="1305">
        <f t="array" ref="BK12">INDEX(ShipData!$P$81:$X$84,MATCH($AL12,ShipData!$N$81:$N$84,0),MATCH(BK$11&amp;LEFT(BK$9,4),ShipData!$P$79:$X$79&amp;ShipData!$P$80:$X$80,0))</f>
        <v>11.292368467020816</v>
      </c>
      <c r="BL12" s="1305">
        <f t="array" ref="BL12">INDEX(ShipData!$P$81:$X$84,MATCH($AL12,ShipData!$N$81:$N$84,0),MATCH(BL$11&amp;LEFT(BL$9,4),ShipData!$P$79:$X$79&amp;ShipData!$P$80:$X$80,0))</f>
        <v>11.847088443299102</v>
      </c>
      <c r="BM12" s="1306">
        <f t="array" ref="BM12">INDEX(ShipData!$P$81:$X$84,MATCH($AL12,ShipData!$N$81:$N$84,0),MATCH(BM$11&amp;LEFT(BM$9,4),ShipData!$P$79:$X$79&amp;ShipData!$P$80:$X$80,0))</f>
        <v>12.271039883362535</v>
      </c>
    </row>
    <row r="13" spans="3:65">
      <c r="C13" s="552" t="str">
        <f t="shared" si="0"/>
        <v>TFSSFOICD2N</v>
      </c>
      <c r="D13" s="552" t="s">
        <v>1035</v>
      </c>
      <c r="E13" s="534" t="s">
        <v>984</v>
      </c>
      <c r="F13" s="531" t="s">
        <v>1027</v>
      </c>
      <c r="G13" s="531">
        <v>2020</v>
      </c>
      <c r="H13" s="1237" t="s">
        <v>986</v>
      </c>
      <c r="I13" s="1239">
        <f t="array" ref="I13">INDEX($AN$12:$BM$15,MATCH(F13,$AM$12:$AM$15,0),MATCH(I$1&amp;$AG13,$AN$9:$BM$9&amp;$AN$11:$BM$11,0))</f>
        <v>1527</v>
      </c>
      <c r="J13" s="1239">
        <f t="shared" si="2"/>
        <v>1527</v>
      </c>
      <c r="K13" s="1239">
        <v>17027</v>
      </c>
      <c r="L13" s="1281">
        <v>30722</v>
      </c>
      <c r="M13" s="1265">
        <f t="array" ref="M13">1/(INDEX($AN$12:$BM$15,MATCH($F13,$AM$12:$AM$15,0),MATCH(($G13&amp;M$1)&amp;$AG13,$AN$9:$BM$9&amp;$AN$11:$BM$11,0))/1.852)</f>
        <v>3.4190010788978875</v>
      </c>
      <c r="N13" s="1265">
        <f t="shared" si="3"/>
        <v>3.4190010788978875</v>
      </c>
      <c r="O13" s="1237">
        <v>30</v>
      </c>
      <c r="P13" s="1265"/>
      <c r="Q13" s="1265">
        <f t="shared" si="1"/>
        <v>1184.541801260144</v>
      </c>
      <c r="R13" s="1265">
        <f t="array" ref="R13">(AF13*(INDEX(ShipData!$P$19:$R$26,MATCH($AH13,ShipData!$N$19:$N$26,0),MATCH($AI13,ShipData!$P$18:$R$18,0))+INDEX(ShipData!$P$30:$R$37,MATCH($AH13,ShipData!$N$30:$N$37,0),MATCH($AI13,ShipData!$P$29:$R$29,0)))+K13*0.1*(1/M13)*INDEX(ShipData!$P$41:$R$48,MATCH($AH13,ShipData!$N$41:$N$48,0),MATCH($AI13,ShipData!$P$40:$R$40,0)))*6.5/1000</f>
        <v>33844.051464575539</v>
      </c>
      <c r="S13" s="1237"/>
      <c r="T13" s="1237">
        <v>1E-3</v>
      </c>
      <c r="U13" s="1278"/>
      <c r="V13" s="1240"/>
      <c r="W13" s="1530">
        <f t="array" ref="W13">INDEX(EMIS_factors!$G$6:$O$152,MATCH($G13&amp;$AB13,EMIS_factors!$E$6:$E$152&amp;EMIS_factors!$D$6:$D$152,0),MATCH(RIGHT(W$4,6),EMIS_factors!$G$4:$O$4,0))</f>
        <v>46.838407494145208</v>
      </c>
      <c r="X13" s="1530">
        <f t="array" ref="X13">INDEX(EMIS_factors!$G$6:$O$152,MATCH($G13&amp;$AB13,EMIS_factors!$E$6:$E$152&amp;EMIS_factors!$D$6:$D$152,0),MATCH(RIGHT(X$4,6),EMIS_factors!$G$4:$O$4,0))</f>
        <v>1402.4856581824845</v>
      </c>
      <c r="Y13" s="1530">
        <f t="array" ref="Y13">INDEX(EMIS_factors!$G$6:$O$152,MATCH($G13&amp;$AB13,EMIS_factors!$E$6:$E$152&amp;EMIS_factors!$D$6:$D$152,0),MATCH(RIGHT(Y$4,6),EMIS_factors!$G$4:$O$4,0))</f>
        <v>1.8637630108223573</v>
      </c>
      <c r="Z13" s="1530">
        <f t="array" ref="Z13">INDEX(EMIS_factors!$G$6:$O$152,MATCH($G13&amp;$AB13,EMIS_factors!$E$6:$E$152&amp;EMIS_factors!$D$6:$D$152,0),MATCH(RIGHT(Z$4,6),EMIS_factors!$G$4:$O$4,0))</f>
        <v>21.22370326738832</v>
      </c>
      <c r="AA13" s="1295"/>
      <c r="AB13" s="526" t="s">
        <v>1462</v>
      </c>
      <c r="AE13" s="1265">
        <f t="array" ref="AE13">INDEX($AN$12:$BM$15,MATCH(F13,$AM$12:$AM$15,0),MATCH($AG13&amp;$AE$1,$AN$11:$BM$11&amp;$AN$9:$BM$9,0))/1000</f>
        <v>2.5449999999999999</v>
      </c>
      <c r="AF13" s="549">
        <f t="array" ref="AF13">(AE13^INDEX(ShipData!$X$36:$X$39,MATCH($F13,ShipData!$U$36:$U$39,0)))*0.756*INDEX(ShipData!$W$36:$W$39,MATCH($F13,ShipData!$U$36:$U$39,0))</f>
        <v>1921.6608368614334</v>
      </c>
      <c r="AG13" s="549" t="s">
        <v>1239</v>
      </c>
      <c r="AH13" s="526" t="s">
        <v>1249</v>
      </c>
      <c r="AI13" s="549" t="s">
        <v>1143</v>
      </c>
      <c r="AL13" s="1313" t="s">
        <v>1210</v>
      </c>
      <c r="AM13" s="1318" t="s">
        <v>1026</v>
      </c>
      <c r="AN13" s="549">
        <v>1580.487804878049</v>
      </c>
      <c r="AO13" s="549">
        <v>5943.3962264150941</v>
      </c>
      <c r="AP13" s="549">
        <v>14492.753623188404</v>
      </c>
      <c r="AQ13" s="549">
        <f t="shared" ref="AQ13:AQ14" si="4">AN13*$AT13</f>
        <v>810</v>
      </c>
      <c r="AR13" s="549">
        <f t="shared" ref="AR13:AR14" si="5">AO13*$AT13</f>
        <v>3045.9905660377353</v>
      </c>
      <c r="AS13" s="549">
        <f t="shared" ref="AS13:AS14" si="6">AP13*$AT13</f>
        <v>7427.5362318840562</v>
      </c>
      <c r="AT13" s="552">
        <f t="array" ref="AT13">AVERAGE(ShipData!$E$57:$E$59,ShipData!E54)</f>
        <v>0.51249999999999996</v>
      </c>
      <c r="AU13" s="532">
        <f>SUM(ShipData!F25:G25)</f>
        <v>838.07</v>
      </c>
      <c r="AV13" s="1305">
        <f t="array" ref="AV13">INDEX(ShipData!$P$72:$X$75,MATCH($AL13,ShipData!$N$72:$N$75,0),MATCH(AV$11&amp;LEFT(AV$9,4),ShipData!$P$70:$X$70&amp;ShipData!$P$71:$X$71,0))</f>
        <v>0.77646857355479448</v>
      </c>
      <c r="AW13" s="1305">
        <f t="array" ref="AW13">INDEX(ShipData!$P$72:$X$75,MATCH($AL13,ShipData!$N$72:$N$75,0),MATCH(AW$11&amp;LEFT(AW$9,4),ShipData!$P$70:$X$70&amp;ShipData!$P$71:$X$71,0))</f>
        <v>1.288909160511386</v>
      </c>
      <c r="AX13" s="1305">
        <f t="array" ref="AX13">INDEX(ShipData!$P$72:$X$75,MATCH($AL13,ShipData!$N$72:$N$75,0),MATCH(AX$11&amp;LEFT(AX$9,4),ShipData!$P$70:$X$70&amp;ShipData!$P$71:$X$71,0))</f>
        <v>2.2094448717413786</v>
      </c>
      <c r="AY13" s="1305">
        <f t="array" ref="AY13">INDEX(ShipData!$P$72:$X$75,MATCH($AL13,ShipData!$N$72:$N$75,0),MATCH(AY$11&amp;LEFT(AY$9,4),ShipData!$P$70:$X$70&amp;ShipData!$P$71:$X$71,0))</f>
        <v>0.77972251382944091</v>
      </c>
      <c r="AZ13" s="1305">
        <f t="array" ref="AZ13">INDEX(ShipData!$P$72:$X$75,MATCH($AL13,ShipData!$N$72:$N$75,0),MATCH(AZ$11&amp;LEFT(AZ$9,4),ShipData!$P$70:$X$70&amp;ShipData!$P$71:$X$71,0))</f>
        <v>1.3151655040251187</v>
      </c>
      <c r="BA13" s="1305">
        <f t="array" ref="BA13">INDEX(ShipData!$P$72:$X$75,MATCH($AL13,ShipData!$N$72:$N$75,0),MATCH(BA$11&amp;LEFT(BA$9,4),ShipData!$P$70:$X$70&amp;ShipData!$P$71:$X$71,0))</f>
        <v>2.1848428928948538</v>
      </c>
      <c r="BB13" s="1305">
        <f t="array" ref="BB13">INDEX(ShipData!$P$72:$X$75,MATCH($AL13,ShipData!$N$72:$N$75,0),MATCH(BB$11&amp;LEFT(BB$9,4),ShipData!$P$70:$X$70&amp;ShipData!$P$71:$X$71,0))</f>
        <v>0.48162297598757475</v>
      </c>
      <c r="BC13" s="1305">
        <f t="array" ref="BC13">INDEX(ShipData!$P$72:$X$75,MATCH($AL13,ShipData!$N$72:$N$75,0),MATCH(BC$11&amp;LEFT(BC$9,4),ShipData!$P$70:$X$70&amp;ShipData!$P$71:$X$71,0))</f>
        <v>0.93177119249854268</v>
      </c>
      <c r="BD13" s="1305">
        <f t="array" ref="BD13">INDEX(ShipData!$P$72:$X$75,MATCH($AL13,ShipData!$N$72:$N$75,0),MATCH(BD$11&amp;LEFT(BD$9,4),ShipData!$P$70:$X$70&amp;ShipData!$P$71:$X$71,0))</f>
        <v>1.6033597963693558</v>
      </c>
      <c r="BE13" s="1305">
        <f t="array" ref="BE13">INDEX(ShipData!$P$81:$X$84,MATCH($AL13,ShipData!$N$81:$N$84,0),MATCH(BE$11&amp;LEFT(BE$9,4),ShipData!$P$79:$X$79&amp;ShipData!$P$80:$X$80,0))</f>
        <v>13.039647762108098</v>
      </c>
      <c r="BF13" s="1305">
        <f t="array" ref="BF13">INDEX(ShipData!$P$81:$X$84,MATCH($AL13,ShipData!$N$81:$N$84,0),MATCH(BF$11&amp;LEFT(BF$9,4),ShipData!$P$79:$X$79&amp;ShipData!$P$80:$X$80,0))</f>
        <v>13.804028640451641</v>
      </c>
      <c r="BG13" s="1305">
        <f t="array" ref="BG13">INDEX(ShipData!$P$81:$X$84,MATCH($AL13,ShipData!$N$81:$N$84,0),MATCH(BG$11&amp;LEFT(BG$9,4),ShipData!$P$79:$X$79&amp;ShipData!$P$80:$X$80,0))</f>
        <v>14.34340044108087</v>
      </c>
      <c r="BH13" s="1305">
        <f t="array" ref="BH13">INDEX(ShipData!$P$81:$X$84,MATCH($AL13,ShipData!$N$81:$N$84,0),MATCH(BH$11&amp;LEFT(BH$9,4),ShipData!$P$79:$X$79&amp;ShipData!$P$80:$X$80,0))</f>
        <v>12.387665374002692</v>
      </c>
      <c r="BI13" s="1305">
        <f t="array" ref="BI13">INDEX(ShipData!$P$81:$X$84,MATCH($AL13,ShipData!$N$81:$N$84,0),MATCH(BI$11&amp;LEFT(BI$9,4),ShipData!$P$79:$X$79&amp;ShipData!$P$80:$X$80,0))</f>
        <v>13.113827208429058</v>
      </c>
      <c r="BJ13" s="1305">
        <f t="array" ref="BJ13">INDEX(ShipData!$P$81:$X$84,MATCH($AL13,ShipData!$N$81:$N$84,0),MATCH(BJ$11&amp;LEFT(BJ$9,4),ShipData!$P$79:$X$79&amp;ShipData!$P$80:$X$80,0))</f>
        <v>13.626230419026827</v>
      </c>
      <c r="BK13" s="1305">
        <f t="array" ref="BK13">INDEX(ShipData!$P$81:$X$84,MATCH($AL13,ShipData!$N$81:$N$84,0),MATCH(BK$11&amp;LEFT(BK$9,4),ShipData!$P$79:$X$79&amp;ShipData!$P$80:$X$80,0))</f>
        <v>11.148898836602424</v>
      </c>
      <c r="BL13" s="1305">
        <f t="array" ref="BL13">INDEX(ShipData!$P$81:$X$84,MATCH($AL13,ShipData!$N$81:$N$84,0),MATCH(BL$11&amp;LEFT(BL$9,4),ShipData!$P$79:$X$79&amp;ShipData!$P$80:$X$80,0))</f>
        <v>11.802444487586152</v>
      </c>
      <c r="BM13" s="1306">
        <f t="array" ref="BM13">INDEX(ShipData!$P$81:$X$84,MATCH($AL13,ShipData!$N$81:$N$84,0),MATCH(BM$11&amp;LEFT(BM$9,4),ShipData!$P$79:$X$79&amp;ShipData!$P$80:$X$80,0))</f>
        <v>12.263607377124144</v>
      </c>
    </row>
    <row r="14" spans="3:65">
      <c r="C14" s="552" t="str">
        <f t="shared" si="0"/>
        <v>TFSSFOICD3N</v>
      </c>
      <c r="D14" s="552" t="s">
        <v>1035</v>
      </c>
      <c r="E14" s="534" t="s">
        <v>987</v>
      </c>
      <c r="F14" s="531" t="str">
        <f>F13</f>
        <v>TFSD</v>
      </c>
      <c r="G14" s="531">
        <v>2030</v>
      </c>
      <c r="H14" s="1237" t="s">
        <v>986</v>
      </c>
      <c r="I14" s="1239">
        <f t="array" ref="I14">INDEX($AN$12:$BM$15,MATCH(F14,$AM$12:$AM$15,0),MATCH(I$1&amp;$AG14,$AN$9:$BM$9&amp;$AN$11:$BM$11,0))</f>
        <v>1527</v>
      </c>
      <c r="J14" s="1239">
        <f t="shared" si="2"/>
        <v>1527</v>
      </c>
      <c r="K14" s="1239">
        <v>17027</v>
      </c>
      <c r="L14" s="1281">
        <v>30722</v>
      </c>
      <c r="M14" s="1265">
        <f t="array" ref="M14">1/(INDEX($AN$12:$BM$15,MATCH($F14,$AM$12:$AM$15,0),MATCH(($G14&amp;M$1)&amp;$AG14,$AN$9:$BM$9&amp;$AN$11:$BM$11,0))/1.852)</f>
        <v>3.891319674651244</v>
      </c>
      <c r="N14" s="1265">
        <f t="shared" si="3"/>
        <v>3.891319674651244</v>
      </c>
      <c r="O14" s="1237">
        <v>30</v>
      </c>
      <c r="P14" s="1265"/>
      <c r="Q14" s="1239">
        <v>2450.2368240000005</v>
      </c>
      <c r="R14" s="1265">
        <f t="array" ref="R14">(AF14*(INDEX(ShipData!$P$19:$R$26,MATCH($AH14,ShipData!$N$19:$N$26,0),MATCH($AI14,ShipData!$P$18:$R$18,0))+INDEX(ShipData!$P$30:$R$37,MATCH($AH14,ShipData!$N$30:$N$37,0),MATCH($AI14,ShipData!$P$29:$R$29,0)))+K14*0.1*(1/M14)*INDEX(ShipData!$P$41:$R$48,MATCH($AH14,ShipData!$N$41:$N$48,0),MATCH($AI14,ShipData!$P$40:$R$40,0)))*6.5/1000</f>
        <v>33832.264237657466</v>
      </c>
      <c r="S14" s="1237"/>
      <c r="T14" s="1237">
        <v>1E-3</v>
      </c>
      <c r="U14" s="1278"/>
      <c r="V14" s="1240"/>
      <c r="W14" s="1530">
        <f t="array" ref="W14">INDEX(EMIS_factors!$G$6:$O$152,MATCH($G14&amp;$AB14,EMIS_factors!$E$6:$E$152&amp;EMIS_factors!$D$6:$D$152,0),MATCH(RIGHT(W$4,6),EMIS_factors!$G$4:$O$4,0))</f>
        <v>46.838407494145208</v>
      </c>
      <c r="X14" s="1530">
        <f t="array" ref="X14">INDEX(EMIS_factors!$G$6:$O$152,MATCH($G14&amp;$AB14,EMIS_factors!$E$6:$E$152&amp;EMIS_factors!$D$6:$D$152,0),MATCH(RIGHT(X$4,6),EMIS_factors!$G$4:$O$4,0))</f>
        <v>938.56734047344298</v>
      </c>
      <c r="Y14" s="1530">
        <f t="array" ref="Y14">INDEX(EMIS_factors!$G$6:$O$152,MATCH($G14&amp;$AB14,EMIS_factors!$E$6:$E$152&amp;EMIS_factors!$D$6:$D$152,0),MATCH(RIGHT(Y$4,6),EMIS_factors!$G$4:$O$4,0))</f>
        <v>1.9042584079204421</v>
      </c>
      <c r="Z14" s="1530">
        <f t="array" ref="Z14">INDEX(EMIS_factors!$G$6:$O$152,MATCH($G14&amp;$AB14,EMIS_factors!$E$6:$E$152&amp;EMIS_factors!$D$6:$D$152,0),MATCH(RIGHT(Z$4,6),EMIS_factors!$G$4:$O$4,0))</f>
        <v>21.22370326738832</v>
      </c>
      <c r="AA14" s="1295"/>
      <c r="AB14" s="526" t="s">
        <v>1462</v>
      </c>
      <c r="AE14" s="1265">
        <f t="array" ref="AE14">INDEX($AN$12:$BM$15,MATCH(F14,$AM$12:$AM$15,0),MATCH($AG14&amp;$AE$1,$AN$11:$BM$11&amp;$AN$9:$BM$9,0))/1000</f>
        <v>2.5449999999999999</v>
      </c>
      <c r="AF14" s="549">
        <f t="array" ref="AF14">(AE14^INDEX(ShipData!$X$36:$X$39,MATCH($F14,ShipData!$U$36:$U$39,0)))*0.756*INDEX(ShipData!$W$36:$W$39,MATCH($F14,ShipData!$U$36:$U$39,0))</f>
        <v>1921.6608368614334</v>
      </c>
      <c r="AG14" s="549" t="str">
        <f>AG13</f>
        <v>Small</v>
      </c>
      <c r="AH14" s="526" t="s">
        <v>1249</v>
      </c>
      <c r="AI14" s="549" t="s">
        <v>1143</v>
      </c>
      <c r="AL14" s="1313" t="s">
        <v>1182</v>
      </c>
      <c r="AM14" s="1319" t="s">
        <v>1028</v>
      </c>
      <c r="AN14" s="549">
        <v>3500</v>
      </c>
      <c r="AO14" s="549">
        <v>7000</v>
      </c>
      <c r="AP14" s="549">
        <v>16800</v>
      </c>
      <c r="AQ14" s="549">
        <f t="shared" si="4"/>
        <v>2450</v>
      </c>
      <c r="AR14" s="549">
        <f t="shared" si="5"/>
        <v>4900</v>
      </c>
      <c r="AS14" s="549">
        <f t="shared" si="6"/>
        <v>11760</v>
      </c>
      <c r="AT14" s="552">
        <f>ShipData!E65</f>
        <v>0.7</v>
      </c>
      <c r="AU14" s="532">
        <f>SUM(ShipData!F27:G27)</f>
        <v>38.979999999999997</v>
      </c>
      <c r="AV14" s="1305">
        <f t="array" ref="AV14">INDEX(ShipData!$P$72:$X$75,MATCH($AL14,ShipData!$N$72:$N$75,0),MATCH(AV$11&amp;LEFT(AV$9,4),ShipData!$P$70:$X$70&amp;ShipData!$P$71:$X$71,0))</f>
        <v>1.0641630087729568</v>
      </c>
      <c r="AW14" s="1305">
        <f t="array" ref="AW14">INDEX(ShipData!$P$72:$X$75,MATCH($AL14,ShipData!$N$72:$N$75,0),MATCH(AW$11&amp;LEFT(AW$9,4),ShipData!$P$70:$X$70&amp;ShipData!$P$71:$X$71,0))</f>
        <v>2.1067816326238282</v>
      </c>
      <c r="AX14" s="1305">
        <f t="array" ref="AX14">INDEX(ShipData!$P$72:$X$75,MATCH($AL14,ShipData!$N$72:$N$75,0),MATCH(AX$11&amp;LEFT(AX$9,4),ShipData!$P$70:$X$70&amp;ShipData!$P$71:$X$71,0))</f>
        <v>4.539955425015366</v>
      </c>
      <c r="AY14" s="1305">
        <f t="array" ref="AY14">INDEX(ShipData!$P$72:$X$75,MATCH($AL14,ShipData!$N$72:$N$75,0),MATCH(AY$11&amp;LEFT(AY$9,4),ShipData!$P$70:$X$70&amp;ShipData!$P$71:$X$71,0))</f>
        <v>1.0641630087729568</v>
      </c>
      <c r="AZ14" s="1305">
        <f t="array" ref="AZ14">INDEX(ShipData!$P$72:$X$75,MATCH($AL14,ShipData!$N$72:$N$75,0),MATCH(AZ$11&amp;LEFT(AZ$9,4),ShipData!$P$70:$X$70&amp;ShipData!$P$71:$X$71,0))</f>
        <v>2.1067816326238282</v>
      </c>
      <c r="BA14" s="1305">
        <f t="array" ref="BA14">INDEX(ShipData!$P$72:$X$75,MATCH($AL14,ShipData!$N$72:$N$75,0),MATCH(BA$11&amp;LEFT(BA$9,4),ShipData!$P$70:$X$70&amp;ShipData!$P$71:$X$71,0))</f>
        <v>4.539955425015366</v>
      </c>
      <c r="BB14" s="1305">
        <f t="array" ref="BB14">INDEX(ShipData!$P$72:$X$75,MATCH($AL14,ShipData!$N$72:$N$75,0),MATCH(BB$11&amp;LEFT(BB$9,4),ShipData!$P$70:$X$70&amp;ShipData!$P$71:$X$71,0))</f>
        <v>1.0641630087729568</v>
      </c>
      <c r="BC14" s="1305">
        <f t="array" ref="BC14">INDEX(ShipData!$P$72:$X$75,MATCH($AL14,ShipData!$N$72:$N$75,0),MATCH(BC$11&amp;LEFT(BC$9,4),ShipData!$P$70:$X$70&amp;ShipData!$P$71:$X$71,0))</f>
        <v>2.1067816326238282</v>
      </c>
      <c r="BD14" s="1305">
        <f t="array" ref="BD14">INDEX(ShipData!$P$72:$X$75,MATCH($AL14,ShipData!$N$72:$N$75,0),MATCH(BD$11&amp;LEFT(BD$9,4),ShipData!$P$70:$X$70&amp;ShipData!$P$71:$X$71,0))</f>
        <v>4.539955425015366</v>
      </c>
      <c r="BE14" s="1305">
        <f t="array" ref="BE14">INDEX(ShipData!$P$81:$X$84,MATCH($AL14,ShipData!$N$81:$N$84,0),MATCH(BE$11&amp;LEFT(BE$9,4),ShipData!$P$79:$X$79&amp;ShipData!$P$80:$X$80,0))</f>
        <v>13.673050526458095</v>
      </c>
      <c r="BF14" s="1305">
        <f t="array" ref="BF14">INDEX(ShipData!$P$81:$X$84,MATCH($AL14,ShipData!$N$81:$N$84,0),MATCH(BF$11&amp;LEFT(BF$9,4),ShipData!$P$79:$X$79&amp;ShipData!$P$80:$X$80,0))</f>
        <v>16.195501023810248</v>
      </c>
      <c r="BG14" s="1305">
        <f t="array" ref="BG14">INDEX(ShipData!$P$81:$X$84,MATCH($AL14,ShipData!$N$81:$N$84,0),MATCH(BG$11&amp;LEFT(BG$9,4),ShipData!$P$79:$X$79&amp;ShipData!$P$80:$X$80,0))</f>
        <v>19.628115523844482</v>
      </c>
      <c r="BH14" s="1305">
        <f t="array" ref="BH14">INDEX(ShipData!$P$81:$X$84,MATCH($AL14,ShipData!$N$81:$N$84,0),MATCH(BH$11&amp;LEFT(BH$9,4),ShipData!$P$79:$X$79&amp;ShipData!$P$80:$X$80,0))</f>
        <v>13.673050526458095</v>
      </c>
      <c r="BI14" s="1305">
        <f t="array" ref="BI14">INDEX(ShipData!$P$81:$X$84,MATCH($AL14,ShipData!$N$81:$N$84,0),MATCH(BI$11&amp;LEFT(BI$9,4),ShipData!$P$79:$X$79&amp;ShipData!$P$80:$X$80,0))</f>
        <v>16.195501023810248</v>
      </c>
      <c r="BJ14" s="1305">
        <f t="array" ref="BJ14">INDEX(ShipData!$P$81:$X$84,MATCH($AL14,ShipData!$N$81:$N$84,0),MATCH(BJ$11&amp;LEFT(BJ$9,4),ShipData!$P$79:$X$79&amp;ShipData!$P$80:$X$80,0))</f>
        <v>19.628115523844482</v>
      </c>
      <c r="BK14" s="1305">
        <f t="array" ref="BK14">INDEX(ShipData!$P$81:$X$84,MATCH($AL14,ShipData!$N$81:$N$84,0),MATCH(BK$11&amp;LEFT(BK$9,4),ShipData!$P$79:$X$79&amp;ShipData!$P$80:$X$80,0))</f>
        <v>13.673050526458095</v>
      </c>
      <c r="BL14" s="1305">
        <f t="array" ref="BL14">INDEX(ShipData!$P$81:$X$84,MATCH($AL14,ShipData!$N$81:$N$84,0),MATCH(BL$11&amp;LEFT(BL$9,4),ShipData!$P$79:$X$79&amp;ShipData!$P$80:$X$80,0))</f>
        <v>16.195501023810248</v>
      </c>
      <c r="BM14" s="1306">
        <f t="array" ref="BM14">INDEX(ShipData!$P$81:$X$84,MATCH($AL14,ShipData!$N$81:$N$84,0),MATCH(BM$11&amp;LEFT(BM$9,4),ShipData!$P$79:$X$79&amp;ShipData!$P$80:$X$80,0))</f>
        <v>19.628115523844482</v>
      </c>
    </row>
    <row r="15" spans="3:65" ht="13.8" thickBot="1">
      <c r="C15" s="552" t="str">
        <f t="shared" si="0"/>
        <v>TFSMFOICD2N</v>
      </c>
      <c r="D15" s="552" t="s">
        <v>1036</v>
      </c>
      <c r="E15" s="534" t="s">
        <v>984</v>
      </c>
      <c r="F15" s="531" t="s">
        <v>1027</v>
      </c>
      <c r="G15" s="531">
        <v>2020</v>
      </c>
      <c r="H15" s="1237" t="s">
        <v>986</v>
      </c>
      <c r="I15" s="1239">
        <f t="array" ref="I15">INDEX($AN$12:$BM$15,MATCH(F15,$AM$12:$AM$15,0),MATCH(I$1&amp;$AG15,$AN$9:$BM$9&amp;$AN$11:$BM$11,0))</f>
        <v>4174</v>
      </c>
      <c r="J15" s="1239">
        <f t="shared" si="2"/>
        <v>4174</v>
      </c>
      <c r="K15" s="1239">
        <v>3330</v>
      </c>
      <c r="L15" s="1281">
        <v>6009</v>
      </c>
      <c r="M15" s="1265">
        <f t="array" ref="M15">1/(INDEX($AN$12:$BM$15,MATCH($F15,$AM$12:$AM$15,0),MATCH(($G15&amp;M$1)&amp;$AG15,$AN$9:$BM$9&amp;$AN$11:$BM$11,0))/1.852)</f>
        <v>1.9439057414379413</v>
      </c>
      <c r="N15" s="1265">
        <f t="shared" si="3"/>
        <v>1.9439057414379413</v>
      </c>
      <c r="O15" s="1237">
        <v>30</v>
      </c>
      <c r="P15" s="1265"/>
      <c r="Q15" s="1265">
        <f t="shared" si="1"/>
        <v>2115.4345319081817</v>
      </c>
      <c r="R15" s="1265">
        <f t="array" ref="R15">(AF15*(INDEX(ShipData!$P$19:$R$26,MATCH($AH15,ShipData!$N$19:$N$26,0),MATCH($AI15,ShipData!$P$18:$R$18,0))+INDEX(ShipData!$P$30:$R$37,MATCH($AH15,ShipData!$N$30:$N$37,0),MATCH($AI15,ShipData!$P$29:$R$29,0)))+K15*0.1*(1/M15)*INDEX(ShipData!$P$41:$R$48,MATCH($AH15,ShipData!$N$41:$N$48,0),MATCH($AI15,ShipData!$P$40:$R$40,0)))*6.5/1000</f>
        <v>60440.986625948048</v>
      </c>
      <c r="S15" s="1237"/>
      <c r="T15" s="1237">
        <v>1E-3</v>
      </c>
      <c r="U15" s="1278"/>
      <c r="V15" s="1240"/>
      <c r="W15" s="1530">
        <f t="array" ref="W15">INDEX(EMIS_factors!$G$6:$O$152,MATCH($G15&amp;$AB15,EMIS_factors!$E$6:$E$152&amp;EMIS_factors!$D$6:$D$152,0),MATCH(RIGHT(W$4,6),EMIS_factors!$G$4:$O$4,0))</f>
        <v>46.838407494145208</v>
      </c>
      <c r="X15" s="1530">
        <f t="array" ref="X15">INDEX(EMIS_factors!$G$6:$O$152,MATCH($G15&amp;$AB15,EMIS_factors!$E$6:$E$152&amp;EMIS_factors!$D$6:$D$152,0),MATCH(RIGHT(X$4,6),EMIS_factors!$G$4:$O$4,0))</f>
        <v>1402.4856581824845</v>
      </c>
      <c r="Y15" s="1530">
        <f t="array" ref="Y15">INDEX(EMIS_factors!$G$6:$O$152,MATCH($G15&amp;$AB15,EMIS_factors!$E$6:$E$152&amp;EMIS_factors!$D$6:$D$152,0),MATCH(RIGHT(Y$4,6),EMIS_factors!$G$4:$O$4,0))</f>
        <v>1.8637630108223573</v>
      </c>
      <c r="Z15" s="1530">
        <f t="array" ref="Z15">INDEX(EMIS_factors!$G$6:$O$152,MATCH($G15&amp;$AB15,EMIS_factors!$E$6:$E$152&amp;EMIS_factors!$D$6:$D$152,0),MATCH(RIGHT(Z$4,6),EMIS_factors!$G$4:$O$4,0))</f>
        <v>21.22370326738832</v>
      </c>
      <c r="AA15" s="1295"/>
      <c r="AB15" s="526" t="s">
        <v>1462</v>
      </c>
      <c r="AE15" s="1265">
        <f t="array" ref="AE15">INDEX($AN$12:$BM$15,MATCH(F15,$AM$12:$AM$15,0),MATCH($AG15&amp;$AE$1,$AN$11:$BM$11&amp;$AN$9:$BM$9,0))/1000</f>
        <v>6.956666666666667</v>
      </c>
      <c r="AF15" s="549">
        <f t="array" ref="AF15">(AE15^INDEX(ShipData!$X$36:$X$39,MATCH($F15,ShipData!$U$36:$U$39,0)))*0.756*INDEX(ShipData!$W$36:$W$39,MATCH($F15,ShipData!$U$36:$U$39,0))</f>
        <v>3439.8048335584949</v>
      </c>
      <c r="AG15" s="549" t="s">
        <v>1236</v>
      </c>
      <c r="AH15" s="526" t="s">
        <v>1249</v>
      </c>
      <c r="AI15" s="549" t="s">
        <v>1143</v>
      </c>
      <c r="AL15" s="1314" t="s">
        <v>1211</v>
      </c>
      <c r="AM15" s="1330" t="s">
        <v>1029</v>
      </c>
      <c r="AN15" s="1329">
        <v>1431.4285714285716</v>
      </c>
      <c r="AO15" s="1259">
        <v>5154.2857142857147</v>
      </c>
      <c r="AP15" s="1307">
        <f>AP14</f>
        <v>16800</v>
      </c>
      <c r="AQ15" s="1307">
        <f t="shared" ref="AQ15" si="7">AN15*$AT15</f>
        <v>1002</v>
      </c>
      <c r="AR15" s="1307">
        <f t="shared" ref="AR15" si="8">AO15*$AT15</f>
        <v>3608</v>
      </c>
      <c r="AS15" s="1307">
        <f t="shared" ref="AS15" si="9">AP15*$AT15</f>
        <v>11760</v>
      </c>
      <c r="AT15" s="1259">
        <f>AVERAGE(ShipData!E66:E67)</f>
        <v>0.7</v>
      </c>
      <c r="AU15" s="1307">
        <f>SUM(ShipData!F28:G28)</f>
        <v>233.88</v>
      </c>
      <c r="AV15" s="1308">
        <f t="array" ref="AV15">INDEX(ShipData!$P$72:$X$75,MATCH($AL15,ShipData!$N$72:$N$75,0),MATCH(AV$11&amp;LEFT(AV$9,4),ShipData!$P$70:$X$70&amp;ShipData!$P$71:$X$71,0))</f>
        <v>1.0641630087729568</v>
      </c>
      <c r="AW15" s="1308">
        <f t="array" ref="AW15">INDEX(ShipData!$P$72:$X$75,MATCH($AL15,ShipData!$N$72:$N$75,0),MATCH(AW$11&amp;LEFT(AW$9,4),ShipData!$P$70:$X$70&amp;ShipData!$P$71:$X$71,0))</f>
        <v>2.1067816326238282</v>
      </c>
      <c r="AX15" s="1308">
        <f t="array" ref="AX15">INDEX(ShipData!$P$72:$X$75,MATCH($AL15,ShipData!$N$72:$N$75,0),MATCH(AX$11&amp;LEFT(AX$9,4),ShipData!$P$70:$X$70&amp;ShipData!$P$71:$X$71,0))</f>
        <v>4.539955425015366</v>
      </c>
      <c r="AY15" s="1308">
        <f t="array" ref="AY15">INDEX(ShipData!$P$72:$X$75,MATCH($AL15,ShipData!$N$72:$N$75,0),MATCH(AY$11&amp;LEFT(AY$9,4),ShipData!$P$70:$X$70&amp;ShipData!$P$71:$X$71,0))</f>
        <v>1.0641630087729568</v>
      </c>
      <c r="AZ15" s="1308">
        <f t="array" ref="AZ15">INDEX(ShipData!$P$72:$X$75,MATCH($AL15,ShipData!$N$72:$N$75,0),MATCH(AZ$11&amp;LEFT(AZ$9,4),ShipData!$P$70:$X$70&amp;ShipData!$P$71:$X$71,0))</f>
        <v>2.1067816326238282</v>
      </c>
      <c r="BA15" s="1308">
        <f t="array" ref="BA15">INDEX(ShipData!$P$72:$X$75,MATCH($AL15,ShipData!$N$72:$N$75,0),MATCH(BA$11&amp;LEFT(BA$9,4),ShipData!$P$70:$X$70&amp;ShipData!$P$71:$X$71,0))</f>
        <v>4.539955425015366</v>
      </c>
      <c r="BB15" s="1308">
        <f t="array" ref="BB15">INDEX(ShipData!$P$72:$X$75,MATCH($AL15,ShipData!$N$72:$N$75,0),MATCH(BB$11&amp;LEFT(BB$9,4),ShipData!$P$70:$X$70&amp;ShipData!$P$71:$X$71,0))</f>
        <v>1.0641630087729568</v>
      </c>
      <c r="BC15" s="1308">
        <f t="array" ref="BC15">INDEX(ShipData!$P$72:$X$75,MATCH($AL15,ShipData!$N$72:$N$75,0),MATCH(BC$11&amp;LEFT(BC$9,4),ShipData!$P$70:$X$70&amp;ShipData!$P$71:$X$71,0))</f>
        <v>2.1067816326238282</v>
      </c>
      <c r="BD15" s="1308">
        <f t="array" ref="BD15">INDEX(ShipData!$P$72:$X$75,MATCH($AL15,ShipData!$N$72:$N$75,0),MATCH(BD$11&amp;LEFT(BD$9,4),ShipData!$P$70:$X$70&amp;ShipData!$P$71:$X$71,0))</f>
        <v>4.539955425015366</v>
      </c>
      <c r="BE15" s="1308">
        <f t="array" ref="BE15">INDEX(ShipData!$P$81:$X$84,MATCH($AL15,ShipData!$N$81:$N$84,0),MATCH(BE$11&amp;LEFT(BE$9,4),ShipData!$P$79:$X$79&amp;ShipData!$P$80:$X$80,0))</f>
        <v>13.673050526458095</v>
      </c>
      <c r="BF15" s="1308">
        <f t="array" ref="BF15">INDEX(ShipData!$P$81:$X$84,MATCH($AL15,ShipData!$N$81:$N$84,0),MATCH(BF$11&amp;LEFT(BF$9,4),ShipData!$P$79:$X$79&amp;ShipData!$P$80:$X$80,0))</f>
        <v>16.195501023810248</v>
      </c>
      <c r="BG15" s="1308">
        <f t="array" ref="BG15">INDEX(ShipData!$P$81:$X$84,MATCH($AL15,ShipData!$N$81:$N$84,0),MATCH(BG$11&amp;LEFT(BG$9,4),ShipData!$P$79:$X$79&amp;ShipData!$P$80:$X$80,0))</f>
        <v>19.628115523844482</v>
      </c>
      <c r="BH15" s="1308">
        <f t="array" ref="BH15">INDEX(ShipData!$P$81:$X$84,MATCH($AL15,ShipData!$N$81:$N$84,0),MATCH(BH$11&amp;LEFT(BH$9,4),ShipData!$P$79:$X$79&amp;ShipData!$P$80:$X$80,0))</f>
        <v>13.673050526458095</v>
      </c>
      <c r="BI15" s="1308">
        <f t="array" ref="BI15">INDEX(ShipData!$P$81:$X$84,MATCH($AL15,ShipData!$N$81:$N$84,0),MATCH(BI$11&amp;LEFT(BI$9,4),ShipData!$P$79:$X$79&amp;ShipData!$P$80:$X$80,0))</f>
        <v>16.195501023810248</v>
      </c>
      <c r="BJ15" s="1308">
        <f t="array" ref="BJ15">INDEX(ShipData!$P$81:$X$84,MATCH($AL15,ShipData!$N$81:$N$84,0),MATCH(BJ$11&amp;LEFT(BJ$9,4),ShipData!$P$79:$X$79&amp;ShipData!$P$80:$X$80,0))</f>
        <v>19.628115523844482</v>
      </c>
      <c r="BK15" s="1308">
        <f t="array" ref="BK15">INDEX(ShipData!$P$81:$X$84,MATCH($AL15,ShipData!$N$81:$N$84,0),MATCH(BK$11&amp;LEFT(BK$9,4),ShipData!$P$79:$X$79&amp;ShipData!$P$80:$X$80,0))</f>
        <v>13.673050526458095</v>
      </c>
      <c r="BL15" s="1308">
        <f t="array" ref="BL15">INDEX(ShipData!$P$81:$X$84,MATCH($AL15,ShipData!$N$81:$N$84,0),MATCH(BL$11&amp;LEFT(BL$9,4),ShipData!$P$79:$X$79&amp;ShipData!$P$80:$X$80,0))</f>
        <v>16.195501023810248</v>
      </c>
      <c r="BM15" s="1309">
        <f t="array" ref="BM15">INDEX(ShipData!$P$81:$X$84,MATCH($AL15,ShipData!$N$81:$N$84,0),MATCH(BM$11&amp;LEFT(BM$9,4),ShipData!$P$79:$X$79&amp;ShipData!$P$80:$X$80,0))</f>
        <v>19.628115523844482</v>
      </c>
    </row>
    <row r="16" spans="3:65">
      <c r="C16" s="552" t="str">
        <f t="shared" si="0"/>
        <v>TFSMFOICD3N</v>
      </c>
      <c r="D16" s="552" t="s">
        <v>1036</v>
      </c>
      <c r="E16" s="534" t="s">
        <v>987</v>
      </c>
      <c r="F16" s="531" t="str">
        <f>F15</f>
        <v>TFSD</v>
      </c>
      <c r="G16" s="531">
        <v>2030</v>
      </c>
      <c r="H16" s="1237" t="s">
        <v>986</v>
      </c>
      <c r="I16" s="1239">
        <f t="array" ref="I16">INDEX($AN$12:$BM$15,MATCH(F16,$AM$12:$AM$15,0),MATCH(I$1&amp;$AG16,$AN$9:$BM$9&amp;$AN$11:$BM$11,0))</f>
        <v>4174</v>
      </c>
      <c r="J16" s="1239">
        <f t="shared" si="2"/>
        <v>4174</v>
      </c>
      <c r="K16" s="1239">
        <v>3330</v>
      </c>
      <c r="L16" s="1281">
        <v>6009</v>
      </c>
      <c r="M16" s="1265">
        <f t="array" ref="M16">1/(INDEX($AN$12:$BM$15,MATCH($F16,$AM$12:$AM$15,0),MATCH(($G16&amp;M$1)&amp;$AG16,$AN$9:$BM$9&amp;$AN$11:$BM$11,0))/1.852)</f>
        <v>2.1794284452298629</v>
      </c>
      <c r="N16" s="1265">
        <f t="shared" si="3"/>
        <v>2.1794284452298629</v>
      </c>
      <c r="O16" s="1237">
        <v>30</v>
      </c>
      <c r="P16" s="1265"/>
      <c r="Q16" s="1239">
        <v>4386.1306860000013</v>
      </c>
      <c r="R16" s="1265">
        <f t="array" ref="R16">(AF16*(INDEX(ShipData!$P$19:$R$26,MATCH($AH16,ShipData!$N$19:$N$26,0),MATCH($AI16,ShipData!$P$18:$R$18,0))+INDEX(ShipData!$P$30:$R$37,MATCH($AH16,ShipData!$N$30:$N$37,0),MATCH($AI16,ShipData!$P$29:$R$29,0)))+K16*0.1*(1/M16)*INDEX(ShipData!$P$41:$R$48,MATCH($AH16,ShipData!$N$41:$N$48,0),MATCH($AI16,ShipData!$P$40:$R$40,0)))*6.5/1000</f>
        <v>60437.376737298517</v>
      </c>
      <c r="S16" s="1237"/>
      <c r="T16" s="1237">
        <v>1E-3</v>
      </c>
      <c r="U16" s="1278"/>
      <c r="V16" s="1240"/>
      <c r="W16" s="1530">
        <f t="array" ref="W16">INDEX(EMIS_factors!$G$6:$O$152,MATCH($G16&amp;$AB16,EMIS_factors!$E$6:$E$152&amp;EMIS_factors!$D$6:$D$152,0),MATCH(RIGHT(W$4,6),EMIS_factors!$G$4:$O$4,0))</f>
        <v>46.838407494145208</v>
      </c>
      <c r="X16" s="1530">
        <f t="array" ref="X16">INDEX(EMIS_factors!$G$6:$O$152,MATCH($G16&amp;$AB16,EMIS_factors!$E$6:$E$152&amp;EMIS_factors!$D$6:$D$152,0),MATCH(RIGHT(X$4,6),EMIS_factors!$G$4:$O$4,0))</f>
        <v>938.56734047344298</v>
      </c>
      <c r="Y16" s="1530">
        <f t="array" ref="Y16">INDEX(EMIS_factors!$G$6:$O$152,MATCH($G16&amp;$AB16,EMIS_factors!$E$6:$E$152&amp;EMIS_factors!$D$6:$D$152,0),MATCH(RIGHT(Y$4,6),EMIS_factors!$G$4:$O$4,0))</f>
        <v>1.9042584079204421</v>
      </c>
      <c r="Z16" s="1530">
        <f t="array" ref="Z16">INDEX(EMIS_factors!$G$6:$O$152,MATCH($G16&amp;$AB16,EMIS_factors!$E$6:$E$152&amp;EMIS_factors!$D$6:$D$152,0),MATCH(RIGHT(Z$4,6),EMIS_factors!$G$4:$O$4,0))</f>
        <v>21.22370326738832</v>
      </c>
      <c r="AA16" s="1295"/>
      <c r="AB16" s="526" t="s">
        <v>1462</v>
      </c>
      <c r="AE16" s="1265">
        <f t="array" ref="AE16">INDEX($AN$12:$BM$15,MATCH(F16,$AM$12:$AM$15,0),MATCH($AG16&amp;$AE$1,$AN$11:$BM$11&amp;$AN$9:$BM$9,0))/1000</f>
        <v>6.956666666666667</v>
      </c>
      <c r="AF16" s="549">
        <f t="array" ref="AF16">(AE16^INDEX(ShipData!$X$36:$X$39,MATCH($F16,ShipData!$U$36:$U$39,0)))*0.756*INDEX(ShipData!$W$36:$W$39,MATCH($F16,ShipData!$U$36:$U$39,0))</f>
        <v>3439.8048335584949</v>
      </c>
      <c r="AG16" s="549" t="str">
        <f>AG15</f>
        <v>Medium</v>
      </c>
      <c r="AH16" s="526" t="s">
        <v>1249</v>
      </c>
      <c r="AI16" s="549" t="s">
        <v>1143</v>
      </c>
      <c r="AL16" s="552"/>
      <c r="AM16" s="553"/>
      <c r="AN16" s="553"/>
    </row>
    <row r="17" spans="3:44">
      <c r="C17" s="552" t="str">
        <f t="shared" si="0"/>
        <v>TFSLFOICD2N</v>
      </c>
      <c r="D17" s="552" t="s">
        <v>1037</v>
      </c>
      <c r="E17" s="534" t="s">
        <v>984</v>
      </c>
      <c r="F17" s="531" t="s">
        <v>1027</v>
      </c>
      <c r="G17" s="531">
        <v>2020</v>
      </c>
      <c r="H17" s="1237" t="s">
        <v>986</v>
      </c>
      <c r="I17" s="1239">
        <f t="array" ref="I17">INDEX($AN$12:$BM$15,MATCH(F17,$AM$12:$AM$15,0),MATCH(I$1&amp;$AG17,$AN$9:$BM$9&amp;$AN$11:$BM$11,0))</f>
        <v>9000</v>
      </c>
      <c r="J17" s="1239">
        <f t="shared" si="2"/>
        <v>9000</v>
      </c>
      <c r="K17" s="1239">
        <v>830</v>
      </c>
      <c r="L17" s="1281">
        <v>1498</v>
      </c>
      <c r="M17" s="1265">
        <f t="array" ref="M17">1/(INDEX($AN$12:$BM$15,MATCH($F17,$AM$12:$AM$15,0),MATCH(($G17&amp;M$1)&amp;$AG17,$AN$9:$BM$9&amp;$AN$11:$BM$11,0))/1.852)</f>
        <v>1.1737776538064364</v>
      </c>
      <c r="N17" s="1265">
        <f t="shared" si="3"/>
        <v>1.1737776538064364</v>
      </c>
      <c r="O17" s="1237">
        <v>30</v>
      </c>
      <c r="P17" s="1265"/>
      <c r="Q17" s="1265">
        <f t="shared" si="1"/>
        <v>3299.3590202291289</v>
      </c>
      <c r="R17" s="1265">
        <f t="array" ref="R17">(AF17*(INDEX(ShipData!$P$19:$R$26,MATCH($AH17,ShipData!$N$19:$N$26,0),MATCH($AI17,ShipData!$P$18:$R$18,0))+INDEX(ShipData!$P$30:$R$37,MATCH($AH17,ShipData!$N$30:$N$37,0),MATCH($AI17,ShipData!$P$29:$R$29,0)))+K17*0.1*(1/M17)*INDEX(ShipData!$P$41:$R$48,MATCH($AH17,ShipData!$N$41:$N$48,0),MATCH($AI17,ShipData!$P$40:$R$40,0)))*6.5/1000</f>
        <v>94267.400577975102</v>
      </c>
      <c r="S17" s="1237"/>
      <c r="T17" s="1237">
        <v>1E-3</v>
      </c>
      <c r="U17" s="1278"/>
      <c r="V17" s="1240"/>
      <c r="W17" s="1530">
        <f t="array" ref="W17">INDEX(EMIS_factors!$G$6:$O$152,MATCH($G17&amp;$AB17,EMIS_factors!$E$6:$E$152&amp;EMIS_factors!$D$6:$D$152,0),MATCH(RIGHT(W$4,6),EMIS_factors!$G$4:$O$4,0))</f>
        <v>46.838407494145208</v>
      </c>
      <c r="X17" s="1530">
        <f t="array" ref="X17">INDEX(EMIS_factors!$G$6:$O$152,MATCH($G17&amp;$AB17,EMIS_factors!$E$6:$E$152&amp;EMIS_factors!$D$6:$D$152,0),MATCH(RIGHT(X$4,6),EMIS_factors!$G$4:$O$4,0))</f>
        <v>1402.4856581824845</v>
      </c>
      <c r="Y17" s="1530">
        <f t="array" ref="Y17">INDEX(EMIS_factors!$G$6:$O$152,MATCH($G17&amp;$AB17,EMIS_factors!$E$6:$E$152&amp;EMIS_factors!$D$6:$D$152,0),MATCH(RIGHT(Y$4,6),EMIS_factors!$G$4:$O$4,0))</f>
        <v>1.8637630108223573</v>
      </c>
      <c r="Z17" s="1530">
        <f t="array" ref="Z17">INDEX(EMIS_factors!$G$6:$O$152,MATCH($G17&amp;$AB17,EMIS_factors!$E$6:$E$152&amp;EMIS_factors!$D$6:$D$152,0),MATCH(RIGHT(Z$4,6),EMIS_factors!$G$4:$O$4,0))</f>
        <v>21.22370326738832</v>
      </c>
      <c r="AA17" s="1295"/>
      <c r="AB17" s="526" t="s">
        <v>1462</v>
      </c>
      <c r="AE17" s="1265">
        <f t="array" ref="AE17">INDEX($AN$12:$BM$15,MATCH(F17,$AM$12:$AM$15,0),MATCH($AG17&amp;$AE$1,$AN$11:$BM$11&amp;$AN$9:$BM$9,0))/1000</f>
        <v>15</v>
      </c>
      <c r="AF17" s="549">
        <f t="array" ref="AF17">(AE17^INDEX(ShipData!$X$36:$X$39,MATCH($F17,ShipData!$U$36:$U$39,0)))*0.756*INDEX(ShipData!$W$36:$W$39,MATCH($F17,ShipData!$U$36:$U$39,0))</f>
        <v>5367.1081902406004</v>
      </c>
      <c r="AG17" s="549" t="s">
        <v>1240</v>
      </c>
      <c r="AH17" s="526" t="s">
        <v>1249</v>
      </c>
      <c r="AI17" s="549" t="s">
        <v>1143</v>
      </c>
      <c r="AL17" s="552"/>
      <c r="AM17" s="553"/>
      <c r="AN17" s="553"/>
    </row>
    <row r="18" spans="3:44">
      <c r="C18" s="552" t="str">
        <f t="shared" si="0"/>
        <v>TFSLFOICD3N</v>
      </c>
      <c r="D18" s="552" t="s">
        <v>1037</v>
      </c>
      <c r="E18" s="534" t="s">
        <v>987</v>
      </c>
      <c r="F18" s="531" t="str">
        <f>F17</f>
        <v>TFSD</v>
      </c>
      <c r="G18" s="531">
        <v>2030</v>
      </c>
      <c r="H18" s="1237" t="s">
        <v>986</v>
      </c>
      <c r="I18" s="1239">
        <f t="array" ref="I18">INDEX($AN$12:$BM$15,MATCH(F18,$AM$12:$AM$15,0),MATCH(I$1&amp;$AG18,$AN$9:$BM$9&amp;$AN$11:$BM$11,0))</f>
        <v>9000</v>
      </c>
      <c r="J18" s="1239">
        <f t="shared" si="2"/>
        <v>9000</v>
      </c>
      <c r="K18" s="1239">
        <v>830</v>
      </c>
      <c r="L18" s="1281">
        <v>1498</v>
      </c>
      <c r="M18" s="1265">
        <f t="array" ref="M18">1/(INDEX($AN$12:$BM$15,MATCH($F18,$AM$12:$AM$15,0),MATCH(($G18&amp;M$1)&amp;$AG18,$AN$9:$BM$9&amp;$AN$11:$BM$11,0))/1.852)</f>
        <v>1.310801422750717</v>
      </c>
      <c r="N18" s="1265">
        <f t="shared" si="3"/>
        <v>1.310801422750717</v>
      </c>
      <c r="O18" s="1237">
        <v>30</v>
      </c>
      <c r="P18" s="1265"/>
      <c r="Q18" s="1239">
        <v>6844.1214240000018</v>
      </c>
      <c r="R18" s="1265">
        <f t="array" ref="R18">(AF18*(INDEX(ShipData!$P$19:$R$26,MATCH($AH18,ShipData!$N$19:$N$26,0),MATCH($AI18,ShipData!$P$18:$R$18,0))+INDEX(ShipData!$P$30:$R$37,MATCH($AH18,ShipData!$N$30:$N$37,0),MATCH($AI18,ShipData!$P$29:$R$29,0)))+K18*0.1*(1/M18)*INDEX(ShipData!$P$41:$R$48,MATCH($AH18,ShipData!$N$41:$N$48,0),MATCH($AI18,ShipData!$P$40:$R$40,0)))*6.5/1000</f>
        <v>94265.959173482435</v>
      </c>
      <c r="S18" s="1237"/>
      <c r="T18" s="1237">
        <v>1E-3</v>
      </c>
      <c r="U18" s="1278"/>
      <c r="V18" s="1240"/>
      <c r="W18" s="1530">
        <f t="array" ref="W18">INDEX(EMIS_factors!$G$6:$O$152,MATCH($G18&amp;$AB18,EMIS_factors!$E$6:$E$152&amp;EMIS_factors!$D$6:$D$152,0),MATCH(RIGHT(W$4,6),EMIS_factors!$G$4:$O$4,0))</f>
        <v>46.838407494145208</v>
      </c>
      <c r="X18" s="1530">
        <f t="array" ref="X18">INDEX(EMIS_factors!$G$6:$O$152,MATCH($G18&amp;$AB18,EMIS_factors!$E$6:$E$152&amp;EMIS_factors!$D$6:$D$152,0),MATCH(RIGHT(X$4,6),EMIS_factors!$G$4:$O$4,0))</f>
        <v>938.56734047344298</v>
      </c>
      <c r="Y18" s="1530">
        <f t="array" ref="Y18">INDEX(EMIS_factors!$G$6:$O$152,MATCH($G18&amp;$AB18,EMIS_factors!$E$6:$E$152&amp;EMIS_factors!$D$6:$D$152,0),MATCH(RIGHT(Y$4,6),EMIS_factors!$G$4:$O$4,0))</f>
        <v>1.9042584079204421</v>
      </c>
      <c r="Z18" s="1530">
        <f t="array" ref="Z18">INDEX(EMIS_factors!$G$6:$O$152,MATCH($G18&amp;$AB18,EMIS_factors!$E$6:$E$152&amp;EMIS_factors!$D$6:$D$152,0),MATCH(RIGHT(Z$4,6),EMIS_factors!$G$4:$O$4,0))</f>
        <v>21.22370326738832</v>
      </c>
      <c r="AA18" s="1295"/>
      <c r="AB18" s="526" t="s">
        <v>1462</v>
      </c>
      <c r="AE18" s="1265">
        <f t="array" ref="AE18">INDEX($AN$12:$BM$15,MATCH(F18,$AM$12:$AM$15,0),MATCH($AG18&amp;$AE$1,$AN$11:$BM$11&amp;$AN$9:$BM$9,0))/1000</f>
        <v>15</v>
      </c>
      <c r="AF18" s="549">
        <f t="array" ref="AF18">(AE18^INDEX(ShipData!$X$36:$X$39,MATCH($F18,ShipData!$U$36:$U$39,0)))*0.756*INDEX(ShipData!$W$36:$W$39,MATCH($F18,ShipData!$U$36:$U$39,0))</f>
        <v>5367.1081902406004</v>
      </c>
      <c r="AG18" s="549" t="str">
        <f>AG17</f>
        <v>Large</v>
      </c>
      <c r="AH18" s="526" t="s">
        <v>1249</v>
      </c>
      <c r="AI18" s="549" t="s">
        <v>1143</v>
      </c>
      <c r="AL18" s="552"/>
      <c r="AM18" s="553"/>
      <c r="AN18" s="553"/>
    </row>
    <row r="19" spans="3:44">
      <c r="C19" s="552" t="str">
        <f t="shared" si="0"/>
        <v>TFSSFOICC2N</v>
      </c>
      <c r="D19" s="552" t="s">
        <v>1039</v>
      </c>
      <c r="E19" s="534" t="s">
        <v>984</v>
      </c>
      <c r="F19" s="531" t="s">
        <v>1028</v>
      </c>
      <c r="G19" s="531">
        <v>2020</v>
      </c>
      <c r="H19" s="1237" t="s">
        <v>986</v>
      </c>
      <c r="I19" s="1239">
        <f t="array" ref="I19">INDEX($AN$12:$BM$15,MATCH(F19,$AM$12:$AM$15,0),MATCH(I$1&amp;$AG19,$AN$9:$BM$9&amp;$AN$11:$BM$11,0))</f>
        <v>2450</v>
      </c>
      <c r="J19" s="1239">
        <f t="shared" ref="J19:J28" si="10">I19</f>
        <v>2450</v>
      </c>
      <c r="K19" s="1239">
        <v>0</v>
      </c>
      <c r="L19" s="1281">
        <v>0</v>
      </c>
      <c r="M19" s="1265">
        <f t="array" ref="M19">1/(INDEX($AN$12:$BM$15,MATCH($F19,$AM$12:$AM$15,0),MATCH(($G19&amp;M$1)&amp;$AG19,$AN$9:$BM$9&amp;$AN$11:$BM$11,0))/1.852)</f>
        <v>1.7403348779577166</v>
      </c>
      <c r="N19" s="1265">
        <f t="shared" ref="N19:N28" si="11">M19</f>
        <v>1.7403348779577166</v>
      </c>
      <c r="O19" s="1237">
        <v>30</v>
      </c>
      <c r="P19" s="1265"/>
      <c r="Q19" s="1265">
        <f>0.035*R19</f>
        <v>1121.1482088699522</v>
      </c>
      <c r="R19" s="1265">
        <f t="array" ref="R19">(AF19*(INDEX(ShipData!$P$19:$R$26,MATCH($AH19,ShipData!$N$19:$N$26,0),MATCH($AI19,ShipData!$P$18:$R$18,0))+INDEX(ShipData!$P$30:$R$37,MATCH($AH19,ShipData!$N$30:$N$37,0),MATCH($AI19,ShipData!$P$29:$R$29,0)))+K19*0.1*(1/M19)*INDEX(ShipData!$P$41:$R$48,MATCH($AH19,ShipData!$N$41:$N$48,0),MATCH($AI19,ShipData!$P$40:$R$40,0)))*6.5/1000</f>
        <v>32032.805967712917</v>
      </c>
      <c r="S19" s="1237"/>
      <c r="T19" s="1237">
        <v>1E-3</v>
      </c>
      <c r="U19" s="1278"/>
      <c r="V19" s="1240"/>
      <c r="W19" s="1530">
        <f t="array" ref="W19">INDEX(EMIS_factors!$G$6:$O$152,MATCH($G19&amp;$AB19,EMIS_factors!$E$6:$E$152&amp;EMIS_factors!$D$6:$D$152,0),MATCH(RIGHT(W$4,6),EMIS_factors!$G$4:$O$4,0))</f>
        <v>46.838407494145208</v>
      </c>
      <c r="X19" s="1530">
        <f t="array" ref="X19">INDEX(EMIS_factors!$G$6:$O$152,MATCH($G19&amp;$AB19,EMIS_factors!$E$6:$E$152&amp;EMIS_factors!$D$6:$D$152,0),MATCH(RIGHT(X$4,6),EMIS_factors!$G$4:$O$4,0))</f>
        <v>1402.4856581824845</v>
      </c>
      <c r="Y19" s="1530">
        <f t="array" ref="Y19">INDEX(EMIS_factors!$G$6:$O$152,MATCH($G19&amp;$AB19,EMIS_factors!$E$6:$E$152&amp;EMIS_factors!$D$6:$D$152,0),MATCH(RIGHT(Y$4,6),EMIS_factors!$G$4:$O$4,0))</f>
        <v>1.8637630108223573</v>
      </c>
      <c r="Z19" s="1530">
        <f t="array" ref="Z19">INDEX(EMIS_factors!$G$6:$O$152,MATCH($G19&amp;$AB19,EMIS_factors!$E$6:$E$152&amp;EMIS_factors!$D$6:$D$152,0),MATCH(RIGHT(Z$4,6),EMIS_factors!$G$4:$O$4,0))</f>
        <v>21.22370326738832</v>
      </c>
      <c r="AA19" s="1295"/>
      <c r="AB19" s="526" t="s">
        <v>1462</v>
      </c>
      <c r="AE19" s="1265">
        <f t="array" ref="AE19">INDEX($AN$12:$BM$15,MATCH(F19,$AM$12:$AM$15,0),MATCH($AG19&amp;$AE$1,$AN$11:$BM$11&amp;$AN$9:$BM$9,0))/1000</f>
        <v>3.5</v>
      </c>
      <c r="AF19" s="549">
        <f t="array" ref="AF19">(AE19^INDEX(ShipData!$X$36:$X$39,MATCH($F19,ShipData!$U$36:$U$39,0)))*0.756*INDEX(ShipData!$W$36:$W$39,MATCH($F19,ShipData!$U$36:$U$39,0))</f>
        <v>2454.0448908848457</v>
      </c>
      <c r="AG19" s="549" t="s">
        <v>1239</v>
      </c>
      <c r="AH19" s="526" t="s">
        <v>1249</v>
      </c>
      <c r="AI19" s="549" t="s">
        <v>1145</v>
      </c>
      <c r="AL19" s="552"/>
      <c r="AM19" s="553"/>
      <c r="AN19" s="553"/>
    </row>
    <row r="20" spans="3:44">
      <c r="C20" s="552" t="str">
        <f t="shared" si="0"/>
        <v>TFSSFOICC3N</v>
      </c>
      <c r="D20" s="552" t="s">
        <v>1039</v>
      </c>
      <c r="E20" s="534" t="s">
        <v>987</v>
      </c>
      <c r="F20" s="531" t="str">
        <f>F19</f>
        <v>TFSC</v>
      </c>
      <c r="G20" s="531">
        <v>2030</v>
      </c>
      <c r="H20" s="1237" t="s">
        <v>986</v>
      </c>
      <c r="I20" s="1239">
        <f t="array" ref="I20">INDEX($AN$12:$BM$15,MATCH(F20,$AM$12:$AM$15,0),MATCH(I$1&amp;$AG20,$AN$9:$BM$9&amp;$AN$11:$BM$11,0))</f>
        <v>2450</v>
      </c>
      <c r="J20" s="1239">
        <f t="shared" si="10"/>
        <v>2450</v>
      </c>
      <c r="K20" s="1239">
        <v>0</v>
      </c>
      <c r="L20" s="1281">
        <v>0</v>
      </c>
      <c r="M20" s="1265">
        <f t="array" ref="M20">1/(INDEX($AN$12:$BM$15,MATCH($F20,$AM$12:$AM$15,0),MATCH(($G20&amp;M$1)&amp;$AG20,$AN$9:$BM$9&amp;$AN$11:$BM$11,0))/1.852)</f>
        <v>1.7403348779577166</v>
      </c>
      <c r="N20" s="1265">
        <f t="shared" si="11"/>
        <v>1.7403348779577166</v>
      </c>
      <c r="O20" s="1237">
        <v>30</v>
      </c>
      <c r="P20" s="1265"/>
      <c r="Q20" s="1239">
        <v>2358.2166300000004</v>
      </c>
      <c r="R20" s="1265">
        <f t="array" ref="R20">(AF20*(INDEX(ShipData!$P$19:$R$26,MATCH($AH20,ShipData!$N$19:$N$26,0),MATCH($AI20,ShipData!$P$18:$R$18,0))+INDEX(ShipData!$P$30:$R$37,MATCH($AH20,ShipData!$N$30:$N$37,0),MATCH($AI20,ShipData!$P$29:$R$29,0)))+K20*0.1*(1/M20)*INDEX(ShipData!$P$41:$R$48,MATCH($AH20,ShipData!$N$41:$N$48,0),MATCH($AI20,ShipData!$P$40:$R$40,0)))*6.5/1000</f>
        <v>32032.805967712917</v>
      </c>
      <c r="S20" s="1237"/>
      <c r="T20" s="1237">
        <v>1E-3</v>
      </c>
      <c r="U20" s="1278"/>
      <c r="V20" s="1240"/>
      <c r="W20" s="1530">
        <f t="array" ref="W20">INDEX(EMIS_factors!$G$6:$O$152,MATCH($G20&amp;$AB20,EMIS_factors!$E$6:$E$152&amp;EMIS_factors!$D$6:$D$152,0),MATCH(RIGHT(W$4,6),EMIS_factors!$G$4:$O$4,0))</f>
        <v>46.838407494145208</v>
      </c>
      <c r="X20" s="1530">
        <f t="array" ref="X20">INDEX(EMIS_factors!$G$6:$O$152,MATCH($G20&amp;$AB20,EMIS_factors!$E$6:$E$152&amp;EMIS_factors!$D$6:$D$152,0),MATCH(RIGHT(X$4,6),EMIS_factors!$G$4:$O$4,0))</f>
        <v>938.56734047344298</v>
      </c>
      <c r="Y20" s="1530">
        <f t="array" ref="Y20">INDEX(EMIS_factors!$G$6:$O$152,MATCH($G20&amp;$AB20,EMIS_factors!$E$6:$E$152&amp;EMIS_factors!$D$6:$D$152,0),MATCH(RIGHT(Y$4,6),EMIS_factors!$G$4:$O$4,0))</f>
        <v>1.9042584079204421</v>
      </c>
      <c r="Z20" s="1530">
        <f t="array" ref="Z20">INDEX(EMIS_factors!$G$6:$O$152,MATCH($G20&amp;$AB20,EMIS_factors!$E$6:$E$152&amp;EMIS_factors!$D$6:$D$152,0),MATCH(RIGHT(Z$4,6),EMIS_factors!$G$4:$O$4,0))</f>
        <v>21.22370326738832</v>
      </c>
      <c r="AA20" s="1295"/>
      <c r="AB20" s="526" t="s">
        <v>1462</v>
      </c>
      <c r="AE20" s="1265">
        <f t="array" ref="AE20">INDEX($AN$12:$BM$15,MATCH(F20,$AM$12:$AM$15,0),MATCH($AG20&amp;$AE$1,$AN$11:$BM$11&amp;$AN$9:$BM$9,0))/1000</f>
        <v>3.5</v>
      </c>
      <c r="AF20" s="549">
        <f t="array" ref="AF20">(AE20^INDEX(ShipData!$X$36:$X$39,MATCH($F20,ShipData!$U$36:$U$39,0)))*0.756*INDEX(ShipData!$W$36:$W$39,MATCH($F20,ShipData!$U$36:$U$39,0))</f>
        <v>2454.0448908848457</v>
      </c>
      <c r="AG20" s="549" t="str">
        <f>AG19</f>
        <v>Small</v>
      </c>
      <c r="AH20" s="526" t="s">
        <v>1249</v>
      </c>
      <c r="AI20" s="549" t="s">
        <v>1145</v>
      </c>
      <c r="AL20" s="552"/>
      <c r="AM20" s="553"/>
      <c r="AN20" s="553"/>
    </row>
    <row r="21" spans="3:44">
      <c r="C21" s="552" t="str">
        <f t="shared" si="0"/>
        <v>TFSMFOICC2N</v>
      </c>
      <c r="D21" s="552" t="s">
        <v>1040</v>
      </c>
      <c r="E21" s="534" t="s">
        <v>984</v>
      </c>
      <c r="F21" s="531" t="s">
        <v>1028</v>
      </c>
      <c r="G21" s="531">
        <v>2020</v>
      </c>
      <c r="H21" s="1237" t="s">
        <v>986</v>
      </c>
      <c r="I21" s="1239">
        <f t="array" ref="I21">INDEX($AN$12:$BM$15,MATCH(F21,$AM$12:$AM$15,0),MATCH(I$1&amp;$AG21,$AN$9:$BM$9&amp;$AN$11:$BM$11,0))</f>
        <v>4900</v>
      </c>
      <c r="J21" s="1239">
        <f t="shared" si="10"/>
        <v>4900</v>
      </c>
      <c r="K21" s="1239">
        <v>362</v>
      </c>
      <c r="L21" s="1281">
        <v>653</v>
      </c>
      <c r="M21" s="1265">
        <f t="array" ref="M21">1/(INDEX($AN$12:$BM$15,MATCH($F21,$AM$12:$AM$15,0),MATCH(($G21&amp;M$1)&amp;$AG21,$AN$9:$BM$9&amp;$AN$11:$BM$11,0))/1.852)</f>
        <v>0.87906595126970144</v>
      </c>
      <c r="N21" s="1265">
        <f t="shared" si="11"/>
        <v>0.87906595126970144</v>
      </c>
      <c r="O21" s="1237">
        <v>30</v>
      </c>
      <c r="P21" s="1265"/>
      <c r="Q21" s="1265">
        <f>0.035*R21</f>
        <v>2505.5231589511036</v>
      </c>
      <c r="R21" s="1265">
        <f t="array" ref="R21">(AF21*(INDEX(ShipData!$P$19:$R$26,MATCH($AH21,ShipData!$N$19:$N$26,0),MATCH($AI21,ShipData!$P$18:$R$18,0))+INDEX(ShipData!$P$30:$R$37,MATCH($AH21,ShipData!$N$30:$N$37,0),MATCH($AI21,ShipData!$P$29:$R$29,0)))+K21*0.1*(1/M21)*INDEX(ShipData!$P$41:$R$48,MATCH($AH21,ShipData!$N$41:$N$48,0),MATCH($AI21,ShipData!$P$40:$R$40,0)))*6.5/1000</f>
        <v>71586.375970031528</v>
      </c>
      <c r="S21" s="1237"/>
      <c r="T21" s="1237">
        <v>1E-3</v>
      </c>
      <c r="U21" s="1278"/>
      <c r="V21" s="1240"/>
      <c r="W21" s="1530">
        <f t="array" ref="W21">INDEX(EMIS_factors!$G$6:$O$152,MATCH($G21&amp;$AB21,EMIS_factors!$E$6:$E$152&amp;EMIS_factors!$D$6:$D$152,0),MATCH(RIGHT(W$4,6),EMIS_factors!$G$4:$O$4,0))</f>
        <v>46.838407494145208</v>
      </c>
      <c r="X21" s="1530">
        <f t="array" ref="X21">INDEX(EMIS_factors!$G$6:$O$152,MATCH($G21&amp;$AB21,EMIS_factors!$E$6:$E$152&amp;EMIS_factors!$D$6:$D$152,0),MATCH(RIGHT(X$4,6),EMIS_factors!$G$4:$O$4,0))</f>
        <v>1402.4856581824845</v>
      </c>
      <c r="Y21" s="1530">
        <f t="array" ref="Y21">INDEX(EMIS_factors!$G$6:$O$152,MATCH($G21&amp;$AB21,EMIS_factors!$E$6:$E$152&amp;EMIS_factors!$D$6:$D$152,0),MATCH(RIGHT(Y$4,6),EMIS_factors!$G$4:$O$4,0))</f>
        <v>1.8637630108223573</v>
      </c>
      <c r="Z21" s="1530">
        <f t="array" ref="Z21">INDEX(EMIS_factors!$G$6:$O$152,MATCH($G21&amp;$AB21,EMIS_factors!$E$6:$E$152&amp;EMIS_factors!$D$6:$D$152,0),MATCH(RIGHT(Z$4,6),EMIS_factors!$G$4:$O$4,0))</f>
        <v>21.22370326738832</v>
      </c>
      <c r="AA21" s="1295"/>
      <c r="AB21" s="526" t="s">
        <v>1462</v>
      </c>
      <c r="AE21" s="1265">
        <f t="array" ref="AE21">INDEX($AN$12:$BM$15,MATCH(F21,$AM$12:$AM$15,0),MATCH($AG21&amp;$AE$1,$AN$11:$BM$11&amp;$AN$9:$BM$9,0))/1000</f>
        <v>7</v>
      </c>
      <c r="AF21" s="549">
        <f t="array" ref="AF21">(AE21^INDEX(ShipData!$X$36:$X$39,MATCH($F21,ShipData!$U$36:$U$39,0)))*0.756*INDEX(ShipData!$W$36:$W$39,MATCH($F21,ShipData!$U$36:$U$39,0))</f>
        <v>5483.7455856749639</v>
      </c>
      <c r="AG21" s="549" t="s">
        <v>1236</v>
      </c>
      <c r="AH21" s="526" t="s">
        <v>1249</v>
      </c>
      <c r="AI21" s="549" t="s">
        <v>1145</v>
      </c>
      <c r="AR21" s="526"/>
    </row>
    <row r="22" spans="3:44">
      <c r="C22" s="552" t="str">
        <f t="shared" si="0"/>
        <v>TFSMFOICC3N</v>
      </c>
      <c r="D22" s="552" t="s">
        <v>1040</v>
      </c>
      <c r="E22" s="534" t="s">
        <v>987</v>
      </c>
      <c r="F22" s="531" t="str">
        <f>F21</f>
        <v>TFSC</v>
      </c>
      <c r="G22" s="531">
        <v>2030</v>
      </c>
      <c r="H22" s="1237" t="s">
        <v>986</v>
      </c>
      <c r="I22" s="1239">
        <f t="array" ref="I22">INDEX($AN$12:$BM$15,MATCH(F22,$AM$12:$AM$15,0),MATCH(I$1&amp;$AG22,$AN$9:$BM$9&amp;$AN$11:$BM$11,0))</f>
        <v>4900</v>
      </c>
      <c r="J22" s="1239">
        <f t="shared" si="10"/>
        <v>4900</v>
      </c>
      <c r="K22" s="1239">
        <v>362</v>
      </c>
      <c r="L22" s="1281">
        <v>653</v>
      </c>
      <c r="M22" s="1265">
        <f t="array" ref="M22">1/(INDEX($AN$12:$BM$15,MATCH($F22,$AM$12:$AM$15,0),MATCH(($G22&amp;M$1)&amp;$AG22,$AN$9:$BM$9&amp;$AN$11:$BM$11,0))/1.852)</f>
        <v>0.87906595126970144</v>
      </c>
      <c r="N22" s="1265">
        <f t="shared" si="11"/>
        <v>0.87906595126970144</v>
      </c>
      <c r="O22" s="1237">
        <v>30</v>
      </c>
      <c r="P22" s="1265"/>
      <c r="Q22" s="1239">
        <v>5268.5013150000013</v>
      </c>
      <c r="R22" s="1265">
        <f t="array" ref="R22">(AF22*(INDEX(ShipData!$P$19:$R$26,MATCH($AH22,ShipData!$N$19:$N$26,0),MATCH($AI22,ShipData!$P$18:$R$18,0))+INDEX(ShipData!$P$30:$R$37,MATCH($AH22,ShipData!$N$30:$N$37,0),MATCH($AI22,ShipData!$P$29:$R$29,0)))+K22*0.1*(1/M22)*INDEX(ShipData!$P$41:$R$48,MATCH($AH22,ShipData!$N$41:$N$48,0),MATCH($AI22,ShipData!$P$40:$R$40,0)))*6.5/1000</f>
        <v>71586.375970031528</v>
      </c>
      <c r="S22" s="1237"/>
      <c r="T22" s="1237">
        <v>1E-3</v>
      </c>
      <c r="U22" s="1278"/>
      <c r="V22" s="1240"/>
      <c r="W22" s="1530">
        <f t="array" ref="W22">INDEX(EMIS_factors!$G$6:$O$152,MATCH($G22&amp;$AB22,EMIS_factors!$E$6:$E$152&amp;EMIS_factors!$D$6:$D$152,0),MATCH(RIGHT(W$4,6),EMIS_factors!$G$4:$O$4,0))</f>
        <v>46.838407494145208</v>
      </c>
      <c r="X22" s="1530">
        <f t="array" ref="X22">INDEX(EMIS_factors!$G$6:$O$152,MATCH($G22&amp;$AB22,EMIS_factors!$E$6:$E$152&amp;EMIS_factors!$D$6:$D$152,0),MATCH(RIGHT(X$4,6),EMIS_factors!$G$4:$O$4,0))</f>
        <v>938.56734047344298</v>
      </c>
      <c r="Y22" s="1530">
        <f t="array" ref="Y22">INDEX(EMIS_factors!$G$6:$O$152,MATCH($G22&amp;$AB22,EMIS_factors!$E$6:$E$152&amp;EMIS_factors!$D$6:$D$152,0),MATCH(RIGHT(Y$4,6),EMIS_factors!$G$4:$O$4,0))</f>
        <v>1.9042584079204421</v>
      </c>
      <c r="Z22" s="1530">
        <f t="array" ref="Z22">INDEX(EMIS_factors!$G$6:$O$152,MATCH($G22&amp;$AB22,EMIS_factors!$E$6:$E$152&amp;EMIS_factors!$D$6:$D$152,0),MATCH(RIGHT(Z$4,6),EMIS_factors!$G$4:$O$4,0))</f>
        <v>21.22370326738832</v>
      </c>
      <c r="AA22" s="1295"/>
      <c r="AB22" s="526" t="s">
        <v>1462</v>
      </c>
      <c r="AE22" s="1265">
        <f t="array" ref="AE22">INDEX($AN$12:$BM$15,MATCH(F22,$AM$12:$AM$15,0),MATCH($AG22&amp;$AE$1,$AN$11:$BM$11&amp;$AN$9:$BM$9,0))/1000</f>
        <v>7</v>
      </c>
      <c r="AF22" s="549">
        <f t="array" ref="AF22">(AE22^INDEX(ShipData!$X$36:$X$39,MATCH($F22,ShipData!$U$36:$U$39,0)))*0.756*INDEX(ShipData!$W$36:$W$39,MATCH($F22,ShipData!$U$36:$U$39,0))</f>
        <v>5483.7455856749639</v>
      </c>
      <c r="AG22" s="549" t="str">
        <f>AG21</f>
        <v>Medium</v>
      </c>
      <c r="AH22" s="526" t="s">
        <v>1249</v>
      </c>
      <c r="AI22" s="549" t="s">
        <v>1145</v>
      </c>
      <c r="AR22" s="526"/>
    </row>
    <row r="23" spans="3:44">
      <c r="C23" s="552" t="str">
        <f t="shared" si="0"/>
        <v>TFSLFOICC2N</v>
      </c>
      <c r="D23" s="552" t="s">
        <v>1041</v>
      </c>
      <c r="E23" s="534" t="s">
        <v>984</v>
      </c>
      <c r="F23" s="531" t="s">
        <v>1028</v>
      </c>
      <c r="G23" s="531">
        <v>2020</v>
      </c>
      <c r="H23" s="1237" t="s">
        <v>986</v>
      </c>
      <c r="I23" s="1239">
        <f t="array" ref="I23">INDEX($AN$12:$BM$15,MATCH(F23,$AM$12:$AM$15,0),MATCH(I$1&amp;$AG23,$AN$9:$BM$9&amp;$AN$11:$BM$11,0))</f>
        <v>11760</v>
      </c>
      <c r="J23" s="1239">
        <f t="shared" si="10"/>
        <v>11760</v>
      </c>
      <c r="K23" s="1239">
        <v>579</v>
      </c>
      <c r="L23" s="1281">
        <v>1045</v>
      </c>
      <c r="M23" s="1265">
        <f t="array" ref="M23">1/(INDEX($AN$12:$BM$15,MATCH($F23,$AM$12:$AM$15,0),MATCH(($G23&amp;M$1)&amp;$AG23,$AN$9:$BM$9&amp;$AN$11:$BM$11,0))/1.852)</f>
        <v>0.40793352062343913</v>
      </c>
      <c r="N23" s="1265">
        <f t="shared" si="11"/>
        <v>0.40793352062343913</v>
      </c>
      <c r="O23" s="1237">
        <v>30</v>
      </c>
      <c r="P23" s="1265"/>
      <c r="Q23" s="1265">
        <f>0.035*R23</f>
        <v>6917.5697415468376</v>
      </c>
      <c r="R23" s="1265">
        <f t="array" ref="R23">(AF23*(INDEX(ShipData!$P$19:$R$26,MATCH($AH23,ShipData!$N$19:$N$26,0),MATCH($AI23,ShipData!$P$18:$R$18,0))+INDEX(ShipData!$P$30:$R$37,MATCH($AH23,ShipData!$N$30:$N$37,0),MATCH($AI23,ShipData!$P$29:$R$29,0)))+K23*0.1*(1/M23)*INDEX(ShipData!$P$41:$R$48,MATCH($AH23,ShipData!$N$41:$N$48,0),MATCH($AI23,ShipData!$P$40:$R$40,0)))*6.5/1000</f>
        <v>197644.84975848105</v>
      </c>
      <c r="S23" s="1237"/>
      <c r="T23" s="1237">
        <v>1E-3</v>
      </c>
      <c r="U23" s="1278"/>
      <c r="V23" s="1240"/>
      <c r="W23" s="1530">
        <f t="array" ref="W23">INDEX(EMIS_factors!$G$6:$O$152,MATCH($G23&amp;$AB23,EMIS_factors!$E$6:$E$152&amp;EMIS_factors!$D$6:$D$152,0),MATCH(RIGHT(W$4,6),EMIS_factors!$G$4:$O$4,0))</f>
        <v>46.838407494145208</v>
      </c>
      <c r="X23" s="1530">
        <f t="array" ref="X23">INDEX(EMIS_factors!$G$6:$O$152,MATCH($G23&amp;$AB23,EMIS_factors!$E$6:$E$152&amp;EMIS_factors!$D$6:$D$152,0),MATCH(RIGHT(X$4,6),EMIS_factors!$G$4:$O$4,0))</f>
        <v>1402.4856581824845</v>
      </c>
      <c r="Y23" s="1530">
        <f t="array" ref="Y23">INDEX(EMIS_factors!$G$6:$O$152,MATCH($G23&amp;$AB23,EMIS_factors!$E$6:$E$152&amp;EMIS_factors!$D$6:$D$152,0),MATCH(RIGHT(Y$4,6),EMIS_factors!$G$4:$O$4,0))</f>
        <v>1.8637630108223573</v>
      </c>
      <c r="Z23" s="1530">
        <f t="array" ref="Z23">INDEX(EMIS_factors!$G$6:$O$152,MATCH($G23&amp;$AB23,EMIS_factors!$E$6:$E$152&amp;EMIS_factors!$D$6:$D$152,0),MATCH(RIGHT(Z$4,6),EMIS_factors!$G$4:$O$4,0))</f>
        <v>21.22370326738832</v>
      </c>
      <c r="AA23" s="1295"/>
      <c r="AB23" s="526" t="s">
        <v>1462</v>
      </c>
      <c r="AE23" s="1265">
        <f t="array" ref="AE23">INDEX($AN$12:$BM$15,MATCH(F23,$AM$12:$AM$15,0),MATCH($AG23&amp;$AE$1,$AN$11:$BM$11&amp;$AN$9:$BM$9,0))/1000</f>
        <v>16.8</v>
      </c>
      <c r="AF23" s="549">
        <f t="array" ref="AF23">(AE23^INDEX(ShipData!$X$36:$X$39,MATCH($F23,ShipData!$U$36:$U$39,0)))*0.756*INDEX(ShipData!$W$36:$W$39,MATCH($F23,ShipData!$U$36:$U$39,0))</f>
        <v>15139.876697863274</v>
      </c>
      <c r="AG23" s="549" t="s">
        <v>1240</v>
      </c>
      <c r="AH23" s="526" t="s">
        <v>1249</v>
      </c>
      <c r="AI23" s="549" t="s">
        <v>1145</v>
      </c>
    </row>
    <row r="24" spans="3:44">
      <c r="C24" s="552" t="str">
        <f t="shared" si="0"/>
        <v>TFSLFOICC3N</v>
      </c>
      <c r="D24" s="552" t="s">
        <v>1041</v>
      </c>
      <c r="E24" s="534" t="s">
        <v>987</v>
      </c>
      <c r="F24" s="531" t="str">
        <f>F23</f>
        <v>TFSC</v>
      </c>
      <c r="G24" s="531">
        <v>2030</v>
      </c>
      <c r="H24" s="1237" t="s">
        <v>986</v>
      </c>
      <c r="I24" s="1239">
        <f t="array" ref="I24">INDEX($AN$12:$BM$15,MATCH(F24,$AM$12:$AM$15,0),MATCH(I$1&amp;$AG24,$AN$9:$BM$9&amp;$AN$11:$BM$11,0))</f>
        <v>11760</v>
      </c>
      <c r="J24" s="1239">
        <f t="shared" si="10"/>
        <v>11760</v>
      </c>
      <c r="K24" s="1239">
        <v>579</v>
      </c>
      <c r="L24" s="1281">
        <v>1045</v>
      </c>
      <c r="M24" s="1265">
        <f t="array" ref="M24">1/(INDEX($AN$12:$BM$15,MATCH($F24,$AM$12:$AM$15,0),MATCH(($G24&amp;M$1)&amp;$AG24,$AN$9:$BM$9&amp;$AN$11:$BM$11,0))/1.852)</f>
        <v>0.40793352062343913</v>
      </c>
      <c r="N24" s="1265">
        <f t="shared" si="11"/>
        <v>0.40793352062343913</v>
      </c>
      <c r="O24" s="1237">
        <v>30</v>
      </c>
      <c r="P24" s="1265"/>
      <c r="Q24" s="1239">
        <v>14546.555100000003</v>
      </c>
      <c r="R24" s="1265">
        <f t="array" ref="R24">(AF24*(INDEX(ShipData!$P$19:$R$26,MATCH($AH24,ShipData!$N$19:$N$26,0),MATCH($AI24,ShipData!$P$18:$R$18,0))+INDEX(ShipData!$P$30:$R$37,MATCH($AH24,ShipData!$N$30:$N$37,0),MATCH($AI24,ShipData!$P$29:$R$29,0)))+K24*0.1*(1/M24)*INDEX(ShipData!$P$41:$R$48,MATCH($AH24,ShipData!$N$41:$N$48,0),MATCH($AI24,ShipData!$P$40:$R$40,0)))*6.5/1000</f>
        <v>197644.84975848105</v>
      </c>
      <c r="S24" s="1237"/>
      <c r="T24" s="1237">
        <v>1E-3</v>
      </c>
      <c r="U24" s="1278"/>
      <c r="V24" s="1240"/>
      <c r="W24" s="1530">
        <f t="array" ref="W24">INDEX(EMIS_factors!$G$6:$O$152,MATCH($G24&amp;$AB24,EMIS_factors!$E$6:$E$152&amp;EMIS_factors!$D$6:$D$152,0),MATCH(RIGHT(W$4,6),EMIS_factors!$G$4:$O$4,0))</f>
        <v>46.838407494145208</v>
      </c>
      <c r="X24" s="1530">
        <f t="array" ref="X24">INDEX(EMIS_factors!$G$6:$O$152,MATCH($G24&amp;$AB24,EMIS_factors!$E$6:$E$152&amp;EMIS_factors!$D$6:$D$152,0),MATCH(RIGHT(X$4,6),EMIS_factors!$G$4:$O$4,0))</f>
        <v>938.56734047344298</v>
      </c>
      <c r="Y24" s="1530">
        <f t="array" ref="Y24">INDEX(EMIS_factors!$G$6:$O$152,MATCH($G24&amp;$AB24,EMIS_factors!$E$6:$E$152&amp;EMIS_factors!$D$6:$D$152,0),MATCH(RIGHT(Y$4,6),EMIS_factors!$G$4:$O$4,0))</f>
        <v>1.9042584079204421</v>
      </c>
      <c r="Z24" s="1530">
        <f t="array" ref="Z24">INDEX(EMIS_factors!$G$6:$O$152,MATCH($G24&amp;$AB24,EMIS_factors!$E$6:$E$152&amp;EMIS_factors!$D$6:$D$152,0),MATCH(RIGHT(Z$4,6),EMIS_factors!$G$4:$O$4,0))</f>
        <v>21.22370326738832</v>
      </c>
      <c r="AA24" s="1295"/>
      <c r="AB24" s="526" t="s">
        <v>1462</v>
      </c>
      <c r="AE24" s="1265">
        <f t="array" ref="AE24">INDEX($AN$12:$BM$15,MATCH(F24,$AM$12:$AM$15,0),MATCH($AG24&amp;$AE$1,$AN$11:$BM$11&amp;$AN$9:$BM$9,0))/1000</f>
        <v>16.8</v>
      </c>
      <c r="AF24" s="549">
        <f t="array" ref="AF24">(AE24^INDEX(ShipData!$X$36:$X$39,MATCH($F24,ShipData!$U$36:$U$39,0)))*0.756*INDEX(ShipData!$W$36:$W$39,MATCH($F24,ShipData!$U$36:$U$39,0))</f>
        <v>15139.876697863274</v>
      </c>
      <c r="AG24" s="549" t="str">
        <f>AG23</f>
        <v>Large</v>
      </c>
      <c r="AH24" s="526" t="s">
        <v>1249</v>
      </c>
      <c r="AI24" s="549" t="s">
        <v>1145</v>
      </c>
    </row>
    <row r="25" spans="3:44">
      <c r="C25" s="552" t="str">
        <f t="shared" si="0"/>
        <v>TFSSFOICR2N</v>
      </c>
      <c r="D25" s="552" t="s">
        <v>1043</v>
      </c>
      <c r="E25" s="534" t="s">
        <v>984</v>
      </c>
      <c r="F25" s="531" t="s">
        <v>1029</v>
      </c>
      <c r="G25" s="531">
        <v>2020</v>
      </c>
      <c r="H25" s="1237" t="s">
        <v>986</v>
      </c>
      <c r="I25" s="1239">
        <f t="array" ref="I25">INDEX($AN$12:$BM$15,MATCH(F25,$AM$12:$AM$15,0),MATCH(I$1&amp;$AG25,$AN$9:$BM$9&amp;$AN$11:$BM$11,0))</f>
        <v>1002</v>
      </c>
      <c r="J25" s="1239">
        <f t="shared" si="10"/>
        <v>1002</v>
      </c>
      <c r="K25" s="1239">
        <v>38287</v>
      </c>
      <c r="L25" s="1281">
        <v>69083</v>
      </c>
      <c r="M25" s="1265">
        <f t="array" ref="M25">1/(INDEX($AN$12:$BM$15,MATCH($F25,$AM$12:$AM$15,0),MATCH(($G25&amp;M$1)&amp;$AG25,$AN$9:$BM$9&amp;$AN$11:$BM$11,0))/1.852)</f>
        <v>1.7403348779577166</v>
      </c>
      <c r="N25" s="1265">
        <f t="shared" si="11"/>
        <v>1.7403348779577166</v>
      </c>
      <c r="O25" s="1237">
        <v>30</v>
      </c>
      <c r="P25" s="1265"/>
      <c r="Q25" s="1265">
        <f>0.035*R25</f>
        <v>796.15442609164143</v>
      </c>
      <c r="R25" s="1265">
        <f t="array" ref="R25">(AF25*(INDEX(ShipData!$P$19:$R$26,MATCH($AH25,ShipData!$N$19:$N$26,0),MATCH($AI25,ShipData!$P$18:$R$18,0))+INDEX(ShipData!$P$30:$R$37,MATCH($AH25,ShipData!$N$30:$N$37,0),MATCH($AI25,ShipData!$P$29:$R$29,0)))+K25*0.1*(1/M25)*INDEX(ShipData!$P$41:$R$48,MATCH($AH25,ShipData!$N$41:$N$48,0),MATCH($AI25,ShipData!$P$40:$R$40,0)))*6.5/1000</f>
        <v>22747.269316904039</v>
      </c>
      <c r="S25" s="1237"/>
      <c r="T25" s="1237">
        <v>1E-3</v>
      </c>
      <c r="U25" s="1278"/>
      <c r="V25" s="1240"/>
      <c r="W25" s="1530">
        <f t="array" ref="W25">INDEX(EMIS_factors!$G$6:$O$152,MATCH($G25&amp;$AB25,EMIS_factors!$E$6:$E$152&amp;EMIS_factors!$D$6:$D$152,0),MATCH(RIGHT(W$4,6),EMIS_factors!$G$4:$O$4,0))</f>
        <v>46.838407494145208</v>
      </c>
      <c r="X25" s="1530">
        <f t="array" ref="X25">INDEX(EMIS_factors!$G$6:$O$152,MATCH($G25&amp;$AB25,EMIS_factors!$E$6:$E$152&amp;EMIS_factors!$D$6:$D$152,0),MATCH(RIGHT(X$4,6),EMIS_factors!$G$4:$O$4,0))</f>
        <v>1402.4856581824845</v>
      </c>
      <c r="Y25" s="1530">
        <f t="array" ref="Y25">INDEX(EMIS_factors!$G$6:$O$152,MATCH($G25&amp;$AB25,EMIS_factors!$E$6:$E$152&amp;EMIS_factors!$D$6:$D$152,0),MATCH(RIGHT(Y$4,6),EMIS_factors!$G$4:$O$4,0))</f>
        <v>1.8637630108223573</v>
      </c>
      <c r="Z25" s="1530">
        <f t="array" ref="Z25">INDEX(EMIS_factors!$G$6:$O$152,MATCH($G25&amp;$AB25,EMIS_factors!$E$6:$E$152&amp;EMIS_factors!$D$6:$D$152,0),MATCH(RIGHT(Z$4,6),EMIS_factors!$G$4:$O$4,0))</f>
        <v>21.22370326738832</v>
      </c>
      <c r="AA25" s="1295"/>
      <c r="AB25" s="526" t="s">
        <v>1462</v>
      </c>
      <c r="AE25" s="1265">
        <f t="array" ref="AE25">INDEX($AN$12:$BM$15,MATCH(F25,$AM$12:$AM$15,0),MATCH($AG25&amp;$AE$1,$AN$11:$BM$11&amp;$AN$9:$BM$9,0))/1000</f>
        <v>1.4314285714285715</v>
      </c>
      <c r="AF25" s="549">
        <f t="array" ref="AF25">(AE25^INDEX(ShipData!$X$36:$X$39,MATCH($F25,ShipData!$U$36:$U$39,0)))*0.756*INDEX(ShipData!$W$36:$W$39,MATCH($F25,ShipData!$U$36:$U$39,0))</f>
        <v>1715.2886160618959</v>
      </c>
      <c r="AG25" s="549" t="s">
        <v>1239</v>
      </c>
      <c r="AH25" s="526" t="s">
        <v>1249</v>
      </c>
      <c r="AI25" s="549" t="s">
        <v>1145</v>
      </c>
    </row>
    <row r="26" spans="3:44">
      <c r="C26" s="552" t="str">
        <f t="shared" si="0"/>
        <v>TFSSFOICR3N</v>
      </c>
      <c r="D26" s="552" t="s">
        <v>1043</v>
      </c>
      <c r="E26" s="534" t="s">
        <v>987</v>
      </c>
      <c r="F26" s="531" t="str">
        <f>F25</f>
        <v>TFSR</v>
      </c>
      <c r="G26" s="531">
        <v>2030</v>
      </c>
      <c r="H26" s="1237" t="s">
        <v>986</v>
      </c>
      <c r="I26" s="1239">
        <f t="array" ref="I26">INDEX($AN$12:$BM$15,MATCH(F26,$AM$12:$AM$15,0),MATCH(I$1&amp;$AG26,$AN$9:$BM$9&amp;$AN$11:$BM$11,0))</f>
        <v>1002</v>
      </c>
      <c r="J26" s="1239">
        <f t="shared" si="10"/>
        <v>1002</v>
      </c>
      <c r="K26" s="1239">
        <v>38287</v>
      </c>
      <c r="L26" s="1281">
        <v>69083</v>
      </c>
      <c r="M26" s="1265">
        <f t="array" ref="M26">1/(INDEX($AN$12:$BM$15,MATCH($F26,$AM$12:$AM$15,0),MATCH(($G26&amp;M$1)&amp;$AG26,$AN$9:$BM$9&amp;$AN$11:$BM$11,0))/1.852)</f>
        <v>1.7403348779577166</v>
      </c>
      <c r="N26" s="1265">
        <f t="shared" si="11"/>
        <v>1.7403348779577166</v>
      </c>
      <c r="O26" s="1237">
        <v>30</v>
      </c>
      <c r="P26" s="1265"/>
      <c r="Q26" s="1239">
        <v>2187.8960670000006</v>
      </c>
      <c r="R26" s="1265">
        <f t="array" ref="R26">(AF26*(INDEX(ShipData!$P$19:$R$26,MATCH($AH26,ShipData!$N$19:$N$26,0),MATCH($AI26,ShipData!$P$18:$R$18,0))+INDEX(ShipData!$P$30:$R$37,MATCH($AH26,ShipData!$N$30:$N$37,0),MATCH($AI26,ShipData!$P$29:$R$29,0)))+K26*0.1*(1/M26)*INDEX(ShipData!$P$41:$R$48,MATCH($AH26,ShipData!$N$41:$N$48,0),MATCH($AI26,ShipData!$P$40:$R$40,0)))*6.5/1000</f>
        <v>22747.269316904039</v>
      </c>
      <c r="S26" s="1237"/>
      <c r="T26" s="1237">
        <v>1E-3</v>
      </c>
      <c r="U26" s="1278"/>
      <c r="V26" s="1240"/>
      <c r="W26" s="1530">
        <f t="array" ref="W26">INDEX(EMIS_factors!$G$6:$O$152,MATCH($G26&amp;$AB26,EMIS_factors!$E$6:$E$152&amp;EMIS_factors!$D$6:$D$152,0),MATCH(RIGHT(W$4,6),EMIS_factors!$G$4:$O$4,0))</f>
        <v>46.838407494145208</v>
      </c>
      <c r="X26" s="1530">
        <f t="array" ref="X26">INDEX(EMIS_factors!$G$6:$O$152,MATCH($G26&amp;$AB26,EMIS_factors!$E$6:$E$152&amp;EMIS_factors!$D$6:$D$152,0),MATCH(RIGHT(X$4,6),EMIS_factors!$G$4:$O$4,0))</f>
        <v>938.56734047344298</v>
      </c>
      <c r="Y26" s="1530">
        <f t="array" ref="Y26">INDEX(EMIS_factors!$G$6:$O$152,MATCH($G26&amp;$AB26,EMIS_factors!$E$6:$E$152&amp;EMIS_factors!$D$6:$D$152,0),MATCH(RIGHT(Y$4,6),EMIS_factors!$G$4:$O$4,0))</f>
        <v>1.9042584079204421</v>
      </c>
      <c r="Z26" s="1530">
        <f t="array" ref="Z26">INDEX(EMIS_factors!$G$6:$O$152,MATCH($G26&amp;$AB26,EMIS_factors!$E$6:$E$152&amp;EMIS_factors!$D$6:$D$152,0),MATCH(RIGHT(Z$4,6),EMIS_factors!$G$4:$O$4,0))</f>
        <v>21.22370326738832</v>
      </c>
      <c r="AA26" s="1295"/>
      <c r="AB26" s="526" t="s">
        <v>1462</v>
      </c>
      <c r="AE26" s="1265">
        <f t="array" ref="AE26">INDEX($AN$12:$BM$15,MATCH(F26,$AM$12:$AM$15,0),MATCH($AG26&amp;$AE$1,$AN$11:$BM$11&amp;$AN$9:$BM$9,0))/1000</f>
        <v>1.4314285714285715</v>
      </c>
      <c r="AF26" s="549">
        <f t="array" ref="AF26">(AE26^INDEX(ShipData!$X$36:$X$39,MATCH($F26,ShipData!$U$36:$U$39,0)))*0.756*INDEX(ShipData!$W$36:$W$39,MATCH($F26,ShipData!$U$36:$U$39,0))</f>
        <v>1715.2886160618959</v>
      </c>
      <c r="AG26" s="549" t="str">
        <f>AG25</f>
        <v>Small</v>
      </c>
      <c r="AH26" s="526" t="s">
        <v>1249</v>
      </c>
      <c r="AI26" s="549" t="s">
        <v>1145</v>
      </c>
    </row>
    <row r="27" spans="3:44">
      <c r="C27" s="552" t="str">
        <f t="shared" si="0"/>
        <v>TFSMFOICR2N</v>
      </c>
      <c r="D27" s="552" t="s">
        <v>1044</v>
      </c>
      <c r="E27" s="534" t="s">
        <v>984</v>
      </c>
      <c r="F27" s="531" t="s">
        <v>1029</v>
      </c>
      <c r="G27" s="531">
        <v>2020</v>
      </c>
      <c r="H27" s="1237" t="s">
        <v>986</v>
      </c>
      <c r="I27" s="1239">
        <f t="array" ref="I27">INDEX($AN$12:$BM$15,MATCH(F27,$AM$12:$AM$15,0),MATCH(I$1&amp;$AG27,$AN$9:$BM$9&amp;$AN$11:$BM$11,0))</f>
        <v>3608</v>
      </c>
      <c r="J27" s="1239">
        <f t="shared" si="10"/>
        <v>3608</v>
      </c>
      <c r="K27" s="1239">
        <v>925</v>
      </c>
      <c r="L27" s="1281">
        <v>1668</v>
      </c>
      <c r="M27" s="1265">
        <f t="array" ref="M27">1/(INDEX($AN$12:$BM$15,MATCH($F27,$AM$12:$AM$15,0),MATCH(($G27&amp;M$1)&amp;$AG27,$AN$9:$BM$9&amp;$AN$11:$BM$11,0))/1.852)</f>
        <v>0.87906595126970144</v>
      </c>
      <c r="N27" s="1265">
        <f t="shared" si="11"/>
        <v>0.87906595126970144</v>
      </c>
      <c r="O27" s="1237">
        <v>30</v>
      </c>
      <c r="P27" s="1265"/>
      <c r="Q27" s="1265">
        <f>0.035*R27</f>
        <v>2498.9793660660216</v>
      </c>
      <c r="R27" s="1265">
        <f t="array" ref="R27">(AF27*(INDEX(ShipData!$P$19:$R$26,MATCH($AH27,ShipData!$N$19:$N$26,0),MATCH($AI27,ShipData!$P$18:$R$18,0))+INDEX(ShipData!$P$30:$R$37,MATCH($AH27,ShipData!$N$30:$N$37,0),MATCH($AI27,ShipData!$P$29:$R$29,0)))+K27*0.1*(1/M27)*INDEX(ShipData!$P$41:$R$48,MATCH($AH27,ShipData!$N$41:$N$48,0),MATCH($AI27,ShipData!$P$40:$R$40,0)))*6.5/1000</f>
        <v>71399.410459029183</v>
      </c>
      <c r="S27" s="1237"/>
      <c r="T27" s="1237">
        <v>1E-3</v>
      </c>
      <c r="U27" s="1278"/>
      <c r="V27" s="1240"/>
      <c r="W27" s="1530">
        <f t="array" ref="W27">INDEX(EMIS_factors!$G$6:$O$152,MATCH($G27&amp;$AB27,EMIS_factors!$E$6:$E$152&amp;EMIS_factors!$D$6:$D$152,0),MATCH(RIGHT(W$4,6),EMIS_factors!$G$4:$O$4,0))</f>
        <v>46.838407494145208</v>
      </c>
      <c r="X27" s="1530">
        <f t="array" ref="X27">INDEX(EMIS_factors!$G$6:$O$152,MATCH($G27&amp;$AB27,EMIS_factors!$E$6:$E$152&amp;EMIS_factors!$D$6:$D$152,0),MATCH(RIGHT(X$4,6),EMIS_factors!$G$4:$O$4,0))</f>
        <v>1402.4856581824845</v>
      </c>
      <c r="Y27" s="1530">
        <f t="array" ref="Y27">INDEX(EMIS_factors!$G$6:$O$152,MATCH($G27&amp;$AB27,EMIS_factors!$E$6:$E$152&amp;EMIS_factors!$D$6:$D$152,0),MATCH(RIGHT(Y$4,6),EMIS_factors!$G$4:$O$4,0))</f>
        <v>1.8637630108223573</v>
      </c>
      <c r="Z27" s="1530">
        <f t="array" ref="Z27">INDEX(EMIS_factors!$G$6:$O$152,MATCH($G27&amp;$AB27,EMIS_factors!$E$6:$E$152&amp;EMIS_factors!$D$6:$D$152,0),MATCH(RIGHT(Z$4,6),EMIS_factors!$G$4:$O$4,0))</f>
        <v>21.22370326738832</v>
      </c>
      <c r="AA27" s="1295"/>
      <c r="AB27" s="526" t="s">
        <v>1462</v>
      </c>
      <c r="AE27" s="1265">
        <f t="array" ref="AE27">INDEX($AN$12:$BM$15,MATCH(F27,$AM$12:$AM$15,0),MATCH($AG27&amp;$AE$1,$AN$11:$BM$11&amp;$AN$9:$BM$9,0))/1000</f>
        <v>5.1542857142857148</v>
      </c>
      <c r="AF27" s="549">
        <f t="array" ref="AF27">(AE27^INDEX(ShipData!$X$36:$X$39,MATCH($F27,ShipData!$U$36:$U$39,0)))*0.756*INDEX(ShipData!$W$36:$W$39,MATCH($F27,ShipData!$U$36:$U$39,0))</f>
        <v>5468.6247789018307</v>
      </c>
      <c r="AG27" s="549" t="s">
        <v>1236</v>
      </c>
      <c r="AH27" s="526" t="s">
        <v>1249</v>
      </c>
      <c r="AI27" s="549" t="s">
        <v>1145</v>
      </c>
    </row>
    <row r="28" spans="3:44">
      <c r="C28" s="552" t="str">
        <f t="shared" si="0"/>
        <v>TFSMFOICR3N</v>
      </c>
      <c r="D28" s="552" t="s">
        <v>1044</v>
      </c>
      <c r="E28" s="1429" t="s">
        <v>987</v>
      </c>
      <c r="F28" s="1430" t="str">
        <f>F27</f>
        <v>TFSR</v>
      </c>
      <c r="G28" s="1430">
        <v>2030</v>
      </c>
      <c r="H28" s="1431" t="s">
        <v>986</v>
      </c>
      <c r="I28" s="1434">
        <f t="array" ref="I28">INDEX($AN$12:$BM$15,MATCH(F28,$AM$12:$AM$15,0),MATCH(I$1&amp;$AG28,$AN$9:$BM$9&amp;$AN$11:$BM$11,0))</f>
        <v>3608</v>
      </c>
      <c r="J28" s="1434">
        <f t="shared" si="10"/>
        <v>3608</v>
      </c>
      <c r="K28" s="1434">
        <v>925</v>
      </c>
      <c r="L28" s="1451">
        <v>1668</v>
      </c>
      <c r="M28" s="1448">
        <f t="array" ref="M28">1/(INDEX($AN$12:$BM$15,MATCH($F28,$AM$12:$AM$15,0),MATCH(($G28&amp;M$1)&amp;$AG28,$AN$9:$BM$9&amp;$AN$11:$BM$11,0))/1.852)</f>
        <v>0.87906595126970144</v>
      </c>
      <c r="N28" s="1448">
        <f t="shared" si="11"/>
        <v>0.87906595126970144</v>
      </c>
      <c r="O28" s="1431">
        <v>30</v>
      </c>
      <c r="P28" s="1448"/>
      <c r="Q28" s="1434">
        <v>6973.3533240000024</v>
      </c>
      <c r="R28" s="1448">
        <f t="array" ref="R28">(AF28*(INDEX(ShipData!$P$19:$R$26,MATCH($AH28,ShipData!$N$19:$N$26,0),MATCH($AI28,ShipData!$P$18:$R$18,0))+INDEX(ShipData!$P$30:$R$37,MATCH($AH28,ShipData!$N$30:$N$37,0),MATCH($AI28,ShipData!$P$29:$R$29,0)))+K28*0.1*(1/M28)*INDEX(ShipData!$P$41:$R$48,MATCH($AH28,ShipData!$N$41:$N$48,0),MATCH($AI28,ShipData!$P$40:$R$40,0)))*6.5/1000</f>
        <v>71399.410459029183</v>
      </c>
      <c r="S28" s="1431"/>
      <c r="T28" s="1431">
        <v>1E-3</v>
      </c>
      <c r="U28" s="1446"/>
      <c r="V28" s="1447"/>
      <c r="W28" s="1530">
        <f t="array" ref="W28">INDEX(EMIS_factors!$G$6:$O$152,MATCH($G28&amp;$AB28,EMIS_factors!$E$6:$E$152&amp;EMIS_factors!$D$6:$D$152,0),MATCH(RIGHT(W$4,6),EMIS_factors!$G$4:$O$4,0))</f>
        <v>46.838407494145208</v>
      </c>
      <c r="X28" s="1530">
        <f t="array" ref="X28">INDEX(EMIS_factors!$G$6:$O$152,MATCH($G28&amp;$AB28,EMIS_factors!$E$6:$E$152&amp;EMIS_factors!$D$6:$D$152,0),MATCH(RIGHT(X$4,6),EMIS_factors!$G$4:$O$4,0))</f>
        <v>938.56734047344298</v>
      </c>
      <c r="Y28" s="1530">
        <f t="array" ref="Y28">INDEX(EMIS_factors!$G$6:$O$152,MATCH($G28&amp;$AB28,EMIS_factors!$E$6:$E$152&amp;EMIS_factors!$D$6:$D$152,0),MATCH(RIGHT(Y$4,6),EMIS_factors!$G$4:$O$4,0))</f>
        <v>1.9042584079204421</v>
      </c>
      <c r="Z28" s="1530">
        <f t="array" ref="Z28">INDEX(EMIS_factors!$G$6:$O$152,MATCH($G28&amp;$AB28,EMIS_factors!$E$6:$E$152&amp;EMIS_factors!$D$6:$D$152,0),MATCH(RIGHT(Z$4,6),EMIS_factors!$G$4:$O$4,0))</f>
        <v>21.22370326738832</v>
      </c>
      <c r="AA28" s="1295"/>
      <c r="AB28" s="526" t="s">
        <v>1462</v>
      </c>
      <c r="AE28" s="1265">
        <f t="array" ref="AE28">INDEX($AN$12:$BM$15,MATCH(F28,$AM$12:$AM$15,0),MATCH($AG28&amp;$AE$1,$AN$11:$BM$11&amp;$AN$9:$BM$9,0))/1000</f>
        <v>5.1542857142857148</v>
      </c>
      <c r="AF28" s="549">
        <f t="array" ref="AF28">(AE28^INDEX(ShipData!$X$36:$X$39,MATCH($F28,ShipData!$U$36:$U$39,0)))*0.756*INDEX(ShipData!$W$36:$W$39,MATCH($F28,ShipData!$U$36:$U$39,0))</f>
        <v>5468.6247789018307</v>
      </c>
      <c r="AG28" s="549" t="str">
        <f>AG27</f>
        <v>Medium</v>
      </c>
      <c r="AH28" s="526" t="s">
        <v>1249</v>
      </c>
      <c r="AI28" s="549" t="s">
        <v>1145</v>
      </c>
    </row>
    <row r="29" spans="3:44">
      <c r="C29" s="552" t="str">
        <f t="shared" ref="C29:C62" si="12">"TFS"&amp;LEFT(AG29,1)&amp;AH29&amp;RIGHT(F29,1)&amp;MID(G29,3,1)&amp;"N"</f>
        <v>TFSSMOICL2N</v>
      </c>
      <c r="D29" s="552" t="s">
        <v>1045</v>
      </c>
      <c r="E29" s="534" t="s">
        <v>995</v>
      </c>
      <c r="F29" s="531" t="s">
        <v>1026</v>
      </c>
      <c r="G29" s="481">
        <v>2020</v>
      </c>
      <c r="H29" s="1237" t="s">
        <v>986</v>
      </c>
      <c r="I29" s="1239">
        <f t="array" ref="I29">INDEX($AN$12:$BM$15,MATCH(F29,$AM$12:$AM$15,0),MATCH(I$1&amp;$AG29,$AN$9:$BM$9&amp;$AN$11:$BM$11,0))</f>
        <v>810</v>
      </c>
      <c r="J29" s="1239">
        <f t="shared" si="2"/>
        <v>810</v>
      </c>
      <c r="K29" s="1239">
        <v>46488</v>
      </c>
      <c r="L29" s="1237">
        <v>83879</v>
      </c>
      <c r="M29" s="1265">
        <f t="array" ref="M29">1/(INDEX($AN$12:$BM$15,MATCH($F29,$AM$12:$AM$15,0),MATCH(($G29&amp;M$1)&amp;$AG29,$AN$9:$BM$9&amp;$AN$11:$BM$11,0))/1.852)</f>
        <v>2.3752039567310899</v>
      </c>
      <c r="N29" s="1265">
        <f t="shared" si="3"/>
        <v>2.3752039567310899</v>
      </c>
      <c r="O29" s="1237">
        <v>30</v>
      </c>
      <c r="P29" s="1265"/>
      <c r="Q29" s="1265">
        <f t="array" ref="Q29">0.035*R29</f>
        <v>1019.7302751242955</v>
      </c>
      <c r="R29" s="1265">
        <f t="array" ref="R29">(AF29*(INDEX(ShipData!$P$19:$R$26,MATCH($AH29,ShipData!$N$19:$N$26,0),MATCH($AI29,ShipData!$P$18:$R$18,0))+INDEX(ShipData!$P$30:$R$37,MATCH($AH29,ShipData!$N$30:$N$37,0),MATCH($AI29,ShipData!$P$29:$R$29,0)))+K29*0.1*(1/M29)*INDEX(ShipData!$P$41:$R$48,MATCH($AH29,ShipData!$N$41:$N$48,0),MATCH($AI29,ShipData!$P$40:$R$40,0)))*6.5/1000</f>
        <v>29135.150717837012</v>
      </c>
      <c r="S29" s="1237"/>
      <c r="T29" s="1237">
        <v>1E-3</v>
      </c>
      <c r="U29" s="1278"/>
      <c r="V29" s="1240"/>
      <c r="W29" s="1530">
        <f t="array" ref="W29">INDEX(EMIS_factors!$G$6:$O$152,MATCH($G29&amp;$AB29,EMIS_factors!$E$6:$E$152&amp;EMIS_factors!$D$6:$D$152,0),MATCH(RIGHT(W$4,6),EMIS_factors!$G$4:$O$4,0))</f>
        <v>46.838407494145208</v>
      </c>
      <c r="X29" s="1530">
        <f t="array" ref="X29">INDEX(EMIS_factors!$G$6:$O$152,MATCH($G29&amp;$AB29,EMIS_factors!$E$6:$E$152&amp;EMIS_factors!$D$6:$D$152,0),MATCH(RIGHT(X$4,6),EMIS_factors!$G$4:$O$4,0))</f>
        <v>1402.4856581824845</v>
      </c>
      <c r="Y29" s="1530">
        <f t="array" ref="Y29">INDEX(EMIS_factors!$G$6:$O$152,MATCH($G29&amp;$AB29,EMIS_factors!$E$6:$E$152&amp;EMIS_factors!$D$6:$D$152,0),MATCH(RIGHT(Y$4,6),EMIS_factors!$G$4:$O$4,0))</f>
        <v>1.8637630108223573</v>
      </c>
      <c r="Z29" s="1530">
        <f t="array" ref="Z29">INDEX(EMIS_factors!$G$6:$O$152,MATCH($G29&amp;$AB29,EMIS_factors!$E$6:$E$152&amp;EMIS_factors!$D$6:$D$152,0),MATCH(RIGHT(Z$4,6),EMIS_factors!$G$4:$O$4,0))</f>
        <v>21.22370326738832</v>
      </c>
      <c r="AA29" s="1295"/>
      <c r="AB29" s="526" t="s">
        <v>1462</v>
      </c>
      <c r="AE29" s="1265">
        <f t="array" ref="AE29">INDEX($AN$12:$BM$15,MATCH(F29,$AM$12:$AM$15,0),MATCH($AG29&amp;$AE$1,$AN$11:$BM$11&amp;$AN$9:$BM$9,0))/1000</f>
        <v>1.5804878048780491</v>
      </c>
      <c r="AF29" s="549">
        <f t="array" ref="AF29">(AE29^INDEX(ShipData!$X$36:$X$39,MATCH($F29,ShipData!$U$36:$U$39,0)))*0.756*INDEX(ShipData!$W$36:$W$39,MATCH($F29,ShipData!$U$36:$U$39,0))</f>
        <v>1602.8300580975306</v>
      </c>
      <c r="AG29" s="549" t="s">
        <v>1239</v>
      </c>
      <c r="AH29" s="526" t="s">
        <v>1250</v>
      </c>
      <c r="AI29" s="549" t="s">
        <v>1143</v>
      </c>
    </row>
    <row r="30" spans="3:44">
      <c r="C30" s="552" t="str">
        <f t="shared" si="12"/>
        <v>TFSMMOICL2N</v>
      </c>
      <c r="D30" s="552" t="s">
        <v>1046</v>
      </c>
      <c r="E30" s="534" t="s">
        <v>995</v>
      </c>
      <c r="F30" s="531" t="s">
        <v>1026</v>
      </c>
      <c r="G30" s="481">
        <v>2020</v>
      </c>
      <c r="H30" s="1237" t="s">
        <v>986</v>
      </c>
      <c r="I30" s="1239">
        <f t="array" ref="I30">INDEX($AN$12:$BM$15,MATCH(F30,$AM$12:$AM$15,0),MATCH(I$1&amp;$AG30,$AN$9:$BM$9&amp;$AN$11:$BM$11,0))</f>
        <v>3045.9905660377353</v>
      </c>
      <c r="J30" s="1239">
        <f t="shared" si="2"/>
        <v>3045.9905660377353</v>
      </c>
      <c r="K30" s="1239">
        <v>25616</v>
      </c>
      <c r="L30" s="1237">
        <v>46219</v>
      </c>
      <c r="M30" s="1265">
        <f t="array" ref="M30">1/(INDEX($AN$12:$BM$15,MATCH($F30,$AM$12:$AM$15,0),MATCH(($G30&amp;M$1)&amp;$AG30,$AN$9:$BM$9&amp;$AN$11:$BM$11,0))/1.852)</f>
        <v>1.4081877865043426</v>
      </c>
      <c r="N30" s="1265">
        <f t="shared" si="3"/>
        <v>1.4081877865043426</v>
      </c>
      <c r="O30" s="1237">
        <v>30</v>
      </c>
      <c r="P30" s="1265"/>
      <c r="Q30" s="1265">
        <f t="shared" si="1"/>
        <v>2117.7483713601755</v>
      </c>
      <c r="R30" s="1265">
        <f t="array" ref="R30">(AF30*(INDEX(ShipData!$P$19:$R$26,MATCH($AH30,ShipData!$N$19:$N$26,0),MATCH($AI30,ShipData!$P$18:$R$18,0))+INDEX(ShipData!$P$30:$R$37,MATCH($AH30,ShipData!$N$30:$N$37,0),MATCH($AI30,ShipData!$P$29:$R$29,0)))+K30*0.1*(1/M30)*INDEX(ShipData!$P$41:$R$48,MATCH($AH30,ShipData!$N$41:$N$48,0),MATCH($AI30,ShipData!$P$40:$R$40,0)))*6.5/1000</f>
        <v>60507.096324576436</v>
      </c>
      <c r="S30" s="1237"/>
      <c r="T30" s="1237">
        <v>1E-3</v>
      </c>
      <c r="U30" s="1278"/>
      <c r="V30" s="1240"/>
      <c r="W30" s="1530">
        <f t="array" ref="W30">INDEX(EMIS_factors!$G$6:$O$152,MATCH($G30&amp;$AB30,EMIS_factors!$E$6:$E$152&amp;EMIS_factors!$D$6:$D$152,0),MATCH(RIGHT(W$4,6),EMIS_factors!$G$4:$O$4,0))</f>
        <v>46.838407494145208</v>
      </c>
      <c r="X30" s="1530">
        <f t="array" ref="X30">INDEX(EMIS_factors!$G$6:$O$152,MATCH($G30&amp;$AB30,EMIS_factors!$E$6:$E$152&amp;EMIS_factors!$D$6:$D$152,0),MATCH(RIGHT(X$4,6),EMIS_factors!$G$4:$O$4,0))</f>
        <v>1402.4856581824845</v>
      </c>
      <c r="Y30" s="1530">
        <f t="array" ref="Y30">INDEX(EMIS_factors!$G$6:$O$152,MATCH($G30&amp;$AB30,EMIS_factors!$E$6:$E$152&amp;EMIS_factors!$D$6:$D$152,0),MATCH(RIGHT(Y$4,6),EMIS_factors!$G$4:$O$4,0))</f>
        <v>1.8637630108223573</v>
      </c>
      <c r="Z30" s="1530">
        <f t="array" ref="Z30">INDEX(EMIS_factors!$G$6:$O$152,MATCH($G30&amp;$AB30,EMIS_factors!$E$6:$E$152&amp;EMIS_factors!$D$6:$D$152,0),MATCH(RIGHT(Z$4,6),EMIS_factors!$G$4:$O$4,0))</f>
        <v>21.22370326738832</v>
      </c>
      <c r="AA30" s="1295"/>
      <c r="AB30" s="526" t="s">
        <v>1462</v>
      </c>
      <c r="AE30" s="1265">
        <f t="array" ref="AE30">INDEX($AN$12:$BM$15,MATCH(F30,$AM$12:$AM$15,0),MATCH($AG30&amp;$AE$1,$AN$11:$BM$11&amp;$AN$9:$BM$9,0))/1000</f>
        <v>5.9433962264150946</v>
      </c>
      <c r="AF30" s="549">
        <f t="array" ref="AF30">(AE30^INDEX(ShipData!$X$36:$X$39,MATCH($F30,ShipData!$U$36:$U$39,0)))*0.756*INDEX(ShipData!$W$36:$W$39,MATCH($F30,ShipData!$U$36:$U$39,0))</f>
        <v>3369.7610132900404</v>
      </c>
      <c r="AG30" s="549" t="s">
        <v>1236</v>
      </c>
      <c r="AH30" s="526" t="s">
        <v>1250</v>
      </c>
      <c r="AI30" s="549" t="s">
        <v>1143</v>
      </c>
    </row>
    <row r="31" spans="3:44">
      <c r="C31" s="552" t="str">
        <f t="shared" si="12"/>
        <v>TFSLMOICL2N</v>
      </c>
      <c r="D31" s="552" t="s">
        <v>1047</v>
      </c>
      <c r="E31" s="534" t="s">
        <v>995</v>
      </c>
      <c r="F31" s="531" t="s">
        <v>1026</v>
      </c>
      <c r="G31" s="481">
        <v>2020</v>
      </c>
      <c r="H31" s="1237" t="s">
        <v>986</v>
      </c>
      <c r="I31" s="1239">
        <f t="array" ref="I31">INDEX($AN$12:$BM$15,MATCH(F31,$AM$12:$AM$15,0),MATCH(I$1&amp;$AG31,$AN$9:$BM$9&amp;$AN$11:$BM$11,0))</f>
        <v>7427.5362318840562</v>
      </c>
      <c r="J31" s="1239">
        <f t="shared" si="2"/>
        <v>7427.5362318840562</v>
      </c>
      <c r="K31" s="1239">
        <v>3985</v>
      </c>
      <c r="L31" s="1237">
        <v>7190</v>
      </c>
      <c r="M31" s="1265">
        <f t="array" ref="M31">1/(INDEX($AN$12:$BM$15,MATCH($F31,$AM$12:$AM$15,0),MATCH(($G31&amp;M$1)&amp;$AG31,$AN$9:$BM$9&amp;$AN$11:$BM$11,0))/1.852)</f>
        <v>0.84765820280384263</v>
      </c>
      <c r="N31" s="1265">
        <f t="shared" si="3"/>
        <v>0.84765820280384263</v>
      </c>
      <c r="O31" s="1237">
        <v>30</v>
      </c>
      <c r="P31" s="1265"/>
      <c r="Q31" s="1265">
        <f t="shared" si="1"/>
        <v>3463.0077964991838</v>
      </c>
      <c r="R31" s="1265">
        <f t="array" ref="R31">(AF31*(INDEX(ShipData!$P$19:$R$26,MATCH($AH31,ShipData!$N$19:$N$26,0),MATCH($AI31,ShipData!$P$18:$R$18,0))+INDEX(ShipData!$P$30:$R$37,MATCH($AH31,ShipData!$N$30:$N$37,0),MATCH($AI31,ShipData!$P$29:$R$29,0)))+K31*0.1*(1/M31)*INDEX(ShipData!$P$41:$R$48,MATCH($AH31,ShipData!$N$41:$N$48,0),MATCH($AI31,ShipData!$P$40:$R$40,0)))*6.5/1000</f>
        <v>98943.07989997667</v>
      </c>
      <c r="S31" s="1237"/>
      <c r="T31" s="1237">
        <v>1E-3</v>
      </c>
      <c r="U31" s="1278"/>
      <c r="V31" s="1240"/>
      <c r="W31" s="1530">
        <f t="array" ref="W31">INDEX(EMIS_factors!$G$6:$O$152,MATCH($G31&amp;$AB31,EMIS_factors!$E$6:$E$152&amp;EMIS_factors!$D$6:$D$152,0),MATCH(RIGHT(W$4,6),EMIS_factors!$G$4:$O$4,0))</f>
        <v>46.838407494145208</v>
      </c>
      <c r="X31" s="1530">
        <f t="array" ref="X31">INDEX(EMIS_factors!$G$6:$O$152,MATCH($G31&amp;$AB31,EMIS_factors!$E$6:$E$152&amp;EMIS_factors!$D$6:$D$152,0),MATCH(RIGHT(X$4,6),EMIS_factors!$G$4:$O$4,0))</f>
        <v>1402.4856581824845</v>
      </c>
      <c r="Y31" s="1530">
        <f t="array" ref="Y31">INDEX(EMIS_factors!$G$6:$O$152,MATCH($G31&amp;$AB31,EMIS_factors!$E$6:$E$152&amp;EMIS_factors!$D$6:$D$152,0),MATCH(RIGHT(Y$4,6),EMIS_factors!$G$4:$O$4,0))</f>
        <v>1.8637630108223573</v>
      </c>
      <c r="Z31" s="1530">
        <f t="array" ref="Z31">INDEX(EMIS_factors!$G$6:$O$152,MATCH($G31&amp;$AB31,EMIS_factors!$E$6:$E$152&amp;EMIS_factors!$D$6:$D$152,0),MATCH(RIGHT(Z$4,6),EMIS_factors!$G$4:$O$4,0))</f>
        <v>21.22370326738832</v>
      </c>
      <c r="AA31" s="1295"/>
      <c r="AB31" s="526" t="s">
        <v>1462</v>
      </c>
      <c r="AE31" s="1265">
        <f t="array" ref="AE31">INDEX($AN$12:$BM$15,MATCH(F31,$AM$12:$AM$15,0),MATCH($AG31&amp;$AE$1,$AN$11:$BM$11&amp;$AN$9:$BM$9,0))/1000</f>
        <v>14.492753623188404</v>
      </c>
      <c r="AF31" s="549">
        <f t="array" ref="AF31">(AE31^INDEX(ShipData!$X$36:$X$39,MATCH($F31,ShipData!$U$36:$U$39,0)))*0.756*INDEX(ShipData!$W$36:$W$39,MATCH($F31,ShipData!$U$36:$U$39,0))</f>
        <v>5556.1159914410127</v>
      </c>
      <c r="AG31" s="549" t="s">
        <v>1240</v>
      </c>
      <c r="AH31" s="526" t="s">
        <v>1250</v>
      </c>
      <c r="AI31" s="549" t="s">
        <v>1143</v>
      </c>
    </row>
    <row r="32" spans="3:44">
      <c r="C32" s="552" t="str">
        <f t="shared" si="12"/>
        <v>TFSSMOICD2N</v>
      </c>
      <c r="D32" s="552" t="s">
        <v>1051</v>
      </c>
      <c r="E32" s="534" t="s">
        <v>995</v>
      </c>
      <c r="F32" s="531" t="s">
        <v>1027</v>
      </c>
      <c r="G32" s="481">
        <v>2020</v>
      </c>
      <c r="H32" s="1237" t="s">
        <v>986</v>
      </c>
      <c r="I32" s="1239">
        <f t="array" ref="I32">INDEX($AN$12:$BM$15,MATCH(F32,$AM$12:$AM$15,0),MATCH(I$1&amp;$AG32,$AN$9:$BM$9&amp;$AN$11:$BM$11,0))</f>
        <v>1527</v>
      </c>
      <c r="J32" s="1239">
        <f t="shared" ref="J32:J39" si="13">I32</f>
        <v>1527</v>
      </c>
      <c r="K32" s="1239">
        <v>17027</v>
      </c>
      <c r="L32" s="1281">
        <v>30722</v>
      </c>
      <c r="M32" s="1265">
        <f t="array" ref="M32">1/(INDEX($AN$12:$BM$15,MATCH($F32,$AM$12:$AM$15,0),MATCH(($G32&amp;M$1)&amp;$AG32,$AN$9:$BM$9&amp;$AN$11:$BM$11,0))/1.852)</f>
        <v>3.4190010788978875</v>
      </c>
      <c r="N32" s="1265">
        <f t="shared" ref="N32:N39" si="14">M32</f>
        <v>3.4190010788978875</v>
      </c>
      <c r="O32" s="1237">
        <v>30</v>
      </c>
      <c r="P32" s="1265"/>
      <c r="Q32" s="1265">
        <f t="shared" ref="Q32:Q39" si="15">0.035*R32</f>
        <v>1201.5452694862249</v>
      </c>
      <c r="R32" s="1265">
        <f t="array" ref="R32">(AF32*(INDEX(ShipData!$P$19:$R$26,MATCH($AH32,ShipData!$N$19:$N$26,0),MATCH($AI32,ShipData!$P$18:$R$18,0))+INDEX(ShipData!$P$30:$R$37,MATCH($AH32,ShipData!$N$30:$N$37,0),MATCH($AI32,ShipData!$P$29:$R$29,0)))+K32*0.1*(1/M32)*INDEX(ShipData!$P$41:$R$48,MATCH($AH32,ShipData!$N$41:$N$48,0),MATCH($AI32,ShipData!$P$40:$R$40,0)))*6.5/1000</f>
        <v>34329.864842463568</v>
      </c>
      <c r="S32" s="1237"/>
      <c r="T32" s="1237">
        <v>1E-3</v>
      </c>
      <c r="U32" s="1278"/>
      <c r="V32" s="1240"/>
      <c r="W32" s="1530">
        <f t="array" ref="W32">INDEX(EMIS_factors!$G$6:$O$152,MATCH($G32&amp;$AB32,EMIS_factors!$E$6:$E$152&amp;EMIS_factors!$D$6:$D$152,0),MATCH(RIGHT(W$4,6),EMIS_factors!$G$4:$O$4,0))</f>
        <v>46.838407494145208</v>
      </c>
      <c r="X32" s="1530">
        <f t="array" ref="X32">INDEX(EMIS_factors!$G$6:$O$152,MATCH($G32&amp;$AB32,EMIS_factors!$E$6:$E$152&amp;EMIS_factors!$D$6:$D$152,0),MATCH(RIGHT(X$4,6),EMIS_factors!$G$4:$O$4,0))</f>
        <v>1402.4856581824845</v>
      </c>
      <c r="Y32" s="1530">
        <f t="array" ref="Y32">INDEX(EMIS_factors!$G$6:$O$152,MATCH($G32&amp;$AB32,EMIS_factors!$E$6:$E$152&amp;EMIS_factors!$D$6:$D$152,0),MATCH(RIGHT(Y$4,6),EMIS_factors!$G$4:$O$4,0))</f>
        <v>1.8637630108223573</v>
      </c>
      <c r="Z32" s="1530">
        <f t="array" ref="Z32">INDEX(EMIS_factors!$G$6:$O$152,MATCH($G32&amp;$AB32,EMIS_factors!$E$6:$E$152&amp;EMIS_factors!$D$6:$D$152,0),MATCH(RIGHT(Z$4,6),EMIS_factors!$G$4:$O$4,0))</f>
        <v>21.22370326738832</v>
      </c>
      <c r="AA32" s="1295"/>
      <c r="AB32" s="526" t="s">
        <v>1462</v>
      </c>
      <c r="AE32" s="1265">
        <f t="array" ref="AE32">INDEX($AN$12:$BM$15,MATCH(F32,$AM$12:$AM$15,0),MATCH($AG32&amp;$AE$1,$AN$11:$BM$11&amp;$AN$9:$BM$9,0))/1000</f>
        <v>2.5449999999999999</v>
      </c>
      <c r="AF32" s="549">
        <f t="array" ref="AF32">(AE32^INDEX(ShipData!$X$36:$X$39,MATCH($F32,ShipData!$U$36:$U$39,0)))*0.756*INDEX(ShipData!$W$36:$W$39,MATCH($F32,ShipData!$U$36:$U$39,0))</f>
        <v>1921.6608368614334</v>
      </c>
      <c r="AG32" s="549" t="s">
        <v>1239</v>
      </c>
      <c r="AH32" s="526" t="s">
        <v>1250</v>
      </c>
      <c r="AI32" s="549" t="s">
        <v>1143</v>
      </c>
    </row>
    <row r="33" spans="3:40">
      <c r="C33" s="552" t="str">
        <f t="shared" si="12"/>
        <v>TFSMMOICD2N</v>
      </c>
      <c r="D33" s="552" t="s">
        <v>1052</v>
      </c>
      <c r="E33" s="534" t="s">
        <v>995</v>
      </c>
      <c r="F33" s="531" t="s">
        <v>1027</v>
      </c>
      <c r="G33" s="481">
        <v>2020</v>
      </c>
      <c r="H33" s="1237" t="s">
        <v>986</v>
      </c>
      <c r="I33" s="1239">
        <f t="array" ref="I33">INDEX($AN$12:$BM$15,MATCH(F33,$AM$12:$AM$15,0),MATCH(I$1&amp;$AG33,$AN$9:$BM$9&amp;$AN$11:$BM$11,0))</f>
        <v>4174</v>
      </c>
      <c r="J33" s="1239">
        <f t="shared" si="13"/>
        <v>4174</v>
      </c>
      <c r="K33" s="1239">
        <v>3330</v>
      </c>
      <c r="L33" s="1281">
        <v>6009</v>
      </c>
      <c r="M33" s="1265">
        <f t="array" ref="M33">1/(INDEX($AN$12:$BM$15,MATCH($F33,$AM$12:$AM$15,0),MATCH(($G33&amp;M$1)&amp;$AG33,$AN$9:$BM$9&amp;$AN$11:$BM$11,0))/1.852)</f>
        <v>1.9439057414379413</v>
      </c>
      <c r="N33" s="1265">
        <f t="shared" si="14"/>
        <v>1.9439057414379413</v>
      </c>
      <c r="O33" s="1237">
        <v>30</v>
      </c>
      <c r="P33" s="1265"/>
      <c r="Q33" s="1265">
        <f t="shared" si="15"/>
        <v>2142.5943706514181</v>
      </c>
      <c r="R33" s="1265">
        <f t="array" ref="R33">(AF33*(INDEX(ShipData!$P$19:$R$26,MATCH($AH33,ShipData!$N$19:$N$26,0),MATCH($AI33,ShipData!$P$18:$R$18,0))+INDEX(ShipData!$P$30:$R$37,MATCH($AH33,ShipData!$N$30:$N$37,0),MATCH($AI33,ShipData!$P$29:$R$29,0)))+K33*0.1*(1/M33)*INDEX(ShipData!$P$41:$R$48,MATCH($AH33,ShipData!$N$41:$N$48,0),MATCH($AI33,ShipData!$P$40:$R$40,0)))*6.5/1000</f>
        <v>61216.98201861194</v>
      </c>
      <c r="S33" s="1237"/>
      <c r="T33" s="1237">
        <v>1E-3</v>
      </c>
      <c r="U33" s="1278"/>
      <c r="V33" s="1240"/>
      <c r="W33" s="1530">
        <f t="array" ref="W33">INDEX(EMIS_factors!$G$6:$O$152,MATCH($G33&amp;$AB33,EMIS_factors!$E$6:$E$152&amp;EMIS_factors!$D$6:$D$152,0),MATCH(RIGHT(W$4,6),EMIS_factors!$G$4:$O$4,0))</f>
        <v>46.838407494145208</v>
      </c>
      <c r="X33" s="1530">
        <f t="array" ref="X33">INDEX(EMIS_factors!$G$6:$O$152,MATCH($G33&amp;$AB33,EMIS_factors!$E$6:$E$152&amp;EMIS_factors!$D$6:$D$152,0),MATCH(RIGHT(X$4,6),EMIS_factors!$G$4:$O$4,0))</f>
        <v>1402.4856581824845</v>
      </c>
      <c r="Y33" s="1530">
        <f t="array" ref="Y33">INDEX(EMIS_factors!$G$6:$O$152,MATCH($G33&amp;$AB33,EMIS_factors!$E$6:$E$152&amp;EMIS_factors!$D$6:$D$152,0),MATCH(RIGHT(Y$4,6),EMIS_factors!$G$4:$O$4,0))</f>
        <v>1.8637630108223573</v>
      </c>
      <c r="Z33" s="1530">
        <f t="array" ref="Z33">INDEX(EMIS_factors!$G$6:$O$152,MATCH($G33&amp;$AB33,EMIS_factors!$E$6:$E$152&amp;EMIS_factors!$D$6:$D$152,0),MATCH(RIGHT(Z$4,6),EMIS_factors!$G$4:$O$4,0))</f>
        <v>21.22370326738832</v>
      </c>
      <c r="AA33" s="1295"/>
      <c r="AB33" s="526" t="s">
        <v>1462</v>
      </c>
      <c r="AE33" s="1265">
        <f t="array" ref="AE33">INDEX($AN$12:$BM$15,MATCH(F33,$AM$12:$AM$15,0),MATCH($AG33&amp;$AE$1,$AN$11:$BM$11&amp;$AN$9:$BM$9,0))/1000</f>
        <v>6.956666666666667</v>
      </c>
      <c r="AF33" s="549">
        <f t="array" ref="AF33">(AE33^INDEX(ShipData!$X$36:$X$39,MATCH($F33,ShipData!$U$36:$U$39,0)))*0.756*INDEX(ShipData!$W$36:$W$39,MATCH($F33,ShipData!$U$36:$U$39,0))</f>
        <v>3439.8048335584949</v>
      </c>
      <c r="AG33" s="549" t="s">
        <v>1236</v>
      </c>
      <c r="AH33" s="526" t="s">
        <v>1250</v>
      </c>
      <c r="AI33" s="549" t="s">
        <v>1143</v>
      </c>
    </row>
    <row r="34" spans="3:40">
      <c r="C34" s="552" t="str">
        <f t="shared" si="12"/>
        <v>TFSLMOICD2N</v>
      </c>
      <c r="D34" s="552" t="s">
        <v>1053</v>
      </c>
      <c r="E34" s="534" t="s">
        <v>995</v>
      </c>
      <c r="F34" s="531" t="s">
        <v>1027</v>
      </c>
      <c r="G34" s="481">
        <v>2020</v>
      </c>
      <c r="H34" s="1237" t="s">
        <v>986</v>
      </c>
      <c r="I34" s="1239">
        <f t="array" ref="I34">INDEX($AN$12:$BM$15,MATCH(F34,$AM$12:$AM$15,0),MATCH(I$1&amp;$AG34,$AN$9:$BM$9&amp;$AN$11:$BM$11,0))</f>
        <v>9000</v>
      </c>
      <c r="J34" s="1239">
        <f t="shared" si="13"/>
        <v>9000</v>
      </c>
      <c r="K34" s="1239">
        <v>830</v>
      </c>
      <c r="L34" s="1281">
        <v>1498</v>
      </c>
      <c r="M34" s="1265">
        <f t="array" ref="M34">1/(INDEX($AN$12:$BM$15,MATCH($F34,$AM$12:$AM$15,0),MATCH(($G34&amp;M$1)&amp;$AG34,$AN$9:$BM$9&amp;$AN$11:$BM$11,0))/1.852)</f>
        <v>1.1737776538064364</v>
      </c>
      <c r="N34" s="1265">
        <f t="shared" si="14"/>
        <v>1.1737776538064364</v>
      </c>
      <c r="O34" s="1237">
        <v>30</v>
      </c>
      <c r="P34" s="1265"/>
      <c r="Q34" s="1265">
        <f t="shared" si="15"/>
        <v>3340.84195373072</v>
      </c>
      <c r="R34" s="1265">
        <f t="array" ref="R34">(AF34*(INDEX(ShipData!$P$19:$R$26,MATCH($AH34,ShipData!$N$19:$N$26,0),MATCH($AI34,ShipData!$P$18:$R$18,0))+INDEX(ShipData!$P$30:$R$37,MATCH($AH34,ShipData!$N$30:$N$37,0),MATCH($AI34,ShipData!$P$29:$R$29,0)))+K34*0.1*(1/M34)*INDEX(ShipData!$P$41:$R$48,MATCH($AH34,ShipData!$N$41:$N$48,0),MATCH($AI34,ShipData!$P$40:$R$40,0)))*6.5/1000</f>
        <v>95452.627249449128</v>
      </c>
      <c r="S34" s="1237"/>
      <c r="T34" s="1237">
        <v>1E-3</v>
      </c>
      <c r="U34" s="1278"/>
      <c r="V34" s="1240"/>
      <c r="W34" s="1530">
        <f t="array" ref="W34">INDEX(EMIS_factors!$G$6:$O$152,MATCH($G34&amp;$AB34,EMIS_factors!$E$6:$E$152&amp;EMIS_factors!$D$6:$D$152,0),MATCH(RIGHT(W$4,6),EMIS_factors!$G$4:$O$4,0))</f>
        <v>46.838407494145208</v>
      </c>
      <c r="X34" s="1530">
        <f t="array" ref="X34">INDEX(EMIS_factors!$G$6:$O$152,MATCH($G34&amp;$AB34,EMIS_factors!$E$6:$E$152&amp;EMIS_factors!$D$6:$D$152,0),MATCH(RIGHT(X$4,6),EMIS_factors!$G$4:$O$4,0))</f>
        <v>1402.4856581824845</v>
      </c>
      <c r="Y34" s="1530">
        <f t="array" ref="Y34">INDEX(EMIS_factors!$G$6:$O$152,MATCH($G34&amp;$AB34,EMIS_factors!$E$6:$E$152&amp;EMIS_factors!$D$6:$D$152,0),MATCH(RIGHT(Y$4,6),EMIS_factors!$G$4:$O$4,0))</f>
        <v>1.8637630108223573</v>
      </c>
      <c r="Z34" s="1530">
        <f t="array" ref="Z34">INDEX(EMIS_factors!$G$6:$O$152,MATCH($G34&amp;$AB34,EMIS_factors!$E$6:$E$152&amp;EMIS_factors!$D$6:$D$152,0),MATCH(RIGHT(Z$4,6),EMIS_factors!$G$4:$O$4,0))</f>
        <v>21.22370326738832</v>
      </c>
      <c r="AA34" s="1295"/>
      <c r="AB34" s="526" t="s">
        <v>1462</v>
      </c>
      <c r="AE34" s="1265">
        <f t="array" ref="AE34">INDEX($AN$12:$BM$15,MATCH(F34,$AM$12:$AM$15,0),MATCH($AG34&amp;$AE$1,$AN$11:$BM$11&amp;$AN$9:$BM$9,0))/1000</f>
        <v>15</v>
      </c>
      <c r="AF34" s="549">
        <f t="array" ref="AF34">(AE34^INDEX(ShipData!$X$36:$X$39,MATCH($F34,ShipData!$U$36:$U$39,0)))*0.756*INDEX(ShipData!$W$36:$W$39,MATCH($F34,ShipData!$U$36:$U$39,0))</f>
        <v>5367.1081902406004</v>
      </c>
      <c r="AG34" s="549" t="s">
        <v>1240</v>
      </c>
      <c r="AH34" s="526" t="s">
        <v>1250</v>
      </c>
      <c r="AI34" s="549" t="s">
        <v>1143</v>
      </c>
    </row>
    <row r="35" spans="3:40">
      <c r="C35" s="552" t="str">
        <f t="shared" si="12"/>
        <v>TFSSMOICC2N</v>
      </c>
      <c r="D35" s="552" t="s">
        <v>1057</v>
      </c>
      <c r="E35" s="534" t="s">
        <v>995</v>
      </c>
      <c r="F35" s="531" t="s">
        <v>1028</v>
      </c>
      <c r="G35" s="481">
        <v>2020</v>
      </c>
      <c r="H35" s="1237" t="s">
        <v>986</v>
      </c>
      <c r="I35" s="1239">
        <f t="array" ref="I35">INDEX($AN$12:$BM$15,MATCH(F35,$AM$12:$AM$15,0),MATCH(I$1&amp;$AG35,$AN$9:$BM$9&amp;$AN$11:$BM$11,0))</f>
        <v>2450</v>
      </c>
      <c r="J35" s="1239">
        <f t="shared" si="13"/>
        <v>2450</v>
      </c>
      <c r="K35" s="1239">
        <v>0</v>
      </c>
      <c r="L35" s="1281">
        <v>0</v>
      </c>
      <c r="M35" s="1265">
        <f t="array" ref="M35">1/(INDEX($AN$12:$BM$15,MATCH($F35,$AM$12:$AM$15,0),MATCH(($G35&amp;M$1)&amp;$AG35,$AN$9:$BM$9&amp;$AN$11:$BM$11,0))/1.852)</f>
        <v>1.7403348779577166</v>
      </c>
      <c r="N35" s="1265">
        <f t="shared" si="14"/>
        <v>1.7403348779577166</v>
      </c>
      <c r="O35" s="1237">
        <v>30</v>
      </c>
      <c r="P35" s="1265"/>
      <c r="Q35" s="1265">
        <f t="shared" si="15"/>
        <v>1147.6232149876928</v>
      </c>
      <c r="R35" s="1265">
        <f t="array" ref="R35">(AF35*(INDEX(ShipData!$P$19:$R$26,MATCH($AH35,ShipData!$N$19:$N$26,0),MATCH($AI35,ShipData!$P$18:$R$18,0))+INDEX(ShipData!$P$30:$R$37,MATCH($AH35,ShipData!$N$30:$N$37,0),MATCH($AI35,ShipData!$P$29:$R$29,0)))+K35*0.1*(1/M35)*INDEX(ShipData!$P$41:$R$48,MATCH($AH35,ShipData!$N$41:$N$48,0),MATCH($AI35,ShipData!$P$40:$R$40,0)))*6.5/1000</f>
        <v>32789.234713934078</v>
      </c>
      <c r="S35" s="1237"/>
      <c r="T35" s="1237">
        <v>1E-3</v>
      </c>
      <c r="U35" s="1278"/>
      <c r="V35" s="1240"/>
      <c r="W35" s="1530">
        <f t="array" ref="W35">INDEX(EMIS_factors!$G$6:$O$152,MATCH($G35&amp;$AB35,EMIS_factors!$E$6:$E$152&amp;EMIS_factors!$D$6:$D$152,0),MATCH(RIGHT(W$4,6),EMIS_factors!$G$4:$O$4,0))</f>
        <v>46.838407494145208</v>
      </c>
      <c r="X35" s="1530">
        <f t="array" ref="X35">INDEX(EMIS_factors!$G$6:$O$152,MATCH($G35&amp;$AB35,EMIS_factors!$E$6:$E$152&amp;EMIS_factors!$D$6:$D$152,0),MATCH(RIGHT(X$4,6),EMIS_factors!$G$4:$O$4,0))</f>
        <v>1402.4856581824845</v>
      </c>
      <c r="Y35" s="1530">
        <f t="array" ref="Y35">INDEX(EMIS_factors!$G$6:$O$152,MATCH($G35&amp;$AB35,EMIS_factors!$E$6:$E$152&amp;EMIS_factors!$D$6:$D$152,0),MATCH(RIGHT(Y$4,6),EMIS_factors!$G$4:$O$4,0))</f>
        <v>1.8637630108223573</v>
      </c>
      <c r="Z35" s="1530">
        <f t="array" ref="Z35">INDEX(EMIS_factors!$G$6:$O$152,MATCH($G35&amp;$AB35,EMIS_factors!$E$6:$E$152&amp;EMIS_factors!$D$6:$D$152,0),MATCH(RIGHT(Z$4,6),EMIS_factors!$G$4:$O$4,0))</f>
        <v>21.22370326738832</v>
      </c>
      <c r="AA35" s="1295"/>
      <c r="AB35" s="526" t="s">
        <v>1462</v>
      </c>
      <c r="AE35" s="1265">
        <f t="array" ref="AE35">INDEX($AN$12:$BM$15,MATCH(F35,$AM$12:$AM$15,0),MATCH($AG35&amp;$AE$1,$AN$11:$BM$11&amp;$AN$9:$BM$9,0))/1000</f>
        <v>3.5</v>
      </c>
      <c r="AF35" s="549">
        <f t="array" ref="AF35">(AE35^INDEX(ShipData!$X$36:$X$39,MATCH($F35,ShipData!$U$36:$U$39,0)))*0.756*INDEX(ShipData!$W$36:$W$39,MATCH($F35,ShipData!$U$36:$U$39,0))</f>
        <v>2454.0448908848457</v>
      </c>
      <c r="AG35" s="549" t="s">
        <v>1239</v>
      </c>
      <c r="AH35" s="526" t="s">
        <v>1250</v>
      </c>
      <c r="AI35" s="549" t="s">
        <v>1145</v>
      </c>
    </row>
    <row r="36" spans="3:40">
      <c r="C36" s="552" t="str">
        <f t="shared" si="12"/>
        <v>TFSMMOICC2N</v>
      </c>
      <c r="D36" s="552" t="s">
        <v>1058</v>
      </c>
      <c r="E36" s="534" t="s">
        <v>995</v>
      </c>
      <c r="F36" s="531" t="s">
        <v>1028</v>
      </c>
      <c r="G36" s="481">
        <v>2020</v>
      </c>
      <c r="H36" s="1237" t="s">
        <v>986</v>
      </c>
      <c r="I36" s="1239">
        <f t="array" ref="I36">INDEX($AN$12:$BM$15,MATCH(F36,$AM$12:$AM$15,0),MATCH(I$1&amp;$AG36,$AN$9:$BM$9&amp;$AN$11:$BM$11,0))</f>
        <v>4900</v>
      </c>
      <c r="J36" s="1239">
        <f t="shared" si="13"/>
        <v>4900</v>
      </c>
      <c r="K36" s="1239">
        <v>362</v>
      </c>
      <c r="L36" s="1281">
        <v>653</v>
      </c>
      <c r="M36" s="1265">
        <f t="array" ref="M36">1/(INDEX($AN$12:$BM$15,MATCH($F36,$AM$12:$AM$15,0),MATCH(($G36&amp;M$1)&amp;$AG36,$AN$9:$BM$9&amp;$AN$11:$BM$11,0))/1.852)</f>
        <v>0.87906595126970144</v>
      </c>
      <c r="N36" s="1265">
        <f t="shared" si="14"/>
        <v>0.87906595126970144</v>
      </c>
      <c r="O36" s="1237">
        <v>30</v>
      </c>
      <c r="P36" s="1265"/>
      <c r="Q36" s="1265">
        <f t="shared" si="15"/>
        <v>2564.8240535815112</v>
      </c>
      <c r="R36" s="1265">
        <f t="array" ref="R36">(AF36*(INDEX(ShipData!$P$19:$R$26,MATCH($AH36,ShipData!$N$19:$N$26,0),MATCH($AI36,ShipData!$P$18:$R$18,0))+INDEX(ShipData!$P$30:$R$37,MATCH($AH36,ShipData!$N$30:$N$37,0),MATCH($AI36,ShipData!$P$29:$R$29,0)))+K36*0.1*(1/M36)*INDEX(ShipData!$P$41:$R$48,MATCH($AH36,ShipData!$N$41:$N$48,0),MATCH($AI36,ShipData!$P$40:$R$40,0)))*6.5/1000</f>
        <v>73280.687245186025</v>
      </c>
      <c r="S36" s="1237"/>
      <c r="T36" s="1237">
        <v>1E-3</v>
      </c>
      <c r="U36" s="1278"/>
      <c r="V36" s="1240"/>
      <c r="W36" s="1530">
        <f t="array" ref="W36">INDEX(EMIS_factors!$G$6:$O$152,MATCH($G36&amp;$AB36,EMIS_factors!$E$6:$E$152&amp;EMIS_factors!$D$6:$D$152,0),MATCH(RIGHT(W$4,6),EMIS_factors!$G$4:$O$4,0))</f>
        <v>46.838407494145208</v>
      </c>
      <c r="X36" s="1530">
        <f t="array" ref="X36">INDEX(EMIS_factors!$G$6:$O$152,MATCH($G36&amp;$AB36,EMIS_factors!$E$6:$E$152&amp;EMIS_factors!$D$6:$D$152,0),MATCH(RIGHT(X$4,6),EMIS_factors!$G$4:$O$4,0))</f>
        <v>1402.4856581824845</v>
      </c>
      <c r="Y36" s="1530">
        <f t="array" ref="Y36">INDEX(EMIS_factors!$G$6:$O$152,MATCH($G36&amp;$AB36,EMIS_factors!$E$6:$E$152&amp;EMIS_factors!$D$6:$D$152,0),MATCH(RIGHT(Y$4,6),EMIS_factors!$G$4:$O$4,0))</f>
        <v>1.8637630108223573</v>
      </c>
      <c r="Z36" s="1530">
        <f t="array" ref="Z36">INDEX(EMIS_factors!$G$6:$O$152,MATCH($G36&amp;$AB36,EMIS_factors!$E$6:$E$152&amp;EMIS_factors!$D$6:$D$152,0),MATCH(RIGHT(Z$4,6),EMIS_factors!$G$4:$O$4,0))</f>
        <v>21.22370326738832</v>
      </c>
      <c r="AA36" s="1295"/>
      <c r="AB36" s="526" t="s">
        <v>1462</v>
      </c>
      <c r="AE36" s="1265">
        <f t="array" ref="AE36">INDEX($AN$12:$BM$15,MATCH(F36,$AM$12:$AM$15,0),MATCH($AG36&amp;$AE$1,$AN$11:$BM$11&amp;$AN$9:$BM$9,0))/1000</f>
        <v>7</v>
      </c>
      <c r="AF36" s="549">
        <f t="array" ref="AF36">(AE36^INDEX(ShipData!$X$36:$X$39,MATCH($F36,ShipData!$U$36:$U$39,0)))*0.756*INDEX(ShipData!$W$36:$W$39,MATCH($F36,ShipData!$U$36:$U$39,0))</f>
        <v>5483.7455856749639</v>
      </c>
      <c r="AG36" s="549" t="s">
        <v>1236</v>
      </c>
      <c r="AH36" s="526" t="s">
        <v>1250</v>
      </c>
      <c r="AI36" s="549" t="s">
        <v>1145</v>
      </c>
    </row>
    <row r="37" spans="3:40">
      <c r="C37" s="552" t="str">
        <f t="shared" si="12"/>
        <v>TFSLMOICC2N</v>
      </c>
      <c r="D37" s="552" t="s">
        <v>1059</v>
      </c>
      <c r="E37" s="534" t="s">
        <v>995</v>
      </c>
      <c r="F37" s="531" t="s">
        <v>1028</v>
      </c>
      <c r="G37" s="481">
        <v>2020</v>
      </c>
      <c r="H37" s="1237" t="s">
        <v>986</v>
      </c>
      <c r="I37" s="1239">
        <f t="array" ref="I37">INDEX($AN$12:$BM$15,MATCH(F37,$AM$12:$AM$15,0),MATCH(I$1&amp;$AG37,$AN$9:$BM$9&amp;$AN$11:$BM$11,0))</f>
        <v>11760</v>
      </c>
      <c r="J37" s="1239">
        <f t="shared" si="13"/>
        <v>11760</v>
      </c>
      <c r="K37" s="1239">
        <v>579</v>
      </c>
      <c r="L37" s="1281">
        <v>1045</v>
      </c>
      <c r="M37" s="1265">
        <f t="array" ref="M37">1/(INDEX($AN$12:$BM$15,MATCH($F37,$AM$12:$AM$15,0),MATCH(($G37&amp;M$1)&amp;$AG37,$AN$9:$BM$9&amp;$AN$11:$BM$11,0))/1.852)</f>
        <v>0.40793352062343913</v>
      </c>
      <c r="N37" s="1265">
        <f t="shared" si="14"/>
        <v>0.40793352062343913</v>
      </c>
      <c r="O37" s="1237">
        <v>30</v>
      </c>
      <c r="P37" s="1265"/>
      <c r="Q37" s="1265">
        <f t="shared" si="15"/>
        <v>7081.3878335661684</v>
      </c>
      <c r="R37" s="1265">
        <f t="array" ref="R37">(AF37*(INDEX(ShipData!$P$19:$R$26,MATCH($AH37,ShipData!$N$19:$N$26,0),MATCH($AI37,ShipData!$P$18:$R$18,0))+INDEX(ShipData!$P$30:$R$37,MATCH($AH37,ShipData!$N$30:$N$37,0),MATCH($AI37,ShipData!$P$29:$R$29,0)))+K37*0.1*(1/M37)*INDEX(ShipData!$P$41:$R$48,MATCH($AH37,ShipData!$N$41:$N$48,0),MATCH($AI37,ShipData!$P$40:$R$40,0)))*6.5/1000</f>
        <v>202325.36667331908</v>
      </c>
      <c r="S37" s="1237"/>
      <c r="T37" s="1237">
        <v>1E-3</v>
      </c>
      <c r="U37" s="1278"/>
      <c r="V37" s="1240"/>
      <c r="W37" s="1530">
        <f t="array" ref="W37">INDEX(EMIS_factors!$G$6:$O$152,MATCH($G37&amp;$AB37,EMIS_factors!$E$6:$E$152&amp;EMIS_factors!$D$6:$D$152,0),MATCH(RIGHT(W$4,6),EMIS_factors!$G$4:$O$4,0))</f>
        <v>46.838407494145208</v>
      </c>
      <c r="X37" s="1530">
        <f t="array" ref="X37">INDEX(EMIS_factors!$G$6:$O$152,MATCH($G37&amp;$AB37,EMIS_factors!$E$6:$E$152&amp;EMIS_factors!$D$6:$D$152,0),MATCH(RIGHT(X$4,6),EMIS_factors!$G$4:$O$4,0))</f>
        <v>1402.4856581824845</v>
      </c>
      <c r="Y37" s="1530">
        <f t="array" ref="Y37">INDEX(EMIS_factors!$G$6:$O$152,MATCH($G37&amp;$AB37,EMIS_factors!$E$6:$E$152&amp;EMIS_factors!$D$6:$D$152,0),MATCH(RIGHT(Y$4,6),EMIS_factors!$G$4:$O$4,0))</f>
        <v>1.8637630108223573</v>
      </c>
      <c r="Z37" s="1530">
        <f t="array" ref="Z37">INDEX(EMIS_factors!$G$6:$O$152,MATCH($G37&amp;$AB37,EMIS_factors!$E$6:$E$152&amp;EMIS_factors!$D$6:$D$152,0),MATCH(RIGHT(Z$4,6),EMIS_factors!$G$4:$O$4,0))</f>
        <v>21.22370326738832</v>
      </c>
      <c r="AA37" s="1295"/>
      <c r="AB37" s="526" t="s">
        <v>1462</v>
      </c>
      <c r="AE37" s="1265">
        <f t="array" ref="AE37">INDEX($AN$12:$BM$15,MATCH(F37,$AM$12:$AM$15,0),MATCH($AG37&amp;$AE$1,$AN$11:$BM$11&amp;$AN$9:$BM$9,0))/1000</f>
        <v>16.8</v>
      </c>
      <c r="AF37" s="549">
        <f t="array" ref="AF37">(AE37^INDEX(ShipData!$X$36:$X$39,MATCH($F37,ShipData!$U$36:$U$39,0)))*0.756*INDEX(ShipData!$W$36:$W$39,MATCH($F37,ShipData!$U$36:$U$39,0))</f>
        <v>15139.876697863274</v>
      </c>
      <c r="AG37" s="549" t="s">
        <v>1240</v>
      </c>
      <c r="AH37" s="526" t="s">
        <v>1250</v>
      </c>
      <c r="AI37" s="549" t="s">
        <v>1145</v>
      </c>
    </row>
    <row r="38" spans="3:40">
      <c r="C38" s="552" t="str">
        <f t="shared" si="12"/>
        <v>TFSSMOICR2N</v>
      </c>
      <c r="D38" s="552" t="s">
        <v>1063</v>
      </c>
      <c r="E38" s="534" t="s">
        <v>995</v>
      </c>
      <c r="F38" s="531" t="s">
        <v>1029</v>
      </c>
      <c r="G38" s="481">
        <v>2020</v>
      </c>
      <c r="H38" s="1237" t="s">
        <v>986</v>
      </c>
      <c r="I38" s="1239">
        <f t="array" ref="I38">INDEX($AN$12:$BM$15,MATCH(F38,$AM$12:$AM$15,0),MATCH(I$1&amp;$AG38,$AN$9:$BM$9&amp;$AN$11:$BM$11,0))</f>
        <v>1002</v>
      </c>
      <c r="J38" s="1239">
        <f t="shared" si="13"/>
        <v>1002</v>
      </c>
      <c r="K38" s="1239">
        <v>38287</v>
      </c>
      <c r="L38" s="1281">
        <v>69083</v>
      </c>
      <c r="M38" s="1265">
        <f t="array" ref="M38">1/(INDEX($AN$12:$BM$15,MATCH($F38,$AM$12:$AM$15,0),MATCH(($G38&amp;M$1)&amp;$AG38,$AN$9:$BM$9&amp;$AN$11:$BM$11,0))/1.852)</f>
        <v>1.7403348779577166</v>
      </c>
      <c r="N38" s="1265">
        <f t="shared" si="14"/>
        <v>1.7403348779577166</v>
      </c>
      <c r="O38" s="1237">
        <v>30</v>
      </c>
      <c r="P38" s="1265"/>
      <c r="Q38" s="1265">
        <f t="shared" si="15"/>
        <v>822.16692574422666</v>
      </c>
      <c r="R38" s="1265">
        <f t="array" ref="R38">(AF38*(INDEX(ShipData!$P$19:$R$26,MATCH($AH38,ShipData!$N$19:$N$26,0),MATCH($AI38,ShipData!$P$18:$R$18,0))+INDEX(ShipData!$P$30:$R$37,MATCH($AH38,ShipData!$N$30:$N$37,0),MATCH($AI38,ShipData!$P$29:$R$29,0)))+K38*0.1*(1/M38)*INDEX(ShipData!$P$41:$R$48,MATCH($AH38,ShipData!$N$41:$N$48,0),MATCH($AI38,ShipData!$P$40:$R$40,0)))*6.5/1000</f>
        <v>23490.483592692188</v>
      </c>
      <c r="S38" s="1237"/>
      <c r="T38" s="1237">
        <v>1E-3</v>
      </c>
      <c r="U38" s="1278"/>
      <c r="V38" s="1240"/>
      <c r="W38" s="1530">
        <f t="array" ref="W38">INDEX(EMIS_factors!$G$6:$O$152,MATCH($G38&amp;$AB38,EMIS_factors!$E$6:$E$152&amp;EMIS_factors!$D$6:$D$152,0),MATCH(RIGHT(W$4,6),EMIS_factors!$G$4:$O$4,0))</f>
        <v>46.838407494145208</v>
      </c>
      <c r="X38" s="1530">
        <f t="array" ref="X38">INDEX(EMIS_factors!$G$6:$O$152,MATCH($G38&amp;$AB38,EMIS_factors!$E$6:$E$152&amp;EMIS_factors!$D$6:$D$152,0),MATCH(RIGHT(X$4,6),EMIS_factors!$G$4:$O$4,0))</f>
        <v>1402.4856581824845</v>
      </c>
      <c r="Y38" s="1530">
        <f t="array" ref="Y38">INDEX(EMIS_factors!$G$6:$O$152,MATCH($G38&amp;$AB38,EMIS_factors!$E$6:$E$152&amp;EMIS_factors!$D$6:$D$152,0),MATCH(RIGHT(Y$4,6),EMIS_factors!$G$4:$O$4,0))</f>
        <v>1.8637630108223573</v>
      </c>
      <c r="Z38" s="1530">
        <f t="array" ref="Z38">INDEX(EMIS_factors!$G$6:$O$152,MATCH($G38&amp;$AB38,EMIS_factors!$E$6:$E$152&amp;EMIS_factors!$D$6:$D$152,0),MATCH(RIGHT(Z$4,6),EMIS_factors!$G$4:$O$4,0))</f>
        <v>21.22370326738832</v>
      </c>
      <c r="AA38" s="1295"/>
      <c r="AB38" s="526" t="s">
        <v>1462</v>
      </c>
      <c r="AE38" s="1265">
        <f t="array" ref="AE38">INDEX($AN$12:$BM$15,MATCH(F38,$AM$12:$AM$15,0),MATCH($AG38&amp;$AE$1,$AN$11:$BM$11&amp;$AN$9:$BM$9,0))/1000</f>
        <v>1.4314285714285715</v>
      </c>
      <c r="AF38" s="549">
        <f t="array" ref="AF38">(AE38^INDEX(ShipData!$X$36:$X$39,MATCH($F38,ShipData!$U$36:$U$39,0)))*0.756*INDEX(ShipData!$W$36:$W$39,MATCH($F38,ShipData!$U$36:$U$39,0))</f>
        <v>1715.2886160618959</v>
      </c>
      <c r="AG38" s="549" t="s">
        <v>1239</v>
      </c>
      <c r="AH38" s="526" t="s">
        <v>1250</v>
      </c>
      <c r="AI38" s="549" t="s">
        <v>1145</v>
      </c>
      <c r="AL38" s="552"/>
      <c r="AM38" s="553"/>
      <c r="AN38" s="553"/>
    </row>
    <row r="39" spans="3:40">
      <c r="C39" s="1428" t="str">
        <f t="shared" si="12"/>
        <v>TFSMMOICR2N</v>
      </c>
      <c r="D39" s="552" t="s">
        <v>1064</v>
      </c>
      <c r="E39" s="1429" t="s">
        <v>995</v>
      </c>
      <c r="F39" s="1430" t="s">
        <v>1029</v>
      </c>
      <c r="G39" s="1450">
        <v>2020</v>
      </c>
      <c r="H39" s="1431" t="s">
        <v>986</v>
      </c>
      <c r="I39" s="1434">
        <f t="array" ref="I39">INDEX($AN$12:$BM$15,MATCH(F39,$AM$12:$AM$15,0),MATCH(I$1&amp;$AG39,$AN$9:$BM$9&amp;$AN$11:$BM$11,0))</f>
        <v>3608</v>
      </c>
      <c r="J39" s="1434">
        <f t="shared" si="13"/>
        <v>3608</v>
      </c>
      <c r="K39" s="1434">
        <v>925</v>
      </c>
      <c r="L39" s="1451">
        <v>1668</v>
      </c>
      <c r="M39" s="1448">
        <f t="array" ref="M39">1/(INDEX($AN$12:$BM$15,MATCH($F39,$AM$12:$AM$15,0),MATCH(($G39&amp;M$1)&amp;$AG39,$AN$9:$BM$9&amp;$AN$11:$BM$11,0))/1.852)</f>
        <v>0.87906595126970144</v>
      </c>
      <c r="N39" s="1448">
        <f t="shared" si="14"/>
        <v>0.87906595126970144</v>
      </c>
      <c r="O39" s="1431">
        <v>30</v>
      </c>
      <c r="P39" s="1448"/>
      <c r="Q39" s="1448">
        <f t="shared" si="15"/>
        <v>2558.3356871105566</v>
      </c>
      <c r="R39" s="1448">
        <f t="array" ref="R39">(AF39*(INDEX(ShipData!$P$19:$R$26,MATCH($AH39,ShipData!$N$19:$N$26,0),MATCH($AI39,ShipData!$P$18:$R$18,0))+INDEX(ShipData!$P$30:$R$37,MATCH($AH39,ShipData!$N$30:$N$37,0),MATCH($AI39,ShipData!$P$29:$R$29,0)))+K39*0.1*(1/M39)*INDEX(ShipData!$P$41:$R$48,MATCH($AH39,ShipData!$N$41:$N$48,0),MATCH($AI39,ShipData!$P$40:$R$40,0)))*6.5/1000</f>
        <v>73095.305346015899</v>
      </c>
      <c r="S39" s="1431"/>
      <c r="T39" s="1431">
        <v>1E-3</v>
      </c>
      <c r="U39" s="1446"/>
      <c r="V39" s="1447"/>
      <c r="W39" s="1530">
        <f t="array" ref="W39">INDEX(EMIS_factors!$G$6:$O$152,MATCH($G39&amp;$AB39,EMIS_factors!$E$6:$E$152&amp;EMIS_factors!$D$6:$D$152,0),MATCH(RIGHT(W$4,6),EMIS_factors!$G$4:$O$4,0))</f>
        <v>46.838407494145208</v>
      </c>
      <c r="X39" s="1530">
        <f t="array" ref="X39">INDEX(EMIS_factors!$G$6:$O$152,MATCH($G39&amp;$AB39,EMIS_factors!$E$6:$E$152&amp;EMIS_factors!$D$6:$D$152,0),MATCH(RIGHT(X$4,6),EMIS_factors!$G$4:$O$4,0))</f>
        <v>1402.4856581824845</v>
      </c>
      <c r="Y39" s="1530">
        <f t="array" ref="Y39">INDEX(EMIS_factors!$G$6:$O$152,MATCH($G39&amp;$AB39,EMIS_factors!$E$6:$E$152&amp;EMIS_factors!$D$6:$D$152,0),MATCH(RIGHT(Y$4,6),EMIS_factors!$G$4:$O$4,0))</f>
        <v>1.8637630108223573</v>
      </c>
      <c r="Z39" s="1530">
        <f t="array" ref="Z39">INDEX(EMIS_factors!$G$6:$O$152,MATCH($G39&amp;$AB39,EMIS_factors!$E$6:$E$152&amp;EMIS_factors!$D$6:$D$152,0),MATCH(RIGHT(Z$4,6),EMIS_factors!$G$4:$O$4,0))</f>
        <v>21.22370326738832</v>
      </c>
      <c r="AA39" s="1295"/>
      <c r="AB39" s="526" t="s">
        <v>1462</v>
      </c>
      <c r="AE39" s="1265">
        <f t="array" ref="AE39">INDEX($AN$12:$BM$15,MATCH(F39,$AM$12:$AM$15,0),MATCH($AG39&amp;$AE$1,$AN$11:$BM$11&amp;$AN$9:$BM$9,0))/1000</f>
        <v>5.1542857142857148</v>
      </c>
      <c r="AF39" s="549">
        <f t="array" ref="AF39">(AE39^INDEX(ShipData!$X$36:$X$39,MATCH($F39,ShipData!$U$36:$U$39,0)))*0.756*INDEX(ShipData!$W$36:$W$39,MATCH($F39,ShipData!$U$36:$U$39,0))</f>
        <v>5468.6247789018307</v>
      </c>
      <c r="AG39" s="549" t="s">
        <v>1236</v>
      </c>
      <c r="AH39" s="526" t="s">
        <v>1250</v>
      </c>
      <c r="AI39" s="549" t="s">
        <v>1145</v>
      </c>
      <c r="AL39" s="552"/>
      <c r="AM39" s="553"/>
      <c r="AN39" s="553"/>
    </row>
    <row r="40" spans="3:40">
      <c r="C40" s="552" t="str">
        <f t="shared" si="12"/>
        <v>TFSSH2ICL2N</v>
      </c>
      <c r="D40" s="552" t="s">
        <v>1048</v>
      </c>
      <c r="E40" s="534" t="s">
        <v>1341</v>
      </c>
      <c r="F40" s="531" t="s">
        <v>1026</v>
      </c>
      <c r="G40" s="481">
        <v>2020</v>
      </c>
      <c r="H40" s="1237" t="s">
        <v>986</v>
      </c>
      <c r="I40" s="1239">
        <f t="array" ref="I40">INDEX($AN$12:$BM$15,MATCH(F40,$AM$12:$AM$15,0),MATCH(I$1&amp;$AG40,$AN$9:$BM$9&amp;$AN$11:$BM$11,0))</f>
        <v>810</v>
      </c>
      <c r="J40" s="1239">
        <f t="shared" si="2"/>
        <v>810</v>
      </c>
      <c r="K40" s="1239">
        <v>46488</v>
      </c>
      <c r="L40" s="1237">
        <v>83879</v>
      </c>
      <c r="M40" s="1265">
        <f t="array" ref="M40">1/(INDEX($AN$12:$BM$15,MATCH($F40,$AM$12:$AM$15,0),MATCH(($G40&amp;M$1)&amp;$AG40,$AN$9:$BM$9&amp;$AN$11:$BM$11,0))/1.852)</f>
        <v>2.3752039567310899</v>
      </c>
      <c r="N40" s="1265">
        <f t="shared" si="3"/>
        <v>2.3752039567310899</v>
      </c>
      <c r="O40" s="1237">
        <v>30</v>
      </c>
      <c r="P40" s="1265"/>
      <c r="Q40" s="1265">
        <f t="shared" si="1"/>
        <v>1313.6093495319874</v>
      </c>
      <c r="R40" s="1265">
        <f t="array" ref="R40">(AF40*(INDEX(ShipData!$P$19:$R$26,MATCH($AH40,ShipData!$N$19:$N$26,0),MATCH($AI40,ShipData!$P$18:$R$18,0))+INDEX(ShipData!$P$30:$R$37,MATCH($AH40,ShipData!$N$30:$N$37,0),MATCH($AI40,ShipData!$P$29:$R$29,0)))+K40*0.1*(1/M40)*INDEX(ShipData!$P$41:$R$48,MATCH($AH40,ShipData!$N$41:$N$48,0),MATCH($AI40,ShipData!$P$40:$R$40,0)))*6.5/1000</f>
        <v>37531.695700913922</v>
      </c>
      <c r="S40" s="1237"/>
      <c r="T40" s="1237">
        <v>1E-3</v>
      </c>
      <c r="U40" s="1278"/>
      <c r="V40" s="1240"/>
      <c r="W40" s="1530">
        <f t="array" ref="W40">INDEX(EMIS_factors!$G$6:$O$152,MATCH($G40&amp;$AB40,EMIS_factors!$E$6:$E$152&amp;EMIS_factors!$D$6:$D$152,0),MATCH(RIGHT(W$4,6),EMIS_factors!$G$4:$O$4,0))</f>
        <v>0</v>
      </c>
      <c r="X40" s="1530">
        <f t="array" ref="X40">INDEX(EMIS_factors!$G$6:$O$152,MATCH($G40&amp;$AB40,EMIS_factors!$E$6:$E$152&amp;EMIS_factors!$D$6:$D$152,0),MATCH(RIGHT(X$4,6),EMIS_factors!$G$4:$O$4,0))</f>
        <v>0</v>
      </c>
      <c r="Y40" s="1530">
        <f t="array" ref="Y40">INDEX(EMIS_factors!$G$6:$O$152,MATCH($G40&amp;$AB40,EMIS_factors!$E$6:$E$152&amp;EMIS_factors!$D$6:$D$152,0),MATCH(RIGHT(Y$4,6),EMIS_factors!$G$4:$O$4,0))</f>
        <v>0</v>
      </c>
      <c r="Z40" s="1530">
        <f t="array" ref="Z40">INDEX(EMIS_factors!$G$6:$O$152,MATCH($G40&amp;$AB40,EMIS_factors!$E$6:$E$152&amp;EMIS_factors!$D$6:$D$152,0),MATCH(RIGHT(Z$4,6),EMIS_factors!$G$4:$O$4,0))</f>
        <v>0</v>
      </c>
      <c r="AA40" s="1295"/>
      <c r="AB40" s="526" t="s">
        <v>1485</v>
      </c>
      <c r="AE40" s="1265">
        <f t="array" ref="AE40">INDEX($AN$12:$BM$15,MATCH(F40,$AM$12:$AM$15,0),MATCH($AG40&amp;$AE$1,$AN$11:$BM$11&amp;$AN$9:$BM$9,0))/1000</f>
        <v>1.5804878048780491</v>
      </c>
      <c r="AF40" s="549">
        <f t="array" ref="AF40">(AE40^INDEX(ShipData!$X$36:$X$39,MATCH($F40,ShipData!$U$36:$U$39,0)))*0.756*INDEX(ShipData!$W$36:$W$39,MATCH($F40,ShipData!$U$36:$U$39,0))</f>
        <v>1602.8300580975306</v>
      </c>
      <c r="AG40" s="549" t="s">
        <v>1239</v>
      </c>
      <c r="AH40" s="526" t="s">
        <v>1251</v>
      </c>
      <c r="AI40" s="549" t="s">
        <v>1143</v>
      </c>
    </row>
    <row r="41" spans="3:40">
      <c r="C41" s="552" t="str">
        <f t="shared" si="12"/>
        <v>TFSMH2ICL2N</v>
      </c>
      <c r="D41" s="552" t="s">
        <v>1049</v>
      </c>
      <c r="E41" s="534" t="s">
        <v>1341</v>
      </c>
      <c r="F41" s="531" t="s">
        <v>1026</v>
      </c>
      <c r="G41" s="481">
        <v>2020</v>
      </c>
      <c r="H41" s="1237" t="s">
        <v>986</v>
      </c>
      <c r="I41" s="1239">
        <f t="array" ref="I41">INDEX($AN$12:$BM$15,MATCH(F41,$AM$12:$AM$15,0),MATCH(I$1&amp;$AG41,$AN$9:$BM$9&amp;$AN$11:$BM$11,0))</f>
        <v>3045.9905660377353</v>
      </c>
      <c r="J41" s="1239">
        <f t="shared" si="2"/>
        <v>3045.9905660377353</v>
      </c>
      <c r="K41" s="1239">
        <v>25616</v>
      </c>
      <c r="L41" s="1237">
        <v>46219</v>
      </c>
      <c r="M41" s="1265">
        <f t="array" ref="M41">1/(INDEX($AN$12:$BM$15,MATCH($F41,$AM$12:$AM$15,0),MATCH(($G41&amp;M$1)&amp;$AG41,$AN$9:$BM$9&amp;$AN$11:$BM$11,0))/1.852)</f>
        <v>1.4081877865043426</v>
      </c>
      <c r="N41" s="1265">
        <f t="shared" si="3"/>
        <v>1.4081877865043426</v>
      </c>
      <c r="O41" s="1237">
        <v>30</v>
      </c>
      <c r="P41" s="1265"/>
      <c r="Q41" s="1265">
        <f t="shared" si="1"/>
        <v>2605.0235776143213</v>
      </c>
      <c r="R41" s="1265">
        <f t="array" ref="R41">(AF41*(INDEX(ShipData!$P$19:$R$26,MATCH($AH41,ShipData!$N$19:$N$26,0),MATCH($AI41,ShipData!$P$18:$R$18,0))+INDEX(ShipData!$P$30:$R$37,MATCH($AH41,ShipData!$N$30:$N$37,0),MATCH($AI41,ShipData!$P$29:$R$29,0)))+K41*0.1*(1/M41)*INDEX(ShipData!$P$41:$R$48,MATCH($AH41,ShipData!$N$41:$N$48,0),MATCH($AI41,ShipData!$P$40:$R$40,0)))*6.5/1000</f>
        <v>74429.245074694889</v>
      </c>
      <c r="S41" s="1237"/>
      <c r="T41" s="1237">
        <v>1E-3</v>
      </c>
      <c r="U41" s="1278"/>
      <c r="V41" s="1240"/>
      <c r="W41" s="1530">
        <f t="array" ref="W41">INDEX(EMIS_factors!$G$6:$O$152,MATCH($G41&amp;$AB41,EMIS_factors!$E$6:$E$152&amp;EMIS_factors!$D$6:$D$152,0),MATCH(RIGHT(W$4,6),EMIS_factors!$G$4:$O$4,0))</f>
        <v>0</v>
      </c>
      <c r="X41" s="1530">
        <f t="array" ref="X41">INDEX(EMIS_factors!$G$6:$O$152,MATCH($G41&amp;$AB41,EMIS_factors!$E$6:$E$152&amp;EMIS_factors!$D$6:$D$152,0),MATCH(RIGHT(X$4,6),EMIS_factors!$G$4:$O$4,0))</f>
        <v>0</v>
      </c>
      <c r="Y41" s="1530">
        <f t="array" ref="Y41">INDEX(EMIS_factors!$G$6:$O$152,MATCH($G41&amp;$AB41,EMIS_factors!$E$6:$E$152&amp;EMIS_factors!$D$6:$D$152,0),MATCH(RIGHT(Y$4,6),EMIS_factors!$G$4:$O$4,0))</f>
        <v>0</v>
      </c>
      <c r="Z41" s="1530">
        <f t="array" ref="Z41">INDEX(EMIS_factors!$G$6:$O$152,MATCH($G41&amp;$AB41,EMIS_factors!$E$6:$E$152&amp;EMIS_factors!$D$6:$D$152,0),MATCH(RIGHT(Z$4,6),EMIS_factors!$G$4:$O$4,0))</f>
        <v>0</v>
      </c>
      <c r="AA41" s="1295"/>
      <c r="AB41" s="526" t="s">
        <v>1485</v>
      </c>
      <c r="AE41" s="1265">
        <f t="array" ref="AE41">INDEX($AN$12:$BM$15,MATCH(F41,$AM$12:$AM$15,0),MATCH($AG41&amp;$AE$1,$AN$11:$BM$11&amp;$AN$9:$BM$9,0))/1000</f>
        <v>5.9433962264150946</v>
      </c>
      <c r="AF41" s="549">
        <f t="array" ref="AF41">(AE41^INDEX(ShipData!$X$36:$X$39,MATCH($F41,ShipData!$U$36:$U$39,0)))*0.756*INDEX(ShipData!$W$36:$W$39,MATCH($F41,ShipData!$U$36:$U$39,0))</f>
        <v>3369.7610132900404</v>
      </c>
      <c r="AG41" s="549" t="s">
        <v>1236</v>
      </c>
      <c r="AH41" s="526" t="s">
        <v>1251</v>
      </c>
      <c r="AI41" s="549" t="s">
        <v>1143</v>
      </c>
    </row>
    <row r="42" spans="3:40">
      <c r="C42" s="552" t="str">
        <f t="shared" si="12"/>
        <v>TFSLH2ICL2N</v>
      </c>
      <c r="D42" s="552" t="s">
        <v>1050</v>
      </c>
      <c r="E42" s="534" t="s">
        <v>1341</v>
      </c>
      <c r="F42" s="531" t="s">
        <v>1026</v>
      </c>
      <c r="G42" s="481">
        <v>2020</v>
      </c>
      <c r="H42" s="1237" t="s">
        <v>986</v>
      </c>
      <c r="I42" s="1239">
        <f t="array" ref="I42">INDEX($AN$12:$BM$15,MATCH(F42,$AM$12:$AM$15,0),MATCH(I$1&amp;$AG42,$AN$9:$BM$9&amp;$AN$11:$BM$11,0))</f>
        <v>7427.5362318840562</v>
      </c>
      <c r="J42" s="1239">
        <f t="shared" si="2"/>
        <v>7427.5362318840562</v>
      </c>
      <c r="K42" s="1239">
        <v>3985</v>
      </c>
      <c r="L42" s="1237">
        <v>7190</v>
      </c>
      <c r="M42" s="1265">
        <f t="array" ref="M42">1/(INDEX($AN$12:$BM$15,MATCH($F42,$AM$12:$AM$15,0),MATCH(($G42&amp;M$1)&amp;$AG42,$AN$9:$BM$9&amp;$AN$11:$BM$11,0))/1.852)</f>
        <v>0.84765820280384263</v>
      </c>
      <c r="N42" s="1265">
        <f t="shared" si="3"/>
        <v>0.84765820280384263</v>
      </c>
      <c r="O42" s="1237">
        <v>30</v>
      </c>
      <c r="P42" s="1265"/>
      <c r="Q42" s="1265">
        <f t="shared" si="1"/>
        <v>4122.586592721048</v>
      </c>
      <c r="R42" s="1265">
        <f t="array" ref="R42">(AF42*(INDEX(ShipData!$P$19:$R$26,MATCH($AH42,ShipData!$N$19:$N$26,0),MATCH($AI42,ShipData!$P$18:$R$18,0))+INDEX(ShipData!$P$30:$R$37,MATCH($AH42,ShipData!$N$30:$N$37,0),MATCH($AI42,ShipData!$P$29:$R$29,0)))+K42*0.1*(1/M42)*INDEX(ShipData!$P$41:$R$48,MATCH($AH42,ShipData!$N$41:$N$48,0),MATCH($AI42,ShipData!$P$40:$R$40,0)))*6.5/1000</f>
        <v>117788.1883634585</v>
      </c>
      <c r="S42" s="1237"/>
      <c r="T42" s="1237">
        <v>1E-3</v>
      </c>
      <c r="U42" s="1278"/>
      <c r="V42" s="1240"/>
      <c r="W42" s="1530">
        <f t="array" ref="W42">INDEX(EMIS_factors!$G$6:$O$152,MATCH($G42&amp;$AB42,EMIS_factors!$E$6:$E$152&amp;EMIS_factors!$D$6:$D$152,0),MATCH(RIGHT(W$4,6),EMIS_factors!$G$4:$O$4,0))</f>
        <v>0</v>
      </c>
      <c r="X42" s="1530">
        <f t="array" ref="X42">INDEX(EMIS_factors!$G$6:$O$152,MATCH($G42&amp;$AB42,EMIS_factors!$E$6:$E$152&amp;EMIS_factors!$D$6:$D$152,0),MATCH(RIGHT(X$4,6),EMIS_factors!$G$4:$O$4,0))</f>
        <v>0</v>
      </c>
      <c r="Y42" s="1530">
        <f t="array" ref="Y42">INDEX(EMIS_factors!$G$6:$O$152,MATCH($G42&amp;$AB42,EMIS_factors!$E$6:$E$152&amp;EMIS_factors!$D$6:$D$152,0),MATCH(RIGHT(Y$4,6),EMIS_factors!$G$4:$O$4,0))</f>
        <v>0</v>
      </c>
      <c r="Z42" s="1530">
        <f t="array" ref="Z42">INDEX(EMIS_factors!$G$6:$O$152,MATCH($G42&amp;$AB42,EMIS_factors!$E$6:$E$152&amp;EMIS_factors!$D$6:$D$152,0),MATCH(RIGHT(Z$4,6),EMIS_factors!$G$4:$O$4,0))</f>
        <v>0</v>
      </c>
      <c r="AA42" s="1295"/>
      <c r="AB42" s="526" t="s">
        <v>1485</v>
      </c>
      <c r="AE42" s="1265">
        <f t="array" ref="AE42">INDEX($AN$12:$BM$15,MATCH(F42,$AM$12:$AM$15,0),MATCH($AG42&amp;$AE$1,$AN$11:$BM$11&amp;$AN$9:$BM$9,0))/1000</f>
        <v>14.492753623188404</v>
      </c>
      <c r="AF42" s="549">
        <f t="array" ref="AF42">(AE42^INDEX(ShipData!$X$36:$X$39,MATCH($F42,ShipData!$U$36:$U$39,0)))*0.756*INDEX(ShipData!$W$36:$W$39,MATCH($F42,ShipData!$U$36:$U$39,0))</f>
        <v>5556.1159914410127</v>
      </c>
      <c r="AG42" s="549" t="s">
        <v>1240</v>
      </c>
      <c r="AH42" s="526" t="s">
        <v>1251</v>
      </c>
      <c r="AI42" s="549" t="s">
        <v>1143</v>
      </c>
    </row>
    <row r="43" spans="3:40">
      <c r="C43" s="552" t="str">
        <f t="shared" si="12"/>
        <v>TFSSH2ICD2N</v>
      </c>
      <c r="D43" s="552" t="s">
        <v>1054</v>
      </c>
      <c r="E43" s="534" t="s">
        <v>1341</v>
      </c>
      <c r="F43" s="531" t="s">
        <v>1027</v>
      </c>
      <c r="G43" s="481">
        <v>2020</v>
      </c>
      <c r="H43" s="1237" t="s">
        <v>986</v>
      </c>
      <c r="I43" s="1239">
        <f t="array" ref="I43">INDEX($AN$12:$BM$15,MATCH(F43,$AM$12:$AM$15,0),MATCH(I$1&amp;$AG43,$AN$9:$BM$9&amp;$AN$11:$BM$11,0))</f>
        <v>1527</v>
      </c>
      <c r="J43" s="1239">
        <f t="shared" si="2"/>
        <v>1527</v>
      </c>
      <c r="K43" s="1239">
        <v>17027</v>
      </c>
      <c r="L43" s="1281">
        <v>30722</v>
      </c>
      <c r="M43" s="1265">
        <f t="array" ref="M43">1/(INDEX($AN$12:$BM$15,MATCH($F43,$AM$12:$AM$15,0),MATCH(($G43&amp;M$1)&amp;$AG43,$AN$9:$BM$9&amp;$AN$11:$BM$11,0))/1.852)</f>
        <v>3.4190010788978875</v>
      </c>
      <c r="N43" s="1265">
        <f t="shared" si="3"/>
        <v>3.4190010788978875</v>
      </c>
      <c r="O43" s="1237">
        <v>30</v>
      </c>
      <c r="P43" s="1265"/>
      <c r="Q43" s="1265">
        <f t="shared" si="1"/>
        <v>1448.746529037267</v>
      </c>
      <c r="R43" s="1265">
        <f t="array" ref="R43">(AF43*(INDEX(ShipData!$P$19:$R$26,MATCH($AH43,ShipData!$N$19:$N$26,0),MATCH($AI43,ShipData!$P$18:$R$18,0))+INDEX(ShipData!$P$30:$R$37,MATCH($AH43,ShipData!$N$30:$N$37,0),MATCH($AI43,ShipData!$P$29:$R$29,0)))+K43*0.1*(1/M43)*INDEX(ShipData!$P$41:$R$48,MATCH($AH43,ShipData!$N$41:$N$48,0),MATCH($AI43,ShipData!$P$40:$R$40,0)))*6.5/1000</f>
        <v>41392.757972493338</v>
      </c>
      <c r="S43" s="1237"/>
      <c r="T43" s="1237">
        <v>1E-3</v>
      </c>
      <c r="U43" s="1278"/>
      <c r="V43" s="1240"/>
      <c r="W43" s="1530">
        <f t="array" ref="W43">INDEX(EMIS_factors!$G$6:$O$152,MATCH($G43&amp;$AB43,EMIS_factors!$E$6:$E$152&amp;EMIS_factors!$D$6:$D$152,0),MATCH(RIGHT(W$4,6),EMIS_factors!$G$4:$O$4,0))</f>
        <v>0</v>
      </c>
      <c r="X43" s="1530">
        <f t="array" ref="X43">INDEX(EMIS_factors!$G$6:$O$152,MATCH($G43&amp;$AB43,EMIS_factors!$E$6:$E$152&amp;EMIS_factors!$D$6:$D$152,0),MATCH(RIGHT(X$4,6),EMIS_factors!$G$4:$O$4,0))</f>
        <v>0</v>
      </c>
      <c r="Y43" s="1530">
        <f t="array" ref="Y43">INDEX(EMIS_factors!$G$6:$O$152,MATCH($G43&amp;$AB43,EMIS_factors!$E$6:$E$152&amp;EMIS_factors!$D$6:$D$152,0),MATCH(RIGHT(Y$4,6),EMIS_factors!$G$4:$O$4,0))</f>
        <v>0</v>
      </c>
      <c r="Z43" s="1530">
        <f t="array" ref="Z43">INDEX(EMIS_factors!$G$6:$O$152,MATCH($G43&amp;$AB43,EMIS_factors!$E$6:$E$152&amp;EMIS_factors!$D$6:$D$152,0),MATCH(RIGHT(Z$4,6),EMIS_factors!$G$4:$O$4,0))</f>
        <v>0</v>
      </c>
      <c r="AA43" s="1295"/>
      <c r="AB43" s="526" t="s">
        <v>1485</v>
      </c>
      <c r="AE43" s="1265">
        <f t="array" ref="AE43">INDEX($AN$12:$BM$15,MATCH(F43,$AM$12:$AM$15,0),MATCH($AG43&amp;$AE$1,$AN$11:$BM$11&amp;$AN$9:$BM$9,0))/1000</f>
        <v>2.5449999999999999</v>
      </c>
      <c r="AF43" s="549">
        <f t="array" ref="AF43">(AE43^INDEX(ShipData!$X$36:$X$39,MATCH($F43,ShipData!$U$36:$U$39,0)))*0.756*INDEX(ShipData!$W$36:$W$39,MATCH($F43,ShipData!$U$36:$U$39,0))</f>
        <v>1921.6608368614334</v>
      </c>
      <c r="AG43" s="549" t="s">
        <v>1239</v>
      </c>
      <c r="AH43" s="526" t="s">
        <v>1251</v>
      </c>
      <c r="AI43" s="549" t="s">
        <v>1143</v>
      </c>
    </row>
    <row r="44" spans="3:40">
      <c r="C44" s="552" t="str">
        <f t="shared" si="12"/>
        <v>TFSMH2ICD2N</v>
      </c>
      <c r="D44" s="552" t="s">
        <v>1055</v>
      </c>
      <c r="E44" s="534" t="s">
        <v>1341</v>
      </c>
      <c r="F44" s="531" t="s">
        <v>1027</v>
      </c>
      <c r="G44" s="481">
        <v>2020</v>
      </c>
      <c r="H44" s="1237" t="s">
        <v>986</v>
      </c>
      <c r="I44" s="1239">
        <f t="array" ref="I44">INDEX($AN$12:$BM$15,MATCH(F44,$AM$12:$AM$15,0),MATCH(I$1&amp;$AG44,$AN$9:$BM$9&amp;$AN$11:$BM$11,0))</f>
        <v>4174</v>
      </c>
      <c r="J44" s="1239">
        <f t="shared" si="2"/>
        <v>4174</v>
      </c>
      <c r="K44" s="1239">
        <v>3330</v>
      </c>
      <c r="L44" s="1281">
        <v>6009</v>
      </c>
      <c r="M44" s="1265">
        <f t="array" ref="M44">1/(INDEX($AN$12:$BM$15,MATCH($F44,$AM$12:$AM$15,0),MATCH(($G44&amp;M$1)&amp;$AG44,$AN$9:$BM$9&amp;$AN$11:$BM$11,0))/1.852)</f>
        <v>1.9439057414379413</v>
      </c>
      <c r="N44" s="1265">
        <f t="shared" si="3"/>
        <v>1.9439057414379413</v>
      </c>
      <c r="O44" s="1237">
        <v>30</v>
      </c>
      <c r="P44" s="1265"/>
      <c r="Q44" s="1265">
        <f t="shared" si="1"/>
        <v>2544.1305839503048</v>
      </c>
      <c r="R44" s="1265">
        <f t="array" ref="R44">(AF44*(INDEX(ShipData!$P$19:$R$26,MATCH($AH44,ShipData!$N$19:$N$26,0),MATCH($AI44,ShipData!$P$18:$R$18,0))+INDEX(ShipData!$P$30:$R$37,MATCH($AH44,ShipData!$N$30:$N$37,0),MATCH($AI44,ShipData!$P$29:$R$29,0)))+K44*0.1*(1/M44)*INDEX(ShipData!$P$41:$R$48,MATCH($AH44,ShipData!$N$41:$N$48,0),MATCH($AI44,ShipData!$P$40:$R$40,0)))*6.5/1000</f>
        <v>72689.445255722982</v>
      </c>
      <c r="S44" s="1237"/>
      <c r="T44" s="1237">
        <v>1E-3</v>
      </c>
      <c r="U44" s="1278"/>
      <c r="V44" s="1240"/>
      <c r="W44" s="1530">
        <f t="array" ref="W44">INDEX(EMIS_factors!$G$6:$O$152,MATCH($G44&amp;$AB44,EMIS_factors!$E$6:$E$152&amp;EMIS_factors!$D$6:$D$152,0),MATCH(RIGHT(W$4,6),EMIS_factors!$G$4:$O$4,0))</f>
        <v>0</v>
      </c>
      <c r="X44" s="1530">
        <f t="array" ref="X44">INDEX(EMIS_factors!$G$6:$O$152,MATCH($G44&amp;$AB44,EMIS_factors!$E$6:$E$152&amp;EMIS_factors!$D$6:$D$152,0),MATCH(RIGHT(X$4,6),EMIS_factors!$G$4:$O$4,0))</f>
        <v>0</v>
      </c>
      <c r="Y44" s="1530">
        <f t="array" ref="Y44">INDEX(EMIS_factors!$G$6:$O$152,MATCH($G44&amp;$AB44,EMIS_factors!$E$6:$E$152&amp;EMIS_factors!$D$6:$D$152,0),MATCH(RIGHT(Y$4,6),EMIS_factors!$G$4:$O$4,0))</f>
        <v>0</v>
      </c>
      <c r="Z44" s="1530">
        <f t="array" ref="Z44">INDEX(EMIS_factors!$G$6:$O$152,MATCH($G44&amp;$AB44,EMIS_factors!$E$6:$E$152&amp;EMIS_factors!$D$6:$D$152,0),MATCH(RIGHT(Z$4,6),EMIS_factors!$G$4:$O$4,0))</f>
        <v>0</v>
      </c>
      <c r="AA44" s="1295"/>
      <c r="AB44" s="526" t="s">
        <v>1485</v>
      </c>
      <c r="AE44" s="1265">
        <f t="array" ref="AE44">INDEX($AN$12:$BM$15,MATCH(F44,$AM$12:$AM$15,0),MATCH($AG44&amp;$AE$1,$AN$11:$BM$11&amp;$AN$9:$BM$9,0))/1000</f>
        <v>6.956666666666667</v>
      </c>
      <c r="AF44" s="549">
        <f t="array" ref="AF44">(AE44^INDEX(ShipData!$X$36:$X$39,MATCH($F44,ShipData!$U$36:$U$39,0)))*0.756*INDEX(ShipData!$W$36:$W$39,MATCH($F44,ShipData!$U$36:$U$39,0))</f>
        <v>3439.8048335584949</v>
      </c>
      <c r="AG44" s="549" t="s">
        <v>1236</v>
      </c>
      <c r="AH44" s="526" t="s">
        <v>1251</v>
      </c>
      <c r="AI44" s="549" t="s">
        <v>1143</v>
      </c>
    </row>
    <row r="45" spans="3:40">
      <c r="C45" s="552" t="str">
        <f t="shared" si="12"/>
        <v>TFSLH2ICD2N</v>
      </c>
      <c r="D45" s="552" t="s">
        <v>1056</v>
      </c>
      <c r="E45" s="534" t="s">
        <v>1341</v>
      </c>
      <c r="F45" s="531" t="s">
        <v>1027</v>
      </c>
      <c r="G45" s="481">
        <v>2020</v>
      </c>
      <c r="H45" s="1237" t="s">
        <v>986</v>
      </c>
      <c r="I45" s="1239">
        <f t="array" ref="I45">INDEX($AN$12:$BM$15,MATCH(F45,$AM$12:$AM$15,0),MATCH(I$1&amp;$AG45,$AN$9:$BM$9&amp;$AN$11:$BM$11,0))</f>
        <v>9000</v>
      </c>
      <c r="J45" s="1239">
        <f t="shared" si="2"/>
        <v>9000</v>
      </c>
      <c r="K45" s="1239">
        <v>830</v>
      </c>
      <c r="L45" s="1281">
        <v>1498</v>
      </c>
      <c r="M45" s="1265">
        <f t="array" ref="M45">1/(INDEX($AN$12:$BM$15,MATCH($F45,$AM$12:$AM$15,0),MATCH(($G45&amp;M$1)&amp;$AG45,$AN$9:$BM$9&amp;$AN$11:$BM$11,0))/1.852)</f>
        <v>1.1737776538064364</v>
      </c>
      <c r="N45" s="1265">
        <f t="shared" si="3"/>
        <v>1.1737776538064364</v>
      </c>
      <c r="O45" s="1237">
        <v>30</v>
      </c>
      <c r="P45" s="1265"/>
      <c r="Q45" s="1265">
        <f t="shared" si="1"/>
        <v>3956.1765232916132</v>
      </c>
      <c r="R45" s="1265">
        <f t="array" ref="R45">(AF45*(INDEX(ShipData!$P$19:$R$26,MATCH($AH45,ShipData!$N$19:$N$26,0),MATCH($AI45,ShipData!$P$18:$R$18,0))+INDEX(ShipData!$P$30:$R$37,MATCH($AH45,ShipData!$N$30:$N$37,0),MATCH($AI45,ShipData!$P$29:$R$29,0)))+K45*0.1*(1/M45)*INDEX(ShipData!$P$41:$R$48,MATCH($AH45,ShipData!$N$41:$N$48,0),MATCH($AI45,ShipData!$P$40:$R$40,0)))*6.5/1000</f>
        <v>113033.61495118894</v>
      </c>
      <c r="S45" s="1237"/>
      <c r="T45" s="1237">
        <v>1E-3</v>
      </c>
      <c r="U45" s="1278"/>
      <c r="V45" s="1240"/>
      <c r="W45" s="1530">
        <f t="array" ref="W45">INDEX(EMIS_factors!$G$6:$O$152,MATCH($G45&amp;$AB45,EMIS_factors!$E$6:$E$152&amp;EMIS_factors!$D$6:$D$152,0),MATCH(RIGHT(W$4,6),EMIS_factors!$G$4:$O$4,0))</f>
        <v>0</v>
      </c>
      <c r="X45" s="1530">
        <f t="array" ref="X45">INDEX(EMIS_factors!$G$6:$O$152,MATCH($G45&amp;$AB45,EMIS_factors!$E$6:$E$152&amp;EMIS_factors!$D$6:$D$152,0),MATCH(RIGHT(X$4,6),EMIS_factors!$G$4:$O$4,0))</f>
        <v>0</v>
      </c>
      <c r="Y45" s="1530">
        <f t="array" ref="Y45">INDEX(EMIS_factors!$G$6:$O$152,MATCH($G45&amp;$AB45,EMIS_factors!$E$6:$E$152&amp;EMIS_factors!$D$6:$D$152,0),MATCH(RIGHT(Y$4,6),EMIS_factors!$G$4:$O$4,0))</f>
        <v>0</v>
      </c>
      <c r="Z45" s="1530">
        <f t="array" ref="Z45">INDEX(EMIS_factors!$G$6:$O$152,MATCH($G45&amp;$AB45,EMIS_factors!$E$6:$E$152&amp;EMIS_factors!$D$6:$D$152,0),MATCH(RIGHT(Z$4,6),EMIS_factors!$G$4:$O$4,0))</f>
        <v>0</v>
      </c>
      <c r="AA45" s="1295"/>
      <c r="AB45" s="526" t="s">
        <v>1485</v>
      </c>
      <c r="AE45" s="1265">
        <f t="array" ref="AE45">INDEX($AN$12:$BM$15,MATCH(F45,$AM$12:$AM$15,0),MATCH($AG45&amp;$AE$1,$AN$11:$BM$11&amp;$AN$9:$BM$9,0))/1000</f>
        <v>15</v>
      </c>
      <c r="AF45" s="549">
        <f t="array" ref="AF45">(AE45^INDEX(ShipData!$X$36:$X$39,MATCH($F45,ShipData!$U$36:$U$39,0)))*0.756*INDEX(ShipData!$W$36:$W$39,MATCH($F45,ShipData!$U$36:$U$39,0))</f>
        <v>5367.1081902406004</v>
      </c>
      <c r="AG45" s="549" t="s">
        <v>1240</v>
      </c>
      <c r="AH45" s="526" t="s">
        <v>1251</v>
      </c>
      <c r="AI45" s="549" t="s">
        <v>1143</v>
      </c>
    </row>
    <row r="46" spans="3:40">
      <c r="C46" s="552" t="str">
        <f t="shared" si="12"/>
        <v>TFSSH2ICC2N</v>
      </c>
      <c r="D46" s="552" t="s">
        <v>1060</v>
      </c>
      <c r="E46" s="534" t="s">
        <v>1341</v>
      </c>
      <c r="F46" s="531" t="s">
        <v>1028</v>
      </c>
      <c r="G46" s="481">
        <v>2020</v>
      </c>
      <c r="H46" s="1237" t="s">
        <v>986</v>
      </c>
      <c r="I46" s="1239">
        <f t="array" ref="I46">INDEX($AN$12:$BM$15,MATCH(F46,$AM$12:$AM$15,0),MATCH(I$1&amp;$AG46,$AN$9:$BM$9&amp;$AN$11:$BM$11,0))</f>
        <v>2450</v>
      </c>
      <c r="J46" s="1239">
        <f t="shared" si="2"/>
        <v>2450</v>
      </c>
      <c r="K46" s="1239">
        <v>0</v>
      </c>
      <c r="L46" s="1281">
        <v>0</v>
      </c>
      <c r="M46" s="1265">
        <f t="array" ref="M46">1/(INDEX($AN$12:$BM$15,MATCH($F46,$AM$12:$AM$15,0),MATCH(($G46&amp;M$1)&amp;$AG46,$AN$9:$BM$9&amp;$AN$11:$BM$11,0))/1.852)</f>
        <v>1.7403348779577166</v>
      </c>
      <c r="N46" s="1265">
        <f t="shared" si="3"/>
        <v>1.7403348779577166</v>
      </c>
      <c r="O46" s="1237">
        <v>30</v>
      </c>
      <c r="P46" s="1265"/>
      <c r="Q46" s="1265">
        <f t="shared" si="1"/>
        <v>1399.855650364266</v>
      </c>
      <c r="R46" s="1265">
        <f t="array" ref="R46">(AF46*(INDEX(ShipData!$P$19:$R$26,MATCH($AH46,ShipData!$N$19:$N$26,0),MATCH($AI46,ShipData!$P$18:$R$18,0))+INDEX(ShipData!$P$30:$R$37,MATCH($AH46,ShipData!$N$30:$N$37,0),MATCH($AI46,ShipData!$P$29:$R$29,0)))+K46*0.1*(1/M46)*INDEX(ShipData!$P$41:$R$48,MATCH($AH46,ShipData!$N$41:$N$48,0),MATCH($AI46,ShipData!$P$40:$R$40,0)))*6.5/1000</f>
        <v>39995.875724693309</v>
      </c>
      <c r="S46" s="1237"/>
      <c r="T46" s="1237">
        <v>1E-3</v>
      </c>
      <c r="U46" s="1278"/>
      <c r="V46" s="1240"/>
      <c r="W46" s="1530">
        <f t="array" ref="W46">INDEX(EMIS_factors!$G$6:$O$152,MATCH($G46&amp;$AB46,EMIS_factors!$E$6:$E$152&amp;EMIS_factors!$D$6:$D$152,0),MATCH(RIGHT(W$4,6),EMIS_factors!$G$4:$O$4,0))</f>
        <v>0</v>
      </c>
      <c r="X46" s="1530">
        <f t="array" ref="X46">INDEX(EMIS_factors!$G$6:$O$152,MATCH($G46&amp;$AB46,EMIS_factors!$E$6:$E$152&amp;EMIS_factors!$D$6:$D$152,0),MATCH(RIGHT(X$4,6),EMIS_factors!$G$4:$O$4,0))</f>
        <v>0</v>
      </c>
      <c r="Y46" s="1530">
        <f t="array" ref="Y46">INDEX(EMIS_factors!$G$6:$O$152,MATCH($G46&amp;$AB46,EMIS_factors!$E$6:$E$152&amp;EMIS_factors!$D$6:$D$152,0),MATCH(RIGHT(Y$4,6),EMIS_factors!$G$4:$O$4,0))</f>
        <v>0</v>
      </c>
      <c r="Z46" s="1530">
        <f t="array" ref="Z46">INDEX(EMIS_factors!$G$6:$O$152,MATCH($G46&amp;$AB46,EMIS_factors!$E$6:$E$152&amp;EMIS_factors!$D$6:$D$152,0),MATCH(RIGHT(Z$4,6),EMIS_factors!$G$4:$O$4,0))</f>
        <v>0</v>
      </c>
      <c r="AA46" s="1295"/>
      <c r="AB46" s="526" t="s">
        <v>1485</v>
      </c>
      <c r="AE46" s="1265">
        <f t="array" ref="AE46">INDEX($AN$12:$BM$15,MATCH(F46,$AM$12:$AM$15,0),MATCH($AG46&amp;$AE$1,$AN$11:$BM$11&amp;$AN$9:$BM$9,0))/1000</f>
        <v>3.5</v>
      </c>
      <c r="AF46" s="549">
        <f t="array" ref="AF46">(AE46^INDEX(ShipData!$X$36:$X$39,MATCH($F46,ShipData!$U$36:$U$39,0)))*0.756*INDEX(ShipData!$W$36:$W$39,MATCH($F46,ShipData!$U$36:$U$39,0))</f>
        <v>2454.0448908848457</v>
      </c>
      <c r="AG46" s="549" t="s">
        <v>1239</v>
      </c>
      <c r="AH46" s="526" t="s">
        <v>1251</v>
      </c>
      <c r="AI46" s="549" t="s">
        <v>1145</v>
      </c>
    </row>
    <row r="47" spans="3:40">
      <c r="C47" s="552" t="str">
        <f t="shared" si="12"/>
        <v>TFSMH2ICC2N</v>
      </c>
      <c r="D47" s="552" t="s">
        <v>1061</v>
      </c>
      <c r="E47" s="534" t="s">
        <v>1341</v>
      </c>
      <c r="F47" s="531" t="s">
        <v>1028</v>
      </c>
      <c r="G47" s="481">
        <v>2020</v>
      </c>
      <c r="H47" s="1237" t="s">
        <v>986</v>
      </c>
      <c r="I47" s="1239">
        <f t="array" ref="I47">INDEX($AN$12:$BM$15,MATCH(F47,$AM$12:$AM$15,0),MATCH(I$1&amp;$AG47,$AN$9:$BM$9&amp;$AN$11:$BM$11,0))</f>
        <v>4900</v>
      </c>
      <c r="J47" s="1239">
        <f t="shared" si="2"/>
        <v>4900</v>
      </c>
      <c r="K47" s="1239">
        <v>362</v>
      </c>
      <c r="L47" s="1281">
        <v>653</v>
      </c>
      <c r="M47" s="1265">
        <f t="array" ref="M47">1/(INDEX($AN$12:$BM$15,MATCH($F47,$AM$12:$AM$15,0),MATCH(($G47&amp;M$1)&amp;$AG47,$AN$9:$BM$9&amp;$AN$11:$BM$11,0))/1.852)</f>
        <v>0.87906595126970144</v>
      </c>
      <c r="N47" s="1265">
        <f t="shared" si="3"/>
        <v>0.87906595126970144</v>
      </c>
      <c r="O47" s="1237">
        <v>30</v>
      </c>
      <c r="P47" s="1265"/>
      <c r="Q47" s="1265">
        <f t="shared" si="1"/>
        <v>3130.1893316034939</v>
      </c>
      <c r="R47" s="1265">
        <f t="array" ref="R47">(AF47*(INDEX(ShipData!$P$19:$R$26,MATCH($AH47,ShipData!$N$19:$N$26,0),MATCH($AI47,ShipData!$P$18:$R$18,0))+INDEX(ShipData!$P$30:$R$37,MATCH($AH47,ShipData!$N$30:$N$37,0),MATCH($AI47,ShipData!$P$29:$R$29,0)))+K47*0.1*(1/M47)*INDEX(ShipData!$P$41:$R$48,MATCH($AH47,ShipData!$N$41:$N$48,0),MATCH($AI47,ShipData!$P$40:$R$40,0)))*6.5/1000</f>
        <v>89433.980902956959</v>
      </c>
      <c r="S47" s="1237"/>
      <c r="T47" s="1237">
        <v>1E-3</v>
      </c>
      <c r="U47" s="1278"/>
      <c r="V47" s="1240"/>
      <c r="W47" s="1530">
        <f t="array" ref="W47">INDEX(EMIS_factors!$G$6:$O$152,MATCH($G47&amp;$AB47,EMIS_factors!$E$6:$E$152&amp;EMIS_factors!$D$6:$D$152,0),MATCH(RIGHT(W$4,6),EMIS_factors!$G$4:$O$4,0))</f>
        <v>0</v>
      </c>
      <c r="X47" s="1530">
        <f t="array" ref="X47">INDEX(EMIS_factors!$G$6:$O$152,MATCH($G47&amp;$AB47,EMIS_factors!$E$6:$E$152&amp;EMIS_factors!$D$6:$D$152,0),MATCH(RIGHT(X$4,6),EMIS_factors!$G$4:$O$4,0))</f>
        <v>0</v>
      </c>
      <c r="Y47" s="1530">
        <f t="array" ref="Y47">INDEX(EMIS_factors!$G$6:$O$152,MATCH($G47&amp;$AB47,EMIS_factors!$E$6:$E$152&amp;EMIS_factors!$D$6:$D$152,0),MATCH(RIGHT(Y$4,6),EMIS_factors!$G$4:$O$4,0))</f>
        <v>0</v>
      </c>
      <c r="Z47" s="1530">
        <f t="array" ref="Z47">INDEX(EMIS_factors!$G$6:$O$152,MATCH($G47&amp;$AB47,EMIS_factors!$E$6:$E$152&amp;EMIS_factors!$D$6:$D$152,0),MATCH(RIGHT(Z$4,6),EMIS_factors!$G$4:$O$4,0))</f>
        <v>0</v>
      </c>
      <c r="AA47" s="1295"/>
      <c r="AB47" s="526" t="s">
        <v>1485</v>
      </c>
      <c r="AE47" s="1265">
        <f t="array" ref="AE47">INDEX($AN$12:$BM$15,MATCH(F47,$AM$12:$AM$15,0),MATCH($AG47&amp;$AE$1,$AN$11:$BM$11&amp;$AN$9:$BM$9,0))/1000</f>
        <v>7</v>
      </c>
      <c r="AF47" s="549">
        <f t="array" ref="AF47">(AE47^INDEX(ShipData!$X$36:$X$39,MATCH($F47,ShipData!$U$36:$U$39,0)))*0.756*INDEX(ShipData!$W$36:$W$39,MATCH($F47,ShipData!$U$36:$U$39,0))</f>
        <v>5483.7455856749639</v>
      </c>
      <c r="AG47" s="549" t="s">
        <v>1236</v>
      </c>
      <c r="AH47" s="526" t="s">
        <v>1251</v>
      </c>
      <c r="AI47" s="549" t="s">
        <v>1145</v>
      </c>
      <c r="AL47" s="552"/>
      <c r="AM47" s="553"/>
      <c r="AN47" s="553"/>
    </row>
    <row r="48" spans="3:40">
      <c r="C48" s="552" t="str">
        <f t="shared" si="12"/>
        <v>TFSLH2ICC2N</v>
      </c>
      <c r="D48" s="552" t="s">
        <v>1062</v>
      </c>
      <c r="E48" s="534" t="s">
        <v>1341</v>
      </c>
      <c r="F48" s="531" t="s">
        <v>1028</v>
      </c>
      <c r="G48" s="481">
        <v>2020</v>
      </c>
      <c r="H48" s="1237" t="s">
        <v>986</v>
      </c>
      <c r="I48" s="1239">
        <f t="array" ref="I48">INDEX($AN$12:$BM$15,MATCH(F48,$AM$12:$AM$15,0),MATCH(I$1&amp;$AG48,$AN$9:$BM$9&amp;$AN$11:$BM$11,0))</f>
        <v>11760</v>
      </c>
      <c r="J48" s="1239">
        <f t="shared" si="2"/>
        <v>11760</v>
      </c>
      <c r="K48" s="1239">
        <v>579</v>
      </c>
      <c r="L48" s="1281">
        <v>1045</v>
      </c>
      <c r="M48" s="1265">
        <f t="array" ref="M48">1/(INDEX($AN$12:$BM$15,MATCH($F48,$AM$12:$AM$15,0),MATCH(($G48&amp;M$1)&amp;$AG48,$AN$9:$BM$9&amp;$AN$11:$BM$11,0))/1.852)</f>
        <v>0.40793352062343913</v>
      </c>
      <c r="N48" s="1265">
        <f t="shared" si="3"/>
        <v>0.40793352062343913</v>
      </c>
      <c r="O48" s="1237">
        <v>30</v>
      </c>
      <c r="P48" s="1265"/>
      <c r="Q48" s="1265">
        <f t="shared" si="1"/>
        <v>8643.4732198503516</v>
      </c>
      <c r="R48" s="1265">
        <f t="array" ref="R48">(AF48*(INDEX(ShipData!$P$19:$R$26,MATCH($AH48,ShipData!$N$19:$N$26,0),MATCH($AI48,ShipData!$P$18:$R$18,0))+INDEX(ShipData!$P$30:$R$37,MATCH($AH48,ShipData!$N$30:$N$37,0),MATCH($AI48,ShipData!$P$29:$R$29,0)))+K48*0.1*(1/M48)*INDEX(ShipData!$P$41:$R$48,MATCH($AH48,ShipData!$N$41:$N$48,0),MATCH($AI48,ShipData!$P$40:$R$40,0)))*6.5/1000</f>
        <v>246956.37771001001</v>
      </c>
      <c r="S48" s="1237"/>
      <c r="T48" s="1237">
        <v>1E-3</v>
      </c>
      <c r="U48" s="1278"/>
      <c r="V48" s="1240"/>
      <c r="W48" s="1530">
        <f t="array" ref="W48">INDEX(EMIS_factors!$G$6:$O$152,MATCH($G48&amp;$AB48,EMIS_factors!$E$6:$E$152&amp;EMIS_factors!$D$6:$D$152,0),MATCH(RIGHT(W$4,6),EMIS_factors!$G$4:$O$4,0))</f>
        <v>0</v>
      </c>
      <c r="X48" s="1530">
        <f t="array" ref="X48">INDEX(EMIS_factors!$G$6:$O$152,MATCH($G48&amp;$AB48,EMIS_factors!$E$6:$E$152&amp;EMIS_factors!$D$6:$D$152,0),MATCH(RIGHT(X$4,6),EMIS_factors!$G$4:$O$4,0))</f>
        <v>0</v>
      </c>
      <c r="Y48" s="1530">
        <f t="array" ref="Y48">INDEX(EMIS_factors!$G$6:$O$152,MATCH($G48&amp;$AB48,EMIS_factors!$E$6:$E$152&amp;EMIS_factors!$D$6:$D$152,0),MATCH(RIGHT(Y$4,6),EMIS_factors!$G$4:$O$4,0))</f>
        <v>0</v>
      </c>
      <c r="Z48" s="1530">
        <f t="array" ref="Z48">INDEX(EMIS_factors!$G$6:$O$152,MATCH($G48&amp;$AB48,EMIS_factors!$E$6:$E$152&amp;EMIS_factors!$D$6:$D$152,0),MATCH(RIGHT(Z$4,6),EMIS_factors!$G$4:$O$4,0))</f>
        <v>0</v>
      </c>
      <c r="AA48" s="1295"/>
      <c r="AB48" s="526" t="s">
        <v>1485</v>
      </c>
      <c r="AE48" s="1265">
        <f t="array" ref="AE48">INDEX($AN$12:$BM$15,MATCH(F48,$AM$12:$AM$15,0),MATCH($AG48&amp;$AE$1,$AN$11:$BM$11&amp;$AN$9:$BM$9,0))/1000</f>
        <v>16.8</v>
      </c>
      <c r="AF48" s="549">
        <f t="array" ref="AF48">(AE48^INDEX(ShipData!$X$36:$X$39,MATCH($F48,ShipData!$U$36:$U$39,0)))*0.756*INDEX(ShipData!$W$36:$W$39,MATCH($F48,ShipData!$U$36:$U$39,0))</f>
        <v>15139.876697863274</v>
      </c>
      <c r="AG48" s="549" t="s">
        <v>1240</v>
      </c>
      <c r="AH48" s="526" t="s">
        <v>1251</v>
      </c>
      <c r="AI48" s="549" t="s">
        <v>1145</v>
      </c>
      <c r="AL48" s="552"/>
      <c r="AM48" s="553"/>
      <c r="AN48" s="553"/>
    </row>
    <row r="49" spans="3:40">
      <c r="C49" s="552" t="str">
        <f t="shared" si="12"/>
        <v>TFSLH2ICR2N</v>
      </c>
      <c r="D49" s="552" t="s">
        <v>1065</v>
      </c>
      <c r="E49" s="534" t="s">
        <v>1341</v>
      </c>
      <c r="F49" s="531" t="s">
        <v>1029</v>
      </c>
      <c r="G49" s="481">
        <v>2020</v>
      </c>
      <c r="H49" s="1237" t="s">
        <v>986</v>
      </c>
      <c r="I49" s="1239">
        <f t="array" ref="I49">INDEX($AN$12:$BM$15,MATCH(F49,$AM$12:$AM$15,0),MATCH(I$1&amp;$AG49,$AN$9:$BM$9&amp;$AN$11:$BM$11,0))</f>
        <v>11760</v>
      </c>
      <c r="J49" s="1239">
        <f t="shared" si="2"/>
        <v>11760</v>
      </c>
      <c r="K49" s="1239">
        <v>38287</v>
      </c>
      <c r="L49" s="1281">
        <v>69083</v>
      </c>
      <c r="M49" s="1265">
        <f t="array" ref="M49">1/(INDEX($AN$12:$BM$15,MATCH($F49,$AM$12:$AM$15,0),MATCH(($G49&amp;M$1)&amp;$AG49,$AN$9:$BM$9&amp;$AN$11:$BM$11,0))/1.852)</f>
        <v>0.40793352062343913</v>
      </c>
      <c r="N49" s="1265">
        <f t="shared" si="3"/>
        <v>0.40793352062343913</v>
      </c>
      <c r="O49" s="1237">
        <v>30</v>
      </c>
      <c r="P49" s="1265"/>
      <c r="Q49" s="1265">
        <f t="shared" si="1"/>
        <v>9568.4875881251555</v>
      </c>
      <c r="R49" s="1265">
        <f t="array" ref="R49">(AF49*(INDEX(ShipData!$P$19:$R$26,MATCH($AH49,ShipData!$N$19:$N$26,0),MATCH($AI49,ShipData!$P$18:$R$18,0))+INDEX(ShipData!$P$30:$R$37,MATCH($AH49,ShipData!$N$30:$N$37,0),MATCH($AI49,ShipData!$P$29:$R$29,0)))+K49*0.1*(1/M49)*INDEX(ShipData!$P$41:$R$48,MATCH($AH49,ShipData!$N$41:$N$48,0),MATCH($AI49,ShipData!$P$40:$R$40,0)))*6.5/1000</f>
        <v>273385.35966071871</v>
      </c>
      <c r="S49" s="1237"/>
      <c r="T49" s="1237">
        <v>1E-3</v>
      </c>
      <c r="U49" s="1278"/>
      <c r="V49" s="1240"/>
      <c r="W49" s="1530">
        <f t="array" ref="W49">INDEX(EMIS_factors!$G$6:$O$152,MATCH($G49&amp;$AB49,EMIS_factors!$E$6:$E$152&amp;EMIS_factors!$D$6:$D$152,0),MATCH(RIGHT(W$4,6),EMIS_factors!$G$4:$O$4,0))</f>
        <v>0</v>
      </c>
      <c r="X49" s="1530">
        <f t="array" ref="X49">INDEX(EMIS_factors!$G$6:$O$152,MATCH($G49&amp;$AB49,EMIS_factors!$E$6:$E$152&amp;EMIS_factors!$D$6:$D$152,0),MATCH(RIGHT(X$4,6),EMIS_factors!$G$4:$O$4,0))</f>
        <v>0</v>
      </c>
      <c r="Y49" s="1530">
        <f t="array" ref="Y49">INDEX(EMIS_factors!$G$6:$O$152,MATCH($G49&amp;$AB49,EMIS_factors!$E$6:$E$152&amp;EMIS_factors!$D$6:$D$152,0),MATCH(RIGHT(Y$4,6),EMIS_factors!$G$4:$O$4,0))</f>
        <v>0</v>
      </c>
      <c r="Z49" s="1530">
        <f t="array" ref="Z49">INDEX(EMIS_factors!$G$6:$O$152,MATCH($G49&amp;$AB49,EMIS_factors!$E$6:$E$152&amp;EMIS_factors!$D$6:$D$152,0),MATCH(RIGHT(Z$4,6),EMIS_factors!$G$4:$O$4,0))</f>
        <v>0</v>
      </c>
      <c r="AA49" s="1295"/>
      <c r="AB49" s="526" t="s">
        <v>1485</v>
      </c>
      <c r="AE49" s="1265">
        <f t="array" ref="AE49">INDEX($AN$12:$BM$15,MATCH(F49,$AM$12:$AM$15,0),MATCH($AG49&amp;$AE$1,$AN$11:$BM$11&amp;$AN$9:$BM$9,0))/1000</f>
        <v>16.8</v>
      </c>
      <c r="AF49" s="549">
        <f t="array" ref="AF49">(AE49^INDEX(ShipData!$X$36:$X$39,MATCH($F49,ShipData!$U$36:$U$39,0)))*0.756*INDEX(ShipData!$W$36:$W$39,MATCH($F49,ShipData!$U$36:$U$39,0))</f>
        <v>15932.009016151462</v>
      </c>
      <c r="AG49" s="549" t="s">
        <v>1240</v>
      </c>
      <c r="AH49" s="526" t="s">
        <v>1251</v>
      </c>
      <c r="AI49" s="549" t="s">
        <v>1145</v>
      </c>
      <c r="AL49" s="552"/>
      <c r="AM49" s="553"/>
      <c r="AN49" s="553"/>
    </row>
    <row r="50" spans="3:40">
      <c r="C50" s="1428" t="str">
        <f t="shared" si="12"/>
        <v>TFSSH2ICR2N</v>
      </c>
      <c r="D50" s="552" t="s">
        <v>1066</v>
      </c>
      <c r="E50" s="1429" t="s">
        <v>1341</v>
      </c>
      <c r="F50" s="1430" t="s">
        <v>1029</v>
      </c>
      <c r="G50" s="1450">
        <v>2020</v>
      </c>
      <c r="H50" s="1431" t="s">
        <v>986</v>
      </c>
      <c r="I50" s="1434">
        <f t="array" ref="I50">INDEX($AN$12:$BM$15,MATCH(F50,$AM$12:$AM$15,0),MATCH(I$1&amp;$AG50,$AN$9:$BM$9&amp;$AN$11:$BM$11,0))</f>
        <v>1002</v>
      </c>
      <c r="J50" s="1434">
        <f t="shared" si="2"/>
        <v>1002</v>
      </c>
      <c r="K50" s="1434">
        <v>925</v>
      </c>
      <c r="L50" s="1451">
        <v>1668</v>
      </c>
      <c r="M50" s="1448">
        <f t="array" ref="M50">1/(INDEX($AN$12:$BM$15,MATCH($F50,$AM$12:$AM$15,0),MATCH(($G50&amp;M$1)&amp;$AG50,$AN$9:$BM$9&amp;$AN$11:$BM$11,0))/1.852)</f>
        <v>1.7403348779577166</v>
      </c>
      <c r="N50" s="1448">
        <f t="shared" si="3"/>
        <v>1.7403348779577166</v>
      </c>
      <c r="O50" s="1431">
        <v>30</v>
      </c>
      <c r="P50" s="1448"/>
      <c r="Q50" s="1448">
        <f t="shared" si="1"/>
        <v>981.16911786025037</v>
      </c>
      <c r="R50" s="1448">
        <f t="array" ref="R50">(AF50*(INDEX(ShipData!$P$19:$R$26,MATCH($AH50,ShipData!$N$19:$N$26,0),MATCH($AI50,ShipData!$P$18:$R$18,0))+INDEX(ShipData!$P$30:$R$37,MATCH($AH50,ShipData!$N$30:$N$37,0),MATCH($AI50,ShipData!$P$29:$R$29,0)))+K50*0.1*(1/M50)*INDEX(ShipData!$P$41:$R$48,MATCH($AH50,ShipData!$N$41:$N$48,0),MATCH($AI50,ShipData!$P$40:$R$40,0)))*6.5/1000</f>
        <v>28033.403367435723</v>
      </c>
      <c r="S50" s="1431"/>
      <c r="T50" s="1431">
        <v>1E-3</v>
      </c>
      <c r="U50" s="1446"/>
      <c r="V50" s="1447"/>
      <c r="W50" s="1530">
        <f t="array" ref="W50">INDEX(EMIS_factors!$G$6:$O$152,MATCH($G50&amp;$AB50,EMIS_factors!$E$6:$E$152&amp;EMIS_factors!$D$6:$D$152,0),MATCH(RIGHT(W$4,6),EMIS_factors!$G$4:$O$4,0))</f>
        <v>0</v>
      </c>
      <c r="X50" s="1530">
        <f t="array" ref="X50">INDEX(EMIS_factors!$G$6:$O$152,MATCH($G50&amp;$AB50,EMIS_factors!$E$6:$E$152&amp;EMIS_factors!$D$6:$D$152,0),MATCH(RIGHT(X$4,6),EMIS_factors!$G$4:$O$4,0))</f>
        <v>0</v>
      </c>
      <c r="Y50" s="1530">
        <f t="array" ref="Y50">INDEX(EMIS_factors!$G$6:$O$152,MATCH($G50&amp;$AB50,EMIS_factors!$E$6:$E$152&amp;EMIS_factors!$D$6:$D$152,0),MATCH(RIGHT(Y$4,6),EMIS_factors!$G$4:$O$4,0))</f>
        <v>0</v>
      </c>
      <c r="Z50" s="1530">
        <f t="array" ref="Z50">INDEX(EMIS_factors!$G$6:$O$152,MATCH($G50&amp;$AB50,EMIS_factors!$E$6:$E$152&amp;EMIS_factors!$D$6:$D$152,0),MATCH(RIGHT(Z$4,6),EMIS_factors!$G$4:$O$4,0))</f>
        <v>0</v>
      </c>
      <c r="AA50" s="1295"/>
      <c r="AB50" s="526" t="s">
        <v>1485</v>
      </c>
      <c r="AE50" s="1265">
        <f t="array" ref="AE50">INDEX($AN$12:$BM$15,MATCH(F50,$AM$12:$AM$15,0),MATCH($AG50&amp;$AE$1,$AN$11:$BM$11&amp;$AN$9:$BM$9,0))/1000</f>
        <v>1.4314285714285715</v>
      </c>
      <c r="AF50" s="549">
        <f t="array" ref="AF50">(AE50^INDEX(ShipData!$X$36:$X$39,MATCH($F50,ShipData!$U$36:$U$39,0)))*0.756*INDEX(ShipData!$W$36:$W$39,MATCH($F50,ShipData!$U$36:$U$39,0))</f>
        <v>1715.2886160618959</v>
      </c>
      <c r="AG50" s="549" t="s">
        <v>1239</v>
      </c>
      <c r="AH50" s="526" t="s">
        <v>1251</v>
      </c>
      <c r="AI50" s="549" t="s">
        <v>1145</v>
      </c>
      <c r="AL50" s="552"/>
      <c r="AM50" s="553"/>
      <c r="AN50" s="553"/>
    </row>
    <row r="51" spans="3:40">
      <c r="C51" s="552" t="str">
        <f t="shared" si="12"/>
        <v>TFSMNGICL2N</v>
      </c>
      <c r="D51" s="552" t="s">
        <v>1067</v>
      </c>
      <c r="E51" s="534" t="s">
        <v>1344</v>
      </c>
      <c r="F51" s="531" t="s">
        <v>1026</v>
      </c>
      <c r="G51" s="481">
        <v>2020</v>
      </c>
      <c r="H51" s="1237" t="s">
        <v>986</v>
      </c>
      <c r="I51" s="1239">
        <f t="array" ref="I51">INDEX($AN$12:$BM$15,MATCH(F51,$AM$12:$AM$15,0),MATCH(I$1&amp;$AG51,$AN$9:$BM$9&amp;$AN$11:$BM$11,0))</f>
        <v>3045.9905660377353</v>
      </c>
      <c r="J51" s="1239">
        <f t="shared" si="2"/>
        <v>3045.9905660377353</v>
      </c>
      <c r="K51" s="1239">
        <v>46488</v>
      </c>
      <c r="L51" s="1237">
        <v>83879</v>
      </c>
      <c r="M51" s="1265">
        <f t="array" ref="M51">1/(INDEX($AN$12:$BM$15,MATCH($F51,$AM$12:$AM$15,0),MATCH(($G51&amp;M$1)&amp;$AG51,$AN$9:$BM$9&amp;$AN$11:$BM$11,0))/1.852)</f>
        <v>1.4081877865043426</v>
      </c>
      <c r="N51" s="1265">
        <f t="shared" si="3"/>
        <v>1.4081877865043426</v>
      </c>
      <c r="O51" s="1237">
        <v>30</v>
      </c>
      <c r="P51" s="1265"/>
      <c r="Q51" s="1265">
        <f t="shared" si="1"/>
        <v>2489.9101158561016</v>
      </c>
      <c r="R51" s="1265">
        <f t="array" ref="R51">(AF51*(INDEX(ShipData!$P$19:$R$26,MATCH($AH51,ShipData!$N$19:$N$26,0),MATCH($AI51,ShipData!$P$18:$R$18,0))+INDEX(ShipData!$P$30:$R$37,MATCH($AH51,ShipData!$N$30:$N$37,0),MATCH($AI51,ShipData!$P$29:$R$29,0)))+K51*0.1*(1/M51)*INDEX(ShipData!$P$41:$R$48,MATCH($AH51,ShipData!$N$41:$N$48,0),MATCH($AI51,ShipData!$P$40:$R$40,0)))*6.5/1000</f>
        <v>71140.289024460042</v>
      </c>
      <c r="S51" s="1237"/>
      <c r="T51" s="1237">
        <v>1E-3</v>
      </c>
      <c r="U51" s="1278"/>
      <c r="V51" s="1240"/>
      <c r="W51" s="1530">
        <f t="array" ref="W51">INDEX(EMIS_factors!$G$6:$O$152,MATCH($G51&amp;$AB51,EMIS_factors!$E$6:$E$152&amp;EMIS_factors!$D$6:$D$152,0),MATCH(RIGHT(W$4,6),EMIS_factors!$G$4:$O$4,0))</f>
        <v>0</v>
      </c>
      <c r="X51" s="1530">
        <f t="array" ref="X51">INDEX(EMIS_factors!$G$6:$O$152,MATCH($G51&amp;$AB51,EMIS_factors!$E$6:$E$152&amp;EMIS_factors!$D$6:$D$152,0),MATCH(RIGHT(X$4,6),EMIS_factors!$G$4:$O$4,0))</f>
        <v>411.41501253398201</v>
      </c>
      <c r="Y51" s="1530">
        <f t="array" ref="Y51">INDEX(EMIS_factors!$G$6:$O$152,MATCH($G51&amp;$AB51,EMIS_factors!$E$6:$E$152&amp;EMIS_factors!$D$6:$D$152,0),MATCH(RIGHT(Y$4,6),EMIS_factors!$G$4:$O$4,0))</f>
        <v>0.11686473412375831</v>
      </c>
      <c r="Z51" s="1530">
        <f t="array" ref="Z51">INDEX(EMIS_factors!$G$6:$O$152,MATCH($G51&amp;$AB51,EMIS_factors!$E$6:$E$152&amp;EMIS_factors!$D$6:$D$152,0),MATCH(RIGHT(Z$4,6),EMIS_factors!$G$4:$O$4,0))</f>
        <v>0</v>
      </c>
      <c r="AA51" s="1295"/>
      <c r="AB51" s="526" t="s">
        <v>1483</v>
      </c>
      <c r="AE51" s="1265">
        <f t="array" ref="AE51">INDEX($AN$12:$BM$15,MATCH(F51,$AM$12:$AM$15,0),MATCH($AG51&amp;$AE$1,$AN$11:$BM$11&amp;$AN$9:$BM$9,0))/1000</f>
        <v>5.9433962264150946</v>
      </c>
      <c r="AF51" s="549">
        <f t="array" ref="AF51">(AE51^INDEX(ShipData!$X$36:$X$39,MATCH($F51,ShipData!$U$36:$U$39,0)))*0.756*INDEX(ShipData!$W$36:$W$39,MATCH($F51,ShipData!$U$36:$U$39,0))</f>
        <v>3369.7610132900404</v>
      </c>
      <c r="AG51" s="549" t="s">
        <v>1236</v>
      </c>
      <c r="AH51" s="526" t="s">
        <v>1252</v>
      </c>
      <c r="AI51" s="549" t="s">
        <v>1143</v>
      </c>
      <c r="AL51" s="552"/>
      <c r="AM51" s="553"/>
      <c r="AN51" s="553"/>
    </row>
    <row r="52" spans="3:40">
      <c r="C52" s="552" t="str">
        <f t="shared" si="12"/>
        <v>TFSLNGICL2N</v>
      </c>
      <c r="D52" s="552" t="s">
        <v>1068</v>
      </c>
      <c r="E52" s="534" t="s">
        <v>1344</v>
      </c>
      <c r="F52" s="531" t="s">
        <v>1026</v>
      </c>
      <c r="G52" s="481">
        <v>2020</v>
      </c>
      <c r="H52" s="1237" t="s">
        <v>986</v>
      </c>
      <c r="I52" s="1239">
        <f t="array" ref="I52">INDEX($AN$12:$BM$15,MATCH(F52,$AM$12:$AM$15,0),MATCH(I$1&amp;$AG52,$AN$9:$BM$9&amp;$AN$11:$BM$11,0))</f>
        <v>7427.5362318840562</v>
      </c>
      <c r="J52" s="1239">
        <f t="shared" si="2"/>
        <v>7427.5362318840562</v>
      </c>
      <c r="K52" s="1239">
        <v>25616</v>
      </c>
      <c r="L52" s="1237">
        <v>46219</v>
      </c>
      <c r="M52" s="1265">
        <f t="array" ref="M52">1/(INDEX($AN$12:$BM$15,MATCH($F52,$AM$12:$AM$15,0),MATCH(($G52&amp;M$1)&amp;$AG52,$AN$9:$BM$9&amp;$AN$11:$BM$11,0))/1.852)</f>
        <v>0.84765820280384263</v>
      </c>
      <c r="N52" s="1265">
        <f t="shared" si="3"/>
        <v>0.84765820280384263</v>
      </c>
      <c r="O52" s="1237">
        <v>30</v>
      </c>
      <c r="P52" s="1265"/>
      <c r="Q52" s="1265">
        <f t="shared" si="1"/>
        <v>4044.8130767913985</v>
      </c>
      <c r="R52" s="1265">
        <f t="array" ref="R52">(AF52*(INDEX(ShipData!$P$19:$R$26,MATCH($AH52,ShipData!$N$19:$N$26,0),MATCH($AI52,ShipData!$P$18:$R$18,0))+INDEX(ShipData!$P$30:$R$37,MATCH($AH52,ShipData!$N$30:$N$37,0),MATCH($AI52,ShipData!$P$29:$R$29,0)))+K52*0.1*(1/M52)*INDEX(ShipData!$P$41:$R$48,MATCH($AH52,ShipData!$N$41:$N$48,0),MATCH($AI52,ShipData!$P$40:$R$40,0)))*6.5/1000</f>
        <v>115566.08790832566</v>
      </c>
      <c r="S52" s="1237"/>
      <c r="T52" s="1237">
        <v>1E-3</v>
      </c>
      <c r="U52" s="1278"/>
      <c r="V52" s="1240"/>
      <c r="W52" s="1530">
        <f t="array" ref="W52">INDEX(EMIS_factors!$G$6:$O$152,MATCH($G52&amp;$AB52,EMIS_factors!$E$6:$E$152&amp;EMIS_factors!$D$6:$D$152,0),MATCH(RIGHT(W$4,6),EMIS_factors!$G$4:$O$4,0))</f>
        <v>0</v>
      </c>
      <c r="X52" s="1530">
        <f t="array" ref="X52">INDEX(EMIS_factors!$G$6:$O$152,MATCH($G52&amp;$AB52,EMIS_factors!$E$6:$E$152&amp;EMIS_factors!$D$6:$D$152,0),MATCH(RIGHT(X$4,6),EMIS_factors!$G$4:$O$4,0))</f>
        <v>411.41501253398201</v>
      </c>
      <c r="Y52" s="1530">
        <f t="array" ref="Y52">INDEX(EMIS_factors!$G$6:$O$152,MATCH($G52&amp;$AB52,EMIS_factors!$E$6:$E$152&amp;EMIS_factors!$D$6:$D$152,0),MATCH(RIGHT(Y$4,6),EMIS_factors!$G$4:$O$4,0))</f>
        <v>0.11686473412375831</v>
      </c>
      <c r="Z52" s="1530">
        <f t="array" ref="Z52">INDEX(EMIS_factors!$G$6:$O$152,MATCH($G52&amp;$AB52,EMIS_factors!$E$6:$E$152&amp;EMIS_factors!$D$6:$D$152,0),MATCH(RIGHT(Z$4,6),EMIS_factors!$G$4:$O$4,0))</f>
        <v>0</v>
      </c>
      <c r="AA52" s="1295"/>
      <c r="AB52" s="526" t="s">
        <v>1483</v>
      </c>
      <c r="AE52" s="1265">
        <f t="array" ref="AE52">INDEX($AN$12:$BM$15,MATCH(F52,$AM$12:$AM$15,0),MATCH($AG52&amp;$AE$1,$AN$11:$BM$11&amp;$AN$9:$BM$9,0))/1000</f>
        <v>14.492753623188404</v>
      </c>
      <c r="AF52" s="549">
        <f t="array" ref="AF52">(AE52^INDEX(ShipData!$X$36:$X$39,MATCH($F52,ShipData!$U$36:$U$39,0)))*0.756*INDEX(ShipData!$W$36:$W$39,MATCH($F52,ShipData!$U$36:$U$39,0))</f>
        <v>5556.1159914410127</v>
      </c>
      <c r="AG52" s="549" t="s">
        <v>1240</v>
      </c>
      <c r="AH52" s="526" t="s">
        <v>1252</v>
      </c>
      <c r="AI52" s="549" t="s">
        <v>1143</v>
      </c>
      <c r="AL52" s="552"/>
      <c r="AM52" s="553"/>
      <c r="AN52" s="553"/>
    </row>
    <row r="53" spans="3:40">
      <c r="C53" s="552" t="str">
        <f t="shared" si="12"/>
        <v>TFSSNGICL2N</v>
      </c>
      <c r="D53" s="552" t="s">
        <v>1069</v>
      </c>
      <c r="E53" s="534" t="s">
        <v>1344</v>
      </c>
      <c r="F53" s="531" t="s">
        <v>1026</v>
      </c>
      <c r="G53" s="481">
        <v>2020</v>
      </c>
      <c r="H53" s="1237" t="s">
        <v>986</v>
      </c>
      <c r="I53" s="1239">
        <f t="array" ref="I53">INDEX($AN$12:$BM$15,MATCH(F53,$AM$12:$AM$15,0),MATCH(I$1&amp;$AG53,$AN$9:$BM$9&amp;$AN$11:$BM$11,0))</f>
        <v>810</v>
      </c>
      <c r="J53" s="1239">
        <f t="shared" si="2"/>
        <v>810</v>
      </c>
      <c r="K53" s="1239">
        <v>3985</v>
      </c>
      <c r="L53" s="1237">
        <v>7190</v>
      </c>
      <c r="M53" s="1265">
        <f t="array" ref="M53">1/(INDEX($AN$12:$BM$15,MATCH($F53,$AM$12:$AM$15,0),MATCH(($G53&amp;M$1)&amp;$AG53,$AN$9:$BM$9&amp;$AN$11:$BM$11,0))/1.852)</f>
        <v>2.3752039567310899</v>
      </c>
      <c r="N53" s="1265">
        <f t="shared" si="3"/>
        <v>2.3752039567310899</v>
      </c>
      <c r="O53" s="1237">
        <v>30</v>
      </c>
      <c r="P53" s="1265"/>
      <c r="Q53" s="1265">
        <f t="shared" si="1"/>
        <v>1149.2312119016026</v>
      </c>
      <c r="R53" s="1265">
        <f t="array" ref="R53">(AF53*(INDEX(ShipData!$P$19:$R$26,MATCH($AH53,ShipData!$N$19:$N$26,0),MATCH($AI53,ShipData!$P$18:$R$18,0))+INDEX(ShipData!$P$30:$R$37,MATCH($AH53,ShipData!$N$30:$N$37,0),MATCH($AI53,ShipData!$P$29:$R$29,0)))+K53*0.1*(1/M53)*INDEX(ShipData!$P$41:$R$48,MATCH($AH53,ShipData!$N$41:$N$48,0),MATCH($AI53,ShipData!$P$40:$R$40,0)))*6.5/1000</f>
        <v>32835.177482902931</v>
      </c>
      <c r="S53" s="1237"/>
      <c r="T53" s="1237">
        <v>1E-3</v>
      </c>
      <c r="U53" s="1278"/>
      <c r="V53" s="1240"/>
      <c r="W53" s="1530">
        <f t="array" ref="W53">INDEX(EMIS_factors!$G$6:$O$152,MATCH($G53&amp;$AB53,EMIS_factors!$E$6:$E$152&amp;EMIS_factors!$D$6:$D$152,0),MATCH(RIGHT(W$4,6),EMIS_factors!$G$4:$O$4,0))</f>
        <v>0</v>
      </c>
      <c r="X53" s="1530">
        <f t="array" ref="X53">INDEX(EMIS_factors!$G$6:$O$152,MATCH($G53&amp;$AB53,EMIS_factors!$E$6:$E$152&amp;EMIS_factors!$D$6:$D$152,0),MATCH(RIGHT(X$4,6),EMIS_factors!$G$4:$O$4,0))</f>
        <v>411.41501253398201</v>
      </c>
      <c r="Y53" s="1530">
        <f t="array" ref="Y53">INDEX(EMIS_factors!$G$6:$O$152,MATCH($G53&amp;$AB53,EMIS_factors!$E$6:$E$152&amp;EMIS_factors!$D$6:$D$152,0),MATCH(RIGHT(Y$4,6),EMIS_factors!$G$4:$O$4,0))</f>
        <v>0.11686473412375831</v>
      </c>
      <c r="Z53" s="1530">
        <f t="array" ref="Z53">INDEX(EMIS_factors!$G$6:$O$152,MATCH($G53&amp;$AB53,EMIS_factors!$E$6:$E$152&amp;EMIS_factors!$D$6:$D$152,0),MATCH(RIGHT(Z$4,6),EMIS_factors!$G$4:$O$4,0))</f>
        <v>0</v>
      </c>
      <c r="AA53" s="1295"/>
      <c r="AB53" s="526" t="s">
        <v>1483</v>
      </c>
      <c r="AE53" s="1265">
        <f t="array" ref="AE53">INDEX($AN$12:$BM$15,MATCH(F53,$AM$12:$AM$15,0),MATCH($AG53&amp;$AE$1,$AN$11:$BM$11&amp;$AN$9:$BM$9,0))/1000</f>
        <v>1.5804878048780491</v>
      </c>
      <c r="AF53" s="549">
        <f t="array" ref="AF53">(AE53^INDEX(ShipData!$X$36:$X$39,MATCH($F53,ShipData!$U$36:$U$39,0)))*0.756*INDEX(ShipData!$W$36:$W$39,MATCH($F53,ShipData!$U$36:$U$39,0))</f>
        <v>1602.8300580975306</v>
      </c>
      <c r="AG53" s="549" t="s">
        <v>1239</v>
      </c>
      <c r="AH53" s="526" t="s">
        <v>1252</v>
      </c>
      <c r="AI53" s="549" t="s">
        <v>1143</v>
      </c>
      <c r="AL53" s="552"/>
      <c r="AM53" s="553"/>
      <c r="AN53" s="553"/>
    </row>
    <row r="54" spans="3:40">
      <c r="C54" s="552" t="str">
        <f t="shared" si="12"/>
        <v>TFSMNGICD2N</v>
      </c>
      <c r="D54" s="552" t="s">
        <v>1070</v>
      </c>
      <c r="E54" s="534" t="s">
        <v>1344</v>
      </c>
      <c r="F54" s="531" t="s">
        <v>1027</v>
      </c>
      <c r="G54" s="481">
        <v>2020</v>
      </c>
      <c r="H54" s="1237" t="s">
        <v>986</v>
      </c>
      <c r="I54" s="1239">
        <f t="array" ref="I54">INDEX($AN$12:$BM$15,MATCH(F54,$AM$12:$AM$15,0),MATCH(I$1&amp;$AG54,$AN$9:$BM$9&amp;$AN$11:$BM$11,0))</f>
        <v>4174</v>
      </c>
      <c r="J54" s="1239">
        <f t="shared" si="2"/>
        <v>4174</v>
      </c>
      <c r="K54" s="1239">
        <v>17027</v>
      </c>
      <c r="L54" s="1281">
        <v>30722</v>
      </c>
      <c r="M54" s="1265">
        <f t="array" ref="M54">1/(INDEX($AN$12:$BM$15,MATCH($F54,$AM$12:$AM$15,0),MATCH(($G54&amp;M$1)&amp;$AG54,$AN$9:$BM$9&amp;$AN$11:$BM$11,0))/1.852)</f>
        <v>1.9439057414379413</v>
      </c>
      <c r="N54" s="1265">
        <f t="shared" si="3"/>
        <v>1.9439057414379413</v>
      </c>
      <c r="O54" s="1237">
        <v>30</v>
      </c>
      <c r="P54" s="1265"/>
      <c r="Q54" s="1265">
        <f t="shared" si="1"/>
        <v>2479.2538309983424</v>
      </c>
      <c r="R54" s="1265">
        <f t="array" ref="R54">(AF54*(INDEX(ShipData!$P$19:$R$26,MATCH($AH54,ShipData!$N$19:$N$26,0),MATCH($AI54,ShipData!$P$18:$R$18,0))+INDEX(ShipData!$P$30:$R$37,MATCH($AH54,ShipData!$N$30:$N$37,0),MATCH($AI54,ShipData!$P$29:$R$29,0)))+K54*0.1*(1/M54)*INDEX(ShipData!$P$41:$R$48,MATCH($AH54,ShipData!$N$41:$N$48,0),MATCH($AI54,ShipData!$P$40:$R$40,0)))*6.5/1000</f>
        <v>70835.823742809778</v>
      </c>
      <c r="S54" s="1237"/>
      <c r="T54" s="1237">
        <v>1E-3</v>
      </c>
      <c r="U54" s="1278"/>
      <c r="V54" s="1240"/>
      <c r="W54" s="1530">
        <f t="array" ref="W54">INDEX(EMIS_factors!$G$6:$O$152,MATCH($G54&amp;$AB54,EMIS_factors!$E$6:$E$152&amp;EMIS_factors!$D$6:$D$152,0),MATCH(RIGHT(W$4,6),EMIS_factors!$G$4:$O$4,0))</f>
        <v>0</v>
      </c>
      <c r="X54" s="1530">
        <f t="array" ref="X54">INDEX(EMIS_factors!$G$6:$O$152,MATCH($G54&amp;$AB54,EMIS_factors!$E$6:$E$152&amp;EMIS_factors!$D$6:$D$152,0),MATCH(RIGHT(X$4,6),EMIS_factors!$G$4:$O$4,0))</f>
        <v>411.41501253398201</v>
      </c>
      <c r="Y54" s="1530">
        <f t="array" ref="Y54">INDEX(EMIS_factors!$G$6:$O$152,MATCH($G54&amp;$AB54,EMIS_factors!$E$6:$E$152&amp;EMIS_factors!$D$6:$D$152,0),MATCH(RIGHT(Y$4,6),EMIS_factors!$G$4:$O$4,0))</f>
        <v>0.11686473412375831</v>
      </c>
      <c r="Z54" s="1530">
        <f t="array" ref="Z54">INDEX(EMIS_factors!$G$6:$O$152,MATCH($G54&amp;$AB54,EMIS_factors!$E$6:$E$152&amp;EMIS_factors!$D$6:$D$152,0),MATCH(RIGHT(Z$4,6),EMIS_factors!$G$4:$O$4,0))</f>
        <v>0</v>
      </c>
      <c r="AA54" s="1295"/>
      <c r="AB54" s="526" t="s">
        <v>1483</v>
      </c>
      <c r="AE54" s="1265">
        <f t="array" ref="AE54">INDEX($AN$12:$BM$15,MATCH(F54,$AM$12:$AM$15,0),MATCH($AG54&amp;$AE$1,$AN$11:$BM$11&amp;$AN$9:$BM$9,0))/1000</f>
        <v>6.956666666666667</v>
      </c>
      <c r="AF54" s="549">
        <f t="array" ref="AF54">(AE54^INDEX(ShipData!$X$36:$X$39,MATCH($F54,ShipData!$U$36:$U$39,0)))*0.756*INDEX(ShipData!$W$36:$W$39,MATCH($F54,ShipData!$U$36:$U$39,0))</f>
        <v>3439.8048335584949</v>
      </c>
      <c r="AG54" s="549" t="s">
        <v>1236</v>
      </c>
      <c r="AH54" s="526" t="s">
        <v>1252</v>
      </c>
      <c r="AI54" s="549" t="s">
        <v>1143</v>
      </c>
      <c r="AL54" s="552"/>
      <c r="AM54" s="553"/>
      <c r="AN54" s="553"/>
    </row>
    <row r="55" spans="3:40">
      <c r="C55" s="552" t="str">
        <f t="shared" si="12"/>
        <v>TFSLNGICD2N</v>
      </c>
      <c r="D55" s="552" t="s">
        <v>1071</v>
      </c>
      <c r="E55" s="534" t="s">
        <v>1344</v>
      </c>
      <c r="F55" s="531" t="s">
        <v>1027</v>
      </c>
      <c r="G55" s="481">
        <v>2020</v>
      </c>
      <c r="H55" s="1237" t="s">
        <v>986</v>
      </c>
      <c r="I55" s="1239">
        <f t="array" ref="I55">INDEX($AN$12:$BM$15,MATCH(F55,$AM$12:$AM$15,0),MATCH(I$1&amp;$AG55,$AN$9:$BM$9&amp;$AN$11:$BM$11,0))</f>
        <v>9000</v>
      </c>
      <c r="J55" s="1239">
        <f t="shared" si="2"/>
        <v>9000</v>
      </c>
      <c r="K55" s="1239">
        <v>3330</v>
      </c>
      <c r="L55" s="1281">
        <v>6009</v>
      </c>
      <c r="M55" s="1265">
        <f t="array" ref="M55">1/(INDEX($AN$12:$BM$15,MATCH($F55,$AM$12:$AM$15,0),MATCH(($G55&amp;M$1)&amp;$AG55,$AN$9:$BM$9&amp;$AN$11:$BM$11,0))/1.852)</f>
        <v>1.1737776538064364</v>
      </c>
      <c r="N55" s="1265">
        <f t="shared" si="3"/>
        <v>1.1737776538064364</v>
      </c>
      <c r="O55" s="1237">
        <v>30</v>
      </c>
      <c r="P55" s="1265"/>
      <c r="Q55" s="1265">
        <f t="shared" si="1"/>
        <v>3841.2640501119472</v>
      </c>
      <c r="R55" s="1265">
        <f t="array" ref="R55">(AF55*(INDEX(ShipData!$P$19:$R$26,MATCH($AH55,ShipData!$N$19:$N$26,0),MATCH($AI55,ShipData!$P$18:$R$18,0))+INDEX(ShipData!$P$30:$R$37,MATCH($AH55,ShipData!$N$30:$N$37,0),MATCH($AI55,ShipData!$P$29:$R$29,0)))+K55*0.1*(1/M55)*INDEX(ShipData!$P$41:$R$48,MATCH($AH55,ShipData!$N$41:$N$48,0),MATCH($AI55,ShipData!$P$40:$R$40,0)))*6.5/1000</f>
        <v>109750.4014317699</v>
      </c>
      <c r="S55" s="1237"/>
      <c r="T55" s="1237">
        <v>1E-3</v>
      </c>
      <c r="U55" s="1278"/>
      <c r="V55" s="1240"/>
      <c r="W55" s="1530">
        <f t="array" ref="W55">INDEX(EMIS_factors!$G$6:$O$152,MATCH($G55&amp;$AB55,EMIS_factors!$E$6:$E$152&amp;EMIS_factors!$D$6:$D$152,0),MATCH(RIGHT(W$4,6),EMIS_factors!$G$4:$O$4,0))</f>
        <v>0</v>
      </c>
      <c r="X55" s="1530">
        <f t="array" ref="X55">INDEX(EMIS_factors!$G$6:$O$152,MATCH($G55&amp;$AB55,EMIS_factors!$E$6:$E$152&amp;EMIS_factors!$D$6:$D$152,0),MATCH(RIGHT(X$4,6),EMIS_factors!$G$4:$O$4,0))</f>
        <v>411.41501253398201</v>
      </c>
      <c r="Y55" s="1530">
        <f t="array" ref="Y55">INDEX(EMIS_factors!$G$6:$O$152,MATCH($G55&amp;$AB55,EMIS_factors!$E$6:$E$152&amp;EMIS_factors!$D$6:$D$152,0),MATCH(RIGHT(Y$4,6),EMIS_factors!$G$4:$O$4,0))</f>
        <v>0.11686473412375831</v>
      </c>
      <c r="Z55" s="1530">
        <f t="array" ref="Z55">INDEX(EMIS_factors!$G$6:$O$152,MATCH($G55&amp;$AB55,EMIS_factors!$E$6:$E$152&amp;EMIS_factors!$D$6:$D$152,0),MATCH(RIGHT(Z$4,6),EMIS_factors!$G$4:$O$4,0))</f>
        <v>0</v>
      </c>
      <c r="AA55" s="1295"/>
      <c r="AB55" s="526" t="s">
        <v>1483</v>
      </c>
      <c r="AE55" s="1265">
        <f t="array" ref="AE55">INDEX($AN$12:$BM$15,MATCH(F55,$AM$12:$AM$15,0),MATCH($AG55&amp;$AE$1,$AN$11:$BM$11&amp;$AN$9:$BM$9,0))/1000</f>
        <v>15</v>
      </c>
      <c r="AF55" s="549">
        <f t="array" ref="AF55">(AE55^INDEX(ShipData!$X$36:$X$39,MATCH($F55,ShipData!$U$36:$U$39,0)))*0.756*INDEX(ShipData!$W$36:$W$39,MATCH($F55,ShipData!$U$36:$U$39,0))</f>
        <v>5367.1081902406004</v>
      </c>
      <c r="AG55" s="549" t="s">
        <v>1240</v>
      </c>
      <c r="AH55" s="526" t="s">
        <v>1252</v>
      </c>
      <c r="AI55" s="549" t="s">
        <v>1143</v>
      </c>
      <c r="AL55" s="552"/>
      <c r="AM55" s="553"/>
      <c r="AN55" s="553"/>
    </row>
    <row r="56" spans="3:40">
      <c r="C56" s="552" t="str">
        <f t="shared" si="12"/>
        <v>TFSSNGICD2N</v>
      </c>
      <c r="D56" s="552" t="s">
        <v>1072</v>
      </c>
      <c r="E56" s="534" t="s">
        <v>1344</v>
      </c>
      <c r="F56" s="531" t="s">
        <v>1027</v>
      </c>
      <c r="G56" s="481">
        <v>2020</v>
      </c>
      <c r="H56" s="1237" t="s">
        <v>986</v>
      </c>
      <c r="I56" s="1239">
        <f t="array" ref="I56">INDEX($AN$12:$BM$15,MATCH(F56,$AM$12:$AM$15,0),MATCH(I$1&amp;$AG56,$AN$9:$BM$9&amp;$AN$11:$BM$11,0))</f>
        <v>1527</v>
      </c>
      <c r="J56" s="1239">
        <f t="shared" si="2"/>
        <v>1527</v>
      </c>
      <c r="K56" s="1239">
        <v>830</v>
      </c>
      <c r="L56" s="1281">
        <v>1498</v>
      </c>
      <c r="M56" s="1265">
        <f t="array" ref="M56">1/(INDEX($AN$12:$BM$15,MATCH($F56,$AM$12:$AM$15,0),MATCH(($G56&amp;M$1)&amp;$AG56,$AN$9:$BM$9&amp;$AN$11:$BM$11,0))/1.852)</f>
        <v>3.4190010788978875</v>
      </c>
      <c r="N56" s="1265">
        <f t="shared" si="3"/>
        <v>3.4190010788978875</v>
      </c>
      <c r="O56" s="1237">
        <v>30</v>
      </c>
      <c r="P56" s="1265"/>
      <c r="Q56" s="1265">
        <f t="shared" si="1"/>
        <v>1373.4070595803296</v>
      </c>
      <c r="R56" s="1265">
        <f t="array" ref="R56">(AF56*(INDEX(ShipData!$P$19:$R$26,MATCH($AH56,ShipData!$N$19:$N$26,0),MATCH($AI56,ShipData!$P$18:$R$18,0))+INDEX(ShipData!$P$30:$R$37,MATCH($AH56,ShipData!$N$30:$N$37,0),MATCH($AI56,ShipData!$P$29:$R$29,0)))+K56*0.1*(1/M56)*INDEX(ShipData!$P$41:$R$48,MATCH($AH56,ShipData!$N$41:$N$48,0),MATCH($AI56,ShipData!$P$40:$R$40,0)))*6.5/1000</f>
        <v>39240.201702295126</v>
      </c>
      <c r="S56" s="1237"/>
      <c r="T56" s="1237">
        <v>1E-3</v>
      </c>
      <c r="U56" s="1278"/>
      <c r="V56" s="1240"/>
      <c r="W56" s="1530">
        <f t="array" ref="W56">INDEX(EMIS_factors!$G$6:$O$152,MATCH($G56&amp;$AB56,EMIS_factors!$E$6:$E$152&amp;EMIS_factors!$D$6:$D$152,0),MATCH(RIGHT(W$4,6),EMIS_factors!$G$4:$O$4,0))</f>
        <v>0</v>
      </c>
      <c r="X56" s="1530">
        <f t="array" ref="X56">INDEX(EMIS_factors!$G$6:$O$152,MATCH($G56&amp;$AB56,EMIS_factors!$E$6:$E$152&amp;EMIS_factors!$D$6:$D$152,0),MATCH(RIGHT(X$4,6),EMIS_factors!$G$4:$O$4,0))</f>
        <v>411.41501253398201</v>
      </c>
      <c r="Y56" s="1530">
        <f t="array" ref="Y56">INDEX(EMIS_factors!$G$6:$O$152,MATCH($G56&amp;$AB56,EMIS_factors!$E$6:$E$152&amp;EMIS_factors!$D$6:$D$152,0),MATCH(RIGHT(Y$4,6),EMIS_factors!$G$4:$O$4,0))</f>
        <v>0.11686473412375831</v>
      </c>
      <c r="Z56" s="1530">
        <f t="array" ref="Z56">INDEX(EMIS_factors!$G$6:$O$152,MATCH($G56&amp;$AB56,EMIS_factors!$E$6:$E$152&amp;EMIS_factors!$D$6:$D$152,0),MATCH(RIGHT(Z$4,6),EMIS_factors!$G$4:$O$4,0))</f>
        <v>0</v>
      </c>
      <c r="AA56" s="1295"/>
      <c r="AB56" s="526" t="s">
        <v>1483</v>
      </c>
      <c r="AE56" s="1265">
        <f t="array" ref="AE56">INDEX($AN$12:$BM$15,MATCH(F56,$AM$12:$AM$15,0),MATCH($AG56&amp;$AE$1,$AN$11:$BM$11&amp;$AN$9:$BM$9,0))/1000</f>
        <v>2.5449999999999999</v>
      </c>
      <c r="AF56" s="549">
        <f t="array" ref="AF56">(AE56^INDEX(ShipData!$X$36:$X$39,MATCH($F56,ShipData!$U$36:$U$39,0)))*0.756*INDEX(ShipData!$W$36:$W$39,MATCH($F56,ShipData!$U$36:$U$39,0))</f>
        <v>1921.6608368614334</v>
      </c>
      <c r="AG56" s="549" t="s">
        <v>1239</v>
      </c>
      <c r="AH56" s="526" t="s">
        <v>1252</v>
      </c>
      <c r="AI56" s="549" t="s">
        <v>1143</v>
      </c>
      <c r="AL56" s="552"/>
      <c r="AM56" s="553"/>
      <c r="AN56" s="553"/>
    </row>
    <row r="57" spans="3:40">
      <c r="C57" s="552" t="str">
        <f t="shared" si="12"/>
        <v>TFSMNGICC2N</v>
      </c>
      <c r="D57" s="552" t="s">
        <v>1073</v>
      </c>
      <c r="E57" s="534" t="s">
        <v>1344</v>
      </c>
      <c r="F57" s="531" t="s">
        <v>1028</v>
      </c>
      <c r="G57" s="481">
        <v>2020</v>
      </c>
      <c r="H57" s="1237" t="s">
        <v>986</v>
      </c>
      <c r="I57" s="1239">
        <f t="array" ref="I57">INDEX($AN$12:$BM$15,MATCH(F57,$AM$12:$AM$15,0),MATCH(I$1&amp;$AG57,$AN$9:$BM$9&amp;$AN$11:$BM$11,0))</f>
        <v>4900</v>
      </c>
      <c r="J57" s="1239">
        <f t="shared" si="2"/>
        <v>4900</v>
      </c>
      <c r="K57" s="1239">
        <v>0</v>
      </c>
      <c r="L57" s="1281">
        <v>0</v>
      </c>
      <c r="M57" s="1265">
        <f t="array" ref="M57">1/(INDEX($AN$12:$BM$15,MATCH($F57,$AM$12:$AM$15,0),MATCH(($G57&amp;M$1)&amp;$AG57,$AN$9:$BM$9&amp;$AN$11:$BM$11,0))/1.852)</f>
        <v>0.87906595126970144</v>
      </c>
      <c r="N57" s="1265">
        <f t="shared" si="3"/>
        <v>0.87906595126970144</v>
      </c>
      <c r="O57" s="1237">
        <v>30</v>
      </c>
      <c r="P57" s="1265"/>
      <c r="Q57" s="1265">
        <f t="shared" si="1"/>
        <v>2939.930137927865</v>
      </c>
      <c r="R57" s="1265">
        <f t="array" ref="R57">(AF57*(INDEX(ShipData!$P$19:$R$26,MATCH($AH57,ShipData!$N$19:$N$26,0),MATCH($AI57,ShipData!$P$18:$R$18,0))+INDEX(ShipData!$P$30:$R$37,MATCH($AH57,ShipData!$N$30:$N$37,0),MATCH($AI57,ShipData!$P$29:$R$29,0)))+K57*0.1*(1/M57)*INDEX(ShipData!$P$41:$R$48,MATCH($AH57,ShipData!$N$41:$N$48,0),MATCH($AI57,ShipData!$P$40:$R$40,0)))*6.5/1000</f>
        <v>83998.00394079613</v>
      </c>
      <c r="S57" s="1237"/>
      <c r="T57" s="1237">
        <v>1E-3</v>
      </c>
      <c r="U57" s="1278"/>
      <c r="V57" s="1240"/>
      <c r="W57" s="1530">
        <f t="array" ref="W57">INDEX(EMIS_factors!$G$6:$O$152,MATCH($G57&amp;$AB57,EMIS_factors!$E$6:$E$152&amp;EMIS_factors!$D$6:$D$152,0),MATCH(RIGHT(W$4,6),EMIS_factors!$G$4:$O$4,0))</f>
        <v>0</v>
      </c>
      <c r="X57" s="1530">
        <f t="array" ref="X57">INDEX(EMIS_factors!$G$6:$O$152,MATCH($G57&amp;$AB57,EMIS_factors!$E$6:$E$152&amp;EMIS_factors!$D$6:$D$152,0),MATCH(RIGHT(X$4,6),EMIS_factors!$G$4:$O$4,0))</f>
        <v>411.41501253398201</v>
      </c>
      <c r="Y57" s="1530">
        <f t="array" ref="Y57">INDEX(EMIS_factors!$G$6:$O$152,MATCH($G57&amp;$AB57,EMIS_factors!$E$6:$E$152&amp;EMIS_factors!$D$6:$D$152,0),MATCH(RIGHT(Y$4,6),EMIS_factors!$G$4:$O$4,0))</f>
        <v>0.11686473412375831</v>
      </c>
      <c r="Z57" s="1530">
        <f t="array" ref="Z57">INDEX(EMIS_factors!$G$6:$O$152,MATCH($G57&amp;$AB57,EMIS_factors!$E$6:$E$152&amp;EMIS_factors!$D$6:$D$152,0),MATCH(RIGHT(Z$4,6),EMIS_factors!$G$4:$O$4,0))</f>
        <v>0</v>
      </c>
      <c r="AA57" s="1295"/>
      <c r="AB57" s="526" t="s">
        <v>1483</v>
      </c>
      <c r="AE57" s="1265">
        <f t="array" ref="AE57">INDEX($AN$12:$BM$15,MATCH(F57,$AM$12:$AM$15,0),MATCH($AG57&amp;$AE$1,$AN$11:$BM$11&amp;$AN$9:$BM$9,0))/1000</f>
        <v>7</v>
      </c>
      <c r="AF57" s="549">
        <f t="array" ref="AF57">(AE57^INDEX(ShipData!$X$36:$X$39,MATCH($F57,ShipData!$U$36:$U$39,0)))*0.756*INDEX(ShipData!$W$36:$W$39,MATCH($F57,ShipData!$U$36:$U$39,0))</f>
        <v>5483.7455856749639</v>
      </c>
      <c r="AG57" s="549" t="s">
        <v>1236</v>
      </c>
      <c r="AH57" s="526" t="s">
        <v>1252</v>
      </c>
      <c r="AI57" s="549" t="s">
        <v>1145</v>
      </c>
      <c r="AL57" s="552"/>
      <c r="AM57" s="553"/>
      <c r="AN57" s="553"/>
    </row>
    <row r="58" spans="3:40">
      <c r="C58" s="552" t="str">
        <f t="shared" si="12"/>
        <v>TFSLNGICC2N</v>
      </c>
      <c r="D58" s="552" t="s">
        <v>1074</v>
      </c>
      <c r="E58" s="534" t="s">
        <v>1344</v>
      </c>
      <c r="F58" s="531" t="s">
        <v>1028</v>
      </c>
      <c r="G58" s="481">
        <v>2020</v>
      </c>
      <c r="H58" s="1237" t="s">
        <v>986</v>
      </c>
      <c r="I58" s="1239">
        <f t="array" ref="I58">INDEX($AN$12:$BM$15,MATCH(F58,$AM$12:$AM$15,0),MATCH(I$1&amp;$AG58,$AN$9:$BM$9&amp;$AN$11:$BM$11,0))</f>
        <v>11760</v>
      </c>
      <c r="J58" s="1239">
        <f t="shared" si="2"/>
        <v>11760</v>
      </c>
      <c r="K58" s="1239">
        <v>362</v>
      </c>
      <c r="L58" s="1281">
        <v>653</v>
      </c>
      <c r="M58" s="1265">
        <f t="array" ref="M58">1/(INDEX($AN$12:$BM$15,MATCH($F58,$AM$12:$AM$15,0),MATCH(($G58&amp;M$1)&amp;$AG58,$AN$9:$BM$9&amp;$AN$11:$BM$11,0))/1.852)</f>
        <v>0.40793352062343913</v>
      </c>
      <c r="N58" s="1265">
        <f t="shared" si="3"/>
        <v>0.40793352062343913</v>
      </c>
      <c r="O58" s="1237">
        <v>30</v>
      </c>
      <c r="P58" s="1265"/>
      <c r="Q58" s="1265">
        <f t="shared" si="1"/>
        <v>8118.3628434234024</v>
      </c>
      <c r="R58" s="1265">
        <f t="array" ref="R58">(AF58*(INDEX(ShipData!$P$19:$R$26,MATCH($AH58,ShipData!$N$19:$N$26,0),MATCH($AI58,ShipData!$P$18:$R$18,0))+INDEX(ShipData!$P$30:$R$37,MATCH($AH58,ShipData!$N$30:$N$37,0),MATCH($AI58,ShipData!$P$29:$R$29,0)))+K58*0.1*(1/M58)*INDEX(ShipData!$P$41:$R$48,MATCH($AH58,ShipData!$N$41:$N$48,0),MATCH($AI58,ShipData!$P$40:$R$40,0)))*6.5/1000</f>
        <v>231953.22409781147</v>
      </c>
      <c r="S58" s="1237"/>
      <c r="T58" s="1237">
        <v>1E-3</v>
      </c>
      <c r="U58" s="1278"/>
      <c r="V58" s="1240"/>
      <c r="W58" s="1530">
        <f t="array" ref="W58">INDEX(EMIS_factors!$G$6:$O$152,MATCH($G58&amp;$AB58,EMIS_factors!$E$6:$E$152&amp;EMIS_factors!$D$6:$D$152,0),MATCH(RIGHT(W$4,6),EMIS_factors!$G$4:$O$4,0))</f>
        <v>0</v>
      </c>
      <c r="X58" s="1530">
        <f t="array" ref="X58">INDEX(EMIS_factors!$G$6:$O$152,MATCH($G58&amp;$AB58,EMIS_factors!$E$6:$E$152&amp;EMIS_factors!$D$6:$D$152,0),MATCH(RIGHT(X$4,6),EMIS_factors!$G$4:$O$4,0))</f>
        <v>411.41501253398201</v>
      </c>
      <c r="Y58" s="1530">
        <f t="array" ref="Y58">INDEX(EMIS_factors!$G$6:$O$152,MATCH($G58&amp;$AB58,EMIS_factors!$E$6:$E$152&amp;EMIS_factors!$D$6:$D$152,0),MATCH(RIGHT(Y$4,6),EMIS_factors!$G$4:$O$4,0))</f>
        <v>0.11686473412375831</v>
      </c>
      <c r="Z58" s="1530">
        <f t="array" ref="Z58">INDEX(EMIS_factors!$G$6:$O$152,MATCH($G58&amp;$AB58,EMIS_factors!$E$6:$E$152&amp;EMIS_factors!$D$6:$D$152,0),MATCH(RIGHT(Z$4,6),EMIS_factors!$G$4:$O$4,0))</f>
        <v>0</v>
      </c>
      <c r="AB58" s="526" t="s">
        <v>1483</v>
      </c>
      <c r="AE58" s="1265">
        <f t="array" ref="AE58">INDEX($AN$12:$BM$15,MATCH(F58,$AM$12:$AM$15,0),MATCH($AG58&amp;$AE$1,$AN$11:$BM$11&amp;$AN$9:$BM$9,0))/1000</f>
        <v>16.8</v>
      </c>
      <c r="AF58" s="549">
        <f t="array" ref="AF58">(AE58^INDEX(ShipData!$X$36:$X$39,MATCH($F58,ShipData!$U$36:$U$39,0)))*0.756*INDEX(ShipData!$W$36:$W$39,MATCH($F58,ShipData!$U$36:$U$39,0))</f>
        <v>15139.876697863274</v>
      </c>
      <c r="AG58" s="549" t="s">
        <v>1240</v>
      </c>
      <c r="AH58" s="526" t="s">
        <v>1252</v>
      </c>
      <c r="AI58" s="549" t="s">
        <v>1145</v>
      </c>
      <c r="AL58" s="552"/>
      <c r="AM58" s="553"/>
      <c r="AN58" s="553"/>
    </row>
    <row r="59" spans="3:40">
      <c r="C59" s="552" t="str">
        <f t="shared" si="12"/>
        <v>TFSSNGICC2N</v>
      </c>
      <c r="D59" s="552" t="s">
        <v>1075</v>
      </c>
      <c r="E59" s="534" t="s">
        <v>1344</v>
      </c>
      <c r="F59" s="531" t="s">
        <v>1028</v>
      </c>
      <c r="G59" s="481">
        <v>2020</v>
      </c>
      <c r="H59" s="1237" t="s">
        <v>986</v>
      </c>
      <c r="I59" s="1239">
        <f t="array" ref="I59">INDEX($AN$12:$BM$15,MATCH(F59,$AM$12:$AM$15,0),MATCH(I$1&amp;$AG59,$AN$9:$BM$9&amp;$AN$11:$BM$11,0))</f>
        <v>2450</v>
      </c>
      <c r="J59" s="1239">
        <f t="shared" si="2"/>
        <v>2450</v>
      </c>
      <c r="K59" s="1239">
        <v>579</v>
      </c>
      <c r="L59" s="1281">
        <v>1045</v>
      </c>
      <c r="M59" s="1265">
        <f t="array" ref="M59">1/(INDEX($AN$12:$BM$15,MATCH($F59,$AM$12:$AM$15,0),MATCH(($G59&amp;M$1)&amp;$AG59,$AN$9:$BM$9&amp;$AN$11:$BM$11,0))/1.852)</f>
        <v>1.7403348779577166</v>
      </c>
      <c r="N59" s="1265">
        <f t="shared" si="3"/>
        <v>1.7403348779577166</v>
      </c>
      <c r="O59" s="1237">
        <v>30</v>
      </c>
      <c r="P59" s="1265"/>
      <c r="Q59" s="1265">
        <f t="shared" si="1"/>
        <v>1316.2610942662611</v>
      </c>
      <c r="R59" s="1265">
        <f t="array" ref="R59">(AF59*(INDEX(ShipData!$P$19:$R$26,MATCH($AH59,ShipData!$N$19:$N$26,0),MATCH($AI59,ShipData!$P$18:$R$18,0))+INDEX(ShipData!$P$30:$R$37,MATCH($AH59,ShipData!$N$30:$N$37,0),MATCH($AI59,ShipData!$P$29:$R$29,0)))+K59*0.1*(1/M59)*INDEX(ShipData!$P$41:$R$48,MATCH($AH59,ShipData!$N$41:$N$48,0),MATCH($AI59,ShipData!$P$40:$R$40,0)))*6.5/1000</f>
        <v>37607.459836178889</v>
      </c>
      <c r="S59" s="1237"/>
      <c r="T59" s="1237">
        <v>1E-3</v>
      </c>
      <c r="U59" s="1278"/>
      <c r="V59" s="1240"/>
      <c r="W59" s="1530">
        <f t="array" ref="W59">INDEX(EMIS_factors!$G$6:$O$152,MATCH($G59&amp;$AB59,EMIS_factors!$E$6:$E$152&amp;EMIS_factors!$D$6:$D$152,0),MATCH(RIGHT(W$4,6),EMIS_factors!$G$4:$O$4,0))</f>
        <v>0</v>
      </c>
      <c r="X59" s="1530">
        <f t="array" ref="X59">INDEX(EMIS_factors!$G$6:$O$152,MATCH($G59&amp;$AB59,EMIS_factors!$E$6:$E$152&amp;EMIS_factors!$D$6:$D$152,0),MATCH(RIGHT(X$4,6),EMIS_factors!$G$4:$O$4,0))</f>
        <v>411.41501253398201</v>
      </c>
      <c r="Y59" s="1530">
        <f t="array" ref="Y59">INDEX(EMIS_factors!$G$6:$O$152,MATCH($G59&amp;$AB59,EMIS_factors!$E$6:$E$152&amp;EMIS_factors!$D$6:$D$152,0),MATCH(RIGHT(Y$4,6),EMIS_factors!$G$4:$O$4,0))</f>
        <v>0.11686473412375831</v>
      </c>
      <c r="Z59" s="1530">
        <f t="array" ref="Z59">INDEX(EMIS_factors!$G$6:$O$152,MATCH($G59&amp;$AB59,EMIS_factors!$E$6:$E$152&amp;EMIS_factors!$D$6:$D$152,0),MATCH(RIGHT(Z$4,6),EMIS_factors!$G$4:$O$4,0))</f>
        <v>0</v>
      </c>
      <c r="AB59" s="526" t="s">
        <v>1483</v>
      </c>
      <c r="AE59" s="1265">
        <f t="array" ref="AE59">INDEX($AN$12:$BM$15,MATCH(F59,$AM$12:$AM$15,0),MATCH($AG59&amp;$AE$1,$AN$11:$BM$11&amp;$AN$9:$BM$9,0))/1000</f>
        <v>3.5</v>
      </c>
      <c r="AF59" s="549">
        <f t="array" ref="AF59">(AE59^INDEX(ShipData!$X$36:$X$39,MATCH($F59,ShipData!$U$36:$U$39,0)))*0.756*INDEX(ShipData!$W$36:$W$39,MATCH($F59,ShipData!$U$36:$U$39,0))</f>
        <v>2454.0448908848457</v>
      </c>
      <c r="AG59" s="549" t="s">
        <v>1239</v>
      </c>
      <c r="AH59" s="526" t="s">
        <v>1252</v>
      </c>
      <c r="AI59" s="549" t="s">
        <v>1145</v>
      </c>
      <c r="AL59" s="552"/>
      <c r="AM59" s="553"/>
      <c r="AN59" s="553"/>
    </row>
    <row r="60" spans="3:40">
      <c r="C60" s="552" t="str">
        <f t="shared" si="12"/>
        <v>TFSMNGICR2N</v>
      </c>
      <c r="D60" s="552" t="s">
        <v>1076</v>
      </c>
      <c r="E60" s="534" t="s">
        <v>1344</v>
      </c>
      <c r="F60" s="531" t="s">
        <v>1029</v>
      </c>
      <c r="G60" s="481">
        <v>2020</v>
      </c>
      <c r="H60" s="1237" t="s">
        <v>986</v>
      </c>
      <c r="I60" s="1239">
        <f t="array" ref="I60">INDEX($AN$12:$BM$15,MATCH(F60,$AM$12:$AM$15,0),MATCH(I$1&amp;$AG60,$AN$9:$BM$9&amp;$AN$11:$BM$11,0))</f>
        <v>3608</v>
      </c>
      <c r="J60" s="1239">
        <f t="shared" si="2"/>
        <v>3608</v>
      </c>
      <c r="K60" s="1239">
        <v>38287</v>
      </c>
      <c r="L60" s="1281">
        <v>69083</v>
      </c>
      <c r="M60" s="1265">
        <f t="array" ref="M60">1/(INDEX($AN$12:$BM$15,MATCH($F60,$AM$12:$AM$15,0),MATCH(($G60&amp;M$1)&amp;$AG60,$AN$9:$BM$9&amp;$AN$11:$BM$11,0))/1.852)</f>
        <v>0.87906595126970144</v>
      </c>
      <c r="N60" s="1265">
        <f t="shared" si="3"/>
        <v>0.87906595126970144</v>
      </c>
      <c r="O60" s="1237">
        <v>30</v>
      </c>
      <c r="P60" s="1265"/>
      <c r="Q60" s="1265">
        <f t="shared" si="1"/>
        <v>3011.0922283526829</v>
      </c>
      <c r="R60" s="1265">
        <f t="array" ref="R60">(AF60*(INDEX(ShipData!$P$19:$R$26,MATCH($AH60,ShipData!$N$19:$N$26,0),MATCH($AI60,ShipData!$P$18:$R$18,0))+INDEX(ShipData!$P$30:$R$37,MATCH($AH60,ShipData!$N$30:$N$37,0),MATCH($AI60,ShipData!$P$29:$R$29,0)))+K60*0.1*(1/M60)*INDEX(ShipData!$P$41:$R$48,MATCH($AH60,ShipData!$N$41:$N$48,0),MATCH($AI60,ShipData!$P$40:$R$40,0)))*6.5/1000</f>
        <v>86031.206524362366</v>
      </c>
      <c r="S60" s="1237"/>
      <c r="T60" s="1237">
        <v>1E-3</v>
      </c>
      <c r="U60" s="1278"/>
      <c r="V60" s="1240"/>
      <c r="W60" s="1530">
        <f t="array" ref="W60">INDEX(EMIS_factors!$G$6:$O$152,MATCH($G60&amp;$AB60,EMIS_factors!$E$6:$E$152&amp;EMIS_factors!$D$6:$D$152,0),MATCH(RIGHT(W$4,6),EMIS_factors!$G$4:$O$4,0))</f>
        <v>0</v>
      </c>
      <c r="X60" s="1530">
        <f t="array" ref="X60">INDEX(EMIS_factors!$G$6:$O$152,MATCH($G60&amp;$AB60,EMIS_factors!$E$6:$E$152&amp;EMIS_factors!$D$6:$D$152,0),MATCH(RIGHT(X$4,6),EMIS_factors!$G$4:$O$4,0))</f>
        <v>411.41501253398201</v>
      </c>
      <c r="Y60" s="1530">
        <f t="array" ref="Y60">INDEX(EMIS_factors!$G$6:$O$152,MATCH($G60&amp;$AB60,EMIS_factors!$E$6:$E$152&amp;EMIS_factors!$D$6:$D$152,0),MATCH(RIGHT(Y$4,6),EMIS_factors!$G$4:$O$4,0))</f>
        <v>0.11686473412375831</v>
      </c>
      <c r="Z60" s="1530">
        <f t="array" ref="Z60">INDEX(EMIS_factors!$G$6:$O$152,MATCH($G60&amp;$AB60,EMIS_factors!$E$6:$E$152&amp;EMIS_factors!$D$6:$D$152,0),MATCH(RIGHT(Z$4,6),EMIS_factors!$G$4:$O$4,0))</f>
        <v>0</v>
      </c>
      <c r="AB60" s="526" t="s">
        <v>1483</v>
      </c>
      <c r="AE60" s="1265">
        <f t="array" ref="AE60">INDEX($AN$12:$BM$15,MATCH(F60,$AM$12:$AM$15,0),MATCH($AG60&amp;$AE$1,$AN$11:$BM$11&amp;$AN$9:$BM$9,0))/1000</f>
        <v>5.1542857142857148</v>
      </c>
      <c r="AF60" s="549">
        <f t="array" ref="AF60">(AE60^INDEX(ShipData!$X$36:$X$39,MATCH($F60,ShipData!$U$36:$U$39,0)))*0.756*INDEX(ShipData!$W$36:$W$39,MATCH($F60,ShipData!$U$36:$U$39,0))</f>
        <v>5468.6247789018307</v>
      </c>
      <c r="AG60" s="549" t="s">
        <v>1236</v>
      </c>
      <c r="AH60" s="526" t="s">
        <v>1252</v>
      </c>
      <c r="AI60" s="549" t="s">
        <v>1145</v>
      </c>
      <c r="AL60" s="552"/>
      <c r="AM60" s="548"/>
      <c r="AN60" s="553"/>
    </row>
    <row r="61" spans="3:40">
      <c r="C61" s="1428" t="str">
        <f t="shared" si="12"/>
        <v>TFSLNGICR2N</v>
      </c>
      <c r="D61" s="552" t="s">
        <v>1077</v>
      </c>
      <c r="E61" s="1429" t="s">
        <v>1344</v>
      </c>
      <c r="F61" s="1430" t="s">
        <v>1029</v>
      </c>
      <c r="G61" s="1450">
        <v>2020</v>
      </c>
      <c r="H61" s="1431" t="s">
        <v>986</v>
      </c>
      <c r="I61" s="1434">
        <f t="array" ref="I61">INDEX($AN$12:$BM$15,MATCH(F61,$AM$12:$AM$15,0),MATCH(I$1&amp;$AG61,$AN$9:$BM$9&amp;$AN$11:$BM$11,0))</f>
        <v>11760</v>
      </c>
      <c r="J61" s="1434">
        <f t="shared" ref="J61:J153" si="16">I61</f>
        <v>11760</v>
      </c>
      <c r="K61" s="1434">
        <v>925</v>
      </c>
      <c r="L61" s="1451">
        <v>1668</v>
      </c>
      <c r="M61" s="1448">
        <f t="array" ref="M61">1/(INDEX($AN$12:$BM$15,MATCH($F61,$AM$12:$AM$15,0),MATCH(($G61&amp;M$1)&amp;$AG61,$AN$9:$BM$9&amp;$AN$11:$BM$11,0))/1.852)</f>
        <v>0.40793352062343913</v>
      </c>
      <c r="N61" s="1448">
        <f t="shared" ref="N61:N62" si="17">M61</f>
        <v>0.40793352062343913</v>
      </c>
      <c r="O61" s="1431">
        <v>30</v>
      </c>
      <c r="P61" s="1448"/>
      <c r="Q61" s="1448">
        <f t="shared" si="1"/>
        <v>8545.5504071922896</v>
      </c>
      <c r="R61" s="1448">
        <f t="array" ref="R61">(AF61*(INDEX(ShipData!$P$19:$R$26,MATCH($AH61,ShipData!$N$19:$N$26,0),MATCH($AI61,ShipData!$P$18:$R$18,0))+INDEX(ShipData!$P$30:$R$37,MATCH($AH61,ShipData!$N$30:$N$37,0),MATCH($AI61,ShipData!$P$29:$R$29,0)))+K61*0.1*(1/M61)*INDEX(ShipData!$P$41:$R$48,MATCH($AH61,ShipData!$N$41:$N$48,0),MATCH($AI61,ShipData!$P$40:$R$40,0)))*6.5/1000</f>
        <v>244158.58306263684</v>
      </c>
      <c r="S61" s="1431"/>
      <c r="T61" s="1431">
        <v>1E-3</v>
      </c>
      <c r="U61" s="1446"/>
      <c r="V61" s="1447"/>
      <c r="W61" s="1530">
        <f t="array" ref="W61">INDEX(EMIS_factors!$G$6:$O$152,MATCH($G61&amp;$AB61,EMIS_factors!$E$6:$E$152&amp;EMIS_factors!$D$6:$D$152,0),MATCH(RIGHT(W$4,6),EMIS_factors!$G$4:$O$4,0))</f>
        <v>0</v>
      </c>
      <c r="X61" s="1530">
        <f t="array" ref="X61">INDEX(EMIS_factors!$G$6:$O$152,MATCH($G61&amp;$AB61,EMIS_factors!$E$6:$E$152&amp;EMIS_factors!$D$6:$D$152,0),MATCH(RIGHT(X$4,6),EMIS_factors!$G$4:$O$4,0))</f>
        <v>411.41501253398201</v>
      </c>
      <c r="Y61" s="1530">
        <f t="array" ref="Y61">INDEX(EMIS_factors!$G$6:$O$152,MATCH($G61&amp;$AB61,EMIS_factors!$E$6:$E$152&amp;EMIS_factors!$D$6:$D$152,0),MATCH(RIGHT(Y$4,6),EMIS_factors!$G$4:$O$4,0))</f>
        <v>0.11686473412375831</v>
      </c>
      <c r="Z61" s="1530">
        <f t="array" ref="Z61">INDEX(EMIS_factors!$G$6:$O$152,MATCH($G61&amp;$AB61,EMIS_factors!$E$6:$E$152&amp;EMIS_factors!$D$6:$D$152,0),MATCH(RIGHT(Z$4,6),EMIS_factors!$G$4:$O$4,0))</f>
        <v>0</v>
      </c>
      <c r="AB61" s="526" t="s">
        <v>1483</v>
      </c>
      <c r="AE61" s="1265">
        <f t="array" ref="AE61">INDEX($AN$12:$BM$15,MATCH(F61,$AM$12:$AM$15,0),MATCH($AG61&amp;$AE$1,$AN$11:$BM$11&amp;$AN$9:$BM$9,0))/1000</f>
        <v>16.8</v>
      </c>
      <c r="AF61" s="549">
        <f t="array" ref="AF61">(AE61^INDEX(ShipData!$X$36:$X$39,MATCH($F61,ShipData!$U$36:$U$39,0)))*0.756*INDEX(ShipData!$W$36:$W$39,MATCH($F61,ShipData!$U$36:$U$39,0))</f>
        <v>15932.009016151462</v>
      </c>
      <c r="AG61" s="549" t="s">
        <v>1240</v>
      </c>
      <c r="AH61" s="526" t="s">
        <v>1252</v>
      </c>
      <c r="AI61" s="549" t="s">
        <v>1145</v>
      </c>
      <c r="AL61" s="552"/>
      <c r="AM61" s="548"/>
      <c r="AN61" s="553"/>
    </row>
    <row r="62" spans="3:40">
      <c r="C62" s="552" t="str">
        <f t="shared" si="12"/>
        <v>TFSSNGDUL2N</v>
      </c>
      <c r="D62" s="552" t="s">
        <v>1078</v>
      </c>
      <c r="E62" s="534" t="s">
        <v>1344</v>
      </c>
      <c r="F62" s="531" t="s">
        <v>1026</v>
      </c>
      <c r="G62" s="481">
        <v>2020</v>
      </c>
      <c r="H62" s="1237" t="s">
        <v>986</v>
      </c>
      <c r="I62" s="1239">
        <f t="array" ref="I62">INDEX($AN$12:$BM$15,MATCH(F62,$AM$12:$AM$15,0),MATCH(I$1&amp;$AG62,$AN$9:$BM$9&amp;$AN$11:$BM$11,0))</f>
        <v>810</v>
      </c>
      <c r="J62" s="1239">
        <f t="shared" si="16"/>
        <v>810</v>
      </c>
      <c r="K62" s="1239">
        <v>46488</v>
      </c>
      <c r="L62" s="1237">
        <v>83879</v>
      </c>
      <c r="M62" s="1265">
        <f t="array" ref="M62">1/(INDEX($AN$12:$BM$15,MATCH($F62,$AM$12:$AM$15,0),MATCH(($G62&amp;M$1)&amp;$AG62,$AN$9:$BM$9&amp;$AN$11:$BM$11,0))/1.852)</f>
        <v>2.3752039567310899</v>
      </c>
      <c r="N62" s="1265">
        <f t="shared" si="17"/>
        <v>2.3752039567310899</v>
      </c>
      <c r="O62" s="1237">
        <v>30</v>
      </c>
      <c r="P62" s="1265"/>
      <c r="Q62" s="1265">
        <f>0.035*R62</f>
        <v>1194.0121062743053</v>
      </c>
      <c r="R62" s="1265">
        <f>(AF62*(INDEX(ShipData!$P$19:$R$26,MATCH($AJ62,ShipData!$N$19:$N$26,0),MATCH($AI62,ShipData!$P$18:$R$18,0))+INDEX(ShipData!$P$30:$R$37,MATCH($AJ62,ShipData!$N$30:$N$37,0),MATCH($AI62,ShipData!$P$29:$R$29,0)))+K62*0.1*(1/M62)*INDEX(ShipData!$P$41:$R$48,MATCH($AJ62,ShipData!$N$41:$N$48,0),MATCH($AI62,ShipData!$P$40:$R$40,0)))*6.5/1000</f>
        <v>34114.631607837291</v>
      </c>
      <c r="S62" s="1237">
        <v>0.95</v>
      </c>
      <c r="T62" s="1237">
        <v>1E-3</v>
      </c>
      <c r="U62" s="1278"/>
      <c r="V62" s="1240">
        <v>5</v>
      </c>
      <c r="W62" s="1530">
        <f t="array" ref="W62">INDEX(EMIS_factors!$G$6:$O$152,MATCH($G62&amp;$AB62,EMIS_factors!$E$6:$E$152&amp;EMIS_factors!$D$6:$D$152,0),MATCH(RIGHT(W$4,6),EMIS_factors!$G$4:$O$4,0))</f>
        <v>0</v>
      </c>
      <c r="X62" s="1530">
        <f t="array" ref="X62">INDEX(EMIS_factors!$G$6:$O$152,MATCH($G62&amp;$AB62,EMIS_factors!$E$6:$E$152&amp;EMIS_factors!$D$6:$D$152,0),MATCH(RIGHT(X$4,6),EMIS_factors!$G$4:$O$4,0))</f>
        <v>411.41501253398201</v>
      </c>
      <c r="Y62" s="1530">
        <f t="array" ref="Y62">INDEX(EMIS_factors!$G$6:$O$152,MATCH($G62&amp;$AB62,EMIS_factors!$E$6:$E$152&amp;EMIS_factors!$D$6:$D$152,0),MATCH(RIGHT(Y$4,6),EMIS_factors!$G$4:$O$4,0))</f>
        <v>0.11686473412375831</v>
      </c>
      <c r="Z62" s="1530">
        <f t="array" ref="Z62">INDEX(EMIS_factors!$G$6:$O$152,MATCH($G62&amp;$AB62,EMIS_factors!$E$6:$E$152&amp;EMIS_factors!$D$6:$D$152,0),MATCH(RIGHT(Z$4,6),EMIS_factors!$G$4:$O$4,0))</f>
        <v>0</v>
      </c>
      <c r="AB62" s="526" t="s">
        <v>1483</v>
      </c>
      <c r="AE62" s="1265">
        <f t="array" ref="AE62">INDEX($AN$12:$BM$15,MATCH(F62,$AM$12:$AM$15,0),MATCH($AG62&amp;$AE$1,$AN$11:$BM$11&amp;$AN$9:$BM$9,0))/1000</f>
        <v>1.5804878048780491</v>
      </c>
      <c r="AF62" s="549">
        <f t="array" ref="AF62">(AE62^INDEX(ShipData!$X$36:$X$39,MATCH($F62,ShipData!$U$36:$U$39,0)))*0.756*INDEX(ShipData!$W$36:$W$39,MATCH($F62,ShipData!$U$36:$U$39,0))</f>
        <v>1602.8300580975306</v>
      </c>
      <c r="AG62" s="549" t="s">
        <v>1239</v>
      </c>
      <c r="AH62" s="526" t="s">
        <v>1257</v>
      </c>
      <c r="AI62" s="549" t="s">
        <v>1143</v>
      </c>
      <c r="AJ62" s="848" t="s">
        <v>1252</v>
      </c>
      <c r="AL62" s="552"/>
      <c r="AM62" s="548"/>
      <c r="AN62" s="553"/>
    </row>
    <row r="63" spans="3:40">
      <c r="C63" s="552"/>
      <c r="D63" s="552"/>
      <c r="E63" s="534" t="s">
        <v>984</v>
      </c>
      <c r="F63" s="531"/>
      <c r="G63" s="531"/>
      <c r="H63" s="1237"/>
      <c r="I63" s="1237"/>
      <c r="J63" s="1237"/>
      <c r="K63" s="1239"/>
      <c r="L63" s="1237"/>
      <c r="M63" s="1265"/>
      <c r="N63" s="1265"/>
      <c r="O63" s="1237"/>
      <c r="P63" s="1265"/>
      <c r="Q63" s="1265"/>
      <c r="R63" s="552"/>
      <c r="S63" s="1237"/>
      <c r="T63" s="1237"/>
      <c r="U63" s="1278"/>
      <c r="V63" s="1240"/>
      <c r="W63" s="1530"/>
      <c r="X63" s="1530"/>
      <c r="Y63" s="1530"/>
      <c r="Z63" s="1530"/>
      <c r="AB63" s="526" t="s">
        <v>1483</v>
      </c>
      <c r="AE63" s="1265" t="e">
        <f t="array" ref="AE63">INDEX($AN$12:$BM$15,MATCH(F63,$AM$12:$AM$15,0),MATCH($AG63&amp;$AE$1,$AN$11:$BM$11&amp;$AN$9:$BM$9,0))/1000</f>
        <v>#N/A</v>
      </c>
      <c r="AF63" s="549" t="e">
        <f t="array" ref="AF63">(AE63^INDEX(ShipData!$X$36:$X$39,MATCH($F63,ShipData!$U$36:$U$39,0)))*0.756*INDEX(ShipData!$W$36:$W$39,MATCH($F63,ShipData!$U$36:$U$39,0))</f>
        <v>#N/A</v>
      </c>
      <c r="AH63" s="526" t="s">
        <v>1257</v>
      </c>
      <c r="AI63" s="549" t="s">
        <v>1143</v>
      </c>
      <c r="AJ63" s="848" t="s">
        <v>1252</v>
      </c>
      <c r="AL63" s="552"/>
      <c r="AM63" s="548"/>
      <c r="AN63" s="553"/>
    </row>
    <row r="64" spans="3:40">
      <c r="C64" s="552"/>
      <c r="D64" s="552"/>
      <c r="E64" s="534" t="s">
        <v>1343</v>
      </c>
      <c r="F64" s="531" t="s">
        <v>1026</v>
      </c>
      <c r="G64" s="531">
        <v>2030</v>
      </c>
      <c r="H64" s="1237" t="s">
        <v>986</v>
      </c>
      <c r="I64" s="1239">
        <f t="array" ref="I64">INDEX($AN$12:$BM$15,MATCH(F64,$AM$12:$AM$15,0),MATCH(I$1&amp;$AG64,$AN$9:$BM$9&amp;$AN$11:$BM$11,0))</f>
        <v>810</v>
      </c>
      <c r="J64" s="1239">
        <f t="shared" si="16"/>
        <v>810</v>
      </c>
      <c r="K64" s="1239">
        <v>46488</v>
      </c>
      <c r="L64" s="1237">
        <v>83879</v>
      </c>
      <c r="M64" s="1265">
        <f t="array" ref="M64">1/(INDEX($AN$12:$BM$15,MATCH($F64,$AM$12:$AM$15,0),MATCH(($G64&amp;M$1)&amp;$AG64,$AN$9:$BM$9&amp;$AN$11:$BM$11,0))/1.852)</f>
        <v>3.8453314985699092</v>
      </c>
      <c r="N64" s="1265">
        <f t="shared" ref="N64" si="18">M64</f>
        <v>3.8453314985699092</v>
      </c>
      <c r="O64" s="1237">
        <v>30</v>
      </c>
      <c r="P64" s="1265"/>
      <c r="Q64" s="1239">
        <v>2333.7422325000002</v>
      </c>
      <c r="R64" s="1265">
        <f>(AF64*(INDEX(ShipData!$P$19:$R$26,MATCH($AJ64,ShipData!$N$19:$N$26,0),MATCH($AI64,ShipData!$P$18:$R$18,0))+INDEX(ShipData!$P$30:$R$37,MATCH($AJ64,ShipData!$N$30:$N$37,0),MATCH($AI64,ShipData!$P$29:$R$29,0)))+K64*0.1*(1/M64)*INDEX(ShipData!$P$41:$R$48,MATCH($AJ64,ShipData!$N$41:$N$48,0),MATCH($AI64,ShipData!$P$40:$R$40,0)))*6.5/1000</f>
        <v>33579.6150478825</v>
      </c>
      <c r="S64" s="1237">
        <v>0.95</v>
      </c>
      <c r="T64" s="1237">
        <v>1E-3</v>
      </c>
      <c r="U64" s="1278"/>
      <c r="V64" s="1277">
        <v>5</v>
      </c>
      <c r="W64" s="1530">
        <f t="array" ref="W64">INDEX(EMIS_factors!$G$6:$O$152,MATCH($G64&amp;$AB64,EMIS_factors!$E$6:$E$152&amp;EMIS_factors!$D$6:$D$152,0),MATCH(RIGHT(W$4,6),EMIS_factors!$G$4:$O$4,0))</f>
        <v>0</v>
      </c>
      <c r="X64" s="1530">
        <f t="array" ref="X64">INDEX(EMIS_factors!$G$6:$O$152,MATCH($G64&amp;$AB64,EMIS_factors!$E$6:$E$152&amp;EMIS_factors!$D$6:$D$152,0),MATCH(RIGHT(X$4,6),EMIS_factors!$G$4:$O$4,0))</f>
        <v>411.41501253398201</v>
      </c>
      <c r="Y64" s="1530">
        <f t="array" ref="Y64">INDEX(EMIS_factors!$G$6:$O$152,MATCH($G64&amp;$AB64,EMIS_factors!$E$6:$E$152&amp;EMIS_factors!$D$6:$D$152,0),MATCH(RIGHT(Y$4,6),EMIS_factors!$G$4:$O$4,0))</f>
        <v>0.11686473412375831</v>
      </c>
      <c r="Z64" s="1530">
        <f t="array" ref="Z64">INDEX(EMIS_factors!$G$6:$O$152,MATCH($G64&amp;$AB64,EMIS_factors!$E$6:$E$152&amp;EMIS_factors!$D$6:$D$152,0),MATCH(RIGHT(Z$4,6),EMIS_factors!$G$4:$O$4,0))</f>
        <v>0</v>
      </c>
      <c r="AB64" s="526" t="s">
        <v>1483</v>
      </c>
      <c r="AE64" s="1265">
        <f t="array" ref="AE64">INDEX($AN$12:$BM$15,MATCH(F64,$AM$12:$AM$15,0),MATCH($AG64&amp;$AE$1,$AN$11:$BM$11&amp;$AN$9:$BM$9,0))/1000</f>
        <v>1.5804878048780491</v>
      </c>
      <c r="AF64" s="549">
        <f t="array" ref="AF64">(AE64^INDEX(ShipData!$X$36:$X$39,MATCH($F64,ShipData!$U$36:$U$39,0)))*0.756*INDEX(ShipData!$W$36:$W$39,MATCH($F64,ShipData!$U$36:$U$39,0))</f>
        <v>1602.8300580975306</v>
      </c>
      <c r="AG64" s="549" t="str">
        <f>AG62</f>
        <v>Small</v>
      </c>
      <c r="AH64" s="526" t="s">
        <v>1257</v>
      </c>
      <c r="AI64" s="549" t="s">
        <v>1143</v>
      </c>
      <c r="AJ64" s="848" t="s">
        <v>1252</v>
      </c>
      <c r="AL64" s="552"/>
      <c r="AM64" s="548"/>
      <c r="AN64" s="553"/>
    </row>
    <row r="65" spans="3:40">
      <c r="C65" s="552"/>
      <c r="D65" s="552"/>
      <c r="E65" s="534" t="s">
        <v>987</v>
      </c>
      <c r="F65" s="531"/>
      <c r="G65" s="531"/>
      <c r="H65" s="1237"/>
      <c r="I65" s="1237"/>
      <c r="J65" s="1237"/>
      <c r="K65" s="1239"/>
      <c r="L65" s="1237"/>
      <c r="M65" s="1265"/>
      <c r="N65" s="1265"/>
      <c r="O65" s="1237"/>
      <c r="P65" s="1265"/>
      <c r="Q65" s="1265"/>
      <c r="R65" s="552"/>
      <c r="S65" s="1237"/>
      <c r="T65" s="1237"/>
      <c r="U65" s="1278"/>
      <c r="V65" s="1240"/>
      <c r="W65" s="1530"/>
      <c r="X65" s="1530"/>
      <c r="Y65" s="1530"/>
      <c r="Z65" s="1530"/>
      <c r="AB65" s="526" t="s">
        <v>1483</v>
      </c>
      <c r="AE65" s="1265" t="e">
        <f t="array" ref="AE65">INDEX($AN$12:$BM$15,MATCH(F65,$AM$12:$AM$15,0),MATCH($AG65&amp;$AE$1,$AN$11:$BM$11&amp;$AN$9:$BM$9,0))/1000</f>
        <v>#N/A</v>
      </c>
      <c r="AF65" s="549" t="e">
        <f t="array" ref="AF65">(AE65^INDEX(ShipData!$X$36:$X$39,MATCH($F65,ShipData!$U$36:$U$39,0)))*0.756*INDEX(ShipData!$W$36:$W$39,MATCH($F65,ShipData!$U$36:$U$39,0))</f>
        <v>#N/A</v>
      </c>
      <c r="AH65" s="526" t="s">
        <v>1257</v>
      </c>
      <c r="AI65" s="549" t="s">
        <v>1143</v>
      </c>
      <c r="AJ65" s="848" t="s">
        <v>1252</v>
      </c>
      <c r="AL65" s="552"/>
      <c r="AM65" s="548"/>
      <c r="AN65" s="553"/>
    </row>
    <row r="66" spans="3:40">
      <c r="C66" s="552" t="str">
        <f>"TFS"&amp;LEFT(AG66,1)&amp;AH66&amp;RIGHT(F66,1)&amp;MID(G66,3,1)&amp;"N"</f>
        <v>TFSMNGDUL2N</v>
      </c>
      <c r="D66" s="552" t="s">
        <v>1079</v>
      </c>
      <c r="E66" s="534" t="str">
        <f>E62</f>
        <v>TRANGBL3N</v>
      </c>
      <c r="F66" s="531" t="s">
        <v>1026</v>
      </c>
      <c r="G66" s="531">
        <v>2020</v>
      </c>
      <c r="H66" s="1237" t="s">
        <v>986</v>
      </c>
      <c r="I66" s="1239">
        <f t="array" ref="I66">INDEX($AN$12:$BM$15,MATCH(F66,$AM$12:$AM$15,0),MATCH(I$1&amp;$AG66,$AN$9:$BM$9&amp;$AN$11:$BM$11,0))</f>
        <v>3045.9905660377353</v>
      </c>
      <c r="J66" s="1239">
        <f t="shared" si="16"/>
        <v>3045.9905660377353</v>
      </c>
      <c r="K66" s="1239">
        <v>25616</v>
      </c>
      <c r="L66" s="1237">
        <v>46219</v>
      </c>
      <c r="M66" s="1265">
        <f t="array" ref="M66">1/(INDEX($AN$12:$BM$15,MATCH($F66,$AM$12:$AM$15,0),MATCH(($G66&amp;M$1)&amp;$AG66,$AN$9:$BM$9&amp;$AN$11:$BM$11,0))/1.852)</f>
        <v>1.4081877865043426</v>
      </c>
      <c r="N66" s="1265">
        <f t="shared" ref="N66" si="19">M66</f>
        <v>1.4081877865043426</v>
      </c>
      <c r="O66" s="1237">
        <v>30</v>
      </c>
      <c r="P66" s="1265"/>
      <c r="Q66" s="1265">
        <f t="shared" si="1"/>
        <v>2452.8183440763883</v>
      </c>
      <c r="R66" s="1265">
        <f>(AF66*(INDEX(ShipData!$P$19:$R$26,MATCH($AJ66,ShipData!$N$19:$N$26,0),MATCH($AI66,ShipData!$P$18:$R$18,0))+INDEX(ShipData!$P$30:$R$37,MATCH($AJ66,ShipData!$N$30:$N$37,0),MATCH($AI66,ShipData!$P$29:$R$29,0)))+K66*0.1*(1/M66)*INDEX(ShipData!$P$41:$R$48,MATCH($AJ66,ShipData!$N$41:$N$48,0),MATCH($AI66,ShipData!$P$40:$R$40,0)))*6.5/1000</f>
        <v>70080.524116468223</v>
      </c>
      <c r="S66" s="1237">
        <v>0.95</v>
      </c>
      <c r="T66" s="1237">
        <v>1E-3</v>
      </c>
      <c r="U66" s="1278"/>
      <c r="V66" s="1240">
        <v>5</v>
      </c>
      <c r="W66" s="1530">
        <f t="array" ref="W66">INDEX(EMIS_factors!$G$6:$O$152,MATCH($G66&amp;$AB66,EMIS_factors!$E$6:$E$152&amp;EMIS_factors!$D$6:$D$152,0),MATCH(RIGHT(W$4,6),EMIS_factors!$G$4:$O$4,0))</f>
        <v>0</v>
      </c>
      <c r="X66" s="1530">
        <f t="array" ref="X66">INDEX(EMIS_factors!$G$6:$O$152,MATCH($G66&amp;$AB66,EMIS_factors!$E$6:$E$152&amp;EMIS_factors!$D$6:$D$152,0),MATCH(RIGHT(X$4,6),EMIS_factors!$G$4:$O$4,0))</f>
        <v>411.41501253398201</v>
      </c>
      <c r="Y66" s="1530">
        <f t="array" ref="Y66">INDEX(EMIS_factors!$G$6:$O$152,MATCH($G66&amp;$AB66,EMIS_factors!$E$6:$E$152&amp;EMIS_factors!$D$6:$D$152,0),MATCH(RIGHT(Y$4,6),EMIS_factors!$G$4:$O$4,0))</f>
        <v>0.11686473412375831</v>
      </c>
      <c r="Z66" s="1530">
        <f t="array" ref="Z66">INDEX(EMIS_factors!$G$6:$O$152,MATCH($G66&amp;$AB66,EMIS_factors!$E$6:$E$152&amp;EMIS_factors!$D$6:$D$152,0),MATCH(RIGHT(Z$4,6),EMIS_factors!$G$4:$O$4,0))</f>
        <v>0</v>
      </c>
      <c r="AB66" s="526" t="s">
        <v>1483</v>
      </c>
      <c r="AE66" s="1265">
        <f t="array" ref="AE66">INDEX($AN$12:$BM$15,MATCH(F66,$AM$12:$AM$15,0),MATCH($AG66&amp;$AE$1,$AN$11:$BM$11&amp;$AN$9:$BM$9,0))/1000</f>
        <v>5.9433962264150946</v>
      </c>
      <c r="AF66" s="549">
        <f t="array" ref="AF66">(AE66^INDEX(ShipData!$X$36:$X$39,MATCH($F66,ShipData!$U$36:$U$39,0)))*0.756*INDEX(ShipData!$W$36:$W$39,MATCH($F66,ShipData!$U$36:$U$39,0))</f>
        <v>3369.7610132900404</v>
      </c>
      <c r="AG66" s="549" t="s">
        <v>1236</v>
      </c>
      <c r="AH66" s="526" t="s">
        <v>1257</v>
      </c>
      <c r="AI66" s="549" t="s">
        <v>1143</v>
      </c>
      <c r="AJ66" s="848" t="s">
        <v>1252</v>
      </c>
      <c r="AL66" s="552"/>
      <c r="AM66" s="548"/>
      <c r="AN66" s="553"/>
    </row>
    <row r="67" spans="3:40">
      <c r="C67" s="552"/>
      <c r="D67" s="552"/>
      <c r="E67" s="534" t="str">
        <f t="shared" ref="E67:E73" si="20">E63</f>
        <v>TRAMFO2</v>
      </c>
      <c r="F67" s="531"/>
      <c r="G67" s="531"/>
      <c r="H67" s="1237"/>
      <c r="I67" s="1237"/>
      <c r="J67" s="1237"/>
      <c r="K67" s="1239"/>
      <c r="L67" s="1237"/>
      <c r="M67" s="1265"/>
      <c r="N67" s="1265"/>
      <c r="O67" s="1237"/>
      <c r="P67" s="1265"/>
      <c r="Q67" s="1265"/>
      <c r="R67" s="552"/>
      <c r="S67" s="1237"/>
      <c r="T67" s="1237"/>
      <c r="U67" s="1278"/>
      <c r="V67" s="1240"/>
      <c r="W67" s="1530"/>
      <c r="X67" s="1530"/>
      <c r="Y67" s="1530"/>
      <c r="Z67" s="1530"/>
      <c r="AB67" s="526" t="s">
        <v>1483</v>
      </c>
      <c r="AE67" s="1265" t="e">
        <f t="array" ref="AE67">INDEX($AN$12:$BM$15,MATCH(F67,$AM$12:$AM$15,0),MATCH($AG67&amp;$AE$1,$AN$11:$BM$11&amp;$AN$9:$BM$9,0))/1000</f>
        <v>#N/A</v>
      </c>
      <c r="AF67" s="549" t="e">
        <f t="array" ref="AF67">(AE67^INDEX(ShipData!$X$36:$X$39,MATCH($F67,ShipData!$U$36:$U$39,0)))*0.756*INDEX(ShipData!$W$36:$W$39,MATCH($F67,ShipData!$U$36:$U$39,0))</f>
        <v>#N/A</v>
      </c>
      <c r="AH67" s="526" t="s">
        <v>1257</v>
      </c>
      <c r="AI67" s="549" t="s">
        <v>1143</v>
      </c>
      <c r="AJ67" s="848" t="s">
        <v>1252</v>
      </c>
      <c r="AL67" s="552"/>
      <c r="AM67" s="548"/>
      <c r="AN67" s="553"/>
    </row>
    <row r="68" spans="3:40">
      <c r="C68" s="552"/>
      <c r="D68" s="552"/>
      <c r="E68" s="534" t="str">
        <f t="shared" si="20"/>
        <v>TRANGBL4N</v>
      </c>
      <c r="F68" s="531" t="s">
        <v>1026</v>
      </c>
      <c r="G68" s="531">
        <v>2030</v>
      </c>
      <c r="H68" s="1237" t="s">
        <v>986</v>
      </c>
      <c r="I68" s="1239">
        <f t="array" ref="I68">INDEX($AN$12:$BM$15,MATCH(F68,$AM$12:$AM$15,0),MATCH(I$1&amp;$AG68,$AN$9:$BM$9&amp;$AN$11:$BM$11,0))</f>
        <v>3045.9905660377353</v>
      </c>
      <c r="J68" s="1239">
        <f t="shared" si="16"/>
        <v>3045.9905660377353</v>
      </c>
      <c r="K68" s="1239">
        <v>25616</v>
      </c>
      <c r="L68" s="1237">
        <v>46219</v>
      </c>
      <c r="M68" s="1265">
        <f t="array" ref="M68">1/(INDEX($AN$12:$BM$15,MATCH($F68,$AM$12:$AM$15,0),MATCH(($G68&amp;M$1)&amp;$AG68,$AN$9:$BM$9&amp;$AN$11:$BM$11,0))/1.852)</f>
        <v>1.9876124255718461</v>
      </c>
      <c r="N68" s="1265">
        <f t="shared" ref="N68" si="21">M68</f>
        <v>1.9876124255718461</v>
      </c>
      <c r="O68" s="1237">
        <v>30</v>
      </c>
      <c r="P68" s="1265"/>
      <c r="Q68" s="1239">
        <v>5000.8762125000012</v>
      </c>
      <c r="R68" s="1265">
        <f>(AF68*(INDEX(ShipData!$P$19:$R$26,MATCH($AJ68,ShipData!$N$19:$N$26,0),MATCH($AI68,ShipData!$P$18:$R$18,0))+INDEX(ShipData!$P$30:$R$37,MATCH($AJ68,ShipData!$N$30:$N$37,0),MATCH($AI68,ShipData!$P$29:$R$29,0)))+K68*0.1*(1/M68)*INDEX(ShipData!$P$41:$R$48,MATCH($AJ68,ShipData!$N$41:$N$48,0),MATCH($AI68,ShipData!$P$40:$R$40,0)))*6.5/1000</f>
        <v>69701.364531743238</v>
      </c>
      <c r="S68" s="1237">
        <v>0.95</v>
      </c>
      <c r="T68" s="1237">
        <v>1E-3</v>
      </c>
      <c r="U68" s="1278"/>
      <c r="V68" s="1240">
        <v>5</v>
      </c>
      <c r="W68" s="1530">
        <f t="array" ref="W68">INDEX(EMIS_factors!$G$6:$O$152,MATCH($G68&amp;$AB68,EMIS_factors!$E$6:$E$152&amp;EMIS_factors!$D$6:$D$152,0),MATCH(RIGHT(W$4,6),EMIS_factors!$G$4:$O$4,0))</f>
        <v>0</v>
      </c>
      <c r="X68" s="1530">
        <f t="array" ref="X68">INDEX(EMIS_factors!$G$6:$O$152,MATCH($G68&amp;$AB68,EMIS_factors!$E$6:$E$152&amp;EMIS_factors!$D$6:$D$152,0),MATCH(RIGHT(X$4,6),EMIS_factors!$G$4:$O$4,0))</f>
        <v>411.41501253398201</v>
      </c>
      <c r="Y68" s="1530">
        <f t="array" ref="Y68">INDEX(EMIS_factors!$G$6:$O$152,MATCH($G68&amp;$AB68,EMIS_factors!$E$6:$E$152&amp;EMIS_factors!$D$6:$D$152,0),MATCH(RIGHT(Y$4,6),EMIS_factors!$G$4:$O$4,0))</f>
        <v>0.11686473412375831</v>
      </c>
      <c r="Z68" s="1530">
        <f t="array" ref="Z68">INDEX(EMIS_factors!$G$6:$O$152,MATCH($G68&amp;$AB68,EMIS_factors!$E$6:$E$152&amp;EMIS_factors!$D$6:$D$152,0),MATCH(RIGHT(Z$4,6),EMIS_factors!$G$4:$O$4,0))</f>
        <v>0</v>
      </c>
      <c r="AB68" s="526" t="s">
        <v>1483</v>
      </c>
      <c r="AE68" s="1265">
        <f t="array" ref="AE68">INDEX($AN$12:$BM$15,MATCH(F68,$AM$12:$AM$15,0),MATCH($AG68&amp;$AE$1,$AN$11:$BM$11&amp;$AN$9:$BM$9,0))/1000</f>
        <v>5.9433962264150946</v>
      </c>
      <c r="AF68" s="549">
        <f t="array" ref="AF68">(AE68^INDEX(ShipData!$X$36:$X$39,MATCH($F68,ShipData!$U$36:$U$39,0)))*0.756*INDEX(ShipData!$W$36:$W$39,MATCH($F68,ShipData!$U$36:$U$39,0))</f>
        <v>3369.7610132900404</v>
      </c>
      <c r="AG68" s="549" t="str">
        <f>AG66</f>
        <v>Medium</v>
      </c>
      <c r="AH68" s="526" t="s">
        <v>1257</v>
      </c>
      <c r="AI68" s="549" t="s">
        <v>1143</v>
      </c>
      <c r="AJ68" s="848" t="s">
        <v>1252</v>
      </c>
      <c r="AL68" s="552"/>
      <c r="AM68"/>
      <c r="AN68" s="553"/>
    </row>
    <row r="69" spans="3:40">
      <c r="C69" s="552"/>
      <c r="D69" s="552"/>
      <c r="E69" s="534" t="str">
        <f t="shared" si="20"/>
        <v>TRAMFO3</v>
      </c>
      <c r="F69" s="531"/>
      <c r="G69" s="531"/>
      <c r="H69" s="1237"/>
      <c r="I69" s="1237"/>
      <c r="J69" s="1237"/>
      <c r="K69" s="1239"/>
      <c r="L69" s="1237"/>
      <c r="M69" s="1265"/>
      <c r="N69" s="1265"/>
      <c r="O69" s="1237"/>
      <c r="P69" s="1265"/>
      <c r="Q69" s="1265"/>
      <c r="R69" s="552"/>
      <c r="S69" s="1237"/>
      <c r="T69" s="1237"/>
      <c r="U69" s="1278"/>
      <c r="V69" s="1240"/>
      <c r="W69" s="1530"/>
      <c r="X69" s="1530"/>
      <c r="Y69" s="1530"/>
      <c r="Z69" s="1530"/>
      <c r="AB69" s="526" t="s">
        <v>1483</v>
      </c>
      <c r="AE69" s="1265" t="e">
        <f t="array" ref="AE69">INDEX($AN$12:$BM$15,MATCH(F69,$AM$12:$AM$15,0),MATCH($AG69&amp;$AE$1,$AN$11:$BM$11&amp;$AN$9:$BM$9,0))/1000</f>
        <v>#N/A</v>
      </c>
      <c r="AF69" s="549" t="e">
        <f t="array" ref="AF69">(AE69^INDEX(ShipData!$X$36:$X$39,MATCH($F69,ShipData!$U$36:$U$39,0)))*0.756*INDEX(ShipData!$W$36:$W$39,MATCH($F69,ShipData!$U$36:$U$39,0))</f>
        <v>#N/A</v>
      </c>
      <c r="AH69" s="526" t="s">
        <v>1257</v>
      </c>
      <c r="AI69" s="549" t="s">
        <v>1143</v>
      </c>
      <c r="AJ69" s="848" t="s">
        <v>1252</v>
      </c>
      <c r="AL69" s="552"/>
      <c r="AM69"/>
      <c r="AN69" s="553"/>
    </row>
    <row r="70" spans="3:40">
      <c r="C70" s="552" t="str">
        <f>"TFS"&amp;LEFT(AG70,1)&amp;AH70&amp;RIGHT(F70,1)&amp;MID(G70,3,1)&amp;"N"</f>
        <v>TFSLNGDUL2N</v>
      </c>
      <c r="D70" s="552" t="s">
        <v>1080</v>
      </c>
      <c r="E70" s="534" t="str">
        <f t="shared" si="20"/>
        <v>TRANGBL3N</v>
      </c>
      <c r="F70" s="531" t="s">
        <v>1026</v>
      </c>
      <c r="G70" s="531">
        <v>2020</v>
      </c>
      <c r="H70" s="1237" t="s">
        <v>986</v>
      </c>
      <c r="I70" s="1239">
        <f t="array" ref="I70">INDEX($AN$12:$BM$15,MATCH(F70,$AM$12:$AM$15,0),MATCH(I$1&amp;$AG70,$AN$9:$BM$9&amp;$AN$11:$BM$11,0))</f>
        <v>7427.5362318840562</v>
      </c>
      <c r="J70" s="1239">
        <f t="shared" si="16"/>
        <v>7427.5362318840562</v>
      </c>
      <c r="K70" s="1239">
        <v>3985</v>
      </c>
      <c r="L70" s="1237">
        <v>7190</v>
      </c>
      <c r="M70" s="1265">
        <f t="array" ref="M70">1/(INDEX($AN$12:$BM$15,MATCH($F70,$AM$12:$AM$15,0),MATCH(($G70&amp;M$1)&amp;$AG70,$AN$9:$BM$9&amp;$AN$11:$BM$11,0))/1.852)</f>
        <v>0.84765820280384263</v>
      </c>
      <c r="N70" s="1265">
        <f t="shared" ref="N70" si="22">M70</f>
        <v>0.84765820280384263</v>
      </c>
      <c r="O70" s="1237">
        <v>30</v>
      </c>
      <c r="P70" s="1265"/>
      <c r="Q70" s="1265">
        <f t="shared" si="1"/>
        <v>3980.9529297168501</v>
      </c>
      <c r="R70" s="1265">
        <f>(AF70*(INDEX(ShipData!$P$19:$R$26,MATCH($AJ70,ShipData!$N$19:$N$26,0),MATCH($AI70,ShipData!$P$18:$R$18,0))+INDEX(ShipData!$P$30:$R$37,MATCH($AJ70,ShipData!$N$30:$N$37,0),MATCH($AI70,ShipData!$P$29:$R$29,0)))+K70*0.1*(1/M70)*INDEX(ShipData!$P$41:$R$48,MATCH($AJ70,ShipData!$N$41:$N$48,0),MATCH($AI70,ShipData!$P$40:$R$40,0)))*6.5/1000</f>
        <v>113741.51227762428</v>
      </c>
      <c r="S70" s="1237">
        <v>0.95</v>
      </c>
      <c r="T70" s="1237">
        <v>1E-3</v>
      </c>
      <c r="U70" s="1278"/>
      <c r="V70" s="1240">
        <v>5</v>
      </c>
      <c r="W70" s="1530">
        <f t="array" ref="W70">INDEX(EMIS_factors!$G$6:$O$152,MATCH($G70&amp;$AB70,EMIS_factors!$E$6:$E$152&amp;EMIS_factors!$D$6:$D$152,0),MATCH(RIGHT(W$4,6),EMIS_factors!$G$4:$O$4,0))</f>
        <v>0</v>
      </c>
      <c r="X70" s="1530">
        <f t="array" ref="X70">INDEX(EMIS_factors!$G$6:$O$152,MATCH($G70&amp;$AB70,EMIS_factors!$E$6:$E$152&amp;EMIS_factors!$D$6:$D$152,0),MATCH(RIGHT(X$4,6),EMIS_factors!$G$4:$O$4,0))</f>
        <v>411.41501253398201</v>
      </c>
      <c r="Y70" s="1530">
        <f t="array" ref="Y70">INDEX(EMIS_factors!$G$6:$O$152,MATCH($G70&amp;$AB70,EMIS_factors!$E$6:$E$152&amp;EMIS_factors!$D$6:$D$152,0),MATCH(RIGHT(Y$4,6),EMIS_factors!$G$4:$O$4,0))</f>
        <v>0.11686473412375831</v>
      </c>
      <c r="Z70" s="1530">
        <f t="array" ref="Z70">INDEX(EMIS_factors!$G$6:$O$152,MATCH($G70&amp;$AB70,EMIS_factors!$E$6:$E$152&amp;EMIS_factors!$D$6:$D$152,0),MATCH(RIGHT(Z$4,6),EMIS_factors!$G$4:$O$4,0))</f>
        <v>0</v>
      </c>
      <c r="AB70" s="526" t="s">
        <v>1483</v>
      </c>
      <c r="AE70" s="1265">
        <f t="array" ref="AE70">INDEX($AN$12:$BM$15,MATCH(F70,$AM$12:$AM$15,0),MATCH($AG70&amp;$AE$1,$AN$11:$BM$11&amp;$AN$9:$BM$9,0))/1000</f>
        <v>14.492753623188404</v>
      </c>
      <c r="AF70" s="549">
        <f t="array" ref="AF70">(AE70^INDEX(ShipData!$X$36:$X$39,MATCH($F70,ShipData!$U$36:$U$39,0)))*0.756*INDEX(ShipData!$W$36:$W$39,MATCH($F70,ShipData!$U$36:$U$39,0))</f>
        <v>5556.1159914410127</v>
      </c>
      <c r="AG70" s="549" t="s">
        <v>1240</v>
      </c>
      <c r="AH70" s="526" t="s">
        <v>1257</v>
      </c>
      <c r="AI70" s="549" t="s">
        <v>1143</v>
      </c>
      <c r="AJ70" s="848" t="s">
        <v>1252</v>
      </c>
      <c r="AL70" s="552"/>
      <c r="AM70"/>
      <c r="AN70" s="553"/>
    </row>
    <row r="71" spans="3:40">
      <c r="C71" s="552"/>
      <c r="D71" s="552"/>
      <c r="E71" s="534" t="str">
        <f t="shared" si="20"/>
        <v>TRAMFO2</v>
      </c>
      <c r="F71" s="531"/>
      <c r="G71" s="531"/>
      <c r="H71" s="1237"/>
      <c r="I71" s="1237"/>
      <c r="J71" s="1237"/>
      <c r="K71" s="1239"/>
      <c r="L71" s="1237"/>
      <c r="M71" s="1265"/>
      <c r="N71" s="1265"/>
      <c r="O71" s="1237"/>
      <c r="P71" s="1265"/>
      <c r="Q71" s="1265"/>
      <c r="R71" s="1237"/>
      <c r="S71" s="1237"/>
      <c r="T71" s="1237"/>
      <c r="U71" s="552"/>
      <c r="V71" s="1240"/>
      <c r="W71" s="1530"/>
      <c r="X71" s="1530"/>
      <c r="Y71" s="1530"/>
      <c r="Z71" s="1530"/>
      <c r="AB71" s="526" t="s">
        <v>1483</v>
      </c>
      <c r="AE71" s="1265" t="e">
        <f t="array" ref="AE71">INDEX($AN$12:$BM$15,MATCH(F71,$AM$12:$AM$15,0),MATCH($AG71&amp;$AE$1,$AN$11:$BM$11&amp;$AN$9:$BM$9,0))/1000</f>
        <v>#N/A</v>
      </c>
      <c r="AF71" s="549" t="e">
        <f t="array" ref="AF71">(AE71^INDEX(ShipData!$X$36:$X$39,MATCH($F71,ShipData!$U$36:$U$39,0)))*0.756*INDEX(ShipData!$W$36:$W$39,MATCH($F71,ShipData!$U$36:$U$39,0))</f>
        <v>#N/A</v>
      </c>
      <c r="AH71" s="526" t="s">
        <v>1257</v>
      </c>
      <c r="AI71" s="549" t="s">
        <v>1143</v>
      </c>
      <c r="AJ71" s="848" t="s">
        <v>1252</v>
      </c>
      <c r="AL71" s="552"/>
      <c r="AM71"/>
      <c r="AN71" s="553"/>
    </row>
    <row r="72" spans="3:40">
      <c r="C72" s="552"/>
      <c r="D72" s="552"/>
      <c r="E72" s="534" t="str">
        <f t="shared" si="20"/>
        <v>TRANGBL4N</v>
      </c>
      <c r="F72" s="531" t="s">
        <v>1026</v>
      </c>
      <c r="G72" s="531">
        <v>2030</v>
      </c>
      <c r="H72" s="1237" t="s">
        <v>986</v>
      </c>
      <c r="I72" s="1239">
        <f t="array" ref="I72">INDEX($AN$12:$BM$15,MATCH(F72,$AM$12:$AM$15,0),MATCH(I$1&amp;$AG72,$AN$9:$BM$9&amp;$AN$11:$BM$11,0))</f>
        <v>7427.5362318840562</v>
      </c>
      <c r="J72" s="1239">
        <f t="shared" si="16"/>
        <v>7427.5362318840562</v>
      </c>
      <c r="K72" s="1239">
        <v>3985</v>
      </c>
      <c r="L72" s="1237">
        <v>7190</v>
      </c>
      <c r="M72" s="1265">
        <f t="array" ref="M72">1/(INDEX($AN$12:$BM$15,MATCH($F72,$AM$12:$AM$15,0),MATCH(($G72&amp;M$1)&amp;$AG72,$AN$9:$BM$9&amp;$AN$11:$BM$11,0))/1.852)</f>
        <v>1.155074490575144</v>
      </c>
      <c r="N72" s="1265">
        <f t="shared" ref="N72" si="23">M72</f>
        <v>1.155074490575144</v>
      </c>
      <c r="O72" s="1237">
        <v>30</v>
      </c>
      <c r="P72" s="1265"/>
      <c r="Q72" s="1239">
        <v>7669.3821750000016</v>
      </c>
      <c r="R72" s="1265">
        <f>(AF72*(INDEX(ShipData!$P$19:$R$26,MATCH($AJ72,ShipData!$N$19:$N$26,0),MATCH($AI72,ShipData!$P$18:$R$18,0))+INDEX(ShipData!$P$30:$R$37,MATCH($AJ72,ShipData!$N$30:$N$37,0),MATCH($AI72,ShipData!$P$29:$R$29,0)))+K72*0.1*(1/M72)*INDEX(ShipData!$P$41:$R$48,MATCH($AJ72,ShipData!$N$41:$N$48,0),MATCH($AI72,ShipData!$P$40:$R$40,0)))*6.5/1000</f>
        <v>113652.05195095837</v>
      </c>
      <c r="S72" s="1237">
        <v>0.95</v>
      </c>
      <c r="T72" s="1237">
        <v>1E-3</v>
      </c>
      <c r="U72" s="1278"/>
      <c r="V72" s="1240"/>
      <c r="W72" s="1530">
        <f t="array" ref="W72">INDEX(EMIS_factors!$G$6:$O$152,MATCH($G72&amp;$AB72,EMIS_factors!$E$6:$E$152&amp;EMIS_factors!$D$6:$D$152,0),MATCH(RIGHT(W$4,6),EMIS_factors!$G$4:$O$4,0))</f>
        <v>0</v>
      </c>
      <c r="X72" s="1530">
        <f t="array" ref="X72">INDEX(EMIS_factors!$G$6:$O$152,MATCH($G72&amp;$AB72,EMIS_factors!$E$6:$E$152&amp;EMIS_factors!$D$6:$D$152,0),MATCH(RIGHT(X$4,6),EMIS_factors!$G$4:$O$4,0))</f>
        <v>411.41501253398201</v>
      </c>
      <c r="Y72" s="1530">
        <f t="array" ref="Y72">INDEX(EMIS_factors!$G$6:$O$152,MATCH($G72&amp;$AB72,EMIS_factors!$E$6:$E$152&amp;EMIS_factors!$D$6:$D$152,0),MATCH(RIGHT(Y$4,6),EMIS_factors!$G$4:$O$4,0))</f>
        <v>0.11686473412375831</v>
      </c>
      <c r="Z72" s="1530">
        <f t="array" ref="Z72">INDEX(EMIS_factors!$G$6:$O$152,MATCH($G72&amp;$AB72,EMIS_factors!$E$6:$E$152&amp;EMIS_factors!$D$6:$D$152,0),MATCH(RIGHT(Z$4,6),EMIS_factors!$G$4:$O$4,0))</f>
        <v>0</v>
      </c>
      <c r="AB72" s="526" t="s">
        <v>1483</v>
      </c>
      <c r="AE72" s="1265">
        <f t="array" ref="AE72">INDEX($AN$12:$BM$15,MATCH(F72,$AM$12:$AM$15,0),MATCH($AG72&amp;$AE$1,$AN$11:$BM$11&amp;$AN$9:$BM$9,0))/1000</f>
        <v>14.492753623188404</v>
      </c>
      <c r="AF72" s="549">
        <f t="array" ref="AF72">(AE72^INDEX(ShipData!$X$36:$X$39,MATCH($F72,ShipData!$U$36:$U$39,0)))*0.756*INDEX(ShipData!$W$36:$W$39,MATCH($F72,ShipData!$U$36:$U$39,0))</f>
        <v>5556.1159914410127</v>
      </c>
      <c r="AG72" s="549" t="str">
        <f>AG70</f>
        <v>Large</v>
      </c>
      <c r="AH72" s="526" t="s">
        <v>1257</v>
      </c>
      <c r="AI72" s="549" t="s">
        <v>1143</v>
      </c>
      <c r="AJ72" s="848" t="s">
        <v>1252</v>
      </c>
      <c r="AL72" s="1231"/>
      <c r="AM72"/>
      <c r="AN72" s="553"/>
    </row>
    <row r="73" spans="3:40">
      <c r="C73" s="552"/>
      <c r="D73" s="552"/>
      <c r="E73" s="534" t="str">
        <f t="shared" si="20"/>
        <v>TRAMFO3</v>
      </c>
      <c r="F73" s="531"/>
      <c r="G73" s="531"/>
      <c r="H73" s="1237"/>
      <c r="I73" s="1237"/>
      <c r="J73" s="1237"/>
      <c r="K73" s="1239"/>
      <c r="L73" s="1237"/>
      <c r="M73" s="1265"/>
      <c r="N73" s="1265"/>
      <c r="O73" s="1237"/>
      <c r="P73" s="1265"/>
      <c r="Q73" s="1265"/>
      <c r="R73" s="1237"/>
      <c r="S73" s="1237"/>
      <c r="T73" s="1237"/>
      <c r="U73" s="552"/>
      <c r="V73" s="1240"/>
      <c r="W73" s="1530"/>
      <c r="X73" s="1530"/>
      <c r="Y73" s="1530"/>
      <c r="Z73" s="1530"/>
      <c r="AB73" s="526" t="s">
        <v>1483</v>
      </c>
      <c r="AE73" s="1265" t="e">
        <f t="array" ref="AE73">INDEX($AN$12:$BM$15,MATCH(F73,$AM$12:$AM$15,0),MATCH($AG73&amp;$AE$1,$AN$11:$BM$11&amp;$AN$9:$BM$9,0))/1000</f>
        <v>#N/A</v>
      </c>
      <c r="AF73" s="549" t="e">
        <f t="array" ref="AF73">(AE73^INDEX(ShipData!$X$36:$X$39,MATCH($F73,ShipData!$U$36:$U$39,0)))*0.756*INDEX(ShipData!$W$36:$W$39,MATCH($F73,ShipData!$U$36:$U$39,0))</f>
        <v>#N/A</v>
      </c>
      <c r="AH73" s="526" t="s">
        <v>1257</v>
      </c>
      <c r="AI73" s="549" t="s">
        <v>1143</v>
      </c>
      <c r="AJ73" s="848" t="s">
        <v>1252</v>
      </c>
      <c r="AL73" s="552"/>
      <c r="AM73"/>
      <c r="AN73" s="553"/>
    </row>
    <row r="74" spans="3:40">
      <c r="C74" s="552" t="str">
        <f>"TFS"&amp;LEFT(AG74,1)&amp;AH74&amp;RIGHT(F74,1)&amp;MID(G74,3,1)&amp;"N"</f>
        <v>TFSSNGDUD2N</v>
      </c>
      <c r="D74" s="552" t="s">
        <v>1081</v>
      </c>
      <c r="E74" s="534" t="str">
        <f t="shared" ref="E74:E105" si="24">E70</f>
        <v>TRANGBL3N</v>
      </c>
      <c r="F74" s="531" t="s">
        <v>1027</v>
      </c>
      <c r="G74" s="531">
        <v>2020</v>
      </c>
      <c r="H74" s="1237" t="s">
        <v>986</v>
      </c>
      <c r="I74" s="1239">
        <f t="array" ref="I74">INDEX($AN$12:$BM$15,MATCH(F74,$AM$12:$AM$15,0),MATCH(I$1&amp;$AG74,$AN$9:$BM$9&amp;$AN$11:$BM$11,0))</f>
        <v>1527</v>
      </c>
      <c r="J74" s="1239">
        <f t="shared" si="16"/>
        <v>1527</v>
      </c>
      <c r="K74" s="1239">
        <v>17027</v>
      </c>
      <c r="L74" s="1281">
        <v>30722</v>
      </c>
      <c r="M74" s="1265">
        <f t="array" ref="M74">1/(INDEX($AN$12:$BM$15,MATCH($F74,$AM$12:$AM$15,0),MATCH(($G74&amp;M$1)&amp;$AG74,$AN$9:$BM$9&amp;$AN$11:$BM$11,0))/1.852)</f>
        <v>3.4190010788978875</v>
      </c>
      <c r="N74" s="1265">
        <f t="shared" ref="N74" si="25">M74</f>
        <v>3.4190010788978875</v>
      </c>
      <c r="O74" s="1237">
        <v>30</v>
      </c>
      <c r="P74" s="1265"/>
      <c r="Q74" s="1265">
        <f t="shared" si="1"/>
        <v>1385.2622744704827</v>
      </c>
      <c r="R74" s="1265">
        <f>(AF74*(INDEX(ShipData!$P$19:$R$26,MATCH($AJ74,ShipData!$N$19:$N$26,0),MATCH($AI74,ShipData!$P$18:$R$18,0))+INDEX(ShipData!$P$30:$R$37,MATCH($AJ74,ShipData!$N$30:$N$37,0),MATCH($AI74,ShipData!$P$29:$R$29,0)))+K74*0.1*(1/M74)*INDEX(ShipData!$P$41:$R$48,MATCH($AJ74,ShipData!$N$41:$N$48,0),MATCH($AI74,ShipData!$P$40:$R$40,0)))*6.5/1000</f>
        <v>39578.922127728074</v>
      </c>
      <c r="S74" s="1237">
        <v>0.95</v>
      </c>
      <c r="T74" s="1237">
        <v>1E-3</v>
      </c>
      <c r="U74" s="1278"/>
      <c r="V74" s="1240">
        <v>5</v>
      </c>
      <c r="W74" s="1530">
        <f t="array" ref="W74">INDEX(EMIS_factors!$G$6:$O$152,MATCH($G74&amp;$AB74,EMIS_factors!$E$6:$E$152&amp;EMIS_factors!$D$6:$D$152,0),MATCH(RIGHT(W$4,6),EMIS_factors!$G$4:$O$4,0))</f>
        <v>0</v>
      </c>
      <c r="X74" s="1530">
        <f t="array" ref="X74">INDEX(EMIS_factors!$G$6:$O$152,MATCH($G74&amp;$AB74,EMIS_factors!$E$6:$E$152&amp;EMIS_factors!$D$6:$D$152,0),MATCH(RIGHT(X$4,6),EMIS_factors!$G$4:$O$4,0))</f>
        <v>411.41501253398201</v>
      </c>
      <c r="Y74" s="1530">
        <f t="array" ref="Y74">INDEX(EMIS_factors!$G$6:$O$152,MATCH($G74&amp;$AB74,EMIS_factors!$E$6:$E$152&amp;EMIS_factors!$D$6:$D$152,0),MATCH(RIGHT(Y$4,6),EMIS_factors!$G$4:$O$4,0))</f>
        <v>0.11686473412375831</v>
      </c>
      <c r="Z74" s="1530">
        <f t="array" ref="Z74">INDEX(EMIS_factors!$G$6:$O$152,MATCH($G74&amp;$AB74,EMIS_factors!$E$6:$E$152&amp;EMIS_factors!$D$6:$D$152,0),MATCH(RIGHT(Z$4,6),EMIS_factors!$G$4:$O$4,0))</f>
        <v>0</v>
      </c>
      <c r="AB74" s="526" t="s">
        <v>1483</v>
      </c>
      <c r="AE74" s="1265">
        <f t="array" ref="AE74">INDEX($AN$12:$BM$15,MATCH(F74,$AM$12:$AM$15,0),MATCH($AG74&amp;$AE$1,$AN$11:$BM$11&amp;$AN$9:$BM$9,0))/1000</f>
        <v>2.5449999999999999</v>
      </c>
      <c r="AF74" s="549">
        <f t="array" ref="AF74">(AE74^INDEX(ShipData!$X$36:$X$39,MATCH($F74,ShipData!$U$36:$U$39,0)))*0.756*INDEX(ShipData!$W$36:$W$39,MATCH($F74,ShipData!$U$36:$U$39,0))</f>
        <v>1921.6608368614334</v>
      </c>
      <c r="AG74" s="549" t="s">
        <v>1239</v>
      </c>
      <c r="AH74" s="526" t="s">
        <v>1257</v>
      </c>
      <c r="AI74" s="549" t="s">
        <v>1143</v>
      </c>
      <c r="AJ74" s="848" t="s">
        <v>1252</v>
      </c>
      <c r="AL74" s="552"/>
      <c r="AM74"/>
      <c r="AN74" s="553"/>
    </row>
    <row r="75" spans="3:40">
      <c r="C75" s="552"/>
      <c r="D75" s="552"/>
      <c r="E75" s="534" t="str">
        <f t="shared" si="24"/>
        <v>TRAMFO2</v>
      </c>
      <c r="F75" s="531"/>
      <c r="G75" s="531"/>
      <c r="H75" s="1237"/>
      <c r="I75" s="1237"/>
      <c r="J75" s="1237"/>
      <c r="K75" s="1239"/>
      <c r="L75" s="1281"/>
      <c r="M75" s="1265"/>
      <c r="N75" s="1265"/>
      <c r="O75" s="1237"/>
      <c r="P75" s="1265"/>
      <c r="Q75" s="1265"/>
      <c r="R75" s="552"/>
      <c r="S75" s="1237"/>
      <c r="T75" s="1237"/>
      <c r="U75" s="1278"/>
      <c r="V75" s="1240"/>
      <c r="W75" s="1530"/>
      <c r="X75" s="1530"/>
      <c r="Y75" s="1530"/>
      <c r="Z75" s="1530"/>
      <c r="AB75" s="526" t="s">
        <v>1483</v>
      </c>
      <c r="AE75" s="1265" t="e">
        <f t="array" ref="AE75">INDEX($AN$12:$BM$15,MATCH(F75,$AM$12:$AM$15,0),MATCH($AG75&amp;$AE$1,$AN$11:$BM$11&amp;$AN$9:$BM$9,0))/1000</f>
        <v>#N/A</v>
      </c>
      <c r="AF75" s="549" t="e">
        <f t="array" ref="AF75">(AE75^INDEX(ShipData!$X$36:$X$39,MATCH($F75,ShipData!$U$36:$U$39,0)))*0.756*INDEX(ShipData!$W$36:$W$39,MATCH($F75,ShipData!$U$36:$U$39,0))</f>
        <v>#N/A</v>
      </c>
      <c r="AH75" s="526" t="s">
        <v>1257</v>
      </c>
      <c r="AI75" s="549" t="s">
        <v>1143</v>
      </c>
      <c r="AJ75" s="848" t="s">
        <v>1252</v>
      </c>
      <c r="AL75" s="552"/>
      <c r="AM75"/>
      <c r="AN75" s="553"/>
    </row>
    <row r="76" spans="3:40">
      <c r="C76" s="552"/>
      <c r="D76" s="552"/>
      <c r="E76" s="534" t="str">
        <f t="shared" si="24"/>
        <v>TRANGBL4N</v>
      </c>
      <c r="F76" s="531" t="s">
        <v>1027</v>
      </c>
      <c r="G76" s="531">
        <v>2030</v>
      </c>
      <c r="H76" s="1237" t="s">
        <v>986</v>
      </c>
      <c r="I76" s="1239">
        <f t="array" ref="I76">INDEX($AN$12:$BM$15,MATCH(F76,$AM$12:$AM$15,0),MATCH(I$1&amp;$AG76,$AN$9:$BM$9&amp;$AN$11:$BM$11,0))</f>
        <v>1527</v>
      </c>
      <c r="J76" s="1239">
        <f t="shared" si="16"/>
        <v>1527</v>
      </c>
      <c r="K76" s="1239">
        <v>17027</v>
      </c>
      <c r="L76" s="1281">
        <v>30722</v>
      </c>
      <c r="M76" s="1265">
        <f t="array" ref="M76">1/(INDEX($AN$12:$BM$15,MATCH($F76,$AM$12:$AM$15,0),MATCH(($G76&amp;M$1)&amp;$AG76,$AN$9:$BM$9&amp;$AN$11:$BM$11,0))/1.852)</f>
        <v>3.891319674651244</v>
      </c>
      <c r="N76" s="1265">
        <f t="shared" ref="N76" si="26">M76</f>
        <v>3.891319674651244</v>
      </c>
      <c r="O76" s="1237">
        <v>30</v>
      </c>
      <c r="P76" s="1265"/>
      <c r="Q76" s="1239">
        <v>2601.2788200000005</v>
      </c>
      <c r="R76" s="1265">
        <f>(AF76*(INDEX(ShipData!$P$19:$R$26,MATCH($AJ76,ShipData!$N$19:$N$26,0),MATCH($AI76,ShipData!$P$18:$R$18,0))+INDEX(ShipData!$P$30:$R$37,MATCH($AJ76,ShipData!$N$30:$N$37,0),MATCH($AI76,ShipData!$P$29:$R$29,0)))+K76*0.1*(1/M76)*INDEX(ShipData!$P$41:$R$48,MATCH($AJ76,ShipData!$N$41:$N$48,0),MATCH($AI76,ShipData!$P$40:$R$40,0)))*6.5/1000</f>
        <v>39535.702295695177</v>
      </c>
      <c r="S76" s="1237">
        <v>0.95</v>
      </c>
      <c r="T76" s="1237">
        <v>1E-3</v>
      </c>
      <c r="U76" s="1278"/>
      <c r="V76" s="1240">
        <v>5</v>
      </c>
      <c r="W76" s="1530">
        <f t="array" ref="W76">INDEX(EMIS_factors!$G$6:$O$152,MATCH($G76&amp;$AB76,EMIS_factors!$E$6:$E$152&amp;EMIS_factors!$D$6:$D$152,0),MATCH(RIGHT(W$4,6),EMIS_factors!$G$4:$O$4,0))</f>
        <v>0</v>
      </c>
      <c r="X76" s="1530">
        <f t="array" ref="X76">INDEX(EMIS_factors!$G$6:$O$152,MATCH($G76&amp;$AB76,EMIS_factors!$E$6:$E$152&amp;EMIS_factors!$D$6:$D$152,0),MATCH(RIGHT(X$4,6),EMIS_factors!$G$4:$O$4,0))</f>
        <v>411.41501253398201</v>
      </c>
      <c r="Y76" s="1530">
        <f t="array" ref="Y76">INDEX(EMIS_factors!$G$6:$O$152,MATCH($G76&amp;$AB76,EMIS_factors!$E$6:$E$152&amp;EMIS_factors!$D$6:$D$152,0),MATCH(RIGHT(Y$4,6),EMIS_factors!$G$4:$O$4,0))</f>
        <v>0.11686473412375831</v>
      </c>
      <c r="Z76" s="1530">
        <f t="array" ref="Z76">INDEX(EMIS_factors!$G$6:$O$152,MATCH($G76&amp;$AB76,EMIS_factors!$E$6:$E$152&amp;EMIS_factors!$D$6:$D$152,0),MATCH(RIGHT(Z$4,6),EMIS_factors!$G$4:$O$4,0))</f>
        <v>0</v>
      </c>
      <c r="AB76" s="526" t="s">
        <v>1483</v>
      </c>
      <c r="AE76" s="1265">
        <f t="array" ref="AE76">INDEX($AN$12:$BM$15,MATCH(F76,$AM$12:$AM$15,0),MATCH($AG76&amp;$AE$1,$AN$11:$BM$11&amp;$AN$9:$BM$9,0))/1000</f>
        <v>2.5449999999999999</v>
      </c>
      <c r="AF76" s="549">
        <f t="array" ref="AF76">(AE76^INDEX(ShipData!$X$36:$X$39,MATCH($F76,ShipData!$U$36:$U$39,0)))*0.756*INDEX(ShipData!$W$36:$W$39,MATCH($F76,ShipData!$U$36:$U$39,0))</f>
        <v>1921.6608368614334</v>
      </c>
      <c r="AG76" s="549" t="str">
        <f>AG74</f>
        <v>Small</v>
      </c>
      <c r="AH76" s="526" t="s">
        <v>1257</v>
      </c>
      <c r="AI76" s="549" t="s">
        <v>1143</v>
      </c>
      <c r="AJ76" s="848" t="s">
        <v>1252</v>
      </c>
      <c r="AL76" s="552"/>
      <c r="AM76"/>
      <c r="AN76" s="553"/>
    </row>
    <row r="77" spans="3:40">
      <c r="C77" s="552"/>
      <c r="D77" s="552"/>
      <c r="E77" s="534" t="str">
        <f t="shared" si="24"/>
        <v>TRAMFO3</v>
      </c>
      <c r="F77" s="531"/>
      <c r="G77" s="531"/>
      <c r="H77" s="1237"/>
      <c r="I77" s="1237"/>
      <c r="J77" s="1237"/>
      <c r="K77" s="1239"/>
      <c r="L77" s="1281"/>
      <c r="M77" s="1265"/>
      <c r="N77" s="1265"/>
      <c r="O77" s="1237"/>
      <c r="P77" s="1265"/>
      <c r="Q77" s="1265"/>
      <c r="R77" s="552"/>
      <c r="S77" s="1237"/>
      <c r="T77" s="1237"/>
      <c r="U77" s="1278"/>
      <c r="V77" s="1240"/>
      <c r="W77" s="1530"/>
      <c r="X77" s="1530"/>
      <c r="Y77" s="1530"/>
      <c r="Z77" s="1530"/>
      <c r="AB77" s="526" t="s">
        <v>1483</v>
      </c>
      <c r="AE77" s="1265" t="e">
        <f t="array" ref="AE77">INDEX($AN$12:$BM$15,MATCH(F77,$AM$12:$AM$15,0),MATCH($AG77&amp;$AE$1,$AN$11:$BM$11&amp;$AN$9:$BM$9,0))/1000</f>
        <v>#N/A</v>
      </c>
      <c r="AF77" s="549" t="e">
        <f t="array" ref="AF77">(AE77^INDEX(ShipData!$X$36:$X$39,MATCH($F77,ShipData!$U$36:$U$39,0)))*0.756*INDEX(ShipData!$W$36:$W$39,MATCH($F77,ShipData!$U$36:$U$39,0))</f>
        <v>#N/A</v>
      </c>
      <c r="AH77" s="526" t="s">
        <v>1257</v>
      </c>
      <c r="AI77" s="549" t="s">
        <v>1143</v>
      </c>
      <c r="AJ77" s="848" t="s">
        <v>1252</v>
      </c>
      <c r="AL77" s="552"/>
      <c r="AM77"/>
      <c r="AN77" s="553"/>
    </row>
    <row r="78" spans="3:40">
      <c r="C78" s="552" t="str">
        <f>"TFS"&amp;LEFT(AG78,1)&amp;AH78&amp;RIGHT(F78,1)&amp;MID(G78,3,1)&amp;"N"</f>
        <v>TFSMNGDUD2N</v>
      </c>
      <c r="D78" s="552" t="s">
        <v>1082</v>
      </c>
      <c r="E78" s="534" t="str">
        <f t="shared" si="24"/>
        <v>TRANGBL3N</v>
      </c>
      <c r="F78" s="531" t="s">
        <v>1027</v>
      </c>
      <c r="G78" s="531">
        <v>2020</v>
      </c>
      <c r="H78" s="1237" t="s">
        <v>986</v>
      </c>
      <c r="I78" s="1239">
        <f t="array" ref="I78">INDEX($AN$12:$BM$15,MATCH(F78,$AM$12:$AM$15,0),MATCH(I$1&amp;$AG78,$AN$9:$BM$9&amp;$AN$11:$BM$11,0))</f>
        <v>4174</v>
      </c>
      <c r="J78" s="1239">
        <f t="shared" si="16"/>
        <v>4174</v>
      </c>
      <c r="K78" s="1239">
        <v>3330</v>
      </c>
      <c r="L78" s="1281">
        <v>6009</v>
      </c>
      <c r="M78" s="1265">
        <f t="array" ref="M78">1/(INDEX($AN$12:$BM$15,MATCH($F78,$AM$12:$AM$15,0),MATCH(($G78&amp;M$1)&amp;$AG78,$AN$9:$BM$9&amp;$AN$11:$BM$11,0))/1.852)</f>
        <v>1.9439057414379413</v>
      </c>
      <c r="N78" s="1265">
        <f t="shared" ref="N78" si="27">M78</f>
        <v>1.9439057414379413</v>
      </c>
      <c r="O78" s="1237">
        <v>30</v>
      </c>
      <c r="P78" s="1265"/>
      <c r="Q78" s="1265">
        <f t="shared" si="1"/>
        <v>2461.6209068450107</v>
      </c>
      <c r="R78" s="1265">
        <f>(AF78*(INDEX(ShipData!$P$19:$R$26,MATCH($AJ78,ShipData!$N$19:$N$26,0),MATCH($AI78,ShipData!$P$18:$R$18,0))+INDEX(ShipData!$P$30:$R$37,MATCH($AJ78,ShipData!$N$30:$N$37,0),MATCH($AI78,ShipData!$P$29:$R$29,0)))+K78*0.1*(1/M78)*INDEX(ShipData!$P$41:$R$48,MATCH($AJ78,ShipData!$N$41:$N$48,0),MATCH($AI78,ShipData!$P$40:$R$40,0)))*6.5/1000</f>
        <v>70332.025909857446</v>
      </c>
      <c r="S78" s="1237">
        <v>0.95</v>
      </c>
      <c r="T78" s="1237">
        <v>1E-3</v>
      </c>
      <c r="U78" s="1278"/>
      <c r="V78" s="1240">
        <v>5</v>
      </c>
      <c r="W78" s="1530">
        <f t="array" ref="W78">INDEX(EMIS_factors!$G$6:$O$152,MATCH($G78&amp;$AB78,EMIS_factors!$E$6:$E$152&amp;EMIS_factors!$D$6:$D$152,0),MATCH(RIGHT(W$4,6),EMIS_factors!$G$4:$O$4,0))</f>
        <v>0</v>
      </c>
      <c r="X78" s="1530">
        <f t="array" ref="X78">INDEX(EMIS_factors!$G$6:$O$152,MATCH($G78&amp;$AB78,EMIS_factors!$E$6:$E$152&amp;EMIS_factors!$D$6:$D$152,0),MATCH(RIGHT(X$4,6),EMIS_factors!$G$4:$O$4,0))</f>
        <v>411.41501253398201</v>
      </c>
      <c r="Y78" s="1530">
        <f t="array" ref="Y78">INDEX(EMIS_factors!$G$6:$O$152,MATCH($G78&amp;$AB78,EMIS_factors!$E$6:$E$152&amp;EMIS_factors!$D$6:$D$152,0),MATCH(RIGHT(Y$4,6),EMIS_factors!$G$4:$O$4,0))</f>
        <v>0.11686473412375831</v>
      </c>
      <c r="Z78" s="1530">
        <f t="array" ref="Z78">INDEX(EMIS_factors!$G$6:$O$152,MATCH($G78&amp;$AB78,EMIS_factors!$E$6:$E$152&amp;EMIS_factors!$D$6:$D$152,0),MATCH(RIGHT(Z$4,6),EMIS_factors!$G$4:$O$4,0))</f>
        <v>0</v>
      </c>
      <c r="AB78" s="526" t="s">
        <v>1483</v>
      </c>
      <c r="AE78" s="1265">
        <f t="array" ref="AE78">INDEX($AN$12:$BM$15,MATCH(F78,$AM$12:$AM$15,0),MATCH($AG78&amp;$AE$1,$AN$11:$BM$11&amp;$AN$9:$BM$9,0))/1000</f>
        <v>6.956666666666667</v>
      </c>
      <c r="AF78" s="549">
        <f t="array" ref="AF78">(AE78^INDEX(ShipData!$X$36:$X$39,MATCH($F78,ShipData!$U$36:$U$39,0)))*0.756*INDEX(ShipData!$W$36:$W$39,MATCH($F78,ShipData!$U$36:$U$39,0))</f>
        <v>3439.8048335584949</v>
      </c>
      <c r="AG78" s="549" t="s">
        <v>1236</v>
      </c>
      <c r="AH78" s="526" t="s">
        <v>1257</v>
      </c>
      <c r="AI78" s="549" t="s">
        <v>1143</v>
      </c>
      <c r="AJ78" s="848" t="s">
        <v>1252</v>
      </c>
      <c r="AL78" s="552"/>
      <c r="AM78"/>
      <c r="AN78" s="553"/>
    </row>
    <row r="79" spans="3:40">
      <c r="C79" s="552"/>
      <c r="D79" s="552"/>
      <c r="E79" s="534" t="str">
        <f t="shared" si="24"/>
        <v>TRAMFO2</v>
      </c>
      <c r="F79" s="531"/>
      <c r="G79" s="531"/>
      <c r="H79" s="1237"/>
      <c r="I79" s="1237"/>
      <c r="J79" s="1237"/>
      <c r="K79" s="1239"/>
      <c r="L79" s="1281"/>
      <c r="M79" s="1265"/>
      <c r="N79" s="1265"/>
      <c r="O79" s="1237"/>
      <c r="P79" s="1265"/>
      <c r="Q79" s="1265"/>
      <c r="R79" s="552"/>
      <c r="S79" s="1237"/>
      <c r="T79" s="1237"/>
      <c r="U79" s="1278"/>
      <c r="V79" s="1240"/>
      <c r="W79" s="1530"/>
      <c r="X79" s="1530"/>
      <c r="Y79" s="1530"/>
      <c r="Z79" s="1530"/>
      <c r="AB79" s="526" t="s">
        <v>1483</v>
      </c>
      <c r="AE79" s="1265" t="e">
        <f t="array" ref="AE79">INDEX($AN$12:$BM$15,MATCH(F79,$AM$12:$AM$15,0),MATCH($AG79&amp;$AE$1,$AN$11:$BM$11&amp;$AN$9:$BM$9,0))/1000</f>
        <v>#N/A</v>
      </c>
      <c r="AF79" s="549" t="e">
        <f t="array" ref="AF79">(AE79^INDEX(ShipData!$X$36:$X$39,MATCH($F79,ShipData!$U$36:$U$39,0)))*0.756*INDEX(ShipData!$W$36:$W$39,MATCH($F79,ShipData!$U$36:$U$39,0))</f>
        <v>#N/A</v>
      </c>
      <c r="AH79" s="526" t="s">
        <v>1257</v>
      </c>
      <c r="AI79" s="549" t="s">
        <v>1143</v>
      </c>
      <c r="AJ79" s="848" t="s">
        <v>1252</v>
      </c>
      <c r="AL79" s="552"/>
      <c r="AM79"/>
      <c r="AN79" s="553"/>
    </row>
    <row r="80" spans="3:40">
      <c r="C80" s="552"/>
      <c r="D80" s="552"/>
      <c r="E80" s="534" t="str">
        <f t="shared" si="24"/>
        <v>TRANGBL4N</v>
      </c>
      <c r="F80" s="531" t="s">
        <v>1027</v>
      </c>
      <c r="G80" s="531">
        <v>2030</v>
      </c>
      <c r="H80" s="1237" t="s">
        <v>986</v>
      </c>
      <c r="I80" s="1239">
        <f t="array" ref="I80">INDEX($AN$12:$BM$15,MATCH(F80,$AM$12:$AM$15,0),MATCH(I$1&amp;$AG80,$AN$9:$BM$9&amp;$AN$11:$BM$11,0))</f>
        <v>4174</v>
      </c>
      <c r="J80" s="1239">
        <f t="shared" si="16"/>
        <v>4174</v>
      </c>
      <c r="K80" s="1239">
        <v>3330</v>
      </c>
      <c r="L80" s="1281">
        <v>6009</v>
      </c>
      <c r="M80" s="1265">
        <f t="array" ref="M80">1/(INDEX($AN$12:$BM$15,MATCH($F80,$AM$12:$AM$15,0),MATCH(($G80&amp;M$1)&amp;$AG80,$AN$9:$BM$9&amp;$AN$11:$BM$11,0))/1.852)</f>
        <v>2.1794284452298629</v>
      </c>
      <c r="N80" s="1265">
        <f t="shared" ref="N80" si="28">M80</f>
        <v>2.1794284452298629</v>
      </c>
      <c r="O80" s="1237">
        <v>30</v>
      </c>
      <c r="P80" s="1265"/>
      <c r="Q80" s="1239">
        <v>4656.5086050000009</v>
      </c>
      <c r="R80" s="1265">
        <f>(AF80*(INDEX(ShipData!$P$19:$R$26,MATCH($AJ80,ShipData!$N$19:$N$26,0),MATCH($AI80,ShipData!$P$18:$R$18,0))+INDEX(ShipData!$P$30:$R$37,MATCH($AJ80,ShipData!$N$30:$N$37,0),MATCH($AI80,ShipData!$P$29:$R$29,0)))+K80*0.1*(1/M80)*INDEX(ShipData!$P$41:$R$48,MATCH($AJ80,ShipData!$N$41:$N$48,0),MATCH($AI80,ShipData!$P$40:$R$40,0)))*6.5/1000</f>
        <v>70318.789651475847</v>
      </c>
      <c r="S80" s="1237">
        <v>0.95</v>
      </c>
      <c r="T80" s="1237">
        <v>1E-3</v>
      </c>
      <c r="U80" s="1278"/>
      <c r="V80" s="1240">
        <v>5</v>
      </c>
      <c r="W80" s="1530">
        <f t="array" ref="W80">INDEX(EMIS_factors!$G$6:$O$152,MATCH($G80&amp;$AB80,EMIS_factors!$E$6:$E$152&amp;EMIS_factors!$D$6:$D$152,0),MATCH(RIGHT(W$4,6),EMIS_factors!$G$4:$O$4,0))</f>
        <v>0</v>
      </c>
      <c r="X80" s="1530">
        <f t="array" ref="X80">INDEX(EMIS_factors!$G$6:$O$152,MATCH($G80&amp;$AB80,EMIS_factors!$E$6:$E$152&amp;EMIS_factors!$D$6:$D$152,0),MATCH(RIGHT(X$4,6),EMIS_factors!$G$4:$O$4,0))</f>
        <v>411.41501253398201</v>
      </c>
      <c r="Y80" s="1530">
        <f t="array" ref="Y80">INDEX(EMIS_factors!$G$6:$O$152,MATCH($G80&amp;$AB80,EMIS_factors!$E$6:$E$152&amp;EMIS_factors!$D$6:$D$152,0),MATCH(RIGHT(Y$4,6),EMIS_factors!$G$4:$O$4,0))</f>
        <v>0.11686473412375831</v>
      </c>
      <c r="Z80" s="1530">
        <f t="array" ref="Z80">INDEX(EMIS_factors!$G$6:$O$152,MATCH($G80&amp;$AB80,EMIS_factors!$E$6:$E$152&amp;EMIS_factors!$D$6:$D$152,0),MATCH(RIGHT(Z$4,6),EMIS_factors!$G$4:$O$4,0))</f>
        <v>0</v>
      </c>
      <c r="AB80" s="526" t="s">
        <v>1483</v>
      </c>
      <c r="AE80" s="1265">
        <f t="array" ref="AE80">INDEX($AN$12:$BM$15,MATCH(F80,$AM$12:$AM$15,0),MATCH($AG80&amp;$AE$1,$AN$11:$BM$11&amp;$AN$9:$BM$9,0))/1000</f>
        <v>6.956666666666667</v>
      </c>
      <c r="AF80" s="549">
        <f t="array" ref="AF80">(AE80^INDEX(ShipData!$X$36:$X$39,MATCH($F80,ShipData!$U$36:$U$39,0)))*0.756*INDEX(ShipData!$W$36:$W$39,MATCH($F80,ShipData!$U$36:$U$39,0))</f>
        <v>3439.8048335584949</v>
      </c>
      <c r="AG80" s="549" t="str">
        <f>AG78</f>
        <v>Medium</v>
      </c>
      <c r="AH80" s="526" t="s">
        <v>1257</v>
      </c>
      <c r="AI80" s="549" t="s">
        <v>1143</v>
      </c>
      <c r="AJ80" s="848" t="s">
        <v>1252</v>
      </c>
      <c r="AL80" s="552"/>
      <c r="AM80"/>
      <c r="AN80" s="553"/>
    </row>
    <row r="81" spans="3:40">
      <c r="C81" s="552"/>
      <c r="D81" s="552"/>
      <c r="E81" s="534" t="str">
        <f t="shared" si="24"/>
        <v>TRAMFO3</v>
      </c>
      <c r="F81" s="531"/>
      <c r="G81" s="531"/>
      <c r="H81" s="1237"/>
      <c r="I81" s="1237"/>
      <c r="J81" s="1237"/>
      <c r="K81" s="1239"/>
      <c r="L81" s="1281"/>
      <c r="M81" s="1265"/>
      <c r="N81" s="1265"/>
      <c r="O81" s="1237"/>
      <c r="P81" s="1265"/>
      <c r="Q81" s="1265"/>
      <c r="R81" s="552"/>
      <c r="S81" s="1237"/>
      <c r="T81" s="1237"/>
      <c r="U81" s="1278"/>
      <c r="V81" s="1240"/>
      <c r="W81" s="1530"/>
      <c r="X81" s="1530"/>
      <c r="Y81" s="1530"/>
      <c r="Z81" s="1530"/>
      <c r="AB81" s="526" t="s">
        <v>1483</v>
      </c>
      <c r="AE81" s="1265" t="e">
        <f t="array" ref="AE81">INDEX($AN$12:$BM$15,MATCH(F81,$AM$12:$AM$15,0),MATCH($AG81&amp;$AE$1,$AN$11:$BM$11&amp;$AN$9:$BM$9,0))/1000</f>
        <v>#N/A</v>
      </c>
      <c r="AF81" s="549" t="e">
        <f t="array" ref="AF81">(AE81^INDEX(ShipData!$X$36:$X$39,MATCH($F81,ShipData!$U$36:$U$39,0)))*0.756*INDEX(ShipData!$W$36:$W$39,MATCH($F81,ShipData!$U$36:$U$39,0))</f>
        <v>#N/A</v>
      </c>
      <c r="AH81" s="526" t="s">
        <v>1257</v>
      </c>
      <c r="AI81" s="549" t="s">
        <v>1143</v>
      </c>
      <c r="AJ81" s="848" t="s">
        <v>1252</v>
      </c>
      <c r="AL81" s="552"/>
      <c r="AM81"/>
      <c r="AN81" s="553"/>
    </row>
    <row r="82" spans="3:40">
      <c r="C82" s="552" t="str">
        <f>"TFS"&amp;LEFT(AG82,1)&amp;AH82&amp;RIGHT(F82,1)&amp;MID(G82,3,1)&amp;"N"</f>
        <v>TFSLNGDUD2N</v>
      </c>
      <c r="D82" s="552" t="s">
        <v>1083</v>
      </c>
      <c r="E82" s="534" t="str">
        <f t="shared" si="24"/>
        <v>TRANGBL3N</v>
      </c>
      <c r="F82" s="531" t="s">
        <v>1027</v>
      </c>
      <c r="G82" s="531">
        <v>2020</v>
      </c>
      <c r="H82" s="1237" t="s">
        <v>986</v>
      </c>
      <c r="I82" s="1239">
        <f t="array" ref="I82">INDEX($AN$12:$BM$15,MATCH(F82,$AM$12:$AM$15,0),MATCH(I$1&amp;$AG82,$AN$9:$BM$9&amp;$AN$11:$BM$11,0))</f>
        <v>9000</v>
      </c>
      <c r="J82" s="1239">
        <f t="shared" si="16"/>
        <v>9000</v>
      </c>
      <c r="K82" s="1239">
        <v>830</v>
      </c>
      <c r="L82" s="1281">
        <v>1498</v>
      </c>
      <c r="M82" s="1265">
        <f t="array" ref="M82">1/(INDEX($AN$12:$BM$15,MATCH($F82,$AM$12:$AM$15,0),MATCH(($G82&amp;M$1)&amp;$AG82,$AN$9:$BM$9&amp;$AN$11:$BM$11,0))/1.852)</f>
        <v>1.1737776538064364</v>
      </c>
      <c r="N82" s="1265">
        <f t="shared" ref="N82" si="29">M82</f>
        <v>1.1737776538064364</v>
      </c>
      <c r="O82" s="1237">
        <v>30</v>
      </c>
      <c r="P82" s="1265"/>
      <c r="Q82" s="1265">
        <f t="shared" ref="Q82:Q102" si="30">0.035*R82</f>
        <v>3835.9340372430606</v>
      </c>
      <c r="R82" s="1265">
        <f>(AF82*(INDEX(ShipData!$P$19:$R$26,MATCH($AJ82,ShipData!$N$19:$N$26,0),MATCH($AI82,ShipData!$P$18:$R$18,0))+INDEX(ShipData!$P$30:$R$37,MATCH($AJ82,ShipData!$N$30:$N$37,0),MATCH($AI82,ShipData!$P$29:$R$29,0)))+K82*0.1*(1/M82)*INDEX(ShipData!$P$41:$R$48,MATCH($AJ82,ShipData!$N$41:$N$48,0),MATCH($AI82,ShipData!$P$40:$R$40,0)))*6.5/1000</f>
        <v>109598.11534980172</v>
      </c>
      <c r="S82" s="1237">
        <v>0.95</v>
      </c>
      <c r="T82" s="1237">
        <v>1E-3</v>
      </c>
      <c r="U82" s="1278"/>
      <c r="V82" s="1240">
        <v>5</v>
      </c>
      <c r="W82" s="1530">
        <f t="array" ref="W82">INDEX(EMIS_factors!$G$6:$O$152,MATCH($G82&amp;$AB82,EMIS_factors!$E$6:$E$152&amp;EMIS_factors!$D$6:$D$152,0),MATCH(RIGHT(W$4,6),EMIS_factors!$G$4:$O$4,0))</f>
        <v>0</v>
      </c>
      <c r="X82" s="1530">
        <f t="array" ref="X82">INDEX(EMIS_factors!$G$6:$O$152,MATCH($G82&amp;$AB82,EMIS_factors!$E$6:$E$152&amp;EMIS_factors!$D$6:$D$152,0),MATCH(RIGHT(X$4,6),EMIS_factors!$G$4:$O$4,0))</f>
        <v>411.41501253398201</v>
      </c>
      <c r="Y82" s="1530">
        <f t="array" ref="Y82">INDEX(EMIS_factors!$G$6:$O$152,MATCH($G82&amp;$AB82,EMIS_factors!$E$6:$E$152&amp;EMIS_factors!$D$6:$D$152,0),MATCH(RIGHT(Y$4,6),EMIS_factors!$G$4:$O$4,0))</f>
        <v>0.11686473412375831</v>
      </c>
      <c r="Z82" s="1530">
        <f t="array" ref="Z82">INDEX(EMIS_factors!$G$6:$O$152,MATCH($G82&amp;$AB82,EMIS_factors!$E$6:$E$152&amp;EMIS_factors!$D$6:$D$152,0),MATCH(RIGHT(Z$4,6),EMIS_factors!$G$4:$O$4,0))</f>
        <v>0</v>
      </c>
      <c r="AB82" s="526" t="s">
        <v>1483</v>
      </c>
      <c r="AE82" s="1265">
        <f t="array" ref="AE82">INDEX($AN$12:$BM$15,MATCH(F82,$AM$12:$AM$15,0),MATCH($AG82&amp;$AE$1,$AN$11:$BM$11&amp;$AN$9:$BM$9,0))/1000</f>
        <v>15</v>
      </c>
      <c r="AF82" s="549">
        <f t="array" ref="AF82">(AE82^INDEX(ShipData!$X$36:$X$39,MATCH($F82,ShipData!$U$36:$U$39,0)))*0.756*INDEX(ShipData!$W$36:$W$39,MATCH($F82,ShipData!$U$36:$U$39,0))</f>
        <v>5367.1081902406004</v>
      </c>
      <c r="AG82" s="549" t="s">
        <v>1240</v>
      </c>
      <c r="AH82" s="526" t="s">
        <v>1257</v>
      </c>
      <c r="AI82" s="549" t="s">
        <v>1143</v>
      </c>
      <c r="AJ82" s="848" t="s">
        <v>1252</v>
      </c>
      <c r="AL82" s="552"/>
      <c r="AM82"/>
      <c r="AN82" s="553"/>
    </row>
    <row r="83" spans="3:40">
      <c r="C83" s="552"/>
      <c r="D83" s="552"/>
      <c r="E83" s="534" t="str">
        <f t="shared" si="24"/>
        <v>TRAMFO2</v>
      </c>
      <c r="F83" s="531"/>
      <c r="G83" s="531"/>
      <c r="H83" s="1237"/>
      <c r="I83" s="1237"/>
      <c r="J83" s="1237"/>
      <c r="K83" s="1237"/>
      <c r="L83" s="1281"/>
      <c r="M83" s="1265"/>
      <c r="N83" s="1239"/>
      <c r="O83" s="1239"/>
      <c r="P83" s="1265"/>
      <c r="Q83" s="1265"/>
      <c r="R83" s="1237"/>
      <c r="S83" s="1237"/>
      <c r="T83" s="552"/>
      <c r="U83" s="552"/>
      <c r="V83" s="1240"/>
      <c r="W83" s="1530"/>
      <c r="X83" s="1530"/>
      <c r="Y83" s="1530"/>
      <c r="Z83" s="1530"/>
      <c r="AB83" s="526" t="s">
        <v>1483</v>
      </c>
      <c r="AE83" s="1265" t="e">
        <f t="array" ref="AE83">INDEX($AN$12:$BM$15,MATCH(F83,$AM$12:$AM$15,0),MATCH($AG83&amp;$AE$1,$AN$11:$BM$11&amp;$AN$9:$BM$9,0))/1000</f>
        <v>#N/A</v>
      </c>
      <c r="AF83" s="549" t="e">
        <f t="array" ref="AF83">(AE83^INDEX(ShipData!$X$36:$X$39,MATCH($F83,ShipData!$U$36:$U$39,0)))*0.756*INDEX(ShipData!$W$36:$W$39,MATCH($F83,ShipData!$U$36:$U$39,0))</f>
        <v>#N/A</v>
      </c>
      <c r="AH83" s="526" t="s">
        <v>1257</v>
      </c>
      <c r="AI83" s="549" t="s">
        <v>1143</v>
      </c>
      <c r="AJ83" s="848" t="s">
        <v>1252</v>
      </c>
      <c r="AL83" s="552"/>
      <c r="AM83"/>
      <c r="AN83" s="553"/>
    </row>
    <row r="84" spans="3:40">
      <c r="C84" s="552"/>
      <c r="D84" s="552"/>
      <c r="E84" s="534" t="str">
        <f t="shared" si="24"/>
        <v>TRANGBL4N</v>
      </c>
      <c r="F84" s="531" t="s">
        <v>1027</v>
      </c>
      <c r="G84" s="531">
        <v>2030</v>
      </c>
      <c r="H84" s="1237" t="s">
        <v>986</v>
      </c>
      <c r="I84" s="1239">
        <f t="array" ref="I84">INDEX($AN$12:$BM$15,MATCH(F84,$AM$12:$AM$15,0),MATCH(I$1&amp;$AG84,$AN$9:$BM$9&amp;$AN$11:$BM$11,0))</f>
        <v>9000</v>
      </c>
      <c r="J84" s="1239">
        <f t="shared" si="16"/>
        <v>9000</v>
      </c>
      <c r="K84" s="1239">
        <v>830</v>
      </c>
      <c r="L84" s="1281">
        <v>1498</v>
      </c>
      <c r="M84" s="1265">
        <f t="array" ref="M84">1/(INDEX($AN$12:$BM$15,MATCH($F84,$AM$12:$AM$15,0),MATCH(($G84&amp;M$1)&amp;$AG84,$AN$9:$BM$9&amp;$AN$11:$BM$11,0))/1.852)</f>
        <v>1.310801422750717</v>
      </c>
      <c r="N84" s="1265">
        <f t="shared" ref="N84" si="31">M84</f>
        <v>1.310801422750717</v>
      </c>
      <c r="O84" s="1237">
        <v>30</v>
      </c>
      <c r="P84" s="1265"/>
      <c r="Q84" s="1239">
        <v>7266.0193200000003</v>
      </c>
      <c r="R84" s="1265">
        <f>(AF84*(INDEX(ShipData!$P$19:$R$26,MATCH($AJ84,ShipData!$N$19:$N$26,0),MATCH($AI84,ShipData!$P$18:$R$18,0))+INDEX(ShipData!$P$30:$R$37,MATCH($AJ84,ShipData!$N$30:$N$37,0),MATCH($AI84,ShipData!$P$29:$R$29,0)))+K84*0.1*(1/M84)*INDEX(ShipData!$P$41:$R$48,MATCH($AJ84,ShipData!$N$41:$N$48,0),MATCH($AI84,ShipData!$P$40:$R$40,0)))*6.5/1000</f>
        <v>109592.83019999522</v>
      </c>
      <c r="S84" s="1237">
        <v>0.95</v>
      </c>
      <c r="T84" s="1237">
        <v>1E-3</v>
      </c>
      <c r="U84" s="1278"/>
      <c r="V84" s="1240">
        <v>5</v>
      </c>
      <c r="W84" s="1530">
        <f t="array" ref="W84">INDEX(EMIS_factors!$G$6:$O$152,MATCH($G84&amp;$AB84,EMIS_factors!$E$6:$E$152&amp;EMIS_factors!$D$6:$D$152,0),MATCH(RIGHT(W$4,6),EMIS_factors!$G$4:$O$4,0))</f>
        <v>0</v>
      </c>
      <c r="X84" s="1530">
        <f t="array" ref="X84">INDEX(EMIS_factors!$G$6:$O$152,MATCH($G84&amp;$AB84,EMIS_factors!$E$6:$E$152&amp;EMIS_factors!$D$6:$D$152,0),MATCH(RIGHT(X$4,6),EMIS_factors!$G$4:$O$4,0))</f>
        <v>411.41501253398201</v>
      </c>
      <c r="Y84" s="1530">
        <f t="array" ref="Y84">INDEX(EMIS_factors!$G$6:$O$152,MATCH($G84&amp;$AB84,EMIS_factors!$E$6:$E$152&amp;EMIS_factors!$D$6:$D$152,0),MATCH(RIGHT(Y$4,6),EMIS_factors!$G$4:$O$4,0))</f>
        <v>0.11686473412375831</v>
      </c>
      <c r="Z84" s="1530">
        <f t="array" ref="Z84">INDEX(EMIS_factors!$G$6:$O$152,MATCH($G84&amp;$AB84,EMIS_factors!$E$6:$E$152&amp;EMIS_factors!$D$6:$D$152,0),MATCH(RIGHT(Z$4,6),EMIS_factors!$G$4:$O$4,0))</f>
        <v>0</v>
      </c>
      <c r="AB84" s="526" t="s">
        <v>1483</v>
      </c>
      <c r="AE84" s="1265">
        <f t="array" ref="AE84">INDEX($AN$12:$BM$15,MATCH(F84,$AM$12:$AM$15,0),MATCH($AG84&amp;$AE$1,$AN$11:$BM$11&amp;$AN$9:$BM$9,0))/1000</f>
        <v>15</v>
      </c>
      <c r="AF84" s="549">
        <f t="array" ref="AF84">(AE84^INDEX(ShipData!$X$36:$X$39,MATCH($F84,ShipData!$U$36:$U$39,0)))*0.756*INDEX(ShipData!$W$36:$W$39,MATCH($F84,ShipData!$U$36:$U$39,0))</f>
        <v>5367.1081902406004</v>
      </c>
      <c r="AG84" s="549" t="str">
        <f>AG82</f>
        <v>Large</v>
      </c>
      <c r="AH84" s="526" t="s">
        <v>1257</v>
      </c>
      <c r="AI84" s="549" t="s">
        <v>1143</v>
      </c>
      <c r="AJ84" s="848" t="s">
        <v>1252</v>
      </c>
      <c r="AL84" s="552"/>
      <c r="AM84"/>
      <c r="AN84" s="553"/>
    </row>
    <row r="85" spans="3:40">
      <c r="C85" s="552"/>
      <c r="D85" s="552"/>
      <c r="E85" s="534" t="str">
        <f t="shared" si="24"/>
        <v>TRAMFO3</v>
      </c>
      <c r="F85" s="531"/>
      <c r="G85" s="531"/>
      <c r="H85" s="1237"/>
      <c r="I85" s="1237"/>
      <c r="J85" s="1237"/>
      <c r="K85" s="1237"/>
      <c r="L85" s="1281"/>
      <c r="M85" s="1237"/>
      <c r="N85" s="1239"/>
      <c r="O85" s="1239"/>
      <c r="P85" s="1265"/>
      <c r="Q85" s="1265"/>
      <c r="R85" s="1237"/>
      <c r="S85" s="1237"/>
      <c r="T85" s="552"/>
      <c r="U85" s="552"/>
      <c r="V85" s="1240"/>
      <c r="W85" s="1530"/>
      <c r="X85" s="1530"/>
      <c r="Y85" s="1530"/>
      <c r="Z85" s="1530"/>
      <c r="AB85" s="526" t="s">
        <v>1483</v>
      </c>
      <c r="AE85" s="1265" t="e">
        <f t="array" ref="AE85">INDEX($AN$12:$BM$15,MATCH(F85,$AM$12:$AM$15,0),MATCH($AG85&amp;$AE$1,$AN$11:$BM$11&amp;$AN$9:$BM$9,0))/1000</f>
        <v>#N/A</v>
      </c>
      <c r="AF85" s="549" t="e">
        <f t="array" ref="AF85">(AE85^INDEX(ShipData!$X$36:$X$39,MATCH($F85,ShipData!$U$36:$U$39,0)))*0.756*INDEX(ShipData!$W$36:$W$39,MATCH($F85,ShipData!$U$36:$U$39,0))</f>
        <v>#N/A</v>
      </c>
      <c r="AH85" s="526" t="s">
        <v>1257</v>
      </c>
      <c r="AI85" s="549" t="s">
        <v>1143</v>
      </c>
      <c r="AJ85" s="848" t="s">
        <v>1252</v>
      </c>
      <c r="AL85" s="552"/>
      <c r="AM85"/>
      <c r="AN85" s="553"/>
    </row>
    <row r="86" spans="3:40">
      <c r="C86" s="552" t="str">
        <f>"TFS"&amp;LEFT(AG86,1)&amp;AH86&amp;RIGHT(F86,1)&amp;MID(G86,3,1)&amp;"N"</f>
        <v>TFSSNGDUC2N</v>
      </c>
      <c r="D86" s="552" t="s">
        <v>1084</v>
      </c>
      <c r="E86" s="534" t="str">
        <f t="shared" si="24"/>
        <v>TRANGBL3N</v>
      </c>
      <c r="F86" s="531" t="s">
        <v>1028</v>
      </c>
      <c r="G86" s="531">
        <v>2020</v>
      </c>
      <c r="H86" s="1237" t="s">
        <v>986</v>
      </c>
      <c r="I86" s="1239">
        <f t="array" ref="I86">INDEX($AN$12:$BM$15,MATCH(F86,$AM$12:$AM$15,0),MATCH(I$1&amp;$AG86,$AN$9:$BM$9&amp;$AN$11:$BM$11,0))</f>
        <v>2450</v>
      </c>
      <c r="J86" s="1239">
        <f t="shared" si="16"/>
        <v>2450</v>
      </c>
      <c r="K86" s="1239">
        <v>0</v>
      </c>
      <c r="L86" s="1281">
        <v>0</v>
      </c>
      <c r="M86" s="1265">
        <f t="array" ref="M86">1/(INDEX($AN$12:$BM$15,MATCH($F86,$AM$12:$AM$15,0),MATCH(($G86&amp;M$1)&amp;$AG86,$AN$9:$BM$9&amp;$AN$11:$BM$11,0))/1.852)</f>
        <v>1.7403348779577166</v>
      </c>
      <c r="N86" s="1265">
        <f t="shared" ref="N86" si="32">M86</f>
        <v>1.7403348779577166</v>
      </c>
      <c r="O86" s="1237">
        <v>30</v>
      </c>
      <c r="P86" s="1265"/>
      <c r="Q86" s="1265">
        <f t="shared" si="30"/>
        <v>1315.6555901110858</v>
      </c>
      <c r="R86" s="1265">
        <f>(AF86*(INDEX(ShipData!$P$19:$R$26,MATCH($AJ86,ShipData!$N$19:$N$26,0),MATCH($AI86,ShipData!$P$18:$R$18,0))+INDEX(ShipData!$P$30:$R$37,MATCH($AJ86,ShipData!$N$30:$N$37,0),MATCH($AI86,ShipData!$P$29:$R$29,0)))+K86*0.1*(1/M86)*INDEX(ShipData!$P$41:$R$48,MATCH($AJ86,ShipData!$N$41:$N$48,0),MATCH($AI86,ShipData!$P$40:$R$40,0)))*6.5/1000</f>
        <v>37590.159717459588</v>
      </c>
      <c r="S86" s="1237">
        <v>0.95</v>
      </c>
      <c r="T86" s="1237">
        <v>1E-3</v>
      </c>
      <c r="U86" s="1278"/>
      <c r="V86" s="1240">
        <v>5</v>
      </c>
      <c r="W86" s="1530">
        <f t="array" ref="W86">INDEX(EMIS_factors!$G$6:$O$152,MATCH($G86&amp;$AB86,EMIS_factors!$E$6:$E$152&amp;EMIS_factors!$D$6:$D$152,0),MATCH(RIGHT(W$4,6),EMIS_factors!$G$4:$O$4,0))</f>
        <v>0</v>
      </c>
      <c r="X86" s="1530">
        <f t="array" ref="X86">INDEX(EMIS_factors!$G$6:$O$152,MATCH($G86&amp;$AB86,EMIS_factors!$E$6:$E$152&amp;EMIS_factors!$D$6:$D$152,0),MATCH(RIGHT(X$4,6),EMIS_factors!$G$4:$O$4,0))</f>
        <v>411.41501253398201</v>
      </c>
      <c r="Y86" s="1530">
        <f t="array" ref="Y86">INDEX(EMIS_factors!$G$6:$O$152,MATCH($G86&amp;$AB86,EMIS_factors!$E$6:$E$152&amp;EMIS_factors!$D$6:$D$152,0),MATCH(RIGHT(Y$4,6),EMIS_factors!$G$4:$O$4,0))</f>
        <v>0.11686473412375831</v>
      </c>
      <c r="Z86" s="1530">
        <f t="array" ref="Z86">INDEX(EMIS_factors!$G$6:$O$152,MATCH($G86&amp;$AB86,EMIS_factors!$E$6:$E$152&amp;EMIS_factors!$D$6:$D$152,0),MATCH(RIGHT(Z$4,6),EMIS_factors!$G$4:$O$4,0))</f>
        <v>0</v>
      </c>
      <c r="AB86" s="526" t="s">
        <v>1483</v>
      </c>
      <c r="AE86" s="1265">
        <f t="array" ref="AE86">INDEX($AN$12:$BM$15,MATCH(F86,$AM$12:$AM$15,0),MATCH($AG86&amp;$AE$1,$AN$11:$BM$11&amp;$AN$9:$BM$9,0))/1000</f>
        <v>3.5</v>
      </c>
      <c r="AF86" s="549">
        <f t="array" ref="AF86">(AE86^INDEX(ShipData!$X$36:$X$39,MATCH($F86,ShipData!$U$36:$U$39,0)))*0.756*INDEX(ShipData!$W$36:$W$39,MATCH($F86,ShipData!$U$36:$U$39,0))</f>
        <v>2454.0448908848457</v>
      </c>
      <c r="AG86" s="549" t="s">
        <v>1239</v>
      </c>
      <c r="AH86" s="526" t="s">
        <v>1257</v>
      </c>
      <c r="AI86" s="549" t="s">
        <v>1145</v>
      </c>
      <c r="AJ86" s="848" t="s">
        <v>1252</v>
      </c>
      <c r="AL86" s="552"/>
      <c r="AM86"/>
      <c r="AN86" s="553"/>
    </row>
    <row r="87" spans="3:40">
      <c r="C87" s="552"/>
      <c r="D87" s="552"/>
      <c r="E87" s="534" t="str">
        <f t="shared" si="24"/>
        <v>TRAMFO2</v>
      </c>
      <c r="F87" s="531"/>
      <c r="G87" s="531"/>
      <c r="H87" s="1237"/>
      <c r="I87" s="1237"/>
      <c r="J87" s="1237"/>
      <c r="K87" s="1239"/>
      <c r="L87" s="1281"/>
      <c r="M87" s="1265"/>
      <c r="N87" s="1265"/>
      <c r="O87" s="1237"/>
      <c r="P87" s="1265"/>
      <c r="Q87" s="1265"/>
      <c r="R87" s="552"/>
      <c r="S87" s="1237"/>
      <c r="T87" s="1237"/>
      <c r="U87" s="1278"/>
      <c r="V87" s="1240"/>
      <c r="W87" s="1530"/>
      <c r="X87" s="1530"/>
      <c r="Y87" s="1530"/>
      <c r="Z87" s="1530"/>
      <c r="AB87" s="526" t="s">
        <v>1483</v>
      </c>
      <c r="AE87" s="1265" t="e">
        <f t="array" ref="AE87">INDEX($AN$12:$BM$15,MATCH(F87,$AM$12:$AM$15,0),MATCH($AG87&amp;$AE$1,$AN$11:$BM$11&amp;$AN$9:$BM$9,0))/1000</f>
        <v>#N/A</v>
      </c>
      <c r="AF87" s="549" t="e">
        <f t="array" ref="AF87">(AE87^INDEX(ShipData!$X$36:$X$39,MATCH($F87,ShipData!$U$36:$U$39,0)))*0.756*INDEX(ShipData!$W$36:$W$39,MATCH($F87,ShipData!$U$36:$U$39,0))</f>
        <v>#N/A</v>
      </c>
      <c r="AH87" s="526" t="s">
        <v>1257</v>
      </c>
      <c r="AI87" s="549" t="s">
        <v>1145</v>
      </c>
      <c r="AJ87" s="848" t="s">
        <v>1252</v>
      </c>
      <c r="AL87" s="552"/>
      <c r="AM87"/>
      <c r="AN87" s="553"/>
    </row>
    <row r="88" spans="3:40">
      <c r="C88" s="552"/>
      <c r="D88" s="552"/>
      <c r="E88" s="534" t="str">
        <f t="shared" si="24"/>
        <v>TRANGBL4N</v>
      </c>
      <c r="F88" s="531" t="s">
        <v>1028</v>
      </c>
      <c r="G88" s="531">
        <v>2030</v>
      </c>
      <c r="H88" s="1237" t="s">
        <v>986</v>
      </c>
      <c r="I88" s="1239">
        <f t="array" ref="I88">INDEX($AN$12:$BM$15,MATCH(F88,$AM$12:$AM$15,0),MATCH(I$1&amp;$AG88,$AN$9:$BM$9&amp;$AN$11:$BM$11,0))</f>
        <v>2450</v>
      </c>
      <c r="J88" s="1239">
        <f t="shared" si="16"/>
        <v>2450</v>
      </c>
      <c r="K88" s="1239">
        <v>0</v>
      </c>
      <c r="L88" s="1281">
        <v>0</v>
      </c>
      <c r="M88" s="1265">
        <f t="array" ref="M88">1/(INDEX($AN$12:$BM$15,MATCH($F88,$AM$12:$AM$15,0),MATCH(($G88&amp;M$1)&amp;$AG88,$AN$9:$BM$9&amp;$AN$11:$BM$11,0))/1.852)</f>
        <v>1.7403348779577166</v>
      </c>
      <c r="N88" s="1265">
        <f t="shared" ref="N88" si="33">M88</f>
        <v>1.7403348779577166</v>
      </c>
      <c r="O88" s="1237">
        <v>30</v>
      </c>
      <c r="P88" s="1265"/>
      <c r="Q88" s="1239">
        <v>2551.1616270000004</v>
      </c>
      <c r="R88" s="1265">
        <f>(AF88*(INDEX(ShipData!$P$19:$R$26,MATCH($AJ88,ShipData!$N$19:$N$26,0),MATCH($AI88,ShipData!$P$18:$R$18,0))+INDEX(ShipData!$P$30:$R$37,MATCH($AJ88,ShipData!$N$30:$N$37,0),MATCH($AI88,ShipData!$P$29:$R$29,0)))+K88*0.1*(1/M88)*INDEX(ShipData!$P$41:$R$48,MATCH($AJ88,ShipData!$N$41:$N$48,0),MATCH($AI88,ShipData!$P$40:$R$40,0)))*6.5/1000</f>
        <v>37590.159717459588</v>
      </c>
      <c r="S88" s="1237">
        <v>0.95</v>
      </c>
      <c r="T88" s="1237">
        <v>1E-3</v>
      </c>
      <c r="U88" s="1278"/>
      <c r="V88" s="1240">
        <v>5</v>
      </c>
      <c r="W88" s="1530">
        <f t="array" ref="W88">INDEX(EMIS_factors!$G$6:$O$152,MATCH($G88&amp;$AB88,EMIS_factors!$E$6:$E$152&amp;EMIS_factors!$D$6:$D$152,0),MATCH(RIGHT(W$4,6),EMIS_factors!$G$4:$O$4,0))</f>
        <v>0</v>
      </c>
      <c r="X88" s="1530">
        <f t="array" ref="X88">INDEX(EMIS_factors!$G$6:$O$152,MATCH($G88&amp;$AB88,EMIS_factors!$E$6:$E$152&amp;EMIS_factors!$D$6:$D$152,0),MATCH(RIGHT(X$4,6),EMIS_factors!$G$4:$O$4,0))</f>
        <v>411.41501253398201</v>
      </c>
      <c r="Y88" s="1530">
        <f t="array" ref="Y88">INDEX(EMIS_factors!$G$6:$O$152,MATCH($G88&amp;$AB88,EMIS_factors!$E$6:$E$152&amp;EMIS_factors!$D$6:$D$152,0),MATCH(RIGHT(Y$4,6),EMIS_factors!$G$4:$O$4,0))</f>
        <v>0.11686473412375831</v>
      </c>
      <c r="Z88" s="1530">
        <f t="array" ref="Z88">INDEX(EMIS_factors!$G$6:$O$152,MATCH($G88&amp;$AB88,EMIS_factors!$E$6:$E$152&amp;EMIS_factors!$D$6:$D$152,0),MATCH(RIGHT(Z$4,6),EMIS_factors!$G$4:$O$4,0))</f>
        <v>0</v>
      </c>
      <c r="AB88" s="526" t="s">
        <v>1483</v>
      </c>
      <c r="AE88" s="1265">
        <f t="array" ref="AE88">INDEX($AN$12:$BM$15,MATCH(F88,$AM$12:$AM$15,0),MATCH($AG88&amp;$AE$1,$AN$11:$BM$11&amp;$AN$9:$BM$9,0))/1000</f>
        <v>3.5</v>
      </c>
      <c r="AF88" s="549">
        <f t="array" ref="AF88">(AE88^INDEX(ShipData!$X$36:$X$39,MATCH($F88,ShipData!$U$36:$U$39,0)))*0.756*INDEX(ShipData!$W$36:$W$39,MATCH($F88,ShipData!$U$36:$U$39,0))</f>
        <v>2454.0448908848457</v>
      </c>
      <c r="AG88" s="549" t="str">
        <f>AG86</f>
        <v>Small</v>
      </c>
      <c r="AH88" s="526" t="s">
        <v>1257</v>
      </c>
      <c r="AI88" s="549" t="s">
        <v>1145</v>
      </c>
      <c r="AJ88" s="848" t="s">
        <v>1252</v>
      </c>
      <c r="AL88" s="552"/>
      <c r="AM88"/>
      <c r="AN88" s="553"/>
    </row>
    <row r="89" spans="3:40">
      <c r="C89" s="552"/>
      <c r="D89" s="552"/>
      <c r="E89" s="534" t="str">
        <f t="shared" si="24"/>
        <v>TRAMFO3</v>
      </c>
      <c r="F89" s="531"/>
      <c r="G89" s="531"/>
      <c r="H89" s="1237"/>
      <c r="I89" s="1237"/>
      <c r="J89" s="1237"/>
      <c r="K89" s="1239"/>
      <c r="L89" s="1281"/>
      <c r="M89" s="1265"/>
      <c r="N89" s="1265"/>
      <c r="O89" s="1237"/>
      <c r="P89" s="1265"/>
      <c r="Q89" s="1265"/>
      <c r="R89" s="552"/>
      <c r="S89" s="1237"/>
      <c r="T89" s="1237"/>
      <c r="U89" s="1278"/>
      <c r="V89" s="1240"/>
      <c r="W89" s="1530"/>
      <c r="X89" s="1530"/>
      <c r="Y89" s="1530"/>
      <c r="Z89" s="1530"/>
      <c r="AB89" s="526" t="s">
        <v>1483</v>
      </c>
      <c r="AE89" s="1265" t="e">
        <f t="array" ref="AE89">INDEX($AN$12:$BM$15,MATCH(F89,$AM$12:$AM$15,0),MATCH($AG89&amp;$AE$1,$AN$11:$BM$11&amp;$AN$9:$BM$9,0))/1000</f>
        <v>#N/A</v>
      </c>
      <c r="AF89" s="549" t="e">
        <f t="array" ref="AF89">(AE89^INDEX(ShipData!$X$36:$X$39,MATCH($F89,ShipData!$U$36:$U$39,0)))*0.756*INDEX(ShipData!$W$36:$W$39,MATCH($F89,ShipData!$U$36:$U$39,0))</f>
        <v>#N/A</v>
      </c>
      <c r="AH89" s="526" t="s">
        <v>1257</v>
      </c>
      <c r="AI89" s="549" t="s">
        <v>1145</v>
      </c>
      <c r="AJ89" s="848" t="s">
        <v>1252</v>
      </c>
      <c r="AL89" s="552"/>
      <c r="AM89"/>
      <c r="AN89" s="553"/>
    </row>
    <row r="90" spans="3:40">
      <c r="C90" s="552" t="str">
        <f>"TFS"&amp;LEFT(AG90,1)&amp;AH90&amp;RIGHT(F90,1)&amp;MID(G90,3,1)&amp;"N"</f>
        <v>TFSMNGDUC2N</v>
      </c>
      <c r="D90" s="552" t="s">
        <v>1085</v>
      </c>
      <c r="E90" s="534" t="str">
        <f t="shared" si="24"/>
        <v>TRANGBL3N</v>
      </c>
      <c r="F90" s="531" t="s">
        <v>1028</v>
      </c>
      <c r="G90" s="531">
        <v>2020</v>
      </c>
      <c r="H90" s="1237" t="s">
        <v>986</v>
      </c>
      <c r="I90" s="1239">
        <f t="array" ref="I90">INDEX($AN$12:$BM$15,MATCH(F90,$AM$12:$AM$15,0),MATCH(I$1&amp;$AG90,$AN$9:$BM$9&amp;$AN$11:$BM$11,0))</f>
        <v>4900</v>
      </c>
      <c r="J90" s="1239">
        <f t="shared" si="16"/>
        <v>4900</v>
      </c>
      <c r="K90" s="1239">
        <v>362</v>
      </c>
      <c r="L90" s="1281">
        <v>653</v>
      </c>
      <c r="M90" s="1265">
        <f t="array" ref="M90">1/(INDEX($AN$12:$BM$15,MATCH($F90,$AM$12:$AM$15,0),MATCH(($G90&amp;M$1)&amp;$AG90,$AN$9:$BM$9&amp;$AN$11:$BM$11,0))/1.852)</f>
        <v>0.87906595126970144</v>
      </c>
      <c r="N90" s="1265">
        <f t="shared" ref="N90" si="34">M90</f>
        <v>0.87906595126970144</v>
      </c>
      <c r="O90" s="1237">
        <v>30</v>
      </c>
      <c r="P90" s="1265"/>
      <c r="Q90" s="1265">
        <f t="shared" si="30"/>
        <v>2940.6796152555312</v>
      </c>
      <c r="R90" s="1265">
        <f>(AF90*(INDEX(ShipData!$P$19:$R$26,MATCH($AJ90,ShipData!$N$19:$N$26,0),MATCH($AI90,ShipData!$P$18:$R$18,0))+INDEX(ShipData!$P$30:$R$37,MATCH($AJ90,ShipData!$N$30:$N$37,0),MATCH($AI90,ShipData!$P$29:$R$29,0)))+K90*0.1*(1/M90)*INDEX(ShipData!$P$41:$R$48,MATCH($AJ90,ShipData!$N$41:$N$48,0),MATCH($AI90,ShipData!$P$40:$R$40,0)))*6.5/1000</f>
        <v>84019.417578729452</v>
      </c>
      <c r="S90" s="1237">
        <v>0.95</v>
      </c>
      <c r="T90" s="1237">
        <v>1E-3</v>
      </c>
      <c r="U90" s="1278"/>
      <c r="V90" s="1240">
        <v>5</v>
      </c>
      <c r="W90" s="1530">
        <f t="array" ref="W90">INDEX(EMIS_factors!$G$6:$O$152,MATCH($G90&amp;$AB90,EMIS_factors!$E$6:$E$152&amp;EMIS_factors!$D$6:$D$152,0),MATCH(RIGHT(W$4,6),EMIS_factors!$G$4:$O$4,0))</f>
        <v>0</v>
      </c>
      <c r="X90" s="1530">
        <f t="array" ref="X90">INDEX(EMIS_factors!$G$6:$O$152,MATCH($G90&amp;$AB90,EMIS_factors!$E$6:$E$152&amp;EMIS_factors!$D$6:$D$152,0),MATCH(RIGHT(X$4,6),EMIS_factors!$G$4:$O$4,0))</f>
        <v>411.41501253398201</v>
      </c>
      <c r="Y90" s="1530">
        <f t="array" ref="Y90">INDEX(EMIS_factors!$G$6:$O$152,MATCH($G90&amp;$AB90,EMIS_factors!$E$6:$E$152&amp;EMIS_factors!$D$6:$D$152,0),MATCH(RIGHT(Y$4,6),EMIS_factors!$G$4:$O$4,0))</f>
        <v>0.11686473412375831</v>
      </c>
      <c r="Z90" s="1530">
        <f t="array" ref="Z90">INDEX(EMIS_factors!$G$6:$O$152,MATCH($G90&amp;$AB90,EMIS_factors!$E$6:$E$152&amp;EMIS_factors!$D$6:$D$152,0),MATCH(RIGHT(Z$4,6),EMIS_factors!$G$4:$O$4,0))</f>
        <v>0</v>
      </c>
      <c r="AB90" s="526" t="s">
        <v>1483</v>
      </c>
      <c r="AE90" s="1265">
        <f t="array" ref="AE90">INDEX($AN$12:$BM$15,MATCH(F90,$AM$12:$AM$15,0),MATCH($AG90&amp;$AE$1,$AN$11:$BM$11&amp;$AN$9:$BM$9,0))/1000</f>
        <v>7</v>
      </c>
      <c r="AF90" s="549">
        <f t="array" ref="AF90">(AE90^INDEX(ShipData!$X$36:$X$39,MATCH($F90,ShipData!$U$36:$U$39,0)))*0.756*INDEX(ShipData!$W$36:$W$39,MATCH($F90,ShipData!$U$36:$U$39,0))</f>
        <v>5483.7455856749639</v>
      </c>
      <c r="AG90" s="549" t="s">
        <v>1236</v>
      </c>
      <c r="AH90" s="526" t="s">
        <v>1257</v>
      </c>
      <c r="AI90" s="549" t="s">
        <v>1145</v>
      </c>
      <c r="AJ90" s="848" t="s">
        <v>1252</v>
      </c>
      <c r="AL90" s="552"/>
      <c r="AM90"/>
      <c r="AN90" s="553"/>
    </row>
    <row r="91" spans="3:40">
      <c r="C91" s="552"/>
      <c r="D91" s="552"/>
      <c r="E91" s="534" t="str">
        <f t="shared" si="24"/>
        <v>TRAMFO2</v>
      </c>
      <c r="F91" s="531"/>
      <c r="G91" s="531"/>
      <c r="H91" s="1237"/>
      <c r="I91" s="1237"/>
      <c r="J91" s="1237"/>
      <c r="K91" s="1239"/>
      <c r="L91" s="1281"/>
      <c r="M91" s="1265"/>
      <c r="N91" s="1265"/>
      <c r="O91" s="1237"/>
      <c r="P91" s="1265"/>
      <c r="Q91" s="1265"/>
      <c r="R91" s="552"/>
      <c r="S91" s="1237"/>
      <c r="T91" s="1237"/>
      <c r="U91" s="1278"/>
      <c r="V91" s="1240"/>
      <c r="W91" s="1530"/>
      <c r="X91" s="1530"/>
      <c r="Y91" s="1530"/>
      <c r="Z91" s="1530"/>
      <c r="AB91" s="526" t="s">
        <v>1483</v>
      </c>
      <c r="AE91" s="1265" t="e">
        <f t="array" ref="AE91">INDEX($AN$12:$BM$15,MATCH(F91,$AM$12:$AM$15,0),MATCH($AG91&amp;$AE$1,$AN$11:$BM$11&amp;$AN$9:$BM$9,0))/1000</f>
        <v>#N/A</v>
      </c>
      <c r="AF91" s="549" t="e">
        <f t="array" ref="AF91">(AE91^INDEX(ShipData!$X$36:$X$39,MATCH($F91,ShipData!$U$36:$U$39,0)))*0.756*INDEX(ShipData!$W$36:$W$39,MATCH($F91,ShipData!$U$36:$U$39,0))</f>
        <v>#N/A</v>
      </c>
      <c r="AH91" s="526" t="s">
        <v>1257</v>
      </c>
      <c r="AI91" s="549" t="s">
        <v>1145</v>
      </c>
      <c r="AJ91" s="848" t="s">
        <v>1252</v>
      </c>
      <c r="AL91" s="552"/>
      <c r="AM91"/>
      <c r="AN91" s="553"/>
    </row>
    <row r="92" spans="3:40">
      <c r="C92" s="552"/>
      <c r="D92" s="552"/>
      <c r="E92" s="534" t="str">
        <f t="shared" si="24"/>
        <v>TRANGBL4N</v>
      </c>
      <c r="F92" s="531" t="s">
        <v>1028</v>
      </c>
      <c r="G92" s="531">
        <v>2030</v>
      </c>
      <c r="H92" s="1237" t="s">
        <v>986</v>
      </c>
      <c r="I92" s="1239">
        <f t="array" ref="I92">INDEX($AN$12:$BM$15,MATCH(F92,$AM$12:$AM$15,0),MATCH(I$1&amp;$AG92,$AN$9:$BM$9&amp;$AN$11:$BM$11,0))</f>
        <v>4900</v>
      </c>
      <c r="J92" s="1239">
        <f t="shared" si="16"/>
        <v>4900</v>
      </c>
      <c r="K92" s="1239">
        <v>362</v>
      </c>
      <c r="L92" s="1281">
        <v>653</v>
      </c>
      <c r="M92" s="1265">
        <f t="array" ref="M92">1/(INDEX($AN$12:$BM$15,MATCH($F92,$AM$12:$AM$15,0),MATCH(($G92&amp;M$1)&amp;$AG92,$AN$9:$BM$9&amp;$AN$11:$BM$11,0))/1.852)</f>
        <v>0.87906595126970144</v>
      </c>
      <c r="N92" s="1265">
        <f t="shared" ref="N92" si="35">M92</f>
        <v>0.87906595126970144</v>
      </c>
      <c r="O92" s="1237">
        <v>30</v>
      </c>
      <c r="P92" s="1265"/>
      <c r="Q92" s="1239">
        <v>5699.5605135000014</v>
      </c>
      <c r="R92" s="1265">
        <f>(AF92*(INDEX(ShipData!$P$19:$R$26,MATCH($AJ92,ShipData!$N$19:$N$26,0),MATCH($AI92,ShipData!$P$18:$R$18,0))+INDEX(ShipData!$P$30:$R$37,MATCH($AJ92,ShipData!$N$30:$N$37,0),MATCH($AI92,ShipData!$P$29:$R$29,0)))+K92*0.1*(1/M92)*INDEX(ShipData!$P$41:$R$48,MATCH($AJ92,ShipData!$N$41:$N$48,0),MATCH($AI92,ShipData!$P$40:$R$40,0)))*6.5/1000</f>
        <v>84019.417578729452</v>
      </c>
      <c r="S92" s="1237">
        <v>0.95</v>
      </c>
      <c r="T92" s="1237">
        <v>1E-3</v>
      </c>
      <c r="U92" s="1278"/>
      <c r="V92" s="1240">
        <v>5</v>
      </c>
      <c r="W92" s="1530">
        <f t="array" ref="W92">INDEX(EMIS_factors!$G$6:$O$152,MATCH($G92&amp;$AB92,EMIS_factors!$E$6:$E$152&amp;EMIS_factors!$D$6:$D$152,0),MATCH(RIGHT(W$4,6),EMIS_factors!$G$4:$O$4,0))</f>
        <v>0</v>
      </c>
      <c r="X92" s="1530">
        <f t="array" ref="X92">INDEX(EMIS_factors!$G$6:$O$152,MATCH($G92&amp;$AB92,EMIS_factors!$E$6:$E$152&amp;EMIS_factors!$D$6:$D$152,0),MATCH(RIGHT(X$4,6),EMIS_factors!$G$4:$O$4,0))</f>
        <v>411.41501253398201</v>
      </c>
      <c r="Y92" s="1530">
        <f t="array" ref="Y92">INDEX(EMIS_factors!$G$6:$O$152,MATCH($G92&amp;$AB92,EMIS_factors!$E$6:$E$152&amp;EMIS_factors!$D$6:$D$152,0),MATCH(RIGHT(Y$4,6),EMIS_factors!$G$4:$O$4,0))</f>
        <v>0.11686473412375831</v>
      </c>
      <c r="Z92" s="1530">
        <f t="array" ref="Z92">INDEX(EMIS_factors!$G$6:$O$152,MATCH($G92&amp;$AB92,EMIS_factors!$E$6:$E$152&amp;EMIS_factors!$D$6:$D$152,0),MATCH(RIGHT(Z$4,6),EMIS_factors!$G$4:$O$4,0))</f>
        <v>0</v>
      </c>
      <c r="AB92" s="526" t="s">
        <v>1483</v>
      </c>
      <c r="AE92" s="1265">
        <f t="array" ref="AE92">INDEX($AN$12:$BM$15,MATCH(F92,$AM$12:$AM$15,0),MATCH($AG92&amp;$AE$1,$AN$11:$BM$11&amp;$AN$9:$BM$9,0))/1000</f>
        <v>7</v>
      </c>
      <c r="AF92" s="549">
        <f t="array" ref="AF92">(AE92^INDEX(ShipData!$X$36:$X$39,MATCH($F92,ShipData!$U$36:$U$39,0)))*0.756*INDEX(ShipData!$W$36:$W$39,MATCH($F92,ShipData!$U$36:$U$39,0))</f>
        <v>5483.7455856749639</v>
      </c>
      <c r="AG92" s="549" t="str">
        <f>AG90</f>
        <v>Medium</v>
      </c>
      <c r="AH92" s="526" t="s">
        <v>1257</v>
      </c>
      <c r="AI92" s="549" t="s">
        <v>1145</v>
      </c>
      <c r="AJ92" s="848" t="s">
        <v>1252</v>
      </c>
      <c r="AL92" s="552"/>
      <c r="AM92"/>
      <c r="AN92" s="553"/>
    </row>
    <row r="93" spans="3:40">
      <c r="C93" s="552"/>
      <c r="D93" s="552"/>
      <c r="E93" s="534" t="str">
        <f t="shared" si="24"/>
        <v>TRAMFO3</v>
      </c>
      <c r="F93" s="531"/>
      <c r="G93" s="531"/>
      <c r="H93" s="1237"/>
      <c r="I93" s="1237"/>
      <c r="J93" s="1237"/>
      <c r="K93" s="1239"/>
      <c r="L93" s="1281"/>
      <c r="M93" s="1265"/>
      <c r="N93" s="1265"/>
      <c r="O93" s="1237"/>
      <c r="P93" s="1265"/>
      <c r="Q93" s="1265"/>
      <c r="R93" s="552"/>
      <c r="S93" s="1237"/>
      <c r="T93" s="1237"/>
      <c r="U93" s="1278"/>
      <c r="V93" s="1240"/>
      <c r="W93" s="1530"/>
      <c r="X93" s="1530"/>
      <c r="Y93" s="1530"/>
      <c r="Z93" s="1530"/>
      <c r="AB93" s="526" t="s">
        <v>1483</v>
      </c>
      <c r="AE93" s="1265" t="e">
        <f t="array" ref="AE93">INDEX($AN$12:$BM$15,MATCH(F93,$AM$12:$AM$15,0),MATCH($AG93&amp;$AE$1,$AN$11:$BM$11&amp;$AN$9:$BM$9,0))/1000</f>
        <v>#N/A</v>
      </c>
      <c r="AF93" s="549" t="e">
        <f t="array" ref="AF93">(AE93^INDEX(ShipData!$X$36:$X$39,MATCH($F93,ShipData!$U$36:$U$39,0)))*0.756*INDEX(ShipData!$W$36:$W$39,MATCH($F93,ShipData!$U$36:$U$39,0))</f>
        <v>#N/A</v>
      </c>
      <c r="AH93" s="526" t="s">
        <v>1257</v>
      </c>
      <c r="AI93" s="549" t="s">
        <v>1145</v>
      </c>
      <c r="AJ93" s="848" t="s">
        <v>1252</v>
      </c>
      <c r="AL93" s="552"/>
      <c r="AM93"/>
      <c r="AN93" s="553"/>
    </row>
    <row r="94" spans="3:40">
      <c r="C94" s="552" t="str">
        <f>"TFS"&amp;LEFT(AG94,1)&amp;AH94&amp;RIGHT(F94,1)&amp;MID(G94,3,1)&amp;"N"</f>
        <v>TFSLNGDUC2N</v>
      </c>
      <c r="D94" s="552" t="s">
        <v>1086</v>
      </c>
      <c r="E94" s="534" t="str">
        <f t="shared" si="24"/>
        <v>TRANGBL3N</v>
      </c>
      <c r="F94" s="531" t="s">
        <v>1028</v>
      </c>
      <c r="G94" s="531">
        <v>2020</v>
      </c>
      <c r="H94" s="1237" t="s">
        <v>986</v>
      </c>
      <c r="I94" s="1239">
        <f t="array" ref="I94">INDEX($AN$12:$BM$15,MATCH(F94,$AM$12:$AM$15,0),MATCH(I$1&amp;$AG94,$AN$9:$BM$9&amp;$AN$11:$BM$11,0))</f>
        <v>11760</v>
      </c>
      <c r="J94" s="1239">
        <f t="shared" si="16"/>
        <v>11760</v>
      </c>
      <c r="K94" s="1239">
        <v>579</v>
      </c>
      <c r="L94" s="1281">
        <v>1045</v>
      </c>
      <c r="M94" s="1265">
        <f t="array" ref="M94">1/(INDEX($AN$12:$BM$15,MATCH($F94,$AM$12:$AM$15,0),MATCH(($G94&amp;M$1)&amp;$AG94,$AN$9:$BM$9&amp;$AN$11:$BM$11,0))/1.852)</f>
        <v>0.40793352062343913</v>
      </c>
      <c r="N94" s="1265">
        <f t="shared" ref="N94" si="36">M94</f>
        <v>0.40793352062343913</v>
      </c>
      <c r="O94" s="1237">
        <v>30</v>
      </c>
      <c r="P94" s="1265"/>
      <c r="Q94" s="1265">
        <f t="shared" si="30"/>
        <v>8119.3309913691674</v>
      </c>
      <c r="R94" s="1265">
        <f>(AF94*(INDEX(ShipData!$P$19:$R$26,MATCH($AJ94,ShipData!$N$19:$N$26,0),MATCH($AI94,ShipData!$P$18:$R$18,0))+INDEX(ShipData!$P$30:$R$37,MATCH($AJ94,ShipData!$N$30:$N$37,0),MATCH($AI94,ShipData!$P$29:$R$29,0)))+K94*0.1*(1/M94)*INDEX(ShipData!$P$41:$R$48,MATCH($AJ94,ShipData!$N$41:$N$48,0),MATCH($AI94,ShipData!$P$40:$R$40,0)))*6.5/1000</f>
        <v>231980.88546769047</v>
      </c>
      <c r="S94" s="1237">
        <v>0.95</v>
      </c>
      <c r="T94" s="1237">
        <v>1E-3</v>
      </c>
      <c r="U94" s="1278"/>
      <c r="V94" s="1240">
        <v>5</v>
      </c>
      <c r="W94" s="1530">
        <f t="array" ref="W94">INDEX(EMIS_factors!$G$6:$O$152,MATCH($G94&amp;$AB94,EMIS_factors!$E$6:$E$152&amp;EMIS_factors!$D$6:$D$152,0),MATCH(RIGHT(W$4,6),EMIS_factors!$G$4:$O$4,0))</f>
        <v>0</v>
      </c>
      <c r="X94" s="1530">
        <f t="array" ref="X94">INDEX(EMIS_factors!$G$6:$O$152,MATCH($G94&amp;$AB94,EMIS_factors!$E$6:$E$152&amp;EMIS_factors!$D$6:$D$152,0),MATCH(RIGHT(X$4,6),EMIS_factors!$G$4:$O$4,0))</f>
        <v>411.41501253398201</v>
      </c>
      <c r="Y94" s="1530">
        <f t="array" ref="Y94">INDEX(EMIS_factors!$G$6:$O$152,MATCH($G94&amp;$AB94,EMIS_factors!$E$6:$E$152&amp;EMIS_factors!$D$6:$D$152,0),MATCH(RIGHT(Y$4,6),EMIS_factors!$G$4:$O$4,0))</f>
        <v>0.11686473412375831</v>
      </c>
      <c r="Z94" s="1530">
        <f t="array" ref="Z94">INDEX(EMIS_factors!$G$6:$O$152,MATCH($G94&amp;$AB94,EMIS_factors!$E$6:$E$152&amp;EMIS_factors!$D$6:$D$152,0),MATCH(RIGHT(Z$4,6),EMIS_factors!$G$4:$O$4,0))</f>
        <v>0</v>
      </c>
      <c r="AB94" s="526" t="s">
        <v>1483</v>
      </c>
      <c r="AE94" s="1265">
        <f t="array" ref="AE94">INDEX($AN$12:$BM$15,MATCH(F94,$AM$12:$AM$15,0),MATCH($AG94&amp;$AE$1,$AN$11:$BM$11&amp;$AN$9:$BM$9,0))/1000</f>
        <v>16.8</v>
      </c>
      <c r="AF94" s="549">
        <f t="array" ref="AF94">(AE94^INDEX(ShipData!$X$36:$X$39,MATCH($F94,ShipData!$U$36:$U$39,0)))*0.756*INDEX(ShipData!$W$36:$W$39,MATCH($F94,ShipData!$U$36:$U$39,0))</f>
        <v>15139.876697863274</v>
      </c>
      <c r="AG94" s="549" t="s">
        <v>1240</v>
      </c>
      <c r="AH94" s="526" t="s">
        <v>1257</v>
      </c>
      <c r="AI94" s="549" t="s">
        <v>1145</v>
      </c>
      <c r="AJ94" s="848" t="s">
        <v>1252</v>
      </c>
      <c r="AL94" s="552"/>
      <c r="AM94"/>
      <c r="AN94" s="553"/>
    </row>
    <row r="95" spans="3:40">
      <c r="C95" s="552"/>
      <c r="D95" s="552"/>
      <c r="E95" s="534" t="str">
        <f t="shared" si="24"/>
        <v>TRAMFO2</v>
      </c>
      <c r="F95" s="531"/>
      <c r="G95" s="531"/>
      <c r="H95" s="1237"/>
      <c r="I95" s="1237"/>
      <c r="J95" s="1237"/>
      <c r="K95" s="1237"/>
      <c r="L95" s="1281"/>
      <c r="M95" s="1265"/>
      <c r="N95" s="1239"/>
      <c r="O95" s="1239"/>
      <c r="P95" s="1265"/>
      <c r="Q95" s="1265"/>
      <c r="R95" s="1237"/>
      <c r="S95" s="1237"/>
      <c r="T95" s="552"/>
      <c r="U95" s="552"/>
      <c r="V95" s="1240"/>
      <c r="W95" s="1530"/>
      <c r="X95" s="1530"/>
      <c r="Y95" s="1530"/>
      <c r="Z95" s="1530"/>
      <c r="AB95" s="526" t="s">
        <v>1483</v>
      </c>
      <c r="AE95" s="1265" t="e">
        <f t="array" ref="AE95">INDEX($AN$12:$BM$15,MATCH(F95,$AM$12:$AM$15,0),MATCH($AG95&amp;$AE$1,$AN$11:$BM$11&amp;$AN$9:$BM$9,0))/1000</f>
        <v>#N/A</v>
      </c>
      <c r="AF95" s="549" t="e">
        <f t="array" ref="AF95">(AE95^INDEX(ShipData!$X$36:$X$39,MATCH($F95,ShipData!$U$36:$U$39,0)))*0.756*INDEX(ShipData!$W$36:$W$39,MATCH($F95,ShipData!$U$36:$U$39,0))</f>
        <v>#N/A</v>
      </c>
      <c r="AH95" s="526" t="s">
        <v>1257</v>
      </c>
      <c r="AI95" s="549" t="s">
        <v>1145</v>
      </c>
      <c r="AJ95" s="848" t="s">
        <v>1252</v>
      </c>
      <c r="AL95" s="552"/>
      <c r="AM95"/>
      <c r="AN95" s="553"/>
    </row>
    <row r="96" spans="3:40">
      <c r="C96" s="552"/>
      <c r="D96" s="552"/>
      <c r="E96" s="534" t="str">
        <f t="shared" si="24"/>
        <v>TRANGBL4N</v>
      </c>
      <c r="F96" s="531" t="s">
        <v>1028</v>
      </c>
      <c r="G96" s="531">
        <v>2030</v>
      </c>
      <c r="H96" s="1237" t="s">
        <v>986</v>
      </c>
      <c r="I96" s="1239">
        <f t="array" ref="I96">INDEX($AN$12:$BM$15,MATCH(F96,$AM$12:$AM$15,0),MATCH(I$1&amp;$AG96,$AN$9:$BM$9&amp;$AN$11:$BM$11,0))</f>
        <v>11760</v>
      </c>
      <c r="J96" s="1239">
        <f t="shared" si="16"/>
        <v>11760</v>
      </c>
      <c r="K96" s="1239">
        <v>579</v>
      </c>
      <c r="L96" s="1281">
        <v>1045</v>
      </c>
      <c r="M96" s="1265">
        <f t="array" ref="M96">1/(INDEX($AN$12:$BM$15,MATCH($F96,$AM$12:$AM$15,0),MATCH(($G96&amp;M$1)&amp;$AG96,$AN$9:$BM$9&amp;$AN$11:$BM$11,0))/1.852)</f>
        <v>0.40793352062343913</v>
      </c>
      <c r="N96" s="1265">
        <f t="shared" ref="N96" si="37">M96</f>
        <v>0.40793352062343913</v>
      </c>
      <c r="O96" s="1237">
        <v>30</v>
      </c>
      <c r="P96" s="1265"/>
      <c r="Q96" s="1239">
        <v>15736.727790000001</v>
      </c>
      <c r="R96" s="1265">
        <f>(AF96*(INDEX(ShipData!$P$19:$R$26,MATCH($AJ96,ShipData!$N$19:$N$26,0),MATCH($AI96,ShipData!$P$18:$R$18,0))+INDEX(ShipData!$P$30:$R$37,MATCH($AJ96,ShipData!$N$30:$N$37,0),MATCH($AI96,ShipData!$P$29:$R$29,0)))+K96*0.1*(1/M96)*INDEX(ShipData!$P$41:$R$48,MATCH($AJ96,ShipData!$N$41:$N$48,0),MATCH($AI96,ShipData!$P$40:$R$40,0)))*6.5/1000</f>
        <v>231980.88546769047</v>
      </c>
      <c r="S96" s="1237">
        <v>0.95</v>
      </c>
      <c r="T96" s="1237">
        <v>1E-3</v>
      </c>
      <c r="U96" s="1278"/>
      <c r="V96" s="1240">
        <v>5</v>
      </c>
      <c r="W96" s="1530">
        <f t="array" ref="W96">INDEX(EMIS_factors!$G$6:$O$152,MATCH($G96&amp;$AB96,EMIS_factors!$E$6:$E$152&amp;EMIS_factors!$D$6:$D$152,0),MATCH(RIGHT(W$4,6),EMIS_factors!$G$4:$O$4,0))</f>
        <v>0</v>
      </c>
      <c r="X96" s="1530">
        <f t="array" ref="X96">INDEX(EMIS_factors!$G$6:$O$152,MATCH($G96&amp;$AB96,EMIS_factors!$E$6:$E$152&amp;EMIS_factors!$D$6:$D$152,0),MATCH(RIGHT(X$4,6),EMIS_factors!$G$4:$O$4,0))</f>
        <v>411.41501253398201</v>
      </c>
      <c r="Y96" s="1530">
        <f t="array" ref="Y96">INDEX(EMIS_factors!$G$6:$O$152,MATCH($G96&amp;$AB96,EMIS_factors!$E$6:$E$152&amp;EMIS_factors!$D$6:$D$152,0),MATCH(RIGHT(Y$4,6),EMIS_factors!$G$4:$O$4,0))</f>
        <v>0.11686473412375831</v>
      </c>
      <c r="Z96" s="1530">
        <f t="array" ref="Z96">INDEX(EMIS_factors!$G$6:$O$152,MATCH($G96&amp;$AB96,EMIS_factors!$E$6:$E$152&amp;EMIS_factors!$D$6:$D$152,0),MATCH(RIGHT(Z$4,6),EMIS_factors!$G$4:$O$4,0))</f>
        <v>0</v>
      </c>
      <c r="AB96" s="526" t="s">
        <v>1483</v>
      </c>
      <c r="AE96" s="1265">
        <f t="array" ref="AE96">INDEX($AN$12:$BM$15,MATCH(F96,$AM$12:$AM$15,0),MATCH($AG96&amp;$AE$1,$AN$11:$BM$11&amp;$AN$9:$BM$9,0))/1000</f>
        <v>16.8</v>
      </c>
      <c r="AF96" s="549">
        <f t="array" ref="AF96">(AE96^INDEX(ShipData!$X$36:$X$39,MATCH($F96,ShipData!$U$36:$U$39,0)))*0.756*INDEX(ShipData!$W$36:$W$39,MATCH($F96,ShipData!$U$36:$U$39,0))</f>
        <v>15139.876697863274</v>
      </c>
      <c r="AG96" s="549" t="str">
        <f>AG94</f>
        <v>Large</v>
      </c>
      <c r="AH96" s="526" t="s">
        <v>1257</v>
      </c>
      <c r="AI96" s="549" t="s">
        <v>1145</v>
      </c>
      <c r="AJ96" s="848" t="s">
        <v>1252</v>
      </c>
      <c r="AL96" s="1231"/>
      <c r="AM96"/>
      <c r="AN96" s="553"/>
    </row>
    <row r="97" spans="3:40">
      <c r="C97" s="552"/>
      <c r="D97" s="552"/>
      <c r="E97" s="534" t="str">
        <f t="shared" si="24"/>
        <v>TRAMFO3</v>
      </c>
      <c r="F97" s="531"/>
      <c r="G97" s="531"/>
      <c r="H97" s="1237"/>
      <c r="I97" s="1237"/>
      <c r="J97" s="1237"/>
      <c r="K97" s="1237"/>
      <c r="L97" s="1281"/>
      <c r="M97" s="1237"/>
      <c r="N97" s="1239"/>
      <c r="O97" s="1239"/>
      <c r="P97" s="1265"/>
      <c r="Q97" s="1265"/>
      <c r="R97" s="1237"/>
      <c r="S97" s="1237"/>
      <c r="T97" s="552"/>
      <c r="U97" s="552"/>
      <c r="V97" s="1240"/>
      <c r="W97" s="1530"/>
      <c r="X97" s="1530"/>
      <c r="Y97" s="1530"/>
      <c r="Z97" s="1530"/>
      <c r="AB97" s="526" t="s">
        <v>1483</v>
      </c>
      <c r="AE97" s="1265" t="e">
        <f t="array" ref="AE97">INDEX($AN$12:$BM$15,MATCH(F97,$AM$12:$AM$15,0),MATCH($AG97&amp;$AE$1,$AN$11:$BM$11&amp;$AN$9:$BM$9,0))/1000</f>
        <v>#N/A</v>
      </c>
      <c r="AF97" s="549" t="e">
        <f t="array" ref="AF97">(AE97^INDEX(ShipData!$X$36:$X$39,MATCH($F97,ShipData!$U$36:$U$39,0)))*0.756*INDEX(ShipData!$W$36:$W$39,MATCH($F97,ShipData!$U$36:$U$39,0))</f>
        <v>#N/A</v>
      </c>
      <c r="AH97" s="526" t="s">
        <v>1257</v>
      </c>
      <c r="AI97" s="549" t="s">
        <v>1145</v>
      </c>
      <c r="AJ97" s="848" t="s">
        <v>1252</v>
      </c>
      <c r="AL97" s="552"/>
      <c r="AM97"/>
      <c r="AN97" s="553"/>
    </row>
    <row r="98" spans="3:40">
      <c r="C98" s="552" t="str">
        <f>"TFS"&amp;LEFT(AG98,1)&amp;AH98&amp;RIGHT(F98,1)&amp;MID(G98,3,1)&amp;"N"</f>
        <v>TFSSNGDUR2N</v>
      </c>
      <c r="D98" s="552" t="s">
        <v>1087</v>
      </c>
      <c r="E98" s="534" t="str">
        <f t="shared" si="24"/>
        <v>TRANGBL3N</v>
      </c>
      <c r="F98" s="531" t="s">
        <v>1029</v>
      </c>
      <c r="G98" s="531">
        <v>2020</v>
      </c>
      <c r="H98" s="1237" t="s">
        <v>986</v>
      </c>
      <c r="I98" s="1239">
        <f t="array" ref="I98">INDEX($AN$12:$BM$15,MATCH(F98,$AM$12:$AM$15,0),MATCH(I$1&amp;$AG98,$AN$9:$BM$9&amp;$AN$11:$BM$11,0))</f>
        <v>1002</v>
      </c>
      <c r="J98" s="1239">
        <f t="shared" si="16"/>
        <v>1002</v>
      </c>
      <c r="K98" s="1239">
        <v>38287</v>
      </c>
      <c r="L98" s="1281">
        <v>69083</v>
      </c>
      <c r="M98" s="1265">
        <f t="array" ref="M98">1/(INDEX($AN$12:$BM$15,MATCH($F98,$AM$12:$AM$15,0),MATCH(($G98&amp;M$1)&amp;$AG98,$AN$9:$BM$9&amp;$AN$11:$BM$11,0))/1.852)</f>
        <v>1.7403348779577166</v>
      </c>
      <c r="N98" s="1265">
        <f t="shared" ref="N98" si="38">M98</f>
        <v>1.7403348779577166</v>
      </c>
      <c r="O98" s="1237">
        <v>30</v>
      </c>
      <c r="P98" s="1265"/>
      <c r="Q98" s="1265">
        <f t="shared" si="30"/>
        <v>959.63528616926214</v>
      </c>
      <c r="R98" s="1265">
        <f>(AF98*(INDEX(ShipData!$P$19:$R$26,MATCH($AJ98,ShipData!$N$19:$N$26,0),MATCH($AI98,ShipData!$P$18:$R$18,0))+INDEX(ShipData!$P$30:$R$37,MATCH($AJ98,ShipData!$N$30:$N$37,0),MATCH($AI98,ShipData!$P$29:$R$29,0)))+K98*0.1*(1/M98)*INDEX(ShipData!$P$41:$R$48,MATCH($AJ98,ShipData!$N$41:$N$48,0),MATCH($AI98,ShipData!$P$40:$R$40,0)))*6.5/1000</f>
        <v>27418.151033407488</v>
      </c>
      <c r="S98" s="1237">
        <v>0.95</v>
      </c>
      <c r="T98" s="1237">
        <v>1E-3</v>
      </c>
      <c r="U98" s="1278"/>
      <c r="V98" s="1240">
        <v>5</v>
      </c>
      <c r="W98" s="1530">
        <f t="array" ref="W98">INDEX(EMIS_factors!$G$6:$O$152,MATCH($G98&amp;$AB98,EMIS_factors!$E$6:$E$152&amp;EMIS_factors!$D$6:$D$152,0),MATCH(RIGHT(W$4,6),EMIS_factors!$G$4:$O$4,0))</f>
        <v>0</v>
      </c>
      <c r="X98" s="1530">
        <f t="array" ref="X98">INDEX(EMIS_factors!$G$6:$O$152,MATCH($G98&amp;$AB98,EMIS_factors!$E$6:$E$152&amp;EMIS_factors!$D$6:$D$152,0),MATCH(RIGHT(X$4,6),EMIS_factors!$G$4:$O$4,0))</f>
        <v>411.41501253398201</v>
      </c>
      <c r="Y98" s="1530">
        <f t="array" ref="Y98">INDEX(EMIS_factors!$G$6:$O$152,MATCH($G98&amp;$AB98,EMIS_factors!$E$6:$E$152&amp;EMIS_factors!$D$6:$D$152,0),MATCH(RIGHT(Y$4,6),EMIS_factors!$G$4:$O$4,0))</f>
        <v>0.11686473412375831</v>
      </c>
      <c r="Z98" s="1530">
        <f t="array" ref="Z98">INDEX(EMIS_factors!$G$6:$O$152,MATCH($G98&amp;$AB98,EMIS_factors!$E$6:$E$152&amp;EMIS_factors!$D$6:$D$152,0),MATCH(RIGHT(Z$4,6),EMIS_factors!$G$4:$O$4,0))</f>
        <v>0</v>
      </c>
      <c r="AB98" s="526" t="s">
        <v>1483</v>
      </c>
      <c r="AE98" s="1265">
        <f t="array" ref="AE98">INDEX($AN$12:$BM$15,MATCH(F98,$AM$12:$AM$15,0),MATCH($AG98&amp;$AE$1,$AN$11:$BM$11&amp;$AN$9:$BM$9,0))/1000</f>
        <v>1.4314285714285715</v>
      </c>
      <c r="AF98" s="549">
        <f t="array" ref="AF98">(AE98^INDEX(ShipData!$X$36:$X$39,MATCH($F98,ShipData!$U$36:$U$39,0)))*0.756*INDEX(ShipData!$W$36:$W$39,MATCH($F98,ShipData!$U$36:$U$39,0))</f>
        <v>1715.2886160618959</v>
      </c>
      <c r="AG98" s="549" t="s">
        <v>1239</v>
      </c>
      <c r="AH98" s="526" t="s">
        <v>1257</v>
      </c>
      <c r="AI98" s="549" t="s">
        <v>1145</v>
      </c>
      <c r="AJ98" s="848" t="s">
        <v>1252</v>
      </c>
      <c r="AL98" s="552"/>
      <c r="AM98"/>
      <c r="AN98" s="548"/>
    </row>
    <row r="99" spans="3:40">
      <c r="C99" s="552"/>
      <c r="D99" s="552"/>
      <c r="E99" s="534" t="str">
        <f t="shared" si="24"/>
        <v>TRAMFO2</v>
      </c>
      <c r="F99" s="531"/>
      <c r="G99" s="531"/>
      <c r="H99" s="1237"/>
      <c r="I99" s="1237"/>
      <c r="J99" s="1237"/>
      <c r="K99" s="1239"/>
      <c r="L99" s="1281"/>
      <c r="M99" s="1265"/>
      <c r="N99" s="1265"/>
      <c r="O99" s="1237"/>
      <c r="P99" s="1265"/>
      <c r="Q99" s="1265"/>
      <c r="R99" s="1265"/>
      <c r="S99" s="1237"/>
      <c r="T99" s="1237"/>
      <c r="U99" s="1278"/>
      <c r="V99" s="1240"/>
      <c r="W99" s="1530"/>
      <c r="X99" s="1530"/>
      <c r="Y99" s="1530"/>
      <c r="Z99" s="1530"/>
      <c r="AB99" s="526" t="s">
        <v>1483</v>
      </c>
      <c r="AE99" s="1265" t="e">
        <f t="array" ref="AE99">INDEX($AN$12:$BM$15,MATCH(F99,$AM$12:$AM$15,0),MATCH($AG99&amp;$AE$1,$AN$11:$BM$11&amp;$AN$9:$BM$9,0))/1000</f>
        <v>#N/A</v>
      </c>
      <c r="AF99" s="549" t="e">
        <f t="array" ref="AF99">(AE99^INDEX(ShipData!$X$36:$X$39,MATCH($F99,ShipData!$U$36:$U$39,0)))*0.756*INDEX(ShipData!$W$36:$W$39,MATCH($F99,ShipData!$U$36:$U$39,0))</f>
        <v>#N/A</v>
      </c>
      <c r="AH99" s="526" t="s">
        <v>1257</v>
      </c>
      <c r="AI99" s="549" t="s">
        <v>1145</v>
      </c>
      <c r="AJ99" s="848" t="s">
        <v>1252</v>
      </c>
      <c r="AL99" s="552"/>
      <c r="AM99"/>
      <c r="AN99" s="548"/>
    </row>
    <row r="100" spans="3:40">
      <c r="C100" s="552"/>
      <c r="D100" s="552"/>
      <c r="E100" s="534" t="str">
        <f t="shared" si="24"/>
        <v>TRANGBL4N</v>
      </c>
      <c r="F100" s="531" t="s">
        <v>1029</v>
      </c>
      <c r="G100" s="531">
        <v>2030</v>
      </c>
      <c r="H100" s="1237" t="s">
        <v>986</v>
      </c>
      <c r="I100" s="1239">
        <f t="array" ref="I100">INDEX($AN$12:$BM$15,MATCH(F100,$AM$12:$AM$15,0),MATCH(I$1&amp;$AG100,$AN$9:$BM$9&amp;$AN$11:$BM$11,0))</f>
        <v>1002</v>
      </c>
      <c r="J100" s="1239">
        <f t="shared" si="16"/>
        <v>1002</v>
      </c>
      <c r="K100" s="1239">
        <v>38287</v>
      </c>
      <c r="L100" s="1281">
        <v>69083</v>
      </c>
      <c r="M100" s="1265">
        <f t="array" ref="M100">1/(INDEX($AN$12:$BM$15,MATCH($F100,$AM$12:$AM$15,0),MATCH(($G100&amp;M$1)&amp;$AG100,$AN$9:$BM$9&amp;$AN$11:$BM$11,0))/1.852)</f>
        <v>1.7403348779577166</v>
      </c>
      <c r="N100" s="1265">
        <f t="shared" ref="N100" si="39">M100</f>
        <v>1.7403348779577166</v>
      </c>
      <c r="O100" s="1237">
        <v>30</v>
      </c>
      <c r="P100" s="1265"/>
      <c r="Q100" s="1239">
        <v>2322.7663725000002</v>
      </c>
      <c r="R100" s="1265">
        <f>(AF100*(INDEX(ShipData!$P$19:$R$26,MATCH($AJ100,ShipData!$N$19:$N$26,0),MATCH($AI100,ShipData!$P$18:$R$18,0))+INDEX(ShipData!$P$30:$R$37,MATCH($AJ100,ShipData!$N$30:$N$37,0),MATCH($AI100,ShipData!$P$29:$R$29,0)))+K100*0.1*(1/M100)*INDEX(ShipData!$P$41:$R$48,MATCH($AJ100,ShipData!$N$41:$N$48,0),MATCH($AI100,ShipData!$P$40:$R$40,0)))*6.5/1000</f>
        <v>27418.151033407488</v>
      </c>
      <c r="S100" s="1237">
        <v>0.95</v>
      </c>
      <c r="T100" s="1237">
        <v>1E-3</v>
      </c>
      <c r="U100" s="1278"/>
      <c r="V100" s="1240">
        <v>5</v>
      </c>
      <c r="W100" s="1530">
        <f t="array" ref="W100">INDEX(EMIS_factors!$G$6:$O$152,MATCH($G100&amp;$AB100,EMIS_factors!$E$6:$E$152&amp;EMIS_factors!$D$6:$D$152,0),MATCH(RIGHT(W$4,6),EMIS_factors!$G$4:$O$4,0))</f>
        <v>0</v>
      </c>
      <c r="X100" s="1530">
        <f t="array" ref="X100">INDEX(EMIS_factors!$G$6:$O$152,MATCH($G100&amp;$AB100,EMIS_factors!$E$6:$E$152&amp;EMIS_factors!$D$6:$D$152,0),MATCH(RIGHT(X$4,6),EMIS_factors!$G$4:$O$4,0))</f>
        <v>411.41501253398201</v>
      </c>
      <c r="Y100" s="1530">
        <f t="array" ref="Y100">INDEX(EMIS_factors!$G$6:$O$152,MATCH($G100&amp;$AB100,EMIS_factors!$E$6:$E$152&amp;EMIS_factors!$D$6:$D$152,0),MATCH(RIGHT(Y$4,6),EMIS_factors!$G$4:$O$4,0))</f>
        <v>0.11686473412375831</v>
      </c>
      <c r="Z100" s="1530">
        <f t="array" ref="Z100">INDEX(EMIS_factors!$G$6:$O$152,MATCH($G100&amp;$AB100,EMIS_factors!$E$6:$E$152&amp;EMIS_factors!$D$6:$D$152,0),MATCH(RIGHT(Z$4,6),EMIS_factors!$G$4:$O$4,0))</f>
        <v>0</v>
      </c>
      <c r="AB100" s="526" t="s">
        <v>1483</v>
      </c>
      <c r="AE100" s="1265">
        <f t="array" ref="AE100">INDEX($AN$12:$BM$15,MATCH(F100,$AM$12:$AM$15,0),MATCH($AG100&amp;$AE$1,$AN$11:$BM$11&amp;$AN$9:$BM$9,0))/1000</f>
        <v>1.4314285714285715</v>
      </c>
      <c r="AF100" s="549">
        <f t="array" ref="AF100">(AE100^INDEX(ShipData!$X$36:$X$39,MATCH($F100,ShipData!$U$36:$U$39,0)))*0.756*INDEX(ShipData!$W$36:$W$39,MATCH($F100,ShipData!$U$36:$U$39,0))</f>
        <v>1715.2886160618959</v>
      </c>
      <c r="AG100" s="549" t="str">
        <f>AG98</f>
        <v>Small</v>
      </c>
      <c r="AH100" s="526" t="s">
        <v>1257</v>
      </c>
      <c r="AI100" s="549" t="s">
        <v>1145</v>
      </c>
      <c r="AJ100" s="848" t="s">
        <v>1252</v>
      </c>
      <c r="AL100" s="552"/>
      <c r="AM100"/>
      <c r="AN100" s="548"/>
    </row>
    <row r="101" spans="3:40">
      <c r="C101" s="552"/>
      <c r="D101" s="552"/>
      <c r="E101" s="534" t="str">
        <f t="shared" si="24"/>
        <v>TRAMFO3</v>
      </c>
      <c r="F101" s="531"/>
      <c r="G101" s="531"/>
      <c r="H101" s="1237"/>
      <c r="I101" s="1237"/>
      <c r="J101" s="1237"/>
      <c r="K101" s="1239"/>
      <c r="L101" s="1281"/>
      <c r="M101" s="1265"/>
      <c r="N101" s="1265"/>
      <c r="O101" s="1237"/>
      <c r="P101" s="1265"/>
      <c r="Q101" s="1265"/>
      <c r="R101" s="1265"/>
      <c r="S101" s="1237"/>
      <c r="T101" s="1237"/>
      <c r="U101" s="1278"/>
      <c r="V101" s="1240"/>
      <c r="W101" s="1530"/>
      <c r="X101" s="1530"/>
      <c r="Y101" s="1530"/>
      <c r="Z101" s="1530"/>
      <c r="AB101" s="526" t="s">
        <v>1483</v>
      </c>
      <c r="AE101" s="1265" t="e">
        <f t="array" ref="AE101">INDEX($AN$12:$BM$15,MATCH(F101,$AM$12:$AM$15,0),MATCH($AG101&amp;$AE$1,$AN$11:$BM$11&amp;$AN$9:$BM$9,0))/1000</f>
        <v>#N/A</v>
      </c>
      <c r="AF101" s="549" t="e">
        <f t="array" ref="AF101">(AE101^INDEX(ShipData!$X$36:$X$39,MATCH($F101,ShipData!$U$36:$U$39,0)))*0.756*INDEX(ShipData!$W$36:$W$39,MATCH($F101,ShipData!$U$36:$U$39,0))</f>
        <v>#N/A</v>
      </c>
      <c r="AH101" s="526" t="s">
        <v>1257</v>
      </c>
      <c r="AI101" s="549" t="s">
        <v>1145</v>
      </c>
      <c r="AJ101" s="848" t="s">
        <v>1252</v>
      </c>
      <c r="AL101" s="552"/>
      <c r="AM101"/>
      <c r="AN101" s="548"/>
    </row>
    <row r="102" spans="3:40">
      <c r="C102" s="552" t="str">
        <f>"TFS"&amp;LEFT(AG102,1)&amp;AH102&amp;RIGHT(F102,1)&amp;MID(G102,3,1)&amp;"N"</f>
        <v>TFSMNGDUR2N</v>
      </c>
      <c r="D102" s="552" t="s">
        <v>1088</v>
      </c>
      <c r="E102" s="534" t="str">
        <f t="shared" si="24"/>
        <v>TRANGBL3N</v>
      </c>
      <c r="F102" s="531" t="s">
        <v>1029</v>
      </c>
      <c r="G102" s="531">
        <v>2020</v>
      </c>
      <c r="H102" s="1237" t="s">
        <v>986</v>
      </c>
      <c r="I102" s="1239">
        <f t="array" ref="I102">INDEX($AN$12:$BM$15,MATCH(F102,$AM$12:$AM$15,0),MATCH(I$1&amp;$AG102,$AN$9:$BM$9&amp;$AN$11:$BM$11,0))</f>
        <v>3608</v>
      </c>
      <c r="J102" s="1239">
        <f t="shared" si="16"/>
        <v>3608</v>
      </c>
      <c r="K102" s="1239">
        <v>925</v>
      </c>
      <c r="L102" s="1281">
        <v>1668</v>
      </c>
      <c r="M102" s="1265">
        <f t="array" ref="M102">1/(INDEX($AN$12:$BM$15,MATCH($F102,$AM$12:$AM$15,0),MATCH(($G102&amp;M$1)&amp;$AG102,$AN$9:$BM$9&amp;$AN$11:$BM$11,0))/1.852)</f>
        <v>0.87906595126970144</v>
      </c>
      <c r="N102" s="1265">
        <f t="shared" ref="N102" si="40">M102</f>
        <v>0.87906595126970144</v>
      </c>
      <c r="O102" s="1237">
        <v>30</v>
      </c>
      <c r="P102" s="1265"/>
      <c r="Q102" s="1265">
        <f t="shared" si="30"/>
        <v>2933.7387147718373</v>
      </c>
      <c r="R102" s="1265">
        <f>(AF102*(INDEX(ShipData!$P$19:$R$26,MATCH($AJ102,ShipData!$N$19:$N$26,0),MATCH($AI102,ShipData!$P$18:$R$18,0))+INDEX(ShipData!$P$30:$R$37,MATCH($AJ102,ShipData!$N$30:$N$37,0),MATCH($AI102,ShipData!$P$29:$R$29,0)))+K102*0.1*(1/M102)*INDEX(ShipData!$P$41:$R$48,MATCH($AJ102,ShipData!$N$41:$N$48,0),MATCH($AI102,ShipData!$P$40:$R$40,0)))*6.5/1000</f>
        <v>83821.106136338203</v>
      </c>
      <c r="S102" s="1237">
        <v>0.95</v>
      </c>
      <c r="T102" s="1237">
        <v>1E-3</v>
      </c>
      <c r="U102" s="1278"/>
      <c r="V102" s="1240">
        <v>5</v>
      </c>
      <c r="W102" s="1530">
        <f t="array" ref="W102">INDEX(EMIS_factors!$G$6:$O$152,MATCH($G102&amp;$AB102,EMIS_factors!$E$6:$E$152&amp;EMIS_factors!$D$6:$D$152,0),MATCH(RIGHT(W$4,6),EMIS_factors!$G$4:$O$4,0))</f>
        <v>0</v>
      </c>
      <c r="X102" s="1530">
        <f t="array" ref="X102">INDEX(EMIS_factors!$G$6:$O$152,MATCH($G102&amp;$AB102,EMIS_factors!$E$6:$E$152&amp;EMIS_factors!$D$6:$D$152,0),MATCH(RIGHT(X$4,6),EMIS_factors!$G$4:$O$4,0))</f>
        <v>411.41501253398201</v>
      </c>
      <c r="Y102" s="1530">
        <f t="array" ref="Y102">INDEX(EMIS_factors!$G$6:$O$152,MATCH($G102&amp;$AB102,EMIS_factors!$E$6:$E$152&amp;EMIS_factors!$D$6:$D$152,0),MATCH(RIGHT(Y$4,6),EMIS_factors!$G$4:$O$4,0))</f>
        <v>0.11686473412375831</v>
      </c>
      <c r="Z102" s="1530">
        <f t="array" ref="Z102">INDEX(EMIS_factors!$G$6:$O$152,MATCH($G102&amp;$AB102,EMIS_factors!$E$6:$E$152&amp;EMIS_factors!$D$6:$D$152,0),MATCH(RIGHT(Z$4,6),EMIS_factors!$G$4:$O$4,0))</f>
        <v>0</v>
      </c>
      <c r="AB102" s="526" t="s">
        <v>1483</v>
      </c>
      <c r="AE102" s="1265">
        <f t="array" ref="AE102">INDEX($AN$12:$BM$15,MATCH(F102,$AM$12:$AM$15,0),MATCH($AG102&amp;$AE$1,$AN$11:$BM$11&amp;$AN$9:$BM$9,0))/1000</f>
        <v>5.1542857142857148</v>
      </c>
      <c r="AF102" s="549">
        <f t="array" ref="AF102">(AE102^INDEX(ShipData!$X$36:$X$39,MATCH($F102,ShipData!$U$36:$U$39,0)))*0.756*INDEX(ShipData!$W$36:$W$39,MATCH($F102,ShipData!$U$36:$U$39,0))</f>
        <v>5468.6247789018307</v>
      </c>
      <c r="AG102" s="549" t="s">
        <v>1236</v>
      </c>
      <c r="AH102" s="526" t="s">
        <v>1257</v>
      </c>
      <c r="AI102" s="549" t="s">
        <v>1145</v>
      </c>
      <c r="AJ102" s="848" t="s">
        <v>1252</v>
      </c>
      <c r="AL102" s="552"/>
      <c r="AM102"/>
      <c r="AN102" s="548"/>
    </row>
    <row r="103" spans="3:40">
      <c r="C103" s="552"/>
      <c r="D103" s="552"/>
      <c r="E103" s="534" t="str">
        <f t="shared" si="24"/>
        <v>TRAMFO2</v>
      </c>
      <c r="F103" s="531"/>
      <c r="G103" s="531"/>
      <c r="H103" s="1237"/>
      <c r="I103" s="1237"/>
      <c r="J103" s="1237"/>
      <c r="K103" s="1237"/>
      <c r="L103" s="1281"/>
      <c r="M103" s="1237"/>
      <c r="N103" s="1239"/>
      <c r="O103" s="1239"/>
      <c r="P103" s="1265"/>
      <c r="Q103" s="1265"/>
      <c r="R103" s="1237"/>
      <c r="S103" s="1237"/>
      <c r="T103" s="1237"/>
      <c r="U103" s="1278"/>
      <c r="V103" s="1240"/>
      <c r="W103" s="1530"/>
      <c r="X103" s="1530"/>
      <c r="Y103" s="1530"/>
      <c r="Z103" s="1530"/>
      <c r="AB103" s="526" t="s">
        <v>1483</v>
      </c>
      <c r="AE103" s="1265" t="e">
        <f t="array" ref="AE103">INDEX($AN$12:$BM$15,MATCH(F103,$AM$12:$AM$15,0),MATCH($AG103&amp;$AE$1,$AN$11:$BM$11&amp;$AN$9:$BM$9,0))/1000</f>
        <v>#N/A</v>
      </c>
      <c r="AF103" s="549" t="e">
        <f t="array" ref="AF103">(AE103^INDEX(ShipData!$X$36:$X$39,MATCH($F103,ShipData!$U$36:$U$39,0)))*0.756*INDEX(ShipData!$W$36:$W$39,MATCH($F103,ShipData!$U$36:$U$39,0))</f>
        <v>#N/A</v>
      </c>
      <c r="AH103" s="526" t="s">
        <v>1257</v>
      </c>
      <c r="AI103" s="549" t="s">
        <v>1145</v>
      </c>
      <c r="AJ103" s="848" t="s">
        <v>1252</v>
      </c>
      <c r="AL103" s="552"/>
      <c r="AM103"/>
      <c r="AN103" s="548"/>
    </row>
    <row r="104" spans="3:40">
      <c r="C104" s="552"/>
      <c r="D104" s="552"/>
      <c r="E104" s="534" t="str">
        <f t="shared" si="24"/>
        <v>TRANGBL4N</v>
      </c>
      <c r="F104" s="531" t="s">
        <v>1029</v>
      </c>
      <c r="G104" s="531">
        <v>2030</v>
      </c>
      <c r="H104" s="1237" t="s">
        <v>986</v>
      </c>
      <c r="I104" s="1239">
        <f t="array" ref="I104">INDEX($AN$12:$BM$15,MATCH(F104,$AM$12:$AM$15,0),MATCH(I$1&amp;$AG104,$AN$9:$BM$9&amp;$AN$11:$BM$11,0))</f>
        <v>3608</v>
      </c>
      <c r="J104" s="1239">
        <f t="shared" si="16"/>
        <v>3608</v>
      </c>
      <c r="K104" s="1239">
        <v>925</v>
      </c>
      <c r="L104" s="1281">
        <v>1668</v>
      </c>
      <c r="M104" s="1265">
        <f t="array" ref="M104">1/(INDEX($AN$12:$BM$15,MATCH($F104,$AM$12:$AM$15,0),MATCH(($G104&amp;M$1)&amp;$AG104,$AN$9:$BM$9&amp;$AN$11:$BM$11,0))/1.852)</f>
        <v>0.87906595126970144</v>
      </c>
      <c r="N104" s="1265">
        <f t="shared" ref="N104" si="41">M104</f>
        <v>0.87906595126970144</v>
      </c>
      <c r="O104" s="1237">
        <v>30</v>
      </c>
      <c r="P104" s="1265"/>
      <c r="Q104" s="1239">
        <v>7403.2175700000007</v>
      </c>
      <c r="R104" s="1265">
        <f>(AF104*(INDEX(ShipData!$P$19:$R$26,MATCH($AJ104,ShipData!$N$19:$N$26,0),MATCH($AI104,ShipData!$P$18:$R$18,0))+INDEX(ShipData!$P$30:$R$37,MATCH($AJ104,ShipData!$N$30:$N$37,0),MATCH($AI104,ShipData!$P$29:$R$29,0)))+K104*0.1*(1/M104)*INDEX(ShipData!$P$41:$R$48,MATCH($AJ104,ShipData!$N$41:$N$48,0),MATCH($AI104,ShipData!$P$40:$R$40,0)))*6.5/1000</f>
        <v>83821.106136338203</v>
      </c>
      <c r="S104" s="1237">
        <v>0.95</v>
      </c>
      <c r="T104" s="1237">
        <v>1E-3</v>
      </c>
      <c r="U104" s="1278"/>
      <c r="V104" s="1240">
        <v>5</v>
      </c>
      <c r="W104" s="1530">
        <f t="array" ref="W104">INDEX(EMIS_factors!$G$6:$O$152,MATCH($G104&amp;$AB104,EMIS_factors!$E$6:$E$152&amp;EMIS_factors!$D$6:$D$152,0),MATCH(RIGHT(W$4,6),EMIS_factors!$G$4:$O$4,0))</f>
        <v>0</v>
      </c>
      <c r="X104" s="1530">
        <f t="array" ref="X104">INDEX(EMIS_factors!$G$6:$O$152,MATCH($G104&amp;$AB104,EMIS_factors!$E$6:$E$152&amp;EMIS_factors!$D$6:$D$152,0),MATCH(RIGHT(X$4,6),EMIS_factors!$G$4:$O$4,0))</f>
        <v>411.41501253398201</v>
      </c>
      <c r="Y104" s="1530">
        <f t="array" ref="Y104">INDEX(EMIS_factors!$G$6:$O$152,MATCH($G104&amp;$AB104,EMIS_factors!$E$6:$E$152&amp;EMIS_factors!$D$6:$D$152,0),MATCH(RIGHT(Y$4,6),EMIS_factors!$G$4:$O$4,0))</f>
        <v>0.11686473412375831</v>
      </c>
      <c r="Z104" s="1530">
        <f t="array" ref="Z104">INDEX(EMIS_factors!$G$6:$O$152,MATCH($G104&amp;$AB104,EMIS_factors!$E$6:$E$152&amp;EMIS_factors!$D$6:$D$152,0),MATCH(RIGHT(Z$4,6),EMIS_factors!$G$4:$O$4,0))</f>
        <v>0</v>
      </c>
      <c r="AB104" s="526" t="s">
        <v>1483</v>
      </c>
      <c r="AE104" s="1265">
        <f t="array" ref="AE104">INDEX($AN$12:$BM$15,MATCH(F104,$AM$12:$AM$15,0),MATCH($AG104&amp;$AE$1,$AN$11:$BM$11&amp;$AN$9:$BM$9,0))/1000</f>
        <v>5.1542857142857148</v>
      </c>
      <c r="AF104" s="549">
        <f t="array" ref="AF104">(AE104^INDEX(ShipData!$X$36:$X$39,MATCH($F104,ShipData!$U$36:$U$39,0)))*0.756*INDEX(ShipData!$W$36:$W$39,MATCH($F104,ShipData!$U$36:$U$39,0))</f>
        <v>5468.6247789018307</v>
      </c>
      <c r="AG104" s="549" t="str">
        <f>AG102</f>
        <v>Medium</v>
      </c>
      <c r="AH104" s="526" t="s">
        <v>1257</v>
      </c>
      <c r="AI104" s="549" t="s">
        <v>1145</v>
      </c>
      <c r="AJ104" s="848" t="s">
        <v>1252</v>
      </c>
      <c r="AL104" s="552"/>
      <c r="AM104"/>
      <c r="AN104" s="548"/>
    </row>
    <row r="105" spans="3:40">
      <c r="C105" s="1428"/>
      <c r="D105" s="552"/>
      <c r="E105" s="1429" t="str">
        <f t="shared" si="24"/>
        <v>TRAMFO3</v>
      </c>
      <c r="F105" s="1430"/>
      <c r="G105" s="1430"/>
      <c r="H105" s="1431"/>
      <c r="I105" s="1431"/>
      <c r="J105" s="1431"/>
      <c r="K105" s="1431"/>
      <c r="L105" s="1451"/>
      <c r="M105" s="1431"/>
      <c r="N105" s="1434"/>
      <c r="O105" s="1434"/>
      <c r="P105" s="1448"/>
      <c r="Q105" s="1448"/>
      <c r="R105" s="1431"/>
      <c r="S105" s="1431"/>
      <c r="T105" s="1431"/>
      <c r="U105" s="1446"/>
      <c r="V105" s="1447"/>
      <c r="W105" s="1530"/>
      <c r="X105" s="1530"/>
      <c r="Y105" s="1530"/>
      <c r="Z105" s="1530"/>
      <c r="AB105" s="526" t="s">
        <v>1483</v>
      </c>
      <c r="AE105" s="1265" t="e">
        <f t="array" ref="AE105">INDEX($AN$12:$BM$15,MATCH(F105,$AM$12:$AM$15,0),MATCH($AG105&amp;$AE$1,$AN$11:$BM$11&amp;$AN$9:$BM$9,0))/1000</f>
        <v>#N/A</v>
      </c>
      <c r="AF105" s="549" t="e">
        <f t="array" ref="AF105">(AE105^INDEX(ShipData!$X$36:$X$39,MATCH($F105,ShipData!$U$36:$U$39,0)))*0.756*INDEX(ShipData!$W$36:$W$39,MATCH($F105,ShipData!$U$36:$U$39,0))</f>
        <v>#N/A</v>
      </c>
      <c r="AH105" s="526" t="s">
        <v>1257</v>
      </c>
      <c r="AI105" s="549" t="s">
        <v>1145</v>
      </c>
      <c r="AJ105" s="848" t="s">
        <v>1252</v>
      </c>
      <c r="AL105" s="552"/>
      <c r="AM105"/>
      <c r="AN105" s="548"/>
    </row>
    <row r="106" spans="3:40">
      <c r="C106" s="552" t="str">
        <f t="shared" ref="C106:C153" si="42">"TFS"&amp;LEFT(AG106,1)&amp;AH106&amp;RIGHT(F106,1)&amp;MID(G106,3,1)&amp;"N"</f>
        <v>TFSSELCCL2N</v>
      </c>
      <c r="D106" s="552" t="s">
        <v>1089</v>
      </c>
      <c r="E106" s="534" t="s">
        <v>80</v>
      </c>
      <c r="F106" s="531" t="s">
        <v>1026</v>
      </c>
      <c r="G106" s="531">
        <v>2020</v>
      </c>
      <c r="H106" s="1237" t="s">
        <v>986</v>
      </c>
      <c r="I106" s="1239">
        <f t="array" ref="I106">INDEX($AN$12:$BM$15,MATCH(F106,$AM$12:$AM$15,0),MATCH(I$1&amp;$AG106,$AN$9:$BM$9&amp;$AN$11:$BM$11,0))</f>
        <v>810</v>
      </c>
      <c r="J106" s="1239">
        <f t="shared" si="16"/>
        <v>810</v>
      </c>
      <c r="K106" s="1239">
        <v>46488</v>
      </c>
      <c r="L106" s="1237">
        <v>83879</v>
      </c>
      <c r="M106" s="1265">
        <f t="array" ref="M106">1/(INDEX($AN$12:$BM$15,MATCH($F106,$AM$12:$AM$15,0),MATCH(($G106&amp;M$1)&amp;$AG106,$AN$9:$BM$9&amp;$AN$11:$BM$11,0))/1.852)</f>
        <v>2.3752039567310899</v>
      </c>
      <c r="N106" s="1265">
        <f t="shared" ref="N106:N153" si="43">M106</f>
        <v>2.3752039567310899</v>
      </c>
      <c r="O106" s="1237">
        <v>30</v>
      </c>
      <c r="P106" s="1265"/>
      <c r="Q106" s="1239">
        <f t="shared" ref="Q106" si="44">1.7*100</f>
        <v>170</v>
      </c>
      <c r="R106" s="1332">
        <f>R7+34057</f>
        <v>62586.501790295632</v>
      </c>
      <c r="S106" s="1237"/>
      <c r="T106" s="1237">
        <v>1E-3</v>
      </c>
      <c r="U106" s="1278"/>
      <c r="V106" s="552"/>
      <c r="W106" s="1530">
        <f t="array" ref="W106">INDEX(EMIS_factors!$G$6:$O$152,MATCH($G106&amp;$AB106,EMIS_factors!$E$6:$E$152&amp;EMIS_factors!$D$6:$D$152,0),MATCH(RIGHT(W$4,6),EMIS_factors!$G$4:$O$4,0))</f>
        <v>0</v>
      </c>
      <c r="X106" s="1530">
        <f t="array" ref="X106">INDEX(EMIS_factors!$G$6:$O$152,MATCH($G106&amp;$AB106,EMIS_factors!$E$6:$E$152&amp;EMIS_factors!$D$6:$D$152,0),MATCH(RIGHT(X$4,6),EMIS_factors!$G$4:$O$4,0))</f>
        <v>0</v>
      </c>
      <c r="Y106" s="1530">
        <f t="array" ref="Y106">INDEX(EMIS_factors!$G$6:$O$152,MATCH($G106&amp;$AB106,EMIS_factors!$E$6:$E$152&amp;EMIS_factors!$D$6:$D$152,0),MATCH(RIGHT(Y$4,6),EMIS_factors!$G$4:$O$4,0))</f>
        <v>0</v>
      </c>
      <c r="Z106" s="1530">
        <f t="array" ref="Z106">INDEX(EMIS_factors!$G$6:$O$152,MATCH($G106&amp;$AB106,EMIS_factors!$E$6:$E$152&amp;EMIS_factors!$D$6:$D$152,0),MATCH(RIGHT(Z$4,6),EMIS_factors!$G$4:$O$4,0))</f>
        <v>0</v>
      </c>
      <c r="AB106" s="526" t="s">
        <v>1485</v>
      </c>
      <c r="AE106" s="1265">
        <f t="array" ref="AE106">INDEX($AN$12:$BM$15,MATCH(F106,$AM$12:$AM$15,0),MATCH($AG106&amp;$AE$1,$AN$11:$BM$11&amp;$AN$9:$BM$9,0))/1000</f>
        <v>1.5804878048780491</v>
      </c>
      <c r="AF106" s="549">
        <f t="array" ref="AF106">(AE106^INDEX(ShipData!$X$36:$X$39,MATCH($F106,ShipData!$U$36:$U$39,0)))*0.756*INDEX(ShipData!$W$36:$W$39,MATCH($F106,ShipData!$U$36:$U$39,0))</f>
        <v>1602.8300580975306</v>
      </c>
      <c r="AG106" s="549" t="s">
        <v>1239</v>
      </c>
      <c r="AH106" s="526" t="s">
        <v>1253</v>
      </c>
      <c r="AI106" s="549" t="s">
        <v>1143</v>
      </c>
      <c r="AM106"/>
      <c r="AN106"/>
    </row>
    <row r="107" spans="3:40">
      <c r="C107" s="552" t="str">
        <f t="shared" si="42"/>
        <v>TFSMELCCL3N</v>
      </c>
      <c r="D107" s="552" t="s">
        <v>1090</v>
      </c>
      <c r="E107" s="534" t="s">
        <v>80</v>
      </c>
      <c r="F107" s="531" t="s">
        <v>1026</v>
      </c>
      <c r="G107" s="531">
        <v>2030</v>
      </c>
      <c r="H107" s="1237" t="s">
        <v>986</v>
      </c>
      <c r="I107" s="1239">
        <f t="array" ref="I107">INDEX($AN$12:$BM$15,MATCH(F107,$AM$12:$AM$15,0),MATCH(I$1&amp;$AG107,$AN$9:$BM$9&amp;$AN$11:$BM$11,0))</f>
        <v>3045.9905660377353</v>
      </c>
      <c r="J107" s="1239">
        <f t="shared" si="16"/>
        <v>3045.9905660377353</v>
      </c>
      <c r="K107" s="1239">
        <v>25616</v>
      </c>
      <c r="L107" s="1237">
        <v>46219</v>
      </c>
      <c r="M107" s="1265">
        <f t="array" ref="M107">1/(INDEX($AN$12:$BM$15,MATCH($F107,$AM$12:$AM$15,0),MATCH(($G107&amp;M$1)&amp;$AG107,$AN$9:$BM$9&amp;$AN$11:$BM$11,0))/1.852)</f>
        <v>1.9876124255718461</v>
      </c>
      <c r="N107" s="1265">
        <f t="shared" si="43"/>
        <v>1.9876124255718461</v>
      </c>
      <c r="O107" s="1237">
        <v>30</v>
      </c>
      <c r="P107" s="1265"/>
      <c r="Q107" s="1239">
        <f t="shared" ref="Q107" si="45">100*3.645</f>
        <v>364.5</v>
      </c>
      <c r="R107" s="1332">
        <f>R9+34057</f>
        <v>93589.238621695942</v>
      </c>
      <c r="S107" s="1237"/>
      <c r="T107" s="1237">
        <v>1E-3</v>
      </c>
      <c r="U107" s="1278"/>
      <c r="V107" s="552"/>
      <c r="W107" s="1530">
        <f t="array" ref="W107">INDEX(EMIS_factors!$G$6:$O$152,MATCH($G107&amp;$AB107,EMIS_factors!$E$6:$E$152&amp;EMIS_factors!$D$6:$D$152,0),MATCH(RIGHT(W$4,6),EMIS_factors!$G$4:$O$4,0))</f>
        <v>0</v>
      </c>
      <c r="X107" s="1530">
        <f t="array" ref="X107">INDEX(EMIS_factors!$G$6:$O$152,MATCH($G107&amp;$AB107,EMIS_factors!$E$6:$E$152&amp;EMIS_factors!$D$6:$D$152,0),MATCH(RIGHT(X$4,6),EMIS_factors!$G$4:$O$4,0))</f>
        <v>0</v>
      </c>
      <c r="Y107" s="1530">
        <f t="array" ref="Y107">INDEX(EMIS_factors!$G$6:$O$152,MATCH($G107&amp;$AB107,EMIS_factors!$E$6:$E$152&amp;EMIS_factors!$D$6:$D$152,0),MATCH(RIGHT(Y$4,6),EMIS_factors!$G$4:$O$4,0))</f>
        <v>0</v>
      </c>
      <c r="Z107" s="1530">
        <f t="array" ref="Z107">INDEX(EMIS_factors!$G$6:$O$152,MATCH($G107&amp;$AB107,EMIS_factors!$E$6:$E$152&amp;EMIS_factors!$D$6:$D$152,0),MATCH(RIGHT(Z$4,6),EMIS_factors!$G$4:$O$4,0))</f>
        <v>0</v>
      </c>
      <c r="AB107" s="526" t="s">
        <v>1485</v>
      </c>
      <c r="AE107" s="1265">
        <f t="array" ref="AE107">INDEX($AN$12:$BM$15,MATCH(F107,$AM$12:$AM$15,0),MATCH($AG107&amp;$AE$1,$AN$11:$BM$11&amp;$AN$9:$BM$9,0))/1000</f>
        <v>5.9433962264150946</v>
      </c>
      <c r="AF107" s="549">
        <f t="array" ref="AF107">(AE107^INDEX(ShipData!$X$36:$X$39,MATCH($F107,ShipData!$U$36:$U$39,0)))*0.756*INDEX(ShipData!$W$36:$W$39,MATCH($F107,ShipData!$U$36:$U$39,0))</f>
        <v>3369.7610132900404</v>
      </c>
      <c r="AG107" s="549" t="s">
        <v>1236</v>
      </c>
      <c r="AH107" s="526" t="s">
        <v>1253</v>
      </c>
      <c r="AI107" s="549" t="s">
        <v>1143</v>
      </c>
      <c r="AM107"/>
      <c r="AN107"/>
    </row>
    <row r="108" spans="3:40">
      <c r="C108" s="552" t="str">
        <f t="shared" si="42"/>
        <v>TFSSELCCD2N</v>
      </c>
      <c r="D108" s="552" t="s">
        <v>1091</v>
      </c>
      <c r="E108" s="534" t="s">
        <v>80</v>
      </c>
      <c r="F108" s="531" t="s">
        <v>1027</v>
      </c>
      <c r="G108" s="531">
        <v>2020</v>
      </c>
      <c r="H108" s="1237" t="s">
        <v>986</v>
      </c>
      <c r="I108" s="1239">
        <f t="array" ref="I108">INDEX($AN$12:$BM$15,MATCH(F108,$AM$12:$AM$15,0),MATCH(I$1&amp;$AG108,$AN$9:$BM$9&amp;$AN$11:$BM$11,0))</f>
        <v>1527</v>
      </c>
      <c r="J108" s="1239">
        <f t="shared" si="16"/>
        <v>1527</v>
      </c>
      <c r="K108" s="1239">
        <v>17027</v>
      </c>
      <c r="L108" s="1281">
        <v>30722</v>
      </c>
      <c r="M108" s="1265">
        <f t="array" ref="M108">1/(INDEX($AN$12:$BM$15,MATCH($F108,$AM$12:$AM$15,0),MATCH(($G108&amp;M$1)&amp;$AG108,$AN$9:$BM$9&amp;$AN$11:$BM$11,0))/1.852)</f>
        <v>3.4190010788978875</v>
      </c>
      <c r="N108" s="1265">
        <f t="shared" si="43"/>
        <v>3.4190010788978875</v>
      </c>
      <c r="O108" s="1237">
        <v>30</v>
      </c>
      <c r="P108" s="1265"/>
      <c r="Q108" s="1239">
        <f t="shared" ref="Q108" si="46">1.896*100</f>
        <v>189.6</v>
      </c>
      <c r="R108" s="1332">
        <f>R13+34057</f>
        <v>67901.051464575547</v>
      </c>
      <c r="S108" s="1237"/>
      <c r="T108" s="1237">
        <v>1E-3</v>
      </c>
      <c r="U108" s="1278"/>
      <c r="V108" s="552"/>
      <c r="W108" s="1530">
        <f t="array" ref="W108">INDEX(EMIS_factors!$G$6:$O$152,MATCH($G108&amp;$AB108,EMIS_factors!$E$6:$E$152&amp;EMIS_factors!$D$6:$D$152,0),MATCH(RIGHT(W$4,6),EMIS_factors!$G$4:$O$4,0))</f>
        <v>0</v>
      </c>
      <c r="X108" s="1530">
        <f t="array" ref="X108">INDEX(EMIS_factors!$G$6:$O$152,MATCH($G108&amp;$AB108,EMIS_factors!$E$6:$E$152&amp;EMIS_factors!$D$6:$D$152,0),MATCH(RIGHT(X$4,6),EMIS_factors!$G$4:$O$4,0))</f>
        <v>0</v>
      </c>
      <c r="Y108" s="1530">
        <f t="array" ref="Y108">INDEX(EMIS_factors!$G$6:$O$152,MATCH($G108&amp;$AB108,EMIS_factors!$E$6:$E$152&amp;EMIS_factors!$D$6:$D$152,0),MATCH(RIGHT(Y$4,6),EMIS_factors!$G$4:$O$4,0))</f>
        <v>0</v>
      </c>
      <c r="Z108" s="1530">
        <f t="array" ref="Z108">INDEX(EMIS_factors!$G$6:$O$152,MATCH($G108&amp;$AB108,EMIS_factors!$E$6:$E$152&amp;EMIS_factors!$D$6:$D$152,0),MATCH(RIGHT(Z$4,6),EMIS_factors!$G$4:$O$4,0))</f>
        <v>0</v>
      </c>
      <c r="AB108" s="526" t="s">
        <v>1485</v>
      </c>
      <c r="AE108" s="1265">
        <f t="array" ref="AE108">INDEX($AN$12:$BM$15,MATCH(F108,$AM$12:$AM$15,0),MATCH($AG108&amp;$AE$1,$AN$11:$BM$11&amp;$AN$9:$BM$9,0))/1000</f>
        <v>2.5449999999999999</v>
      </c>
      <c r="AF108" s="549">
        <f t="array" ref="AF108">(AE108^INDEX(ShipData!$X$36:$X$39,MATCH($F108,ShipData!$U$36:$U$39,0)))*0.756*INDEX(ShipData!$W$36:$W$39,MATCH($F108,ShipData!$U$36:$U$39,0))</f>
        <v>1921.6608368614334</v>
      </c>
      <c r="AG108" s="549" t="s">
        <v>1239</v>
      </c>
      <c r="AH108" s="526" t="s">
        <v>1253</v>
      </c>
      <c r="AI108" s="549" t="s">
        <v>1143</v>
      </c>
      <c r="AL108" s="526"/>
      <c r="AM108"/>
      <c r="AN108"/>
    </row>
    <row r="109" spans="3:40">
      <c r="C109" s="552" t="str">
        <f t="shared" si="42"/>
        <v>TFSMELCCD3N</v>
      </c>
      <c r="D109" s="552" t="s">
        <v>1092</v>
      </c>
      <c r="E109" s="534" t="s">
        <v>80</v>
      </c>
      <c r="F109" s="531" t="s">
        <v>1027</v>
      </c>
      <c r="G109" s="531">
        <v>2030</v>
      </c>
      <c r="H109" s="1237" t="s">
        <v>986</v>
      </c>
      <c r="I109" s="1239">
        <f t="array" ref="I109">INDEX($AN$12:$BM$15,MATCH(F109,$AM$12:$AM$15,0),MATCH(I$1&amp;$AG109,$AN$9:$BM$9&amp;$AN$11:$BM$11,0))</f>
        <v>4174</v>
      </c>
      <c r="J109" s="1239">
        <f t="shared" si="16"/>
        <v>4174</v>
      </c>
      <c r="K109" s="1239">
        <v>3330</v>
      </c>
      <c r="L109" s="1281">
        <v>6009</v>
      </c>
      <c r="M109" s="1265">
        <f t="array" ref="M109">1/(INDEX($AN$12:$BM$15,MATCH($F109,$AM$12:$AM$15,0),MATCH(($G109&amp;M$1)&amp;$AG109,$AN$9:$BM$9&amp;$AN$11:$BM$11,0))/1.852)</f>
        <v>2.1794284452298629</v>
      </c>
      <c r="N109" s="1265">
        <f t="shared" si="43"/>
        <v>2.1794284452298629</v>
      </c>
      <c r="O109" s="1237">
        <v>30</v>
      </c>
      <c r="P109" s="1265"/>
      <c r="Q109" s="1239">
        <f t="shared" ref="Q109" si="47">100*3.394</f>
        <v>339.40000000000003</v>
      </c>
      <c r="R109" s="1332">
        <f>R15+34057</f>
        <v>94497.986625948048</v>
      </c>
      <c r="S109" s="1237"/>
      <c r="T109" s="1237">
        <v>1E-3</v>
      </c>
      <c r="U109" s="1278"/>
      <c r="V109" s="552"/>
      <c r="W109" s="1530">
        <f t="array" ref="W109">INDEX(EMIS_factors!$G$6:$O$152,MATCH($G109&amp;$AB109,EMIS_factors!$E$6:$E$152&amp;EMIS_factors!$D$6:$D$152,0),MATCH(RIGHT(W$4,6),EMIS_factors!$G$4:$O$4,0))</f>
        <v>0</v>
      </c>
      <c r="X109" s="1530">
        <f t="array" ref="X109">INDEX(EMIS_factors!$G$6:$O$152,MATCH($G109&amp;$AB109,EMIS_factors!$E$6:$E$152&amp;EMIS_factors!$D$6:$D$152,0),MATCH(RIGHT(X$4,6),EMIS_factors!$G$4:$O$4,0))</f>
        <v>0</v>
      </c>
      <c r="Y109" s="1530">
        <f t="array" ref="Y109">INDEX(EMIS_factors!$G$6:$O$152,MATCH($G109&amp;$AB109,EMIS_factors!$E$6:$E$152&amp;EMIS_factors!$D$6:$D$152,0),MATCH(RIGHT(Y$4,6),EMIS_factors!$G$4:$O$4,0))</f>
        <v>0</v>
      </c>
      <c r="Z109" s="1530">
        <f t="array" ref="Z109">INDEX(EMIS_factors!$G$6:$O$152,MATCH($G109&amp;$AB109,EMIS_factors!$E$6:$E$152&amp;EMIS_factors!$D$6:$D$152,0),MATCH(RIGHT(Z$4,6),EMIS_factors!$G$4:$O$4,0))</f>
        <v>0</v>
      </c>
      <c r="AB109" s="526" t="s">
        <v>1485</v>
      </c>
      <c r="AE109" s="1265">
        <f t="array" ref="AE109">INDEX($AN$12:$BM$15,MATCH(F109,$AM$12:$AM$15,0),MATCH($AG109&amp;$AE$1,$AN$11:$BM$11&amp;$AN$9:$BM$9,0))/1000</f>
        <v>6.956666666666667</v>
      </c>
      <c r="AF109" s="549">
        <f t="array" ref="AF109">(AE109^INDEX(ShipData!$X$36:$X$39,MATCH($F109,ShipData!$U$36:$U$39,0)))*0.756*INDEX(ShipData!$W$36:$W$39,MATCH($F109,ShipData!$U$36:$U$39,0))</f>
        <v>3439.8048335584949</v>
      </c>
      <c r="AG109" s="549" t="s">
        <v>1236</v>
      </c>
      <c r="AH109" s="526" t="s">
        <v>1253</v>
      </c>
      <c r="AI109" s="549" t="s">
        <v>1143</v>
      </c>
      <c r="AL109"/>
      <c r="AM109"/>
      <c r="AN109"/>
    </row>
    <row r="110" spans="3:40">
      <c r="C110" s="552" t="str">
        <f t="shared" si="42"/>
        <v>TFSSELCCC2N</v>
      </c>
      <c r="D110" s="552" t="s">
        <v>1093</v>
      </c>
      <c r="E110" s="534" t="s">
        <v>80</v>
      </c>
      <c r="F110" s="531" t="s">
        <v>1028</v>
      </c>
      <c r="G110" s="531">
        <v>2020</v>
      </c>
      <c r="H110" s="1237" t="s">
        <v>986</v>
      </c>
      <c r="I110" s="1239">
        <f t="array" ref="I110">INDEX($AN$12:$BM$15,MATCH(F110,$AM$12:$AM$15,0),MATCH(I$1&amp;$AG110,$AN$9:$BM$9&amp;$AN$11:$BM$11,0))</f>
        <v>2450</v>
      </c>
      <c r="J110" s="1239">
        <f t="shared" si="16"/>
        <v>2450</v>
      </c>
      <c r="K110" s="1239">
        <v>0</v>
      </c>
      <c r="L110" s="1281">
        <v>0</v>
      </c>
      <c r="M110" s="1265">
        <f t="array" ref="M110">1/(INDEX($AN$12:$BM$15,MATCH($F110,$AM$12:$AM$15,0),MATCH(($G110&amp;M$1)&amp;$AG110,$AN$9:$BM$9&amp;$AN$11:$BM$11,0))/1.852)</f>
        <v>1.7403348779577166</v>
      </c>
      <c r="N110" s="1265">
        <f t="shared" si="43"/>
        <v>1.7403348779577166</v>
      </c>
      <c r="O110" s="1237">
        <v>30</v>
      </c>
      <c r="P110" s="1265"/>
      <c r="Q110" s="1239">
        <f t="shared" ref="Q110" si="48">2.42*100</f>
        <v>242</v>
      </c>
      <c r="R110" s="1332">
        <f>R19+34057</f>
        <v>66089.80596771292</v>
      </c>
      <c r="S110" s="1237"/>
      <c r="T110" s="1237">
        <v>1E-3</v>
      </c>
      <c r="U110" s="1278"/>
      <c r="V110" s="552"/>
      <c r="W110" s="1530">
        <f t="array" ref="W110">INDEX(EMIS_factors!$G$6:$O$152,MATCH($G110&amp;$AB110,EMIS_factors!$E$6:$E$152&amp;EMIS_factors!$D$6:$D$152,0),MATCH(RIGHT(W$4,6),EMIS_factors!$G$4:$O$4,0))</f>
        <v>0</v>
      </c>
      <c r="X110" s="1530">
        <f t="array" ref="X110">INDEX(EMIS_factors!$G$6:$O$152,MATCH($G110&amp;$AB110,EMIS_factors!$E$6:$E$152&amp;EMIS_factors!$D$6:$D$152,0),MATCH(RIGHT(X$4,6),EMIS_factors!$G$4:$O$4,0))</f>
        <v>0</v>
      </c>
      <c r="Y110" s="1530">
        <f t="array" ref="Y110">INDEX(EMIS_factors!$G$6:$O$152,MATCH($G110&amp;$AB110,EMIS_factors!$E$6:$E$152&amp;EMIS_factors!$D$6:$D$152,0),MATCH(RIGHT(Y$4,6),EMIS_factors!$G$4:$O$4,0))</f>
        <v>0</v>
      </c>
      <c r="Z110" s="1530">
        <f t="array" ref="Z110">INDEX(EMIS_factors!$G$6:$O$152,MATCH($G110&amp;$AB110,EMIS_factors!$E$6:$E$152&amp;EMIS_factors!$D$6:$D$152,0),MATCH(RIGHT(Z$4,6),EMIS_factors!$G$4:$O$4,0))</f>
        <v>0</v>
      </c>
      <c r="AB110" s="526" t="s">
        <v>1485</v>
      </c>
      <c r="AE110" s="1265">
        <f t="array" ref="AE110">INDEX($AN$12:$BM$15,MATCH(F110,$AM$12:$AM$15,0),MATCH($AG110&amp;$AE$1,$AN$11:$BM$11&amp;$AN$9:$BM$9,0))/1000</f>
        <v>3.5</v>
      </c>
      <c r="AF110" s="549">
        <f t="array" ref="AF110">(AE110^INDEX(ShipData!$X$36:$X$39,MATCH($F110,ShipData!$U$36:$U$39,0)))*0.756*INDEX(ShipData!$W$36:$W$39,MATCH($F110,ShipData!$U$36:$U$39,0))</f>
        <v>2454.0448908848457</v>
      </c>
      <c r="AG110" s="549" t="s">
        <v>1239</v>
      </c>
      <c r="AH110" s="526" t="s">
        <v>1253</v>
      </c>
      <c r="AI110" s="549" t="s">
        <v>1145</v>
      </c>
      <c r="AL110"/>
      <c r="AM110"/>
      <c r="AN110"/>
    </row>
    <row r="111" spans="3:40">
      <c r="C111" s="552" t="str">
        <f t="shared" si="42"/>
        <v>TFSMELCCC3N</v>
      </c>
      <c r="D111" s="552" t="s">
        <v>1094</v>
      </c>
      <c r="E111" s="534" t="s">
        <v>80</v>
      </c>
      <c r="F111" s="531" t="s">
        <v>1028</v>
      </c>
      <c r="G111" s="531">
        <v>2030</v>
      </c>
      <c r="H111" s="1237" t="s">
        <v>986</v>
      </c>
      <c r="I111" s="1239">
        <f t="array" ref="I111">INDEX($AN$12:$BM$15,MATCH(F111,$AM$12:$AM$15,0),MATCH(I$1&amp;$AG111,$AN$9:$BM$9&amp;$AN$11:$BM$11,0))</f>
        <v>4900</v>
      </c>
      <c r="J111" s="1239">
        <f t="shared" si="16"/>
        <v>4900</v>
      </c>
      <c r="K111" s="1239">
        <v>362</v>
      </c>
      <c r="L111" s="1281">
        <v>653</v>
      </c>
      <c r="M111" s="1265">
        <f t="array" ref="M111">1/(INDEX($AN$12:$BM$15,MATCH($F111,$AM$12:$AM$15,0),MATCH(($G111&amp;M$1)&amp;$AG111,$AN$9:$BM$9&amp;$AN$11:$BM$11,0))/1.852)</f>
        <v>0.87906595126970144</v>
      </c>
      <c r="N111" s="1265">
        <f t="shared" si="43"/>
        <v>0.87906595126970144</v>
      </c>
      <c r="O111" s="1237">
        <v>30</v>
      </c>
      <c r="P111" s="1265"/>
      <c r="Q111" s="1239">
        <f t="shared" ref="Q111" si="49">100*5.411</f>
        <v>541.09999999999991</v>
      </c>
      <c r="R111" s="1332">
        <f>R21+34057</f>
        <v>105643.37597003153</v>
      </c>
      <c r="S111" s="1237"/>
      <c r="T111" s="1237">
        <v>1E-3</v>
      </c>
      <c r="U111" s="1278"/>
      <c r="V111" s="552"/>
      <c r="W111" s="1530">
        <f t="array" ref="W111">INDEX(EMIS_factors!$G$6:$O$152,MATCH($G111&amp;$AB111,EMIS_factors!$E$6:$E$152&amp;EMIS_factors!$D$6:$D$152,0),MATCH(RIGHT(W$4,6),EMIS_factors!$G$4:$O$4,0))</f>
        <v>0</v>
      </c>
      <c r="X111" s="1530">
        <f t="array" ref="X111">INDEX(EMIS_factors!$G$6:$O$152,MATCH($G111&amp;$AB111,EMIS_factors!$E$6:$E$152&amp;EMIS_factors!$D$6:$D$152,0),MATCH(RIGHT(X$4,6),EMIS_factors!$G$4:$O$4,0))</f>
        <v>0</v>
      </c>
      <c r="Y111" s="1530">
        <f t="array" ref="Y111">INDEX(EMIS_factors!$G$6:$O$152,MATCH($G111&amp;$AB111,EMIS_factors!$E$6:$E$152&amp;EMIS_factors!$D$6:$D$152,0),MATCH(RIGHT(Y$4,6),EMIS_factors!$G$4:$O$4,0))</f>
        <v>0</v>
      </c>
      <c r="Z111" s="1530">
        <f t="array" ref="Z111">INDEX(EMIS_factors!$G$6:$O$152,MATCH($G111&amp;$AB111,EMIS_factors!$E$6:$E$152&amp;EMIS_factors!$D$6:$D$152,0),MATCH(RIGHT(Z$4,6),EMIS_factors!$G$4:$O$4,0))</f>
        <v>0</v>
      </c>
      <c r="AB111" s="526" t="s">
        <v>1485</v>
      </c>
      <c r="AE111" s="1265">
        <f t="array" ref="AE111">INDEX($AN$12:$BM$15,MATCH(F111,$AM$12:$AM$15,0),MATCH($AG111&amp;$AE$1,$AN$11:$BM$11&amp;$AN$9:$BM$9,0))/1000</f>
        <v>7</v>
      </c>
      <c r="AF111" s="549">
        <f t="array" ref="AF111">(AE111^INDEX(ShipData!$X$36:$X$39,MATCH($F111,ShipData!$U$36:$U$39,0)))*0.756*INDEX(ShipData!$W$36:$W$39,MATCH($F111,ShipData!$U$36:$U$39,0))</f>
        <v>5483.7455856749639</v>
      </c>
      <c r="AG111" s="549" t="s">
        <v>1236</v>
      </c>
      <c r="AH111" s="526" t="s">
        <v>1253</v>
      </c>
      <c r="AI111" s="549" t="s">
        <v>1145</v>
      </c>
      <c r="AL111"/>
      <c r="AM111"/>
      <c r="AN111"/>
    </row>
    <row r="112" spans="3:40">
      <c r="C112" s="552" t="str">
        <f t="shared" si="42"/>
        <v>TFSSELCCR2N</v>
      </c>
      <c r="D112" s="552" t="s">
        <v>1095</v>
      </c>
      <c r="E112" s="534" t="s">
        <v>80</v>
      </c>
      <c r="F112" s="531" t="s">
        <v>1029</v>
      </c>
      <c r="G112" s="531">
        <v>2020</v>
      </c>
      <c r="H112" s="1237" t="s">
        <v>986</v>
      </c>
      <c r="I112" s="1239">
        <f t="array" ref="I112">INDEX($AN$12:$BM$15,MATCH(F112,$AM$12:$AM$15,0),MATCH(I$1&amp;$AG112,$AN$9:$BM$9&amp;$AN$11:$BM$11,0))</f>
        <v>1002</v>
      </c>
      <c r="J112" s="1239">
        <f t="shared" si="16"/>
        <v>1002</v>
      </c>
      <c r="K112" s="1239">
        <v>38287</v>
      </c>
      <c r="L112" s="1281">
        <v>69083</v>
      </c>
      <c r="M112" s="1265">
        <f t="array" ref="M112">1/(INDEX($AN$12:$BM$15,MATCH($F112,$AM$12:$AM$15,0),MATCH(($G112&amp;M$1)&amp;$AG112,$AN$9:$BM$9&amp;$AN$11:$BM$11,0))/1.852)</f>
        <v>1.7403348779577166</v>
      </c>
      <c r="N112" s="1265">
        <f t="shared" si="43"/>
        <v>1.7403348779577166</v>
      </c>
      <c r="O112" s="1237">
        <v>30</v>
      </c>
      <c r="P112" s="1265"/>
      <c r="Q112" s="1239">
        <f t="shared" ref="Q112" si="50">1.693*100</f>
        <v>169.3</v>
      </c>
      <c r="R112" s="1332">
        <f>R25+34057</f>
        <v>56804.269316904043</v>
      </c>
      <c r="S112" s="1237"/>
      <c r="T112" s="1237">
        <v>1E-3</v>
      </c>
      <c r="U112" s="1278"/>
      <c r="V112" s="552"/>
      <c r="W112" s="1530">
        <f t="array" ref="W112">INDEX(EMIS_factors!$G$6:$O$152,MATCH($G112&amp;$AB112,EMIS_factors!$E$6:$E$152&amp;EMIS_factors!$D$6:$D$152,0),MATCH(RIGHT(W$4,6),EMIS_factors!$G$4:$O$4,0))</f>
        <v>0</v>
      </c>
      <c r="X112" s="1530">
        <f t="array" ref="X112">INDEX(EMIS_factors!$G$6:$O$152,MATCH($G112&amp;$AB112,EMIS_factors!$E$6:$E$152&amp;EMIS_factors!$D$6:$D$152,0),MATCH(RIGHT(X$4,6),EMIS_factors!$G$4:$O$4,0))</f>
        <v>0</v>
      </c>
      <c r="Y112" s="1530">
        <f t="array" ref="Y112">INDEX(EMIS_factors!$G$6:$O$152,MATCH($G112&amp;$AB112,EMIS_factors!$E$6:$E$152&amp;EMIS_factors!$D$6:$D$152,0),MATCH(RIGHT(Y$4,6),EMIS_factors!$G$4:$O$4,0))</f>
        <v>0</v>
      </c>
      <c r="Z112" s="1530">
        <f t="array" ref="Z112">INDEX(EMIS_factors!$G$6:$O$152,MATCH($G112&amp;$AB112,EMIS_factors!$E$6:$E$152&amp;EMIS_factors!$D$6:$D$152,0),MATCH(RIGHT(Z$4,6),EMIS_factors!$G$4:$O$4,0))</f>
        <v>0</v>
      </c>
      <c r="AB112" s="526" t="s">
        <v>1485</v>
      </c>
      <c r="AE112" s="1265">
        <f t="array" ref="AE112">INDEX($AN$12:$BM$15,MATCH(F112,$AM$12:$AM$15,0),MATCH($AG112&amp;$AE$1,$AN$11:$BM$11&amp;$AN$9:$BM$9,0))/1000</f>
        <v>1.4314285714285715</v>
      </c>
      <c r="AF112" s="549">
        <f t="array" ref="AF112">(AE112^INDEX(ShipData!$X$36:$X$39,MATCH($F112,ShipData!$U$36:$U$39,0)))*0.756*INDEX(ShipData!$W$36:$W$39,MATCH($F112,ShipData!$U$36:$U$39,0))</f>
        <v>1715.2886160618959</v>
      </c>
      <c r="AG112" s="549" t="s">
        <v>1239</v>
      </c>
      <c r="AH112" s="526" t="s">
        <v>1253</v>
      </c>
      <c r="AI112" s="549" t="s">
        <v>1145</v>
      </c>
      <c r="AL112"/>
      <c r="AM112"/>
      <c r="AN112"/>
    </row>
    <row r="113" spans="3:40">
      <c r="C113" s="1428" t="str">
        <f t="shared" si="42"/>
        <v>TFSMELCCR3N</v>
      </c>
      <c r="D113" s="552" t="s">
        <v>1096</v>
      </c>
      <c r="E113" s="1429" t="s">
        <v>80</v>
      </c>
      <c r="F113" s="1430" t="s">
        <v>1029</v>
      </c>
      <c r="G113" s="1430">
        <v>2030</v>
      </c>
      <c r="H113" s="1431" t="s">
        <v>986</v>
      </c>
      <c r="I113" s="1434">
        <f t="array" ref="I113">INDEX($AN$12:$BM$15,MATCH(F113,$AM$12:$AM$15,0),MATCH(I$1&amp;$AG113,$AN$9:$BM$9&amp;$AN$11:$BM$11,0))</f>
        <v>3608</v>
      </c>
      <c r="J113" s="1434">
        <f t="shared" si="16"/>
        <v>3608</v>
      </c>
      <c r="K113" s="1434">
        <v>925</v>
      </c>
      <c r="L113" s="1451">
        <v>1668</v>
      </c>
      <c r="M113" s="1448">
        <f t="array" ref="M113">1/(INDEX($AN$12:$BM$15,MATCH($F113,$AM$12:$AM$15,0),MATCH(($G113&amp;M$1)&amp;$AG113,$AN$9:$BM$9&amp;$AN$11:$BM$11,0))/1.852)</f>
        <v>0.87906595126970144</v>
      </c>
      <c r="N113" s="1448">
        <f t="shared" si="43"/>
        <v>0.87906595126970144</v>
      </c>
      <c r="O113" s="1431">
        <v>30</v>
      </c>
      <c r="P113" s="1448"/>
      <c r="Q113" s="1434">
        <f t="shared" ref="Q113" si="51">100*5.396</f>
        <v>539.6</v>
      </c>
      <c r="R113" s="1455">
        <f>R27+34057</f>
        <v>105456.41045902918</v>
      </c>
      <c r="S113" s="1431"/>
      <c r="T113" s="1431">
        <v>1E-3</v>
      </c>
      <c r="U113" s="1446"/>
      <c r="V113" s="1428"/>
      <c r="W113" s="1530">
        <f t="array" ref="W113">INDEX(EMIS_factors!$G$6:$O$152,MATCH($G113&amp;$AB113,EMIS_factors!$E$6:$E$152&amp;EMIS_factors!$D$6:$D$152,0),MATCH(RIGHT(W$4,6),EMIS_factors!$G$4:$O$4,0))</f>
        <v>46.838407494145208</v>
      </c>
      <c r="X113" s="1530">
        <f t="array" ref="X113">INDEX(EMIS_factors!$G$6:$O$152,MATCH($G113&amp;$AB113,EMIS_factors!$E$6:$E$152&amp;EMIS_factors!$D$6:$D$152,0),MATCH(RIGHT(X$4,6),EMIS_factors!$G$4:$O$4,0))</f>
        <v>938.56734047344298</v>
      </c>
      <c r="Y113" s="1530">
        <f t="array" ref="Y113">INDEX(EMIS_factors!$G$6:$O$152,MATCH($G113&amp;$AB113,EMIS_factors!$E$6:$E$152&amp;EMIS_factors!$D$6:$D$152,0),MATCH(RIGHT(Y$4,6),EMIS_factors!$G$4:$O$4,0))</f>
        <v>1.9042584079204421</v>
      </c>
      <c r="Z113" s="1530">
        <f t="array" ref="Z113">INDEX(EMIS_factors!$G$6:$O$152,MATCH($G113&amp;$AB113,EMIS_factors!$E$6:$E$152&amp;EMIS_factors!$D$6:$D$152,0),MATCH(RIGHT(Z$4,6),EMIS_factors!$G$4:$O$4,0))</f>
        <v>21.22370326738832</v>
      </c>
      <c r="AB113" s="526" t="s">
        <v>1462</v>
      </c>
      <c r="AE113" s="1265">
        <f t="array" ref="AE113">INDEX($AN$12:$BM$15,MATCH(F113,$AM$12:$AM$15,0),MATCH($AG113&amp;$AE$1,$AN$11:$BM$11&amp;$AN$9:$BM$9,0))/1000</f>
        <v>5.1542857142857148</v>
      </c>
      <c r="AF113" s="549">
        <f t="array" ref="AF113">(AE113^INDEX(ShipData!$X$36:$X$39,MATCH($F113,ShipData!$U$36:$U$39,0)))*0.756*INDEX(ShipData!$W$36:$W$39,MATCH($F113,ShipData!$U$36:$U$39,0))</f>
        <v>5468.6247789018307</v>
      </c>
      <c r="AG113" s="549" t="s">
        <v>1236</v>
      </c>
      <c r="AH113" s="526" t="s">
        <v>1253</v>
      </c>
      <c r="AI113" s="549" t="s">
        <v>1145</v>
      </c>
      <c r="AL113"/>
      <c r="AM113"/>
      <c r="AN113"/>
    </row>
    <row r="114" spans="3:40">
      <c r="C114" s="552" t="str">
        <f t="shared" si="42"/>
        <v>TFSSFOFCL2N</v>
      </c>
      <c r="D114" s="552" t="s">
        <v>1097</v>
      </c>
      <c r="E114" s="534" t="s">
        <v>984</v>
      </c>
      <c r="F114" s="531" t="s">
        <v>1026</v>
      </c>
      <c r="G114" s="531">
        <v>2020</v>
      </c>
      <c r="H114" s="1237" t="s">
        <v>986</v>
      </c>
      <c r="I114" s="1239">
        <f t="array" ref="I114">INDEX($AN$12:$BM$15,MATCH(F114,$AM$12:$AM$15,0),MATCH(I$1&amp;$AG114,$AN$9:$BM$9&amp;$AN$11:$BM$11,0))</f>
        <v>810</v>
      </c>
      <c r="J114" s="1239">
        <f t="shared" si="16"/>
        <v>810</v>
      </c>
      <c r="K114" s="1239">
        <v>46488</v>
      </c>
      <c r="L114" s="1237">
        <v>83879</v>
      </c>
      <c r="M114" s="1265">
        <f t="array" ref="M114">1/(INDEX($AN$12:$BM$15,MATCH($F114,$AM$12:$AM$15,0),MATCH(($G114&amp;M$1)&amp;$AG114,$AN$9:$BM$9&amp;$AN$11:$BM$11,0))/1.852)</f>
        <v>2.3752039567310899</v>
      </c>
      <c r="N114" s="1265">
        <f t="shared" si="43"/>
        <v>2.3752039567310899</v>
      </c>
      <c r="O114" s="1237">
        <v>30</v>
      </c>
      <c r="P114" s="1265"/>
      <c r="Q114" s="1265">
        <f>0.035*R114</f>
        <v>2531.8228002351166</v>
      </c>
      <c r="R114" s="1265">
        <f t="array" ref="R114">(AF114*(INDEX(ShipData!$P$19:$R$26,MATCH($AH114,ShipData!$N$19:$N$26,0),MATCH($AI114,ShipData!$P$18:$R$18,0))+INDEX(ShipData!$P$30:$R$37,MATCH($AH114,ShipData!$N$30:$N$37,0),MATCH($AI114,ShipData!$P$29:$R$29,0)))+K114*0.1*(1/M114)*INDEX(ShipData!$P$41:$R$48,MATCH($AH114,ShipData!$N$41:$N$48,0),MATCH($AI114,ShipData!$P$40:$R$40,0)))*6.5/1000</f>
        <v>72337.794292431892</v>
      </c>
      <c r="S114" s="1237"/>
      <c r="T114" s="1237">
        <v>1E-3</v>
      </c>
      <c r="U114" s="1278"/>
      <c r="V114" s="552"/>
      <c r="W114" s="1530">
        <f t="array" ref="W114">INDEX(EMIS_factors!$G$6:$O$152,MATCH($G114&amp;$AB114,EMIS_factors!$E$6:$E$152&amp;EMIS_factors!$D$6:$D$152,0),MATCH(RIGHT(W$4,6),EMIS_factors!$G$4:$O$4,0))</f>
        <v>46.838407494145208</v>
      </c>
      <c r="X114" s="1530">
        <f t="array" ref="X114">INDEX(EMIS_factors!$G$6:$O$152,MATCH($G114&amp;$AB114,EMIS_factors!$E$6:$E$152&amp;EMIS_factors!$D$6:$D$152,0),MATCH(RIGHT(X$4,6),EMIS_factors!$G$4:$O$4,0))</f>
        <v>1402.4856581824845</v>
      </c>
      <c r="Y114" s="1530">
        <f t="array" ref="Y114">INDEX(EMIS_factors!$G$6:$O$152,MATCH($G114&amp;$AB114,EMIS_factors!$E$6:$E$152&amp;EMIS_factors!$D$6:$D$152,0),MATCH(RIGHT(Y$4,6),EMIS_factors!$G$4:$O$4,0))</f>
        <v>1.8637630108223573</v>
      </c>
      <c r="Z114" s="1530">
        <f t="array" ref="Z114">INDEX(EMIS_factors!$G$6:$O$152,MATCH($G114&amp;$AB114,EMIS_factors!$E$6:$E$152&amp;EMIS_factors!$D$6:$D$152,0),MATCH(RIGHT(Z$4,6),EMIS_factors!$G$4:$O$4,0))</f>
        <v>21.22370326738832</v>
      </c>
      <c r="AB114" s="526" t="s">
        <v>1462</v>
      </c>
      <c r="AE114" s="1265">
        <f t="array" ref="AE114">INDEX($AN$12:$BM$15,MATCH(F114,$AM$12:$AM$15,0),MATCH($AG114&amp;$AE$1,$AN$11:$BM$11&amp;$AN$9:$BM$9,0))/1000</f>
        <v>1.5804878048780491</v>
      </c>
      <c r="AF114" s="549">
        <f t="array" ref="AF114">(AE114^INDEX(ShipData!$X$36:$X$39,MATCH($F114,ShipData!$U$36:$U$39,0)))*0.756*INDEX(ShipData!$W$36:$W$39,MATCH($F114,ShipData!$U$36:$U$39,0))</f>
        <v>1602.8300580975306</v>
      </c>
      <c r="AG114" s="549" t="s">
        <v>1239</v>
      </c>
      <c r="AH114" s="526" t="s">
        <v>1245</v>
      </c>
      <c r="AI114" s="549" t="s">
        <v>1143</v>
      </c>
      <c r="AL114"/>
      <c r="AM114"/>
      <c r="AN114"/>
    </row>
    <row r="115" spans="3:40">
      <c r="C115" s="552" t="str">
        <f t="shared" si="42"/>
        <v>TFSMFOFCL3N</v>
      </c>
      <c r="D115" s="552" t="s">
        <v>1098</v>
      </c>
      <c r="E115" s="534" t="s">
        <v>987</v>
      </c>
      <c r="F115" s="531" t="s">
        <v>1026</v>
      </c>
      <c r="G115" s="531">
        <v>2030</v>
      </c>
      <c r="H115" s="1237" t="s">
        <v>986</v>
      </c>
      <c r="I115" s="1239">
        <f t="array" ref="I115">INDEX($AN$12:$BM$15,MATCH(F115,$AM$12:$AM$15,0),MATCH(I$1&amp;$AG115,$AN$9:$BM$9&amp;$AN$11:$BM$11,0))</f>
        <v>3045.9905660377353</v>
      </c>
      <c r="J115" s="1239">
        <f t="shared" si="16"/>
        <v>3045.9905660377353</v>
      </c>
      <c r="K115" s="1239">
        <v>25616</v>
      </c>
      <c r="L115" s="1237">
        <v>46219</v>
      </c>
      <c r="M115" s="1265">
        <f t="array" ref="M115">1/(INDEX($AN$12:$BM$15,MATCH($F115,$AM$12:$AM$15,0),MATCH(($G115&amp;M$1)&amp;$AG115,$AN$9:$BM$9&amp;$AN$11:$BM$11,0))/1.852)</f>
        <v>1.9876124255718461</v>
      </c>
      <c r="N115" s="1265">
        <f t="shared" si="43"/>
        <v>1.9876124255718461</v>
      </c>
      <c r="O115" s="1237">
        <v>30</v>
      </c>
      <c r="P115" s="1265"/>
      <c r="Q115" s="1265">
        <f t="shared" ref="Q115:Q153" si="52">0.035*R115</f>
        <v>5303.5708496831639</v>
      </c>
      <c r="R115" s="1265">
        <f t="array" ref="R115">(AF115*(INDEX(ShipData!$P$19:$R$26,MATCH($AH115,ShipData!$N$19:$N$26,0),MATCH($AI115,ShipData!$P$18:$R$18,0))+INDEX(ShipData!$P$30:$R$37,MATCH($AH115,ShipData!$N$30:$N$37,0),MATCH($AI115,ShipData!$P$29:$R$29,0)))+K115*0.1*(1/M115)*INDEX(ShipData!$P$41:$R$48,MATCH($AH115,ShipData!$N$41:$N$48,0),MATCH($AI115,ShipData!$P$40:$R$40,0)))*6.5/1000</f>
        <v>151530.59570523325</v>
      </c>
      <c r="S115" s="1237"/>
      <c r="T115" s="1237">
        <v>1E-3</v>
      </c>
      <c r="U115" s="1278"/>
      <c r="V115" s="552"/>
      <c r="W115" s="1530">
        <f t="array" ref="W115">INDEX(EMIS_factors!$G$6:$O$152,MATCH($G115&amp;$AB115,EMIS_factors!$E$6:$E$152&amp;EMIS_factors!$D$6:$D$152,0),MATCH(RIGHT(W$4,6),EMIS_factors!$G$4:$O$4,0))</f>
        <v>46.838407494145208</v>
      </c>
      <c r="X115" s="1530">
        <f t="array" ref="X115">INDEX(EMIS_factors!$G$6:$O$152,MATCH($G115&amp;$AB115,EMIS_factors!$E$6:$E$152&amp;EMIS_factors!$D$6:$D$152,0),MATCH(RIGHT(X$4,6),EMIS_factors!$G$4:$O$4,0))</f>
        <v>938.56734047344298</v>
      </c>
      <c r="Y115" s="1530">
        <f t="array" ref="Y115">INDEX(EMIS_factors!$G$6:$O$152,MATCH($G115&amp;$AB115,EMIS_factors!$E$6:$E$152&amp;EMIS_factors!$D$6:$D$152,0),MATCH(RIGHT(Y$4,6),EMIS_factors!$G$4:$O$4,0))</f>
        <v>1.9042584079204421</v>
      </c>
      <c r="Z115" s="1530">
        <f t="array" ref="Z115">INDEX(EMIS_factors!$G$6:$O$152,MATCH($G115&amp;$AB115,EMIS_factors!$E$6:$E$152&amp;EMIS_factors!$D$6:$D$152,0),MATCH(RIGHT(Z$4,6),EMIS_factors!$G$4:$O$4,0))</f>
        <v>21.22370326738832</v>
      </c>
      <c r="AB115" s="526" t="s">
        <v>1462</v>
      </c>
      <c r="AE115" s="1265">
        <f t="array" ref="AE115">INDEX($AN$12:$BM$15,MATCH(F115,$AM$12:$AM$15,0),MATCH($AG115&amp;$AE$1,$AN$11:$BM$11&amp;$AN$9:$BM$9,0))/1000</f>
        <v>5.9433962264150946</v>
      </c>
      <c r="AF115" s="549">
        <f t="array" ref="AF115">(AE115^INDEX(ShipData!$X$36:$X$39,MATCH($F115,ShipData!$U$36:$U$39,0)))*0.756*INDEX(ShipData!$W$36:$W$39,MATCH($F115,ShipData!$U$36:$U$39,0))</f>
        <v>3369.7610132900404</v>
      </c>
      <c r="AG115" s="549" t="s">
        <v>1236</v>
      </c>
      <c r="AH115" s="526" t="s">
        <v>1245</v>
      </c>
      <c r="AI115" s="549" t="s">
        <v>1143</v>
      </c>
      <c r="AL115"/>
      <c r="AM115"/>
      <c r="AN115"/>
    </row>
    <row r="116" spans="3:40">
      <c r="C116" s="552" t="str">
        <f t="shared" si="42"/>
        <v>TFSSFOFCD2N</v>
      </c>
      <c r="D116" s="552" t="s">
        <v>1105</v>
      </c>
      <c r="E116" s="534" t="str">
        <f>E114</f>
        <v>TRAMFO2</v>
      </c>
      <c r="F116" s="531" t="s">
        <v>1027</v>
      </c>
      <c r="G116" s="531">
        <v>2020</v>
      </c>
      <c r="H116" s="1237" t="s">
        <v>986</v>
      </c>
      <c r="I116" s="1239">
        <f t="array" ref="I116">INDEX($AN$12:$BM$15,MATCH(F116,$AM$12:$AM$15,0),MATCH(I$1&amp;$AG116,$AN$9:$BM$9&amp;$AN$11:$BM$11,0))</f>
        <v>1527</v>
      </c>
      <c r="J116" s="1239">
        <f t="shared" ref="J116:J129" si="53">I116</f>
        <v>1527</v>
      </c>
      <c r="K116" s="1239">
        <v>17027</v>
      </c>
      <c r="L116" s="1281">
        <v>30722</v>
      </c>
      <c r="M116" s="1265">
        <f t="array" ref="M116">1/(INDEX($AN$12:$BM$15,MATCH($F116,$AM$12:$AM$15,0),MATCH(($G116&amp;M$1)&amp;$AG116,$AN$9:$BM$9&amp;$AN$11:$BM$11,0))/1.852)</f>
        <v>3.4190010788978875</v>
      </c>
      <c r="N116" s="1265">
        <f t="shared" ref="N116:N129" si="54">M116</f>
        <v>3.4190010788978875</v>
      </c>
      <c r="O116" s="1237">
        <v>30</v>
      </c>
      <c r="P116" s="1265"/>
      <c r="Q116" s="1265">
        <f t="shared" ref="Q116:Q121" si="55">0.035*R116</f>
        <v>3022.8301376959384</v>
      </c>
      <c r="R116" s="1265">
        <f t="array" ref="R116">(AF116*(INDEX(ShipData!$P$19:$R$26,MATCH($AH116,ShipData!$N$19:$N$26,0),MATCH($AI116,ShipData!$P$18:$R$18,0))+INDEX(ShipData!$P$30:$R$37,MATCH($AH116,ShipData!$N$30:$N$37,0),MATCH($AI116,ShipData!$P$29:$R$29,0)))+K116*0.1*(1/M116)*INDEX(ShipData!$P$41:$R$48,MATCH($AH116,ShipData!$N$41:$N$48,0),MATCH($AI116,ShipData!$P$40:$R$40,0)))*6.5/1000</f>
        <v>86366.575362741089</v>
      </c>
      <c r="S116" s="1237"/>
      <c r="T116" s="1237">
        <v>1E-3</v>
      </c>
      <c r="U116" s="1278"/>
      <c r="V116" s="552"/>
      <c r="W116" s="1530">
        <f t="array" ref="W116">INDEX(EMIS_factors!$G$6:$O$152,MATCH($G116&amp;$AB116,EMIS_factors!$E$6:$E$152&amp;EMIS_factors!$D$6:$D$152,0),MATCH(RIGHT(W$4,6),EMIS_factors!$G$4:$O$4,0))</f>
        <v>46.838407494145208</v>
      </c>
      <c r="X116" s="1530">
        <f t="array" ref="X116">INDEX(EMIS_factors!$G$6:$O$152,MATCH($G116&amp;$AB116,EMIS_factors!$E$6:$E$152&amp;EMIS_factors!$D$6:$D$152,0),MATCH(RIGHT(X$4,6),EMIS_factors!$G$4:$O$4,0))</f>
        <v>1402.4856581824845</v>
      </c>
      <c r="Y116" s="1530">
        <f t="array" ref="Y116">INDEX(EMIS_factors!$G$6:$O$152,MATCH($G116&amp;$AB116,EMIS_factors!$E$6:$E$152&amp;EMIS_factors!$D$6:$D$152,0),MATCH(RIGHT(Y$4,6),EMIS_factors!$G$4:$O$4,0))</f>
        <v>1.8637630108223573</v>
      </c>
      <c r="Z116" s="1530">
        <f t="array" ref="Z116">INDEX(EMIS_factors!$G$6:$O$152,MATCH($G116&amp;$AB116,EMIS_factors!$E$6:$E$152&amp;EMIS_factors!$D$6:$D$152,0),MATCH(RIGHT(Z$4,6),EMIS_factors!$G$4:$O$4,0))</f>
        <v>21.22370326738832</v>
      </c>
      <c r="AB116" s="526" t="s">
        <v>1462</v>
      </c>
      <c r="AE116" s="1265">
        <f t="array" ref="AE116">INDEX($AN$12:$BM$15,MATCH(F116,$AM$12:$AM$15,0),MATCH($AG116&amp;$AE$1,$AN$11:$BM$11&amp;$AN$9:$BM$9,0))/1000</f>
        <v>2.5449999999999999</v>
      </c>
      <c r="AF116" s="549">
        <f t="array" ref="AF116">(AE116^INDEX(ShipData!$X$36:$X$39,MATCH($F116,ShipData!$U$36:$U$39,0)))*0.756*INDEX(ShipData!$W$36:$W$39,MATCH($F116,ShipData!$U$36:$U$39,0))</f>
        <v>1921.6608368614334</v>
      </c>
      <c r="AG116" s="549" t="s">
        <v>1239</v>
      </c>
      <c r="AH116" s="526" t="s">
        <v>1245</v>
      </c>
      <c r="AI116" s="549" t="s">
        <v>1143</v>
      </c>
      <c r="AL116"/>
      <c r="AM116"/>
      <c r="AN116"/>
    </row>
    <row r="117" spans="3:40">
      <c r="C117" s="552" t="str">
        <f t="shared" si="42"/>
        <v>TFSMFOFCD3N</v>
      </c>
      <c r="D117" s="552" t="s">
        <v>1106</v>
      </c>
      <c r="E117" s="534" t="str">
        <f>E115</f>
        <v>TRAMFO3</v>
      </c>
      <c r="F117" s="531" t="s">
        <v>1027</v>
      </c>
      <c r="G117" s="531">
        <v>2030</v>
      </c>
      <c r="H117" s="1237" t="s">
        <v>986</v>
      </c>
      <c r="I117" s="1239">
        <f t="array" ref="I117">INDEX($AN$12:$BM$15,MATCH(F117,$AM$12:$AM$15,0),MATCH(I$1&amp;$AG117,$AN$9:$BM$9&amp;$AN$11:$BM$11,0))</f>
        <v>4174</v>
      </c>
      <c r="J117" s="1239">
        <f t="shared" si="53"/>
        <v>4174</v>
      </c>
      <c r="K117" s="1239">
        <v>3330</v>
      </c>
      <c r="L117" s="1281">
        <v>6009</v>
      </c>
      <c r="M117" s="1265">
        <f t="array" ref="M117">1/(INDEX($AN$12:$BM$15,MATCH($F117,$AM$12:$AM$15,0),MATCH(($G117&amp;M$1)&amp;$AG117,$AN$9:$BM$9&amp;$AN$11:$BM$11,0))/1.852)</f>
        <v>2.1794284452298629</v>
      </c>
      <c r="N117" s="1265">
        <f t="shared" si="54"/>
        <v>2.1794284452298629</v>
      </c>
      <c r="O117" s="1237">
        <v>30</v>
      </c>
      <c r="P117" s="1265"/>
      <c r="Q117" s="1265">
        <f t="shared" si="55"/>
        <v>5405.8748580563715</v>
      </c>
      <c r="R117" s="1265">
        <f t="array" ref="R117">(AF117*(INDEX(ShipData!$P$19:$R$26,MATCH($AH117,ShipData!$N$19:$N$26,0),MATCH($AI117,ShipData!$P$18:$R$18,0))+INDEX(ShipData!$P$30:$R$37,MATCH($AH117,ShipData!$N$30:$N$37,0),MATCH($AI117,ShipData!$P$29:$R$29,0)))+K117*0.1*(1/M117)*INDEX(ShipData!$P$41:$R$48,MATCH($AH117,ShipData!$N$41:$N$48,0),MATCH($AI117,ShipData!$P$40:$R$40,0)))*6.5/1000</f>
        <v>154453.56737303917</v>
      </c>
      <c r="S117" s="1237"/>
      <c r="T117" s="1237">
        <v>1E-3</v>
      </c>
      <c r="U117" s="1278"/>
      <c r="V117" s="552"/>
      <c r="W117" s="1530">
        <f t="array" ref="W117">INDEX(EMIS_factors!$G$6:$O$152,MATCH($G117&amp;$AB117,EMIS_factors!$E$6:$E$152&amp;EMIS_factors!$D$6:$D$152,0),MATCH(RIGHT(W$4,6),EMIS_factors!$G$4:$O$4,0))</f>
        <v>46.838407494145208</v>
      </c>
      <c r="X117" s="1530">
        <f t="array" ref="X117">INDEX(EMIS_factors!$G$6:$O$152,MATCH($G117&amp;$AB117,EMIS_factors!$E$6:$E$152&amp;EMIS_factors!$D$6:$D$152,0),MATCH(RIGHT(X$4,6),EMIS_factors!$G$4:$O$4,0))</f>
        <v>938.56734047344298</v>
      </c>
      <c r="Y117" s="1530">
        <f t="array" ref="Y117">INDEX(EMIS_factors!$G$6:$O$152,MATCH($G117&amp;$AB117,EMIS_factors!$E$6:$E$152&amp;EMIS_factors!$D$6:$D$152,0),MATCH(RIGHT(Y$4,6),EMIS_factors!$G$4:$O$4,0))</f>
        <v>1.9042584079204421</v>
      </c>
      <c r="Z117" s="1530">
        <f t="array" ref="Z117">INDEX(EMIS_factors!$G$6:$O$152,MATCH($G117&amp;$AB117,EMIS_factors!$E$6:$E$152&amp;EMIS_factors!$D$6:$D$152,0),MATCH(RIGHT(Z$4,6),EMIS_factors!$G$4:$O$4,0))</f>
        <v>21.22370326738832</v>
      </c>
      <c r="AB117" s="526" t="s">
        <v>1462</v>
      </c>
      <c r="AE117" s="1265">
        <f t="array" ref="AE117">INDEX($AN$12:$BM$15,MATCH(F117,$AM$12:$AM$15,0),MATCH($AG117&amp;$AE$1,$AN$11:$BM$11&amp;$AN$9:$BM$9,0))/1000</f>
        <v>6.956666666666667</v>
      </c>
      <c r="AF117" s="549">
        <f t="array" ref="AF117">(AE117^INDEX(ShipData!$X$36:$X$39,MATCH($F117,ShipData!$U$36:$U$39,0)))*0.756*INDEX(ShipData!$W$36:$W$39,MATCH($F117,ShipData!$U$36:$U$39,0))</f>
        <v>3439.8048335584949</v>
      </c>
      <c r="AG117" s="549" t="s">
        <v>1236</v>
      </c>
      <c r="AH117" s="526" t="s">
        <v>1245</v>
      </c>
      <c r="AI117" s="549" t="s">
        <v>1143</v>
      </c>
      <c r="AL117"/>
      <c r="AM117"/>
      <c r="AN117"/>
    </row>
    <row r="118" spans="3:40">
      <c r="C118" s="552" t="str">
        <f t="shared" si="42"/>
        <v>TFSSFOFCC2N</v>
      </c>
      <c r="D118" s="552" t="s">
        <v>1113</v>
      </c>
      <c r="E118" s="534" t="str">
        <f t="shared" ref="E118:E121" si="56">E116</f>
        <v>TRAMFO2</v>
      </c>
      <c r="F118" s="531" t="s">
        <v>1028</v>
      </c>
      <c r="G118" s="531">
        <v>2020</v>
      </c>
      <c r="H118" s="1237" t="s">
        <v>986</v>
      </c>
      <c r="I118" s="1239">
        <f t="array" ref="I118">INDEX($AN$12:$BM$15,MATCH(F118,$AM$12:$AM$15,0),MATCH(I$1&amp;$AG118,$AN$9:$BM$9&amp;$AN$11:$BM$11,0))</f>
        <v>2450</v>
      </c>
      <c r="J118" s="1239">
        <f t="shared" si="53"/>
        <v>2450</v>
      </c>
      <c r="K118" s="1239">
        <v>0</v>
      </c>
      <c r="L118" s="1281">
        <v>0</v>
      </c>
      <c r="M118" s="1265">
        <f t="array" ref="M118">1/(INDEX($AN$12:$BM$15,MATCH($F118,$AM$12:$AM$15,0),MATCH(($G118&amp;M$1)&amp;$AG118,$AN$9:$BM$9&amp;$AN$11:$BM$11,0))/1.852)</f>
        <v>1.7403348779577166</v>
      </c>
      <c r="N118" s="1265">
        <f t="shared" si="54"/>
        <v>1.7403348779577166</v>
      </c>
      <c r="O118" s="1237">
        <v>30</v>
      </c>
      <c r="P118" s="1265"/>
      <c r="Q118" s="1265">
        <f t="shared" si="55"/>
        <v>3611.0000184845203</v>
      </c>
      <c r="R118" s="1265">
        <f t="array" ref="R118">(AF118*(INDEX(ShipData!$P$19:$R$26,MATCH($AH118,ShipData!$N$19:$N$26,0),MATCH($AI118,ShipData!$P$18:$R$18,0))+INDEX(ShipData!$P$30:$R$37,MATCH($AH118,ShipData!$N$30:$N$37,0),MATCH($AI118,ShipData!$P$29:$R$29,0)))+K118*0.1*(1/M118)*INDEX(ShipData!$P$41:$R$48,MATCH($AH118,ShipData!$N$41:$N$48,0),MATCH($AI118,ShipData!$P$40:$R$40,0)))*6.5/1000</f>
        <v>103171.42909955772</v>
      </c>
      <c r="S118" s="1237"/>
      <c r="T118" s="1237">
        <v>1E-3</v>
      </c>
      <c r="U118" s="1278"/>
      <c r="V118" s="552"/>
      <c r="W118" s="1530">
        <f t="array" ref="W118">INDEX(EMIS_factors!$G$6:$O$152,MATCH($G118&amp;$AB118,EMIS_factors!$E$6:$E$152&amp;EMIS_factors!$D$6:$D$152,0),MATCH(RIGHT(W$4,6),EMIS_factors!$G$4:$O$4,0))</f>
        <v>46.838407494145208</v>
      </c>
      <c r="X118" s="1530">
        <f t="array" ref="X118">INDEX(EMIS_factors!$G$6:$O$152,MATCH($G118&amp;$AB118,EMIS_factors!$E$6:$E$152&amp;EMIS_factors!$D$6:$D$152,0),MATCH(RIGHT(X$4,6),EMIS_factors!$G$4:$O$4,0))</f>
        <v>1402.4856581824845</v>
      </c>
      <c r="Y118" s="1530">
        <f t="array" ref="Y118">INDEX(EMIS_factors!$G$6:$O$152,MATCH($G118&amp;$AB118,EMIS_factors!$E$6:$E$152&amp;EMIS_factors!$D$6:$D$152,0),MATCH(RIGHT(Y$4,6),EMIS_factors!$G$4:$O$4,0))</f>
        <v>1.8637630108223573</v>
      </c>
      <c r="Z118" s="1530">
        <f t="array" ref="Z118">INDEX(EMIS_factors!$G$6:$O$152,MATCH($G118&amp;$AB118,EMIS_factors!$E$6:$E$152&amp;EMIS_factors!$D$6:$D$152,0),MATCH(RIGHT(Z$4,6),EMIS_factors!$G$4:$O$4,0))</f>
        <v>21.22370326738832</v>
      </c>
      <c r="AB118" s="526" t="s">
        <v>1462</v>
      </c>
      <c r="AE118" s="1265">
        <f t="array" ref="AE118">INDEX($AN$12:$BM$15,MATCH(F118,$AM$12:$AM$15,0),MATCH($AG118&amp;$AE$1,$AN$11:$BM$11&amp;$AN$9:$BM$9,0))/1000</f>
        <v>3.5</v>
      </c>
      <c r="AF118" s="549">
        <f t="array" ref="AF118">(AE118^INDEX(ShipData!$X$36:$X$39,MATCH($F118,ShipData!$U$36:$U$39,0)))*0.756*INDEX(ShipData!$W$36:$W$39,MATCH($F118,ShipData!$U$36:$U$39,0))</f>
        <v>2454.0448908848457</v>
      </c>
      <c r="AG118" s="549" t="s">
        <v>1239</v>
      </c>
      <c r="AH118" s="526" t="s">
        <v>1245</v>
      </c>
      <c r="AI118" s="549" t="s">
        <v>1145</v>
      </c>
      <c r="AL118"/>
      <c r="AM118"/>
      <c r="AN118"/>
    </row>
    <row r="119" spans="3:40">
      <c r="C119" s="552" t="str">
        <f t="shared" si="42"/>
        <v>TFSMFOFCC3N</v>
      </c>
      <c r="D119" s="552" t="s">
        <v>1114</v>
      </c>
      <c r="E119" s="534" t="str">
        <f t="shared" si="56"/>
        <v>TRAMFO3</v>
      </c>
      <c r="F119" s="531" t="s">
        <v>1028</v>
      </c>
      <c r="G119" s="531">
        <v>2030</v>
      </c>
      <c r="H119" s="1237" t="s">
        <v>986</v>
      </c>
      <c r="I119" s="1239">
        <f t="array" ref="I119">INDEX($AN$12:$BM$15,MATCH(F119,$AM$12:$AM$15,0),MATCH(I$1&amp;$AG119,$AN$9:$BM$9&amp;$AN$11:$BM$11,0))</f>
        <v>4900</v>
      </c>
      <c r="J119" s="1239">
        <f t="shared" si="53"/>
        <v>4900</v>
      </c>
      <c r="K119" s="1239">
        <v>362</v>
      </c>
      <c r="L119" s="1281">
        <v>653</v>
      </c>
      <c r="M119" s="1265">
        <f t="array" ref="M119">1/(INDEX($AN$12:$BM$15,MATCH($F119,$AM$12:$AM$15,0),MATCH(($G119&amp;M$1)&amp;$AG119,$AN$9:$BM$9&amp;$AN$11:$BM$11,0))/1.852)</f>
        <v>0.87906595126970144</v>
      </c>
      <c r="N119" s="1265">
        <f t="shared" si="54"/>
        <v>0.87906595126970144</v>
      </c>
      <c r="O119" s="1237">
        <v>30</v>
      </c>
      <c r="P119" s="1265"/>
      <c r="Q119" s="1265">
        <f t="shared" si="55"/>
        <v>8069.2819641274991</v>
      </c>
      <c r="R119" s="1265">
        <f t="array" ref="R119">(AF119*(INDEX(ShipData!$P$19:$R$26,MATCH($AH119,ShipData!$N$19:$N$26,0),MATCH($AI119,ShipData!$P$18:$R$18,0))+INDEX(ShipData!$P$30:$R$37,MATCH($AH119,ShipData!$N$30:$N$37,0),MATCH($AI119,ShipData!$P$29:$R$29,0)))+K119*0.1*(1/M119)*INDEX(ShipData!$P$41:$R$48,MATCH($AH119,ShipData!$N$41:$N$48,0),MATCH($AI119,ShipData!$P$40:$R$40,0)))*6.5/1000</f>
        <v>230550.91326078566</v>
      </c>
      <c r="S119" s="1237"/>
      <c r="T119" s="1237">
        <v>1E-3</v>
      </c>
      <c r="U119" s="1278"/>
      <c r="V119" s="552"/>
      <c r="W119" s="1530">
        <f t="array" ref="W119">INDEX(EMIS_factors!$G$6:$O$152,MATCH($G119&amp;$AB119,EMIS_factors!$E$6:$E$152&amp;EMIS_factors!$D$6:$D$152,0),MATCH(RIGHT(W$4,6),EMIS_factors!$G$4:$O$4,0))</f>
        <v>46.838407494145208</v>
      </c>
      <c r="X119" s="1530">
        <f t="array" ref="X119">INDEX(EMIS_factors!$G$6:$O$152,MATCH($G119&amp;$AB119,EMIS_factors!$E$6:$E$152&amp;EMIS_factors!$D$6:$D$152,0),MATCH(RIGHT(X$4,6),EMIS_factors!$G$4:$O$4,0))</f>
        <v>938.56734047344298</v>
      </c>
      <c r="Y119" s="1530">
        <f t="array" ref="Y119">INDEX(EMIS_factors!$G$6:$O$152,MATCH($G119&amp;$AB119,EMIS_factors!$E$6:$E$152&amp;EMIS_factors!$D$6:$D$152,0),MATCH(RIGHT(Y$4,6),EMIS_factors!$G$4:$O$4,0))</f>
        <v>1.9042584079204421</v>
      </c>
      <c r="Z119" s="1530">
        <f t="array" ref="Z119">INDEX(EMIS_factors!$G$6:$O$152,MATCH($G119&amp;$AB119,EMIS_factors!$E$6:$E$152&amp;EMIS_factors!$D$6:$D$152,0),MATCH(RIGHT(Z$4,6),EMIS_factors!$G$4:$O$4,0))</f>
        <v>21.22370326738832</v>
      </c>
      <c r="AB119" s="526" t="s">
        <v>1462</v>
      </c>
      <c r="AE119" s="1265">
        <f t="array" ref="AE119">INDEX($AN$12:$BM$15,MATCH(F119,$AM$12:$AM$15,0),MATCH($AG119&amp;$AE$1,$AN$11:$BM$11&amp;$AN$9:$BM$9,0))/1000</f>
        <v>7</v>
      </c>
      <c r="AF119" s="549">
        <f t="array" ref="AF119">(AE119^INDEX(ShipData!$X$36:$X$39,MATCH($F119,ShipData!$U$36:$U$39,0)))*0.756*INDEX(ShipData!$W$36:$W$39,MATCH($F119,ShipData!$U$36:$U$39,0))</f>
        <v>5483.7455856749639</v>
      </c>
      <c r="AG119" s="549" t="s">
        <v>1236</v>
      </c>
      <c r="AH119" s="526" t="s">
        <v>1245</v>
      </c>
      <c r="AI119" s="549" t="s">
        <v>1145</v>
      </c>
      <c r="AL119"/>
      <c r="AM119"/>
      <c r="AN119"/>
    </row>
    <row r="120" spans="3:40">
      <c r="C120" s="552" t="str">
        <f t="shared" si="42"/>
        <v>TFSSFOFCR2N</v>
      </c>
      <c r="D120" s="552" t="s">
        <v>1121</v>
      </c>
      <c r="E120" s="534" t="str">
        <f t="shared" si="56"/>
        <v>TRAMFO2</v>
      </c>
      <c r="F120" s="531" t="s">
        <v>1029</v>
      </c>
      <c r="G120" s="531">
        <v>2020</v>
      </c>
      <c r="H120" s="1237" t="s">
        <v>986</v>
      </c>
      <c r="I120" s="1239">
        <f t="array" ref="I120">INDEX($AN$12:$BM$15,MATCH(F120,$AM$12:$AM$15,0),MATCH(I$1&amp;$AG120,$AN$9:$BM$9&amp;$AN$11:$BM$11,0))</f>
        <v>1002</v>
      </c>
      <c r="J120" s="1239">
        <f t="shared" si="53"/>
        <v>1002</v>
      </c>
      <c r="K120" s="1239">
        <v>38287</v>
      </c>
      <c r="L120" s="1281">
        <v>69083</v>
      </c>
      <c r="M120" s="1265">
        <f t="array" ref="M120">1/(INDEX($AN$12:$BM$15,MATCH($F120,$AM$12:$AM$15,0),MATCH(($G120&amp;M$1)&amp;$AG120,$AN$9:$BM$9&amp;$AN$11:$BM$11,0))/1.852)</f>
        <v>1.7403348779577166</v>
      </c>
      <c r="N120" s="1265">
        <f t="shared" si="54"/>
        <v>1.7403348779577166</v>
      </c>
      <c r="O120" s="1237">
        <v>30</v>
      </c>
      <c r="P120" s="1265"/>
      <c r="Q120" s="1265">
        <f t="shared" si="55"/>
        <v>2536.4707832113631</v>
      </c>
      <c r="R120" s="1265">
        <f t="array" ref="R120">(AF120*(INDEX(ShipData!$P$19:$R$26,MATCH($AH120,ShipData!$N$19:$N$26,0),MATCH($AI120,ShipData!$P$18:$R$18,0))+INDEX(ShipData!$P$30:$R$37,MATCH($AH120,ShipData!$N$30:$N$37,0),MATCH($AI120,ShipData!$P$29:$R$29,0)))+K120*0.1*(1/M120)*INDEX(ShipData!$P$41:$R$48,MATCH($AH120,ShipData!$N$41:$N$48,0),MATCH($AI120,ShipData!$P$40:$R$40,0)))*6.5/1000</f>
        <v>72470.593806038945</v>
      </c>
      <c r="S120" s="1237"/>
      <c r="T120" s="1237">
        <v>1E-3</v>
      </c>
      <c r="U120" s="1278"/>
      <c r="V120" s="552"/>
      <c r="W120" s="1530">
        <f t="array" ref="W120">INDEX(EMIS_factors!$G$6:$O$152,MATCH($G120&amp;$AB120,EMIS_factors!$E$6:$E$152&amp;EMIS_factors!$D$6:$D$152,0),MATCH(RIGHT(W$4,6),EMIS_factors!$G$4:$O$4,0))</f>
        <v>46.838407494145208</v>
      </c>
      <c r="X120" s="1530">
        <f t="array" ref="X120">INDEX(EMIS_factors!$G$6:$O$152,MATCH($G120&amp;$AB120,EMIS_factors!$E$6:$E$152&amp;EMIS_factors!$D$6:$D$152,0),MATCH(RIGHT(X$4,6),EMIS_factors!$G$4:$O$4,0))</f>
        <v>1402.4856581824845</v>
      </c>
      <c r="Y120" s="1530">
        <f t="array" ref="Y120">INDEX(EMIS_factors!$G$6:$O$152,MATCH($G120&amp;$AB120,EMIS_factors!$E$6:$E$152&amp;EMIS_factors!$D$6:$D$152,0),MATCH(RIGHT(Y$4,6),EMIS_factors!$G$4:$O$4,0))</f>
        <v>1.8637630108223573</v>
      </c>
      <c r="Z120" s="1530">
        <f t="array" ref="Z120">INDEX(EMIS_factors!$G$6:$O$152,MATCH($G120&amp;$AB120,EMIS_factors!$E$6:$E$152&amp;EMIS_factors!$D$6:$D$152,0),MATCH(RIGHT(Z$4,6),EMIS_factors!$G$4:$O$4,0))</f>
        <v>21.22370326738832</v>
      </c>
      <c r="AB120" s="526" t="s">
        <v>1462</v>
      </c>
      <c r="AE120" s="1265">
        <f t="array" ref="AE120">INDEX($AN$12:$BM$15,MATCH(F120,$AM$12:$AM$15,0),MATCH($AG120&amp;$AE$1,$AN$11:$BM$11&amp;$AN$9:$BM$9,0))/1000</f>
        <v>1.4314285714285715</v>
      </c>
      <c r="AF120" s="549">
        <f t="array" ref="AF120">(AE120^INDEX(ShipData!$X$36:$X$39,MATCH($F120,ShipData!$U$36:$U$39,0)))*0.756*INDEX(ShipData!$W$36:$W$39,MATCH($F120,ShipData!$U$36:$U$39,0))</f>
        <v>1715.2886160618959</v>
      </c>
      <c r="AG120" s="549" t="s">
        <v>1239</v>
      </c>
      <c r="AH120" s="526" t="s">
        <v>1245</v>
      </c>
      <c r="AI120" s="549" t="s">
        <v>1145</v>
      </c>
      <c r="AL120"/>
      <c r="AM120"/>
      <c r="AN120"/>
    </row>
    <row r="121" spans="3:40">
      <c r="C121" s="1428" t="str">
        <f t="shared" si="42"/>
        <v>TFSMFOFCR3N</v>
      </c>
      <c r="D121" s="552" t="s">
        <v>1122</v>
      </c>
      <c r="E121" s="1429" t="str">
        <f t="shared" si="56"/>
        <v>TRAMFO3</v>
      </c>
      <c r="F121" s="1430" t="s">
        <v>1029</v>
      </c>
      <c r="G121" s="1430">
        <v>2030</v>
      </c>
      <c r="H121" s="1431" t="s">
        <v>986</v>
      </c>
      <c r="I121" s="1434">
        <f t="array" ref="I121">INDEX($AN$12:$BM$15,MATCH(F121,$AM$12:$AM$15,0),MATCH(I$1&amp;$AG121,$AN$9:$BM$9&amp;$AN$11:$BM$11,0))</f>
        <v>3608</v>
      </c>
      <c r="J121" s="1434">
        <f t="shared" si="53"/>
        <v>3608</v>
      </c>
      <c r="K121" s="1434">
        <v>925</v>
      </c>
      <c r="L121" s="1451">
        <v>1668</v>
      </c>
      <c r="M121" s="1448">
        <f t="array" ref="M121">1/(INDEX($AN$12:$BM$15,MATCH($F121,$AM$12:$AM$15,0),MATCH(($G121&amp;M$1)&amp;$AG121,$AN$9:$BM$9&amp;$AN$11:$BM$11,0))/1.852)</f>
        <v>0.87906595126970144</v>
      </c>
      <c r="N121" s="1448">
        <f t="shared" si="54"/>
        <v>0.87906595126970144</v>
      </c>
      <c r="O121" s="1431">
        <v>30</v>
      </c>
      <c r="P121" s="1448"/>
      <c r="Q121" s="1448">
        <f t="shared" si="55"/>
        <v>8047.3967370874207</v>
      </c>
      <c r="R121" s="1448">
        <f t="array" ref="R121">(AF121*(INDEX(ShipData!$P$19:$R$26,MATCH($AH121,ShipData!$N$19:$N$26,0),MATCH($AI121,ShipData!$P$18:$R$18,0))+INDEX(ShipData!$P$30:$R$37,MATCH($AH121,ShipData!$N$30:$N$37,0),MATCH($AI121,ShipData!$P$29:$R$29,0)))+K121*0.1*(1/M121)*INDEX(ShipData!$P$41:$R$48,MATCH($AH121,ShipData!$N$41:$N$48,0),MATCH($AI121,ShipData!$P$40:$R$40,0)))*6.5/1000</f>
        <v>229925.62105964057</v>
      </c>
      <c r="S121" s="1431"/>
      <c r="T121" s="1431">
        <v>1E-3</v>
      </c>
      <c r="U121" s="1446"/>
      <c r="V121" s="1428"/>
      <c r="W121" s="1530">
        <f t="array" ref="W121">INDEX(EMIS_factors!$G$6:$O$152,MATCH($G121&amp;$AB121,EMIS_factors!$E$6:$E$152&amp;EMIS_factors!$D$6:$D$152,0),MATCH(RIGHT(W$4,6),EMIS_factors!$G$4:$O$4,0))</f>
        <v>46.838407494145208</v>
      </c>
      <c r="X121" s="1530">
        <f t="array" ref="X121">INDEX(EMIS_factors!$G$6:$O$152,MATCH($G121&amp;$AB121,EMIS_factors!$E$6:$E$152&amp;EMIS_factors!$D$6:$D$152,0),MATCH(RIGHT(X$4,6),EMIS_factors!$G$4:$O$4,0))</f>
        <v>938.56734047344298</v>
      </c>
      <c r="Y121" s="1530">
        <f t="array" ref="Y121">INDEX(EMIS_factors!$G$6:$O$152,MATCH($G121&amp;$AB121,EMIS_factors!$E$6:$E$152&amp;EMIS_factors!$D$6:$D$152,0),MATCH(RIGHT(Y$4,6),EMIS_factors!$G$4:$O$4,0))</f>
        <v>1.9042584079204421</v>
      </c>
      <c r="Z121" s="1530">
        <f t="array" ref="Z121">INDEX(EMIS_factors!$G$6:$O$152,MATCH($G121&amp;$AB121,EMIS_factors!$E$6:$E$152&amp;EMIS_factors!$D$6:$D$152,0),MATCH(RIGHT(Z$4,6),EMIS_factors!$G$4:$O$4,0))</f>
        <v>21.22370326738832</v>
      </c>
      <c r="AB121" s="526" t="s">
        <v>1462</v>
      </c>
      <c r="AE121" s="1265">
        <f t="array" ref="AE121">INDEX($AN$12:$BM$15,MATCH(F121,$AM$12:$AM$15,0),MATCH($AG121&amp;$AE$1,$AN$11:$BM$11&amp;$AN$9:$BM$9,0))/1000</f>
        <v>5.1542857142857148</v>
      </c>
      <c r="AF121" s="549">
        <f t="array" ref="AF121">(AE121^INDEX(ShipData!$X$36:$X$39,MATCH($F121,ShipData!$U$36:$U$39,0)))*0.756*INDEX(ShipData!$W$36:$W$39,MATCH($F121,ShipData!$U$36:$U$39,0))</f>
        <v>5468.6247789018307</v>
      </c>
      <c r="AG121" s="549" t="s">
        <v>1236</v>
      </c>
      <c r="AH121" s="526" t="s">
        <v>1245</v>
      </c>
      <c r="AI121" s="549" t="s">
        <v>1145</v>
      </c>
      <c r="AL121"/>
      <c r="AM121"/>
      <c r="AN121"/>
    </row>
    <row r="122" spans="3:40">
      <c r="C122" s="552" t="str">
        <f t="shared" si="42"/>
        <v>TFSSFOFCL3N</v>
      </c>
      <c r="D122" s="552" t="s">
        <v>1097</v>
      </c>
      <c r="E122" s="534" t="s">
        <v>987</v>
      </c>
      <c r="F122" s="531" t="s">
        <v>1026</v>
      </c>
      <c r="G122" s="1283">
        <v>2030</v>
      </c>
      <c r="H122" s="1237" t="s">
        <v>986</v>
      </c>
      <c r="I122" s="1239">
        <f t="array" ref="I122">INDEX($AN$12:$BM$15,MATCH(F122,$AM$12:$AM$15,0),MATCH(I$1&amp;$AG122,$AN$9:$BM$9&amp;$AN$11:$BM$11,0))</f>
        <v>810</v>
      </c>
      <c r="J122" s="1239">
        <f t="shared" si="53"/>
        <v>810</v>
      </c>
      <c r="K122" s="1239">
        <v>46488</v>
      </c>
      <c r="L122" s="1237">
        <v>83879</v>
      </c>
      <c r="M122" s="1265">
        <f t="array" ref="M122">1/(INDEX($AN$12:$BM$15,MATCH($F122,$AM$12:$AM$15,0),MATCH(($G122&amp;M$1)&amp;$AG122,$AN$9:$BM$9&amp;$AN$11:$BM$11,0))/1.852)</f>
        <v>3.8453314985699092</v>
      </c>
      <c r="N122" s="1265">
        <f t="shared" si="54"/>
        <v>3.8453314985699092</v>
      </c>
      <c r="O122" s="1237">
        <v>30</v>
      </c>
      <c r="P122" s="1265"/>
      <c r="Q122" s="1239">
        <v>3191.9571180000007</v>
      </c>
      <c r="R122" s="1265">
        <f t="array" ref="R122">(AF122*(INDEX(ShipData!$P$19:$R$26,MATCH($AH122,ShipData!$N$19:$N$26,0),MATCH($AI122,ShipData!$P$18:$R$18,0))+INDEX(ShipData!$P$30:$R$37,MATCH($AH122,ShipData!$N$30:$N$37,0),MATCH($AI122,ShipData!$P$29:$R$29,0)))+K122*0.1*(1/M122)*INDEX(ShipData!$P$41:$R$48,MATCH($AH122,ShipData!$N$41:$N$48,0),MATCH($AI122,ShipData!$P$40:$R$40,0)))*6.5/1000</f>
        <v>72191.880685171491</v>
      </c>
      <c r="S122" s="1237"/>
      <c r="T122" s="1237">
        <v>1E-3</v>
      </c>
      <c r="U122" s="1278"/>
      <c r="V122" s="552"/>
      <c r="W122" s="1530">
        <f t="array" ref="W122">INDEX(EMIS_factors!$G$6:$O$152,MATCH($G122&amp;$AB122,EMIS_factors!$E$6:$E$152&amp;EMIS_factors!$D$6:$D$152,0),MATCH(RIGHT(W$4,6),EMIS_factors!$G$4:$O$4,0))</f>
        <v>46.838407494145208</v>
      </c>
      <c r="X122" s="1530">
        <f t="array" ref="X122">INDEX(EMIS_factors!$G$6:$O$152,MATCH($G122&amp;$AB122,EMIS_factors!$E$6:$E$152&amp;EMIS_factors!$D$6:$D$152,0),MATCH(RIGHT(X$4,6),EMIS_factors!$G$4:$O$4,0))</f>
        <v>938.56734047344298</v>
      </c>
      <c r="Y122" s="1530">
        <f t="array" ref="Y122">INDEX(EMIS_factors!$G$6:$O$152,MATCH($G122&amp;$AB122,EMIS_factors!$E$6:$E$152&amp;EMIS_factors!$D$6:$D$152,0),MATCH(RIGHT(Y$4,6),EMIS_factors!$G$4:$O$4,0))</f>
        <v>1.9042584079204421</v>
      </c>
      <c r="Z122" s="1530">
        <f t="array" ref="Z122">INDEX(EMIS_factors!$G$6:$O$152,MATCH($G122&amp;$AB122,EMIS_factors!$E$6:$E$152&amp;EMIS_factors!$D$6:$D$152,0),MATCH(RIGHT(Z$4,6),EMIS_factors!$G$4:$O$4,0))</f>
        <v>21.22370326738832</v>
      </c>
      <c r="AB122" s="526" t="s">
        <v>1462</v>
      </c>
      <c r="AE122" s="1265">
        <f t="array" ref="AE122">INDEX($AN$12:$BM$15,MATCH(F122,$AM$12:$AM$15,0),MATCH($AG122&amp;$AE$1,$AN$11:$BM$11&amp;$AN$9:$BM$9,0))/1000</f>
        <v>1.5804878048780491</v>
      </c>
      <c r="AF122" s="549">
        <f t="array" ref="AF122">(AE122^INDEX(ShipData!$X$36:$X$39,MATCH($F122,ShipData!$U$36:$U$39,0)))*0.756*INDEX(ShipData!$W$36:$W$39,MATCH($F122,ShipData!$U$36:$U$39,0))</f>
        <v>1602.8300580975306</v>
      </c>
      <c r="AG122" s="549" t="s">
        <v>1239</v>
      </c>
      <c r="AH122" s="526" t="s">
        <v>1245</v>
      </c>
      <c r="AI122" s="549" t="s">
        <v>1143</v>
      </c>
      <c r="AL122"/>
      <c r="AM122"/>
      <c r="AN122"/>
    </row>
    <row r="123" spans="3:40">
      <c r="C123" s="552" t="str">
        <f t="shared" si="42"/>
        <v>TFSMFOFCL3N</v>
      </c>
      <c r="D123" s="552" t="s">
        <v>1098</v>
      </c>
      <c r="E123" s="534" t="s">
        <v>987</v>
      </c>
      <c r="F123" s="531" t="s">
        <v>1026</v>
      </c>
      <c r="G123" s="1283">
        <v>2030</v>
      </c>
      <c r="H123" s="1237" t="s">
        <v>986</v>
      </c>
      <c r="I123" s="1239">
        <f t="array" ref="I123">INDEX($AN$12:$BM$15,MATCH(F123,$AM$12:$AM$15,0),MATCH(I$1&amp;$AG123,$AN$9:$BM$9&amp;$AN$11:$BM$11,0))</f>
        <v>3045.9905660377353</v>
      </c>
      <c r="J123" s="1239">
        <f t="shared" si="53"/>
        <v>3045.9905660377353</v>
      </c>
      <c r="K123" s="1239">
        <v>25616</v>
      </c>
      <c r="L123" s="1237">
        <v>46219</v>
      </c>
      <c r="M123" s="1265">
        <f t="array" ref="M123">1/(INDEX($AN$12:$BM$15,MATCH($F123,$AM$12:$AM$15,0),MATCH(($G123&amp;M$1)&amp;$AG123,$AN$9:$BM$9&amp;$AN$11:$BM$11,0))/1.852)</f>
        <v>1.9876124255718461</v>
      </c>
      <c r="N123" s="1265">
        <f t="shared" si="54"/>
        <v>1.9876124255718461</v>
      </c>
      <c r="O123" s="1237">
        <v>30</v>
      </c>
      <c r="P123" s="1265"/>
      <c r="Q123" s="1239">
        <v>6839.9081100000003</v>
      </c>
      <c r="R123" s="1265">
        <f t="array" ref="R123">(AF123*(INDEX(ShipData!$P$19:$R$26,MATCH($AH123,ShipData!$N$19:$N$26,0),MATCH($AI123,ShipData!$P$18:$R$18,0))+INDEX(ShipData!$P$30:$R$37,MATCH($AH123,ShipData!$N$30:$N$37,0),MATCH($AI123,ShipData!$P$29:$R$29,0)))+K123*0.1*(1/M123)*INDEX(ShipData!$P$41:$R$48,MATCH($AH123,ShipData!$N$41:$N$48,0),MATCH($AI123,ShipData!$P$40:$R$40,0)))*6.5/1000</f>
        <v>151530.59570523325</v>
      </c>
      <c r="S123" s="1237"/>
      <c r="T123" s="1237">
        <v>1E-3</v>
      </c>
      <c r="U123" s="1278"/>
      <c r="V123" s="552"/>
      <c r="W123" s="1530">
        <f t="array" ref="W123">INDEX(EMIS_factors!$G$6:$O$152,MATCH($G123&amp;$AB123,EMIS_factors!$E$6:$E$152&amp;EMIS_factors!$D$6:$D$152,0),MATCH(RIGHT(W$4,6),EMIS_factors!$G$4:$O$4,0))</f>
        <v>46.838407494145208</v>
      </c>
      <c r="X123" s="1530">
        <f t="array" ref="X123">INDEX(EMIS_factors!$G$6:$O$152,MATCH($G123&amp;$AB123,EMIS_factors!$E$6:$E$152&amp;EMIS_factors!$D$6:$D$152,0),MATCH(RIGHT(X$4,6),EMIS_factors!$G$4:$O$4,0))</f>
        <v>938.56734047344298</v>
      </c>
      <c r="Y123" s="1530">
        <f t="array" ref="Y123">INDEX(EMIS_factors!$G$6:$O$152,MATCH($G123&amp;$AB123,EMIS_factors!$E$6:$E$152&amp;EMIS_factors!$D$6:$D$152,0),MATCH(RIGHT(Y$4,6),EMIS_factors!$G$4:$O$4,0))</f>
        <v>1.9042584079204421</v>
      </c>
      <c r="Z123" s="1530">
        <f t="array" ref="Z123">INDEX(EMIS_factors!$G$6:$O$152,MATCH($G123&amp;$AB123,EMIS_factors!$E$6:$E$152&amp;EMIS_factors!$D$6:$D$152,0),MATCH(RIGHT(Z$4,6),EMIS_factors!$G$4:$O$4,0))</f>
        <v>21.22370326738832</v>
      </c>
      <c r="AB123" s="526" t="s">
        <v>1462</v>
      </c>
      <c r="AE123" s="1265">
        <f t="array" ref="AE123">INDEX($AN$12:$BM$15,MATCH(F123,$AM$12:$AM$15,0),MATCH($AG123&amp;$AE$1,$AN$11:$BM$11&amp;$AN$9:$BM$9,0))/1000</f>
        <v>5.9433962264150946</v>
      </c>
      <c r="AF123" s="549">
        <f t="array" ref="AF123">(AE123^INDEX(ShipData!$X$36:$X$39,MATCH($F123,ShipData!$U$36:$U$39,0)))*0.756*INDEX(ShipData!$W$36:$W$39,MATCH($F123,ShipData!$U$36:$U$39,0))</f>
        <v>3369.7610132900404</v>
      </c>
      <c r="AG123" s="549" t="s">
        <v>1236</v>
      </c>
      <c r="AH123" s="526" t="s">
        <v>1245</v>
      </c>
      <c r="AI123" s="549" t="s">
        <v>1143</v>
      </c>
      <c r="AL123"/>
      <c r="AM123"/>
      <c r="AN123"/>
    </row>
    <row r="124" spans="3:40">
      <c r="C124" s="552" t="str">
        <f t="shared" si="42"/>
        <v>TFSSFOFCD3N</v>
      </c>
      <c r="D124" s="552" t="s">
        <v>1105</v>
      </c>
      <c r="E124" s="534" t="s">
        <v>987</v>
      </c>
      <c r="F124" s="531" t="s">
        <v>1027</v>
      </c>
      <c r="G124" s="1283">
        <v>2030</v>
      </c>
      <c r="H124" s="1237" t="s">
        <v>986</v>
      </c>
      <c r="I124" s="1239">
        <f t="array" ref="I124">INDEX($AN$12:$BM$15,MATCH(F124,$AM$12:$AM$15,0),MATCH(I$1&amp;$AG124,$AN$9:$BM$9&amp;$AN$11:$BM$11,0))</f>
        <v>1527</v>
      </c>
      <c r="J124" s="1239">
        <f t="shared" si="53"/>
        <v>1527</v>
      </c>
      <c r="K124" s="1239">
        <v>17027</v>
      </c>
      <c r="L124" s="1281">
        <v>30722</v>
      </c>
      <c r="M124" s="1265">
        <f t="array" ref="M124">1/(INDEX($AN$12:$BM$15,MATCH($F124,$AM$12:$AM$15,0),MATCH(($G124&amp;M$1)&amp;$AG124,$AN$9:$BM$9&amp;$AN$11:$BM$11,0))/1.852)</f>
        <v>3.891319674651244</v>
      </c>
      <c r="N124" s="1265">
        <f t="shared" si="54"/>
        <v>3.891319674651244</v>
      </c>
      <c r="O124" s="1237">
        <v>30</v>
      </c>
      <c r="P124" s="1265"/>
      <c r="Q124" s="1239">
        <v>3557.8781280000003</v>
      </c>
      <c r="R124" s="1265">
        <f t="array" ref="R124">(AF124*(INDEX(ShipData!$P$19:$R$26,MATCH($AH124,ShipData!$N$19:$N$26,0),MATCH($AI124,ShipData!$P$18:$R$18,0))+INDEX(ShipData!$P$30:$R$37,MATCH($AH124,ShipData!$N$30:$N$37,0),MATCH($AI124,ShipData!$P$29:$R$29,0)))+K124*0.1*(1/M124)*INDEX(ShipData!$P$41:$R$48,MATCH($AH124,ShipData!$N$41:$N$48,0),MATCH($AI124,ShipData!$P$40:$R$40,0)))*6.5/1000</f>
        <v>86354.788135823022</v>
      </c>
      <c r="S124" s="1237"/>
      <c r="T124" s="1237">
        <v>1E-3</v>
      </c>
      <c r="U124" s="1278"/>
      <c r="V124" s="552"/>
      <c r="W124" s="1530">
        <f t="array" ref="W124">INDEX(EMIS_factors!$G$6:$O$152,MATCH($G124&amp;$AB124,EMIS_factors!$E$6:$E$152&amp;EMIS_factors!$D$6:$D$152,0),MATCH(RIGHT(W$4,6),EMIS_factors!$G$4:$O$4,0))</f>
        <v>46.838407494145208</v>
      </c>
      <c r="X124" s="1530">
        <f t="array" ref="X124">INDEX(EMIS_factors!$G$6:$O$152,MATCH($G124&amp;$AB124,EMIS_factors!$E$6:$E$152&amp;EMIS_factors!$D$6:$D$152,0),MATCH(RIGHT(X$4,6),EMIS_factors!$G$4:$O$4,0))</f>
        <v>938.56734047344298</v>
      </c>
      <c r="Y124" s="1530">
        <f t="array" ref="Y124">INDEX(EMIS_factors!$G$6:$O$152,MATCH($G124&amp;$AB124,EMIS_factors!$E$6:$E$152&amp;EMIS_factors!$D$6:$D$152,0),MATCH(RIGHT(Y$4,6),EMIS_factors!$G$4:$O$4,0))</f>
        <v>1.9042584079204421</v>
      </c>
      <c r="Z124" s="1530">
        <f t="array" ref="Z124">INDEX(EMIS_factors!$G$6:$O$152,MATCH($G124&amp;$AB124,EMIS_factors!$E$6:$E$152&amp;EMIS_factors!$D$6:$D$152,0),MATCH(RIGHT(Z$4,6),EMIS_factors!$G$4:$O$4,0))</f>
        <v>21.22370326738832</v>
      </c>
      <c r="AB124" s="526" t="s">
        <v>1462</v>
      </c>
      <c r="AE124" s="1265">
        <f t="array" ref="AE124">INDEX($AN$12:$BM$15,MATCH(F124,$AM$12:$AM$15,0),MATCH($AG124&amp;$AE$1,$AN$11:$BM$11&amp;$AN$9:$BM$9,0))/1000</f>
        <v>2.5449999999999999</v>
      </c>
      <c r="AF124" s="549">
        <f t="array" ref="AF124">(AE124^INDEX(ShipData!$X$36:$X$39,MATCH($F124,ShipData!$U$36:$U$39,0)))*0.756*INDEX(ShipData!$W$36:$W$39,MATCH($F124,ShipData!$U$36:$U$39,0))</f>
        <v>1921.6608368614334</v>
      </c>
      <c r="AG124" s="549" t="s">
        <v>1239</v>
      </c>
      <c r="AH124" s="526" t="s">
        <v>1245</v>
      </c>
      <c r="AI124" s="549" t="s">
        <v>1143</v>
      </c>
      <c r="AL124"/>
      <c r="AM124"/>
      <c r="AN124"/>
    </row>
    <row r="125" spans="3:40">
      <c r="C125" s="552" t="str">
        <f t="shared" si="42"/>
        <v>TFSMFOFCD3N</v>
      </c>
      <c r="D125" s="552" t="s">
        <v>1106</v>
      </c>
      <c r="E125" s="534" t="s">
        <v>987</v>
      </c>
      <c r="F125" s="531" t="s">
        <v>1027</v>
      </c>
      <c r="G125" s="1283">
        <v>2030</v>
      </c>
      <c r="H125" s="1237" t="s">
        <v>986</v>
      </c>
      <c r="I125" s="1239">
        <f t="array" ref="I125">INDEX($AN$12:$BM$15,MATCH(F125,$AM$12:$AM$15,0),MATCH(I$1&amp;$AG125,$AN$9:$BM$9&amp;$AN$11:$BM$11,0))</f>
        <v>4174</v>
      </c>
      <c r="J125" s="1239">
        <f t="shared" si="53"/>
        <v>4174</v>
      </c>
      <c r="K125" s="1239">
        <v>3330</v>
      </c>
      <c r="L125" s="1281">
        <v>6009</v>
      </c>
      <c r="M125" s="1265">
        <f t="array" ref="M125">1/(INDEX($AN$12:$BM$15,MATCH($F125,$AM$12:$AM$15,0),MATCH(($G125&amp;M$1)&amp;$AG125,$AN$9:$BM$9&amp;$AN$11:$BM$11,0))/1.852)</f>
        <v>2.1794284452298629</v>
      </c>
      <c r="N125" s="1265">
        <f t="shared" si="54"/>
        <v>2.1794284452298629</v>
      </c>
      <c r="O125" s="1237">
        <v>30</v>
      </c>
      <c r="P125" s="1265"/>
      <c r="Q125" s="1239">
        <v>6368.9020920000021</v>
      </c>
      <c r="R125" s="1265">
        <f t="array" ref="R125">(AF125*(INDEX(ShipData!$P$19:$R$26,MATCH($AH125,ShipData!$N$19:$N$26,0),MATCH($AI125,ShipData!$P$18:$R$18,0))+INDEX(ShipData!$P$30:$R$37,MATCH($AH125,ShipData!$N$30:$N$37,0),MATCH($AI125,ShipData!$P$29:$R$29,0)))+K125*0.1*(1/M125)*INDEX(ShipData!$P$41:$R$48,MATCH($AH125,ShipData!$N$41:$N$48,0),MATCH($AI125,ShipData!$P$40:$R$40,0)))*6.5/1000</f>
        <v>154453.56737303917</v>
      </c>
      <c r="S125" s="1237"/>
      <c r="T125" s="1237">
        <v>1E-3</v>
      </c>
      <c r="U125" s="1278"/>
      <c r="V125" s="552"/>
      <c r="W125" s="1530">
        <f t="array" ref="W125">INDEX(EMIS_factors!$G$6:$O$152,MATCH($G125&amp;$AB125,EMIS_factors!$E$6:$E$152&amp;EMIS_factors!$D$6:$D$152,0),MATCH(RIGHT(W$4,6),EMIS_factors!$G$4:$O$4,0))</f>
        <v>46.838407494145208</v>
      </c>
      <c r="X125" s="1530">
        <f t="array" ref="X125">INDEX(EMIS_factors!$G$6:$O$152,MATCH($G125&amp;$AB125,EMIS_factors!$E$6:$E$152&amp;EMIS_factors!$D$6:$D$152,0),MATCH(RIGHT(X$4,6),EMIS_factors!$G$4:$O$4,0))</f>
        <v>938.56734047344298</v>
      </c>
      <c r="Y125" s="1530">
        <f t="array" ref="Y125">INDEX(EMIS_factors!$G$6:$O$152,MATCH($G125&amp;$AB125,EMIS_factors!$E$6:$E$152&amp;EMIS_factors!$D$6:$D$152,0),MATCH(RIGHT(Y$4,6),EMIS_factors!$G$4:$O$4,0))</f>
        <v>1.9042584079204421</v>
      </c>
      <c r="Z125" s="1530">
        <f t="array" ref="Z125">INDEX(EMIS_factors!$G$6:$O$152,MATCH($G125&amp;$AB125,EMIS_factors!$E$6:$E$152&amp;EMIS_factors!$D$6:$D$152,0),MATCH(RIGHT(Z$4,6),EMIS_factors!$G$4:$O$4,0))</f>
        <v>21.22370326738832</v>
      </c>
      <c r="AB125" s="526" t="s">
        <v>1462</v>
      </c>
      <c r="AE125" s="1265">
        <f t="array" ref="AE125">INDEX($AN$12:$BM$15,MATCH(F125,$AM$12:$AM$15,0),MATCH($AG125&amp;$AE$1,$AN$11:$BM$11&amp;$AN$9:$BM$9,0))/1000</f>
        <v>6.956666666666667</v>
      </c>
      <c r="AF125" s="549">
        <f t="array" ref="AF125">(AE125^INDEX(ShipData!$X$36:$X$39,MATCH($F125,ShipData!$U$36:$U$39,0)))*0.756*INDEX(ShipData!$W$36:$W$39,MATCH($F125,ShipData!$U$36:$U$39,0))</f>
        <v>3439.8048335584949</v>
      </c>
      <c r="AG125" s="549" t="s">
        <v>1236</v>
      </c>
      <c r="AH125" s="526" t="s">
        <v>1245</v>
      </c>
      <c r="AI125" s="549" t="s">
        <v>1143</v>
      </c>
      <c r="AL125"/>
      <c r="AM125"/>
      <c r="AN125"/>
    </row>
    <row r="126" spans="3:40">
      <c r="C126" s="552" t="str">
        <f t="shared" si="42"/>
        <v>TFSSFOFCC3N</v>
      </c>
      <c r="D126" s="552" t="s">
        <v>1113</v>
      </c>
      <c r="E126" s="534" t="s">
        <v>987</v>
      </c>
      <c r="F126" s="531" t="s">
        <v>1028</v>
      </c>
      <c r="G126" s="1283">
        <v>2030</v>
      </c>
      <c r="H126" s="1237" t="s">
        <v>986</v>
      </c>
      <c r="I126" s="1239">
        <f t="array" ref="I126">INDEX($AN$12:$BM$15,MATCH(F126,$AM$12:$AM$15,0),MATCH(I$1&amp;$AG126,$AN$9:$BM$9&amp;$AN$11:$BM$11,0))</f>
        <v>2450</v>
      </c>
      <c r="J126" s="1239">
        <f t="shared" si="53"/>
        <v>2450</v>
      </c>
      <c r="K126" s="1239">
        <v>0</v>
      </c>
      <c r="L126" s="1281">
        <v>0</v>
      </c>
      <c r="M126" s="1265">
        <f t="array" ref="M126">1/(INDEX($AN$12:$BM$15,MATCH($F126,$AM$12:$AM$15,0),MATCH(($G126&amp;M$1)&amp;$AG126,$AN$9:$BM$9&amp;$AN$11:$BM$11,0))/1.852)</f>
        <v>1.7403348779577166</v>
      </c>
      <c r="N126" s="1265">
        <f t="shared" si="54"/>
        <v>1.7403348779577166</v>
      </c>
      <c r="O126" s="1237">
        <v>30</v>
      </c>
      <c r="P126" s="1265"/>
      <c r="Q126" s="1239">
        <v>3858.8999400000002</v>
      </c>
      <c r="R126" s="1265">
        <f t="array" ref="R126">(AF126*(INDEX(ShipData!$P$19:$R$26,MATCH($AH126,ShipData!$N$19:$N$26,0),MATCH($AI126,ShipData!$P$18:$R$18,0))+INDEX(ShipData!$P$30:$R$37,MATCH($AH126,ShipData!$N$30:$N$37,0),MATCH($AI126,ShipData!$P$29:$R$29,0)))+K126*0.1*(1/M126)*INDEX(ShipData!$P$41:$R$48,MATCH($AH126,ShipData!$N$41:$N$48,0),MATCH($AI126,ShipData!$P$40:$R$40,0)))*6.5/1000</f>
        <v>103171.42909955772</v>
      </c>
      <c r="S126" s="1237"/>
      <c r="T126" s="1237">
        <v>1E-3</v>
      </c>
      <c r="U126" s="1278"/>
      <c r="V126" s="552"/>
      <c r="W126" s="1530">
        <f t="array" ref="W126">INDEX(EMIS_factors!$G$6:$O$152,MATCH($G126&amp;$AB126,EMIS_factors!$E$6:$E$152&amp;EMIS_factors!$D$6:$D$152,0),MATCH(RIGHT(W$4,6),EMIS_factors!$G$4:$O$4,0))</f>
        <v>46.838407494145208</v>
      </c>
      <c r="X126" s="1530">
        <f t="array" ref="X126">INDEX(EMIS_factors!$G$6:$O$152,MATCH($G126&amp;$AB126,EMIS_factors!$E$6:$E$152&amp;EMIS_factors!$D$6:$D$152,0),MATCH(RIGHT(X$4,6),EMIS_factors!$G$4:$O$4,0))</f>
        <v>938.56734047344298</v>
      </c>
      <c r="Y126" s="1530">
        <f t="array" ref="Y126">INDEX(EMIS_factors!$G$6:$O$152,MATCH($G126&amp;$AB126,EMIS_factors!$E$6:$E$152&amp;EMIS_factors!$D$6:$D$152,0),MATCH(RIGHT(Y$4,6),EMIS_factors!$G$4:$O$4,0))</f>
        <v>1.9042584079204421</v>
      </c>
      <c r="Z126" s="1530">
        <f t="array" ref="Z126">INDEX(EMIS_factors!$G$6:$O$152,MATCH($G126&amp;$AB126,EMIS_factors!$E$6:$E$152&amp;EMIS_factors!$D$6:$D$152,0),MATCH(RIGHT(Z$4,6),EMIS_factors!$G$4:$O$4,0))</f>
        <v>21.22370326738832</v>
      </c>
      <c r="AB126" s="526" t="s">
        <v>1462</v>
      </c>
      <c r="AE126" s="1265">
        <f t="array" ref="AE126">INDEX($AN$12:$BM$15,MATCH(F126,$AM$12:$AM$15,0),MATCH($AG126&amp;$AE$1,$AN$11:$BM$11&amp;$AN$9:$BM$9,0))/1000</f>
        <v>3.5</v>
      </c>
      <c r="AF126" s="549">
        <f t="array" ref="AF126">(AE126^INDEX(ShipData!$X$36:$X$39,MATCH($F126,ShipData!$U$36:$U$39,0)))*0.756*INDEX(ShipData!$W$36:$W$39,MATCH($F126,ShipData!$U$36:$U$39,0))</f>
        <v>2454.0448908848457</v>
      </c>
      <c r="AG126" s="549" t="s">
        <v>1239</v>
      </c>
      <c r="AH126" s="526" t="s">
        <v>1245</v>
      </c>
      <c r="AI126" s="549" t="s">
        <v>1145</v>
      </c>
      <c r="AL126"/>
      <c r="AM126"/>
      <c r="AN126"/>
    </row>
    <row r="127" spans="3:40">
      <c r="C127" s="552" t="str">
        <f t="shared" si="42"/>
        <v>TFSMFOFCC3N</v>
      </c>
      <c r="D127" s="552" t="s">
        <v>1114</v>
      </c>
      <c r="E127" s="534" t="s">
        <v>987</v>
      </c>
      <c r="F127" s="531" t="s">
        <v>1028</v>
      </c>
      <c r="G127" s="1283">
        <v>2030</v>
      </c>
      <c r="H127" s="1237" t="s">
        <v>986</v>
      </c>
      <c r="I127" s="1239">
        <f t="array" ref="I127">INDEX($AN$12:$BM$15,MATCH(F127,$AM$12:$AM$15,0),MATCH(I$1&amp;$AG127,$AN$9:$BM$9&amp;$AN$11:$BM$11,0))</f>
        <v>4900</v>
      </c>
      <c r="J127" s="1239">
        <f t="shared" si="53"/>
        <v>4900</v>
      </c>
      <c r="K127" s="1239">
        <v>362</v>
      </c>
      <c r="L127" s="1281">
        <v>653</v>
      </c>
      <c r="M127" s="1265">
        <f t="array" ref="M127">1/(INDEX($AN$12:$BM$15,MATCH($F127,$AM$12:$AM$15,0),MATCH(($G127&amp;M$1)&amp;$AG127,$AN$9:$BM$9&amp;$AN$11:$BM$11,0))/1.852)</f>
        <v>0.87906595126970144</v>
      </c>
      <c r="N127" s="1265">
        <f t="shared" si="54"/>
        <v>0.87906595126970144</v>
      </c>
      <c r="O127" s="1237">
        <v>30</v>
      </c>
      <c r="P127" s="1265"/>
      <c r="Q127" s="1239">
        <v>8621.1839700000019</v>
      </c>
      <c r="R127" s="1265">
        <f t="array" ref="R127">(AF127*(INDEX(ShipData!$P$19:$R$26,MATCH($AH127,ShipData!$N$19:$N$26,0),MATCH($AI127,ShipData!$P$18:$R$18,0))+INDEX(ShipData!$P$30:$R$37,MATCH($AH127,ShipData!$N$30:$N$37,0),MATCH($AI127,ShipData!$P$29:$R$29,0)))+K127*0.1*(1/M127)*INDEX(ShipData!$P$41:$R$48,MATCH($AH127,ShipData!$N$41:$N$48,0),MATCH($AI127,ShipData!$P$40:$R$40,0)))*6.5/1000</f>
        <v>230550.91326078566</v>
      </c>
      <c r="S127" s="1237"/>
      <c r="T127" s="1237">
        <v>1E-3</v>
      </c>
      <c r="U127" s="1278"/>
      <c r="V127" s="552"/>
      <c r="W127" s="1530">
        <f t="array" ref="W127">INDEX(EMIS_factors!$G$6:$O$152,MATCH($G127&amp;$AB127,EMIS_factors!$E$6:$E$152&amp;EMIS_factors!$D$6:$D$152,0),MATCH(RIGHT(W$4,6),EMIS_factors!$G$4:$O$4,0))</f>
        <v>46.838407494145208</v>
      </c>
      <c r="X127" s="1530">
        <f t="array" ref="X127">INDEX(EMIS_factors!$G$6:$O$152,MATCH($G127&amp;$AB127,EMIS_factors!$E$6:$E$152&amp;EMIS_factors!$D$6:$D$152,0),MATCH(RIGHT(X$4,6),EMIS_factors!$G$4:$O$4,0))</f>
        <v>938.56734047344298</v>
      </c>
      <c r="Y127" s="1530">
        <f t="array" ref="Y127">INDEX(EMIS_factors!$G$6:$O$152,MATCH($G127&amp;$AB127,EMIS_factors!$E$6:$E$152&amp;EMIS_factors!$D$6:$D$152,0),MATCH(RIGHT(Y$4,6),EMIS_factors!$G$4:$O$4,0))</f>
        <v>1.9042584079204421</v>
      </c>
      <c r="Z127" s="1530">
        <f t="array" ref="Z127">INDEX(EMIS_factors!$G$6:$O$152,MATCH($G127&amp;$AB127,EMIS_factors!$E$6:$E$152&amp;EMIS_factors!$D$6:$D$152,0),MATCH(RIGHT(Z$4,6),EMIS_factors!$G$4:$O$4,0))</f>
        <v>21.22370326738832</v>
      </c>
      <c r="AB127" s="526" t="s">
        <v>1462</v>
      </c>
      <c r="AE127" s="1265">
        <f t="array" ref="AE127">INDEX($AN$12:$BM$15,MATCH(F127,$AM$12:$AM$15,0),MATCH($AG127&amp;$AE$1,$AN$11:$BM$11&amp;$AN$9:$BM$9,0))/1000</f>
        <v>7</v>
      </c>
      <c r="AF127" s="549">
        <f t="array" ref="AF127">(AE127^INDEX(ShipData!$X$36:$X$39,MATCH($F127,ShipData!$U$36:$U$39,0)))*0.756*INDEX(ShipData!$W$36:$W$39,MATCH($F127,ShipData!$U$36:$U$39,0))</f>
        <v>5483.7455856749639</v>
      </c>
      <c r="AG127" s="549" t="s">
        <v>1236</v>
      </c>
      <c r="AH127" s="526" t="s">
        <v>1245</v>
      </c>
      <c r="AI127" s="549" t="s">
        <v>1145</v>
      </c>
      <c r="AL127"/>
      <c r="AM127"/>
      <c r="AN127"/>
    </row>
    <row r="128" spans="3:40">
      <c r="C128" s="552" t="str">
        <f t="shared" si="42"/>
        <v>TFSSFOFCR3N</v>
      </c>
      <c r="D128" s="552" t="s">
        <v>1121</v>
      </c>
      <c r="E128" s="534" t="s">
        <v>987</v>
      </c>
      <c r="F128" s="531" t="s">
        <v>1029</v>
      </c>
      <c r="G128" s="1283">
        <v>2030</v>
      </c>
      <c r="H128" s="1237" t="s">
        <v>986</v>
      </c>
      <c r="I128" s="1239">
        <f t="array" ref="I128">INDEX($AN$12:$BM$15,MATCH(F128,$AM$12:$AM$15,0),MATCH(I$1&amp;$AG128,$AN$9:$BM$9&amp;$AN$11:$BM$11,0))</f>
        <v>1002</v>
      </c>
      <c r="J128" s="1239">
        <f t="shared" si="53"/>
        <v>1002</v>
      </c>
      <c r="K128" s="1239">
        <v>38287</v>
      </c>
      <c r="L128" s="1281">
        <v>69083</v>
      </c>
      <c r="M128" s="1265">
        <f t="array" ref="M128">1/(INDEX($AN$12:$BM$15,MATCH($F128,$AM$12:$AM$15,0),MATCH(($G128&amp;M$1)&amp;$AG128,$AN$9:$BM$9&amp;$AN$11:$BM$11,0))/1.852)</f>
        <v>1.7403348779577166</v>
      </c>
      <c r="N128" s="1265">
        <f t="shared" si="54"/>
        <v>1.7403348779577166</v>
      </c>
      <c r="O128" s="1237">
        <v>30</v>
      </c>
      <c r="P128" s="1265"/>
      <c r="Q128" s="1239">
        <v>3176.9449740000005</v>
      </c>
      <c r="R128" s="1265">
        <f t="array" ref="R128">(AF128*(INDEX(ShipData!$P$19:$R$26,MATCH($AH128,ShipData!$N$19:$N$26,0),MATCH($AI128,ShipData!$P$18:$R$18,0))+INDEX(ShipData!$P$30:$R$37,MATCH($AH128,ShipData!$N$30:$N$37,0),MATCH($AI128,ShipData!$P$29:$R$29,0)))+K128*0.1*(1/M128)*INDEX(ShipData!$P$41:$R$48,MATCH($AH128,ShipData!$N$41:$N$48,0),MATCH($AI128,ShipData!$P$40:$R$40,0)))*6.5/1000</f>
        <v>72470.593806038945</v>
      </c>
      <c r="S128" s="1237"/>
      <c r="T128" s="1237">
        <v>1E-3</v>
      </c>
      <c r="U128" s="1278"/>
      <c r="V128" s="552"/>
      <c r="W128" s="1530">
        <f t="array" ref="W128">INDEX(EMIS_factors!$G$6:$O$152,MATCH($G128&amp;$AB128,EMIS_factors!$E$6:$E$152&amp;EMIS_factors!$D$6:$D$152,0),MATCH(RIGHT(W$4,6),EMIS_factors!$G$4:$O$4,0))</f>
        <v>46.838407494145208</v>
      </c>
      <c r="X128" s="1530">
        <f t="array" ref="X128">INDEX(EMIS_factors!$G$6:$O$152,MATCH($G128&amp;$AB128,EMIS_factors!$E$6:$E$152&amp;EMIS_factors!$D$6:$D$152,0),MATCH(RIGHT(X$4,6),EMIS_factors!$G$4:$O$4,0))</f>
        <v>938.56734047344298</v>
      </c>
      <c r="Y128" s="1530">
        <f t="array" ref="Y128">INDEX(EMIS_factors!$G$6:$O$152,MATCH($G128&amp;$AB128,EMIS_factors!$E$6:$E$152&amp;EMIS_factors!$D$6:$D$152,0),MATCH(RIGHT(Y$4,6),EMIS_factors!$G$4:$O$4,0))</f>
        <v>1.9042584079204421</v>
      </c>
      <c r="Z128" s="1530">
        <f t="array" ref="Z128">INDEX(EMIS_factors!$G$6:$O$152,MATCH($G128&amp;$AB128,EMIS_factors!$E$6:$E$152&amp;EMIS_factors!$D$6:$D$152,0),MATCH(RIGHT(Z$4,6),EMIS_factors!$G$4:$O$4,0))</f>
        <v>21.22370326738832</v>
      </c>
      <c r="AB128" s="526" t="s">
        <v>1462</v>
      </c>
      <c r="AE128" s="1265">
        <f t="array" ref="AE128">INDEX($AN$12:$BM$15,MATCH(F128,$AM$12:$AM$15,0),MATCH($AG128&amp;$AE$1,$AN$11:$BM$11&amp;$AN$9:$BM$9,0))/1000</f>
        <v>1.4314285714285715</v>
      </c>
      <c r="AF128" s="549">
        <f t="array" ref="AF128">(AE128^INDEX(ShipData!$X$36:$X$39,MATCH($F128,ShipData!$U$36:$U$39,0)))*0.756*INDEX(ShipData!$W$36:$W$39,MATCH($F128,ShipData!$U$36:$U$39,0))</f>
        <v>1715.2886160618959</v>
      </c>
      <c r="AG128" s="549" t="s">
        <v>1239</v>
      </c>
      <c r="AH128" s="526" t="s">
        <v>1245</v>
      </c>
      <c r="AI128" s="549" t="s">
        <v>1145</v>
      </c>
      <c r="AL128"/>
      <c r="AM128"/>
      <c r="AN128"/>
    </row>
    <row r="129" spans="3:40">
      <c r="C129" s="1428" t="str">
        <f t="shared" si="42"/>
        <v>TFSMFOFCR3N</v>
      </c>
      <c r="D129" s="552" t="s">
        <v>1122</v>
      </c>
      <c r="E129" s="1429" t="s">
        <v>987</v>
      </c>
      <c r="F129" s="1430" t="s">
        <v>1029</v>
      </c>
      <c r="G129" s="1456">
        <v>2030</v>
      </c>
      <c r="H129" s="1431" t="s">
        <v>986</v>
      </c>
      <c r="I129" s="1434">
        <f t="array" ref="I129">INDEX($AN$12:$BM$15,MATCH(F129,$AM$12:$AM$15,0),MATCH(I$1&amp;$AG129,$AN$9:$BM$9&amp;$AN$11:$BM$11,0))</f>
        <v>3608</v>
      </c>
      <c r="J129" s="1434">
        <f t="shared" si="53"/>
        <v>3608</v>
      </c>
      <c r="K129" s="1434">
        <v>925</v>
      </c>
      <c r="L129" s="1451">
        <v>1668</v>
      </c>
      <c r="M129" s="1448">
        <f t="array" ref="M129">1/(INDEX($AN$12:$BM$15,MATCH($F129,$AM$12:$AM$15,0),MATCH(($G129&amp;M$1)&amp;$AG129,$AN$9:$BM$9&amp;$AN$11:$BM$11,0))/1.852)</f>
        <v>0.87906595126970144</v>
      </c>
      <c r="N129" s="1448">
        <f t="shared" si="54"/>
        <v>0.87906595126970144</v>
      </c>
      <c r="O129" s="1431">
        <v>30</v>
      </c>
      <c r="P129" s="1448"/>
      <c r="Q129" s="1434">
        <v>10125.691128</v>
      </c>
      <c r="R129" s="1448">
        <f t="array" ref="R129">(AF129*(INDEX(ShipData!$P$19:$R$26,MATCH($AH129,ShipData!$N$19:$N$26,0),MATCH($AI129,ShipData!$P$18:$R$18,0))+INDEX(ShipData!$P$30:$R$37,MATCH($AH129,ShipData!$N$30:$N$37,0),MATCH($AI129,ShipData!$P$29:$R$29,0)))+K129*0.1*(1/M129)*INDEX(ShipData!$P$41:$R$48,MATCH($AH129,ShipData!$N$41:$N$48,0),MATCH($AI129,ShipData!$P$40:$R$40,0)))*6.5/1000</f>
        <v>229925.62105964057</v>
      </c>
      <c r="S129" s="1431"/>
      <c r="T129" s="1431">
        <v>1E-3</v>
      </c>
      <c r="U129" s="1446"/>
      <c r="V129" s="1428"/>
      <c r="W129" s="1530">
        <f t="array" ref="W129">INDEX(EMIS_factors!$G$6:$O$152,MATCH($G129&amp;$AB129,EMIS_factors!$E$6:$E$152&amp;EMIS_factors!$D$6:$D$152,0),MATCH(RIGHT(W$4,6),EMIS_factors!$G$4:$O$4,0))</f>
        <v>46.838407494145208</v>
      </c>
      <c r="X129" s="1530">
        <f t="array" ref="X129">INDEX(EMIS_factors!$G$6:$O$152,MATCH($G129&amp;$AB129,EMIS_factors!$E$6:$E$152&amp;EMIS_factors!$D$6:$D$152,0),MATCH(RIGHT(X$4,6),EMIS_factors!$G$4:$O$4,0))</f>
        <v>938.56734047344298</v>
      </c>
      <c r="Y129" s="1530">
        <f t="array" ref="Y129">INDEX(EMIS_factors!$G$6:$O$152,MATCH($G129&amp;$AB129,EMIS_factors!$E$6:$E$152&amp;EMIS_factors!$D$6:$D$152,0),MATCH(RIGHT(Y$4,6),EMIS_factors!$G$4:$O$4,0))</f>
        <v>1.9042584079204421</v>
      </c>
      <c r="Z129" s="1530">
        <f t="array" ref="Z129">INDEX(EMIS_factors!$G$6:$O$152,MATCH($G129&amp;$AB129,EMIS_factors!$E$6:$E$152&amp;EMIS_factors!$D$6:$D$152,0),MATCH(RIGHT(Z$4,6),EMIS_factors!$G$4:$O$4,0))</f>
        <v>21.22370326738832</v>
      </c>
      <c r="AB129" s="526" t="s">
        <v>1462</v>
      </c>
      <c r="AE129" s="1265">
        <f t="array" ref="AE129">INDEX($AN$12:$BM$15,MATCH(F129,$AM$12:$AM$15,0),MATCH($AG129&amp;$AE$1,$AN$11:$BM$11&amp;$AN$9:$BM$9,0))/1000</f>
        <v>5.1542857142857148</v>
      </c>
      <c r="AF129" s="549">
        <f t="array" ref="AF129">(AE129^INDEX(ShipData!$X$36:$X$39,MATCH($F129,ShipData!$U$36:$U$39,0)))*0.756*INDEX(ShipData!$W$36:$W$39,MATCH($F129,ShipData!$U$36:$U$39,0))</f>
        <v>5468.6247789018307</v>
      </c>
      <c r="AG129" s="549" t="s">
        <v>1236</v>
      </c>
      <c r="AH129" s="526" t="s">
        <v>1245</v>
      </c>
      <c r="AI129" s="549" t="s">
        <v>1145</v>
      </c>
      <c r="AL129"/>
      <c r="AM129"/>
      <c r="AN129"/>
    </row>
    <row r="130" spans="3:40">
      <c r="C130" s="552" t="str">
        <f t="shared" si="42"/>
        <v>TFSSMOFCL2N</v>
      </c>
      <c r="D130" s="552" t="s">
        <v>1099</v>
      </c>
      <c r="E130" s="534" t="s">
        <v>995</v>
      </c>
      <c r="F130" s="531" t="s">
        <v>1026</v>
      </c>
      <c r="G130" s="531">
        <v>2020</v>
      </c>
      <c r="H130" s="1237" t="s">
        <v>986</v>
      </c>
      <c r="I130" s="1239">
        <f t="array" ref="I130">INDEX($AN$12:$BM$15,MATCH(F130,$AM$12:$AM$15,0),MATCH(I$1&amp;$AG130,$AN$9:$BM$9&amp;$AN$11:$BM$11,0))</f>
        <v>810</v>
      </c>
      <c r="J130" s="1239">
        <f t="shared" si="16"/>
        <v>810</v>
      </c>
      <c r="K130" s="1239">
        <v>46488</v>
      </c>
      <c r="L130" s="1237">
        <v>83879</v>
      </c>
      <c r="M130" s="1265">
        <f t="array" ref="M130">1/(INDEX($AN$12:$BM$15,MATCH($F130,$AM$12:$AM$15,0),MATCH(($G130&amp;M$1)&amp;$AG130,$AN$9:$BM$9&amp;$AN$11:$BM$11,0))/1.852)</f>
        <v>2.3752039567310899</v>
      </c>
      <c r="N130" s="1265">
        <f t="shared" si="43"/>
        <v>2.3752039567310899</v>
      </c>
      <c r="O130" s="1237">
        <v>30</v>
      </c>
      <c r="P130" s="1265"/>
      <c r="Q130" s="1265">
        <f t="shared" si="52"/>
        <v>2545.7276359347215</v>
      </c>
      <c r="R130" s="1265">
        <f t="array" ref="R130">(AF130*(INDEX(ShipData!$P$19:$R$26,MATCH($AH130,ShipData!$N$19:$N$26,0),MATCH($AI130,ShipData!$P$18:$R$18,0))+INDEX(ShipData!$P$30:$R$37,MATCH($AH130,ShipData!$N$30:$N$37,0),MATCH($AI130,ShipData!$P$29:$R$29,0)))+K130*0.1*(1/M130)*INDEX(ShipData!$P$41:$R$48,MATCH($AH130,ShipData!$N$41:$N$48,0),MATCH($AI130,ShipData!$P$40:$R$40,0)))*6.5/1000</f>
        <v>72735.075312420609</v>
      </c>
      <c r="S130" s="1237"/>
      <c r="T130" s="1237">
        <v>1E-3</v>
      </c>
      <c r="U130" s="1278"/>
      <c r="V130" s="552"/>
      <c r="W130" s="1530">
        <f t="array" ref="W130">INDEX(EMIS_factors!$G$6:$O$152,MATCH($G130&amp;$AB130,EMIS_factors!$E$6:$E$152&amp;EMIS_factors!$D$6:$D$152,0),MATCH(RIGHT(W$4,6),EMIS_factors!$G$4:$O$4,0))</f>
        <v>46.838407494145208</v>
      </c>
      <c r="X130" s="1530">
        <f t="array" ref="X130">INDEX(EMIS_factors!$G$6:$O$152,MATCH($G130&amp;$AB130,EMIS_factors!$E$6:$E$152&amp;EMIS_factors!$D$6:$D$152,0),MATCH(RIGHT(X$4,6),EMIS_factors!$G$4:$O$4,0))</f>
        <v>1402.4856581824845</v>
      </c>
      <c r="Y130" s="1530">
        <f t="array" ref="Y130">INDEX(EMIS_factors!$G$6:$O$152,MATCH($G130&amp;$AB130,EMIS_factors!$E$6:$E$152&amp;EMIS_factors!$D$6:$D$152,0),MATCH(RIGHT(Y$4,6),EMIS_factors!$G$4:$O$4,0))</f>
        <v>1.8637630108223573</v>
      </c>
      <c r="Z130" s="1530">
        <f t="array" ref="Z130">INDEX(EMIS_factors!$G$6:$O$152,MATCH($G130&amp;$AB130,EMIS_factors!$E$6:$E$152&amp;EMIS_factors!$D$6:$D$152,0),MATCH(RIGHT(Z$4,6),EMIS_factors!$G$4:$O$4,0))</f>
        <v>21.22370326738832</v>
      </c>
      <c r="AB130" s="526" t="s">
        <v>1462</v>
      </c>
      <c r="AE130" s="1265">
        <f t="array" ref="AE130">INDEX($AN$12:$BM$15,MATCH(F130,$AM$12:$AM$15,0),MATCH($AG130&amp;$AE$1,$AN$11:$BM$11&amp;$AN$9:$BM$9,0))/1000</f>
        <v>1.5804878048780491</v>
      </c>
      <c r="AF130" s="549">
        <f t="array" ref="AF130">(AE130^INDEX(ShipData!$X$36:$X$39,MATCH($F130,ShipData!$U$36:$U$39,0)))*0.756*INDEX(ShipData!$W$36:$W$39,MATCH($F130,ShipData!$U$36:$U$39,0))</f>
        <v>1602.8300580975306</v>
      </c>
      <c r="AG130" s="549" t="s">
        <v>1239</v>
      </c>
      <c r="AH130" s="526" t="s">
        <v>1246</v>
      </c>
      <c r="AI130" s="549" t="s">
        <v>1143</v>
      </c>
      <c r="AL130"/>
      <c r="AM130"/>
      <c r="AN130"/>
    </row>
    <row r="131" spans="3:40">
      <c r="C131" s="552" t="str">
        <f t="shared" si="42"/>
        <v>TFSMMOFCL3N</v>
      </c>
      <c r="D131" s="552" t="s">
        <v>1100</v>
      </c>
      <c r="E131" s="534" t="s">
        <v>995</v>
      </c>
      <c r="F131" s="531" t="s">
        <v>1026</v>
      </c>
      <c r="G131" s="531">
        <v>2030</v>
      </c>
      <c r="H131" s="1237" t="s">
        <v>986</v>
      </c>
      <c r="I131" s="1239">
        <f t="array" ref="I131">INDEX($AN$12:$BM$15,MATCH(F131,$AM$12:$AM$15,0),MATCH(I$1&amp;$AG131,$AN$9:$BM$9&amp;$AN$11:$BM$11,0))</f>
        <v>3045.9905660377353</v>
      </c>
      <c r="J131" s="1239">
        <f t="shared" si="16"/>
        <v>3045.9905660377353</v>
      </c>
      <c r="K131" s="1239">
        <v>25616</v>
      </c>
      <c r="L131" s="1237">
        <v>46219</v>
      </c>
      <c r="M131" s="1265">
        <f t="array" ref="M131">1/(INDEX($AN$12:$BM$15,MATCH($F131,$AM$12:$AM$15,0),MATCH(($G131&amp;M$1)&amp;$AG131,$AN$9:$BM$9&amp;$AN$11:$BM$11,0))/1.852)</f>
        <v>1.9876124255718461</v>
      </c>
      <c r="N131" s="1265">
        <f t="shared" si="43"/>
        <v>1.9876124255718461</v>
      </c>
      <c r="O131" s="1237">
        <v>30</v>
      </c>
      <c r="P131" s="1265"/>
      <c r="Q131" s="1265">
        <f t="shared" si="52"/>
        <v>5319.9456229525349</v>
      </c>
      <c r="R131" s="1265">
        <f t="array" ref="R131">(AF131*(INDEX(ShipData!$P$19:$R$26,MATCH($AH131,ShipData!$N$19:$N$26,0),MATCH($AI131,ShipData!$P$18:$R$18,0))+INDEX(ShipData!$P$30:$R$37,MATCH($AH131,ShipData!$N$30:$N$37,0),MATCH($AI131,ShipData!$P$29:$R$29,0)))+K131*0.1*(1/M131)*INDEX(ShipData!$P$41:$R$48,MATCH($AH131,ShipData!$N$41:$N$48,0),MATCH($AI131,ShipData!$P$40:$R$40,0)))*6.5/1000</f>
        <v>151998.4463700724</v>
      </c>
      <c r="S131" s="1237"/>
      <c r="T131" s="1237">
        <v>1E-3</v>
      </c>
      <c r="U131" s="1278"/>
      <c r="V131" s="552"/>
      <c r="W131" s="1530">
        <f t="array" ref="W131">INDEX(EMIS_factors!$G$6:$O$152,MATCH($G131&amp;$AB131,EMIS_factors!$E$6:$E$152&amp;EMIS_factors!$D$6:$D$152,0),MATCH(RIGHT(W$4,6),EMIS_factors!$G$4:$O$4,0))</f>
        <v>46.838407494145208</v>
      </c>
      <c r="X131" s="1530">
        <f t="array" ref="X131">INDEX(EMIS_factors!$G$6:$O$152,MATCH($G131&amp;$AB131,EMIS_factors!$E$6:$E$152&amp;EMIS_factors!$D$6:$D$152,0),MATCH(RIGHT(X$4,6),EMIS_factors!$G$4:$O$4,0))</f>
        <v>938.56734047344298</v>
      </c>
      <c r="Y131" s="1530">
        <f t="array" ref="Y131">INDEX(EMIS_factors!$G$6:$O$152,MATCH($G131&amp;$AB131,EMIS_factors!$E$6:$E$152&amp;EMIS_factors!$D$6:$D$152,0),MATCH(RIGHT(Y$4,6),EMIS_factors!$G$4:$O$4,0))</f>
        <v>1.9042584079204421</v>
      </c>
      <c r="Z131" s="1530">
        <f t="array" ref="Z131">INDEX(EMIS_factors!$G$6:$O$152,MATCH($G131&amp;$AB131,EMIS_factors!$E$6:$E$152&amp;EMIS_factors!$D$6:$D$152,0),MATCH(RIGHT(Z$4,6),EMIS_factors!$G$4:$O$4,0))</f>
        <v>21.22370326738832</v>
      </c>
      <c r="AB131" s="526" t="s">
        <v>1462</v>
      </c>
      <c r="AE131" s="1265">
        <f t="array" ref="AE131">INDEX($AN$12:$BM$15,MATCH(F131,$AM$12:$AM$15,0),MATCH($AG131&amp;$AE$1,$AN$11:$BM$11&amp;$AN$9:$BM$9,0))/1000</f>
        <v>5.9433962264150946</v>
      </c>
      <c r="AF131" s="549">
        <f t="array" ref="AF131">(AE131^INDEX(ShipData!$X$36:$X$39,MATCH($F131,ShipData!$U$36:$U$39,0)))*0.756*INDEX(ShipData!$W$36:$W$39,MATCH($F131,ShipData!$U$36:$U$39,0))</f>
        <v>3369.7610132900404</v>
      </c>
      <c r="AG131" s="549" t="s">
        <v>1236</v>
      </c>
      <c r="AH131" s="526" t="s">
        <v>1246</v>
      </c>
      <c r="AI131" s="549" t="s">
        <v>1143</v>
      </c>
      <c r="AL131"/>
      <c r="AM131"/>
      <c r="AN131"/>
    </row>
    <row r="132" spans="3:40">
      <c r="C132" s="552" t="str">
        <f t="shared" si="42"/>
        <v>TFSSMOFCD2N</v>
      </c>
      <c r="D132" s="552" t="s">
        <v>1107</v>
      </c>
      <c r="E132" s="534" t="s">
        <v>995</v>
      </c>
      <c r="F132" s="531" t="s">
        <v>1027</v>
      </c>
      <c r="G132" s="531">
        <v>2020</v>
      </c>
      <c r="H132" s="1237" t="s">
        <v>986</v>
      </c>
      <c r="I132" s="1239">
        <f t="array" ref="I132">INDEX($AN$12:$BM$15,MATCH(F132,$AM$12:$AM$15,0),MATCH(I$1&amp;$AG132,$AN$9:$BM$9&amp;$AN$11:$BM$11,0))</f>
        <v>1527</v>
      </c>
      <c r="J132" s="1239">
        <f t="shared" ref="J132:J137" si="57">I132</f>
        <v>1527</v>
      </c>
      <c r="K132" s="1239">
        <v>17027</v>
      </c>
      <c r="L132" s="1281">
        <v>30722</v>
      </c>
      <c r="M132" s="1265">
        <f t="array" ref="M132">1/(INDEX($AN$12:$BM$15,MATCH($F132,$AM$12:$AM$15,0),MATCH(($G132&amp;M$1)&amp;$AG132,$AN$9:$BM$9&amp;$AN$11:$BM$11,0))/1.852)</f>
        <v>3.4190010788978875</v>
      </c>
      <c r="N132" s="1265">
        <f t="shared" ref="N132:N137" si="58">M132</f>
        <v>3.4190010788978875</v>
      </c>
      <c r="O132" s="1237">
        <v>30</v>
      </c>
      <c r="P132" s="1265"/>
      <c r="Q132" s="1265">
        <f t="shared" ref="Q132:Q137" si="59">0.035*R132</f>
        <v>3031.0900491143002</v>
      </c>
      <c r="R132" s="1265">
        <f t="array" ref="R132">(AF132*(INDEX(ShipData!$P$19:$R$26,MATCH($AH132,ShipData!$N$19:$N$26,0),MATCH($AI132,ShipData!$P$18:$R$18,0))+INDEX(ShipData!$P$30:$R$37,MATCH($AH132,ShipData!$N$30:$N$37,0),MATCH($AI132,ShipData!$P$29:$R$29,0)))+K132*0.1*(1/M132)*INDEX(ShipData!$P$41:$R$48,MATCH($AH132,ShipData!$N$41:$N$48,0),MATCH($AI132,ShipData!$P$40:$R$40,0)))*6.5/1000</f>
        <v>86602.57283183714</v>
      </c>
      <c r="S132" s="1237"/>
      <c r="T132" s="1237">
        <v>1E-3</v>
      </c>
      <c r="U132" s="1278"/>
      <c r="V132" s="552"/>
      <c r="W132" s="1530">
        <f t="array" ref="W132">INDEX(EMIS_factors!$G$6:$O$152,MATCH($G132&amp;$AB132,EMIS_factors!$E$6:$E$152&amp;EMIS_factors!$D$6:$D$152,0),MATCH(RIGHT(W$4,6),EMIS_factors!$G$4:$O$4,0))</f>
        <v>46.838407494145208</v>
      </c>
      <c r="X132" s="1530">
        <f t="array" ref="X132">INDEX(EMIS_factors!$G$6:$O$152,MATCH($G132&amp;$AB132,EMIS_factors!$E$6:$E$152&amp;EMIS_factors!$D$6:$D$152,0),MATCH(RIGHT(X$4,6),EMIS_factors!$G$4:$O$4,0))</f>
        <v>1402.4856581824845</v>
      </c>
      <c r="Y132" s="1530">
        <f t="array" ref="Y132">INDEX(EMIS_factors!$G$6:$O$152,MATCH($G132&amp;$AB132,EMIS_factors!$E$6:$E$152&amp;EMIS_factors!$D$6:$D$152,0),MATCH(RIGHT(Y$4,6),EMIS_factors!$G$4:$O$4,0))</f>
        <v>1.8637630108223573</v>
      </c>
      <c r="Z132" s="1530">
        <f t="array" ref="Z132">INDEX(EMIS_factors!$G$6:$O$152,MATCH($G132&amp;$AB132,EMIS_factors!$E$6:$E$152&amp;EMIS_factors!$D$6:$D$152,0),MATCH(RIGHT(Z$4,6),EMIS_factors!$G$4:$O$4,0))</f>
        <v>21.22370326738832</v>
      </c>
      <c r="AB132" s="526" t="s">
        <v>1462</v>
      </c>
      <c r="AE132" s="1265">
        <f t="array" ref="AE132">INDEX($AN$12:$BM$15,MATCH(F132,$AM$12:$AM$15,0),MATCH($AG132&amp;$AE$1,$AN$11:$BM$11&amp;$AN$9:$BM$9,0))/1000</f>
        <v>2.5449999999999999</v>
      </c>
      <c r="AF132" s="549">
        <f t="array" ref="AF132">(AE132^INDEX(ShipData!$X$36:$X$39,MATCH($F132,ShipData!$U$36:$U$39,0)))*0.756*INDEX(ShipData!$W$36:$W$39,MATCH($F132,ShipData!$U$36:$U$39,0))</f>
        <v>1921.6608368614334</v>
      </c>
      <c r="AG132" s="549" t="s">
        <v>1239</v>
      </c>
      <c r="AH132" s="526" t="s">
        <v>1246</v>
      </c>
      <c r="AI132" s="549" t="s">
        <v>1143</v>
      </c>
      <c r="AL132"/>
      <c r="AM132"/>
      <c r="AN132"/>
    </row>
    <row r="133" spans="3:40">
      <c r="C133" s="552" t="str">
        <f t="shared" si="42"/>
        <v>TFSMMOFCD3N</v>
      </c>
      <c r="D133" s="552" t="s">
        <v>1108</v>
      </c>
      <c r="E133" s="534" t="s">
        <v>995</v>
      </c>
      <c r="F133" s="531" t="s">
        <v>1027</v>
      </c>
      <c r="G133" s="531">
        <v>2030</v>
      </c>
      <c r="H133" s="1237" t="s">
        <v>986</v>
      </c>
      <c r="I133" s="1239">
        <f t="array" ref="I133">INDEX($AN$12:$BM$15,MATCH(F133,$AM$12:$AM$15,0),MATCH(I$1&amp;$AG133,$AN$9:$BM$9&amp;$AN$11:$BM$11,0))</f>
        <v>4174</v>
      </c>
      <c r="J133" s="1239">
        <f t="shared" si="57"/>
        <v>4174</v>
      </c>
      <c r="K133" s="1239">
        <v>3330</v>
      </c>
      <c r="L133" s="1281">
        <v>6009</v>
      </c>
      <c r="M133" s="1265">
        <f t="array" ref="M133">1/(INDEX($AN$12:$BM$15,MATCH($F133,$AM$12:$AM$15,0),MATCH(($G133&amp;M$1)&amp;$AG133,$AN$9:$BM$9&amp;$AN$11:$BM$11,0))/1.852)</f>
        <v>2.1794284452298629</v>
      </c>
      <c r="N133" s="1265">
        <f t="shared" si="58"/>
        <v>2.1794284452298629</v>
      </c>
      <c r="O133" s="1237">
        <v>30</v>
      </c>
      <c r="P133" s="1265"/>
      <c r="Q133" s="1265">
        <f t="shared" si="59"/>
        <v>5417.2993540717598</v>
      </c>
      <c r="R133" s="1265">
        <f t="array" ref="R133">(AF133*(INDEX(ShipData!$P$19:$R$26,MATCH($AH133,ShipData!$N$19:$N$26,0),MATCH($AI133,ShipData!$P$18:$R$18,0))+INDEX(ShipData!$P$30:$R$37,MATCH($AH133,ShipData!$N$30:$N$37,0),MATCH($AI133,ShipData!$P$29:$R$29,0)))+K133*0.1*(1/M133)*INDEX(ShipData!$P$41:$R$48,MATCH($AH133,ShipData!$N$41:$N$48,0),MATCH($AI133,ShipData!$P$40:$R$40,0)))*6.5/1000</f>
        <v>154779.98154490741</v>
      </c>
      <c r="S133" s="1237"/>
      <c r="T133" s="1237">
        <v>1E-3</v>
      </c>
      <c r="U133" s="1278"/>
      <c r="V133" s="552"/>
      <c r="W133" s="1530">
        <f t="array" ref="W133">INDEX(EMIS_factors!$G$6:$O$152,MATCH($G133&amp;$AB133,EMIS_factors!$E$6:$E$152&amp;EMIS_factors!$D$6:$D$152,0),MATCH(RIGHT(W$4,6),EMIS_factors!$G$4:$O$4,0))</f>
        <v>46.838407494145208</v>
      </c>
      <c r="X133" s="1530">
        <f t="array" ref="X133">INDEX(EMIS_factors!$G$6:$O$152,MATCH($G133&amp;$AB133,EMIS_factors!$E$6:$E$152&amp;EMIS_factors!$D$6:$D$152,0),MATCH(RIGHT(X$4,6),EMIS_factors!$G$4:$O$4,0))</f>
        <v>938.56734047344298</v>
      </c>
      <c r="Y133" s="1530">
        <f t="array" ref="Y133">INDEX(EMIS_factors!$G$6:$O$152,MATCH($G133&amp;$AB133,EMIS_factors!$E$6:$E$152&amp;EMIS_factors!$D$6:$D$152,0),MATCH(RIGHT(Y$4,6),EMIS_factors!$G$4:$O$4,0))</f>
        <v>1.9042584079204421</v>
      </c>
      <c r="Z133" s="1530">
        <f t="array" ref="Z133">INDEX(EMIS_factors!$G$6:$O$152,MATCH($G133&amp;$AB133,EMIS_factors!$E$6:$E$152&amp;EMIS_factors!$D$6:$D$152,0),MATCH(RIGHT(Z$4,6),EMIS_factors!$G$4:$O$4,0))</f>
        <v>21.22370326738832</v>
      </c>
      <c r="AB133" s="526" t="s">
        <v>1462</v>
      </c>
      <c r="AE133" s="1265">
        <f t="array" ref="AE133">INDEX($AN$12:$BM$15,MATCH(F133,$AM$12:$AM$15,0),MATCH($AG133&amp;$AE$1,$AN$11:$BM$11&amp;$AN$9:$BM$9,0))/1000</f>
        <v>6.956666666666667</v>
      </c>
      <c r="AF133" s="549">
        <f t="array" ref="AF133">(AE133^INDEX(ShipData!$X$36:$X$39,MATCH($F133,ShipData!$U$36:$U$39,0)))*0.756*INDEX(ShipData!$W$36:$W$39,MATCH($F133,ShipData!$U$36:$U$39,0))</f>
        <v>3439.8048335584949</v>
      </c>
      <c r="AG133" s="549" t="s">
        <v>1236</v>
      </c>
      <c r="AH133" s="526" t="s">
        <v>1246</v>
      </c>
      <c r="AI133" s="549" t="s">
        <v>1143</v>
      </c>
      <c r="AL133"/>
      <c r="AM133"/>
      <c r="AN133"/>
    </row>
    <row r="134" spans="3:40">
      <c r="C134" s="552" t="str">
        <f t="shared" si="42"/>
        <v>TFSSMOFCC2N</v>
      </c>
      <c r="D134" s="552" t="s">
        <v>1115</v>
      </c>
      <c r="E134" s="534" t="s">
        <v>995</v>
      </c>
      <c r="F134" s="531" t="s">
        <v>1028</v>
      </c>
      <c r="G134" s="531">
        <v>2020</v>
      </c>
      <c r="H134" s="1237" t="s">
        <v>986</v>
      </c>
      <c r="I134" s="1239">
        <f t="array" ref="I134">INDEX($AN$12:$BM$15,MATCH(F134,$AM$12:$AM$15,0),MATCH(I$1&amp;$AG134,$AN$9:$BM$9&amp;$AN$11:$BM$11,0))</f>
        <v>2450</v>
      </c>
      <c r="J134" s="1239">
        <f t="shared" si="57"/>
        <v>2450</v>
      </c>
      <c r="K134" s="1239">
        <v>0</v>
      </c>
      <c r="L134" s="1281">
        <v>0</v>
      </c>
      <c r="M134" s="1265">
        <f t="array" ref="M134">1/(INDEX($AN$12:$BM$15,MATCH($F134,$AM$12:$AM$15,0),MATCH(($G134&amp;M$1)&amp;$AG134,$AN$9:$BM$9&amp;$AN$11:$BM$11,0))/1.852)</f>
        <v>1.7403348779577166</v>
      </c>
      <c r="N134" s="1265">
        <f t="shared" si="58"/>
        <v>1.7403348779577166</v>
      </c>
      <c r="O134" s="1237">
        <v>30</v>
      </c>
      <c r="P134" s="1265"/>
      <c r="Q134" s="1265">
        <f t="shared" si="59"/>
        <v>3618.6545694166275</v>
      </c>
      <c r="R134" s="1265">
        <f t="array" ref="R134">(AF134*(INDEX(ShipData!$P$19:$R$26,MATCH($AH134,ShipData!$N$19:$N$26,0),MATCH($AI134,ShipData!$P$18:$R$18,0))+INDEX(ShipData!$P$30:$R$37,MATCH($AH134,ShipData!$N$30:$N$37,0),MATCH($AI134,ShipData!$P$29:$R$29,0)))+K134*0.1*(1/M134)*INDEX(ShipData!$P$41:$R$48,MATCH($AH134,ShipData!$N$41:$N$48,0),MATCH($AI134,ShipData!$P$40:$R$40,0)))*6.5/1000</f>
        <v>103390.13055476078</v>
      </c>
      <c r="S134" s="1237"/>
      <c r="T134" s="1237">
        <v>1E-3</v>
      </c>
      <c r="U134" s="1278"/>
      <c r="V134" s="552"/>
      <c r="W134" s="1530">
        <f t="array" ref="W134">INDEX(EMIS_factors!$G$6:$O$152,MATCH($G134&amp;$AB134,EMIS_factors!$E$6:$E$152&amp;EMIS_factors!$D$6:$D$152,0),MATCH(RIGHT(W$4,6),EMIS_factors!$G$4:$O$4,0))</f>
        <v>46.838407494145208</v>
      </c>
      <c r="X134" s="1530">
        <f t="array" ref="X134">INDEX(EMIS_factors!$G$6:$O$152,MATCH($G134&amp;$AB134,EMIS_factors!$E$6:$E$152&amp;EMIS_factors!$D$6:$D$152,0),MATCH(RIGHT(X$4,6),EMIS_factors!$G$4:$O$4,0))</f>
        <v>1402.4856581824845</v>
      </c>
      <c r="Y134" s="1530">
        <f t="array" ref="Y134">INDEX(EMIS_factors!$G$6:$O$152,MATCH($G134&amp;$AB134,EMIS_factors!$E$6:$E$152&amp;EMIS_factors!$D$6:$D$152,0),MATCH(RIGHT(Y$4,6),EMIS_factors!$G$4:$O$4,0))</f>
        <v>1.8637630108223573</v>
      </c>
      <c r="Z134" s="1530">
        <f t="array" ref="Z134">INDEX(EMIS_factors!$G$6:$O$152,MATCH($G134&amp;$AB134,EMIS_factors!$E$6:$E$152&amp;EMIS_factors!$D$6:$D$152,0),MATCH(RIGHT(Z$4,6),EMIS_factors!$G$4:$O$4,0))</f>
        <v>21.22370326738832</v>
      </c>
      <c r="AB134" s="526" t="s">
        <v>1462</v>
      </c>
      <c r="AE134" s="1265">
        <f t="array" ref="AE134">INDEX($AN$12:$BM$15,MATCH(F134,$AM$12:$AM$15,0),MATCH($AG134&amp;$AE$1,$AN$11:$BM$11&amp;$AN$9:$BM$9,0))/1000</f>
        <v>3.5</v>
      </c>
      <c r="AF134" s="549">
        <f t="array" ref="AF134">(AE134^INDEX(ShipData!$X$36:$X$39,MATCH($F134,ShipData!$U$36:$U$39,0)))*0.756*INDEX(ShipData!$W$36:$W$39,MATCH($F134,ShipData!$U$36:$U$39,0))</f>
        <v>2454.0448908848457</v>
      </c>
      <c r="AG134" s="549" t="s">
        <v>1239</v>
      </c>
      <c r="AH134" s="526" t="s">
        <v>1246</v>
      </c>
      <c r="AI134" s="549" t="s">
        <v>1145</v>
      </c>
      <c r="AL134"/>
      <c r="AM134"/>
      <c r="AN134"/>
    </row>
    <row r="135" spans="3:40">
      <c r="C135" s="552" t="str">
        <f t="shared" si="42"/>
        <v>TFSMMOFCC3N</v>
      </c>
      <c r="D135" s="552" t="s">
        <v>1116</v>
      </c>
      <c r="E135" s="534" t="s">
        <v>995</v>
      </c>
      <c r="F135" s="531" t="s">
        <v>1028</v>
      </c>
      <c r="G135" s="531">
        <v>2030</v>
      </c>
      <c r="H135" s="1237" t="s">
        <v>986</v>
      </c>
      <c r="I135" s="1239">
        <f t="array" ref="I135">INDEX($AN$12:$BM$15,MATCH(F135,$AM$12:$AM$15,0),MATCH(I$1&amp;$AG135,$AN$9:$BM$9&amp;$AN$11:$BM$11,0))</f>
        <v>4900</v>
      </c>
      <c r="J135" s="1239">
        <f t="shared" si="57"/>
        <v>4900</v>
      </c>
      <c r="K135" s="1239">
        <v>362</v>
      </c>
      <c r="L135" s="1281">
        <v>653</v>
      </c>
      <c r="M135" s="1265">
        <f t="array" ref="M135">1/(INDEX($AN$12:$BM$15,MATCH($F135,$AM$12:$AM$15,0),MATCH(($G135&amp;M$1)&amp;$AG135,$AN$9:$BM$9&amp;$AN$11:$BM$11,0))/1.852)</f>
        <v>0.87906595126970144</v>
      </c>
      <c r="N135" s="1265">
        <f t="shared" si="58"/>
        <v>0.87906595126970144</v>
      </c>
      <c r="O135" s="1237">
        <v>30</v>
      </c>
      <c r="P135" s="1265"/>
      <c r="Q135" s="1265">
        <f t="shared" si="59"/>
        <v>8086.5271537347617</v>
      </c>
      <c r="R135" s="1265">
        <f t="array" ref="R135">(AF135*(INDEX(ShipData!$P$19:$R$26,MATCH($AH135,ShipData!$N$19:$N$26,0),MATCH($AI135,ShipData!$P$18:$R$18,0))+INDEX(ShipData!$P$30:$R$37,MATCH($AH135,ShipData!$N$30:$N$37,0),MATCH($AI135,ShipData!$P$29:$R$29,0)))+K135*0.1*(1/M135)*INDEX(ShipData!$P$41:$R$48,MATCH($AH135,ShipData!$N$41:$N$48,0),MATCH($AI135,ShipData!$P$40:$R$40,0)))*6.5/1000</f>
        <v>231043.63296385031</v>
      </c>
      <c r="S135" s="1237"/>
      <c r="T135" s="1237">
        <v>1E-3</v>
      </c>
      <c r="U135" s="1278"/>
      <c r="V135" s="552"/>
      <c r="W135" s="1530">
        <f t="array" ref="W135">INDEX(EMIS_factors!$G$6:$O$152,MATCH($G135&amp;$AB135,EMIS_factors!$E$6:$E$152&amp;EMIS_factors!$D$6:$D$152,0),MATCH(RIGHT(W$4,6),EMIS_factors!$G$4:$O$4,0))</f>
        <v>46.838407494145208</v>
      </c>
      <c r="X135" s="1530">
        <f t="array" ref="X135">INDEX(EMIS_factors!$G$6:$O$152,MATCH($G135&amp;$AB135,EMIS_factors!$E$6:$E$152&amp;EMIS_factors!$D$6:$D$152,0),MATCH(RIGHT(X$4,6),EMIS_factors!$G$4:$O$4,0))</f>
        <v>938.56734047344298</v>
      </c>
      <c r="Y135" s="1530">
        <f t="array" ref="Y135">INDEX(EMIS_factors!$G$6:$O$152,MATCH($G135&amp;$AB135,EMIS_factors!$E$6:$E$152&amp;EMIS_factors!$D$6:$D$152,0),MATCH(RIGHT(Y$4,6),EMIS_factors!$G$4:$O$4,0))</f>
        <v>1.9042584079204421</v>
      </c>
      <c r="Z135" s="1530">
        <f t="array" ref="Z135">INDEX(EMIS_factors!$G$6:$O$152,MATCH($G135&amp;$AB135,EMIS_factors!$E$6:$E$152&amp;EMIS_factors!$D$6:$D$152,0),MATCH(RIGHT(Z$4,6),EMIS_factors!$G$4:$O$4,0))</f>
        <v>21.22370326738832</v>
      </c>
      <c r="AB135" s="526" t="s">
        <v>1462</v>
      </c>
      <c r="AE135" s="1265">
        <f t="array" ref="AE135">INDEX($AN$12:$BM$15,MATCH(F135,$AM$12:$AM$15,0),MATCH($AG135&amp;$AE$1,$AN$11:$BM$11&amp;$AN$9:$BM$9,0))/1000</f>
        <v>7</v>
      </c>
      <c r="AF135" s="549">
        <f t="array" ref="AF135">(AE135^INDEX(ShipData!$X$36:$X$39,MATCH($F135,ShipData!$U$36:$U$39,0)))*0.756*INDEX(ShipData!$W$36:$W$39,MATCH($F135,ShipData!$U$36:$U$39,0))</f>
        <v>5483.7455856749639</v>
      </c>
      <c r="AG135" s="549" t="s">
        <v>1236</v>
      </c>
      <c r="AH135" s="526" t="s">
        <v>1246</v>
      </c>
      <c r="AI135" s="549" t="s">
        <v>1145</v>
      </c>
      <c r="AL135"/>
      <c r="AM135"/>
      <c r="AN135"/>
    </row>
    <row r="136" spans="3:40">
      <c r="C136" s="552" t="str">
        <f t="shared" si="42"/>
        <v>TFSSMOFCR2N</v>
      </c>
      <c r="D136" s="552" t="s">
        <v>1123</v>
      </c>
      <c r="E136" s="534" t="s">
        <v>995</v>
      </c>
      <c r="F136" s="531" t="s">
        <v>1029</v>
      </c>
      <c r="G136" s="531">
        <v>2020</v>
      </c>
      <c r="H136" s="1237" t="s">
        <v>986</v>
      </c>
      <c r="I136" s="1239">
        <f t="array" ref="I136">INDEX($AN$12:$BM$15,MATCH(F136,$AM$12:$AM$15,0),MATCH(I$1&amp;$AG136,$AN$9:$BM$9&amp;$AN$11:$BM$11,0))</f>
        <v>1002</v>
      </c>
      <c r="J136" s="1239">
        <f t="shared" si="57"/>
        <v>1002</v>
      </c>
      <c r="K136" s="1239">
        <v>38287</v>
      </c>
      <c r="L136" s="1281">
        <v>69083</v>
      </c>
      <c r="M136" s="1265">
        <f t="array" ref="M136">1/(INDEX($AN$12:$BM$15,MATCH($F136,$AM$12:$AM$15,0),MATCH(($G136&amp;M$1)&amp;$AG136,$AN$9:$BM$9&amp;$AN$11:$BM$11,0))/1.852)</f>
        <v>1.7403348779577166</v>
      </c>
      <c r="N136" s="1265">
        <f t="shared" si="58"/>
        <v>1.7403348779577166</v>
      </c>
      <c r="O136" s="1237">
        <v>30</v>
      </c>
      <c r="P136" s="1265"/>
      <c r="Q136" s="1265">
        <f t="shared" si="59"/>
        <v>2549.3284654240033</v>
      </c>
      <c r="R136" s="1265">
        <f t="array" ref="R136">(AF136*(INDEX(ShipData!$P$19:$R$26,MATCH($AH136,ShipData!$N$19:$N$26,0),MATCH($AI136,ShipData!$P$18:$R$18,0))+INDEX(ShipData!$P$30:$R$37,MATCH($AH136,ShipData!$N$30:$N$37,0),MATCH($AI136,ShipData!$P$29:$R$29,0)))+K136*0.1*(1/M136)*INDEX(ShipData!$P$41:$R$48,MATCH($AH136,ShipData!$N$41:$N$48,0),MATCH($AI136,ShipData!$P$40:$R$40,0)))*6.5/1000</f>
        <v>72837.956154971514</v>
      </c>
      <c r="S136" s="1237"/>
      <c r="T136" s="1237">
        <v>1E-3</v>
      </c>
      <c r="U136" s="1278"/>
      <c r="V136" s="552"/>
      <c r="W136" s="1530">
        <f t="array" ref="W136">INDEX(EMIS_factors!$G$6:$O$152,MATCH($G136&amp;$AB136,EMIS_factors!$E$6:$E$152&amp;EMIS_factors!$D$6:$D$152,0),MATCH(RIGHT(W$4,6),EMIS_factors!$G$4:$O$4,0))</f>
        <v>46.838407494145208</v>
      </c>
      <c r="X136" s="1530">
        <f t="array" ref="X136">INDEX(EMIS_factors!$G$6:$O$152,MATCH($G136&amp;$AB136,EMIS_factors!$E$6:$E$152&amp;EMIS_factors!$D$6:$D$152,0),MATCH(RIGHT(X$4,6),EMIS_factors!$G$4:$O$4,0))</f>
        <v>1402.4856581824845</v>
      </c>
      <c r="Y136" s="1530">
        <f t="array" ref="Y136">INDEX(EMIS_factors!$G$6:$O$152,MATCH($G136&amp;$AB136,EMIS_factors!$E$6:$E$152&amp;EMIS_factors!$D$6:$D$152,0),MATCH(RIGHT(Y$4,6),EMIS_factors!$G$4:$O$4,0))</f>
        <v>1.8637630108223573</v>
      </c>
      <c r="Z136" s="1530">
        <f t="array" ref="Z136">INDEX(EMIS_factors!$G$6:$O$152,MATCH($G136&amp;$AB136,EMIS_factors!$E$6:$E$152&amp;EMIS_factors!$D$6:$D$152,0),MATCH(RIGHT(Z$4,6),EMIS_factors!$G$4:$O$4,0))</f>
        <v>21.22370326738832</v>
      </c>
      <c r="AB136" s="526" t="s">
        <v>1462</v>
      </c>
      <c r="AE136" s="1265">
        <f t="array" ref="AE136">INDEX($AN$12:$BM$15,MATCH(F136,$AM$12:$AM$15,0),MATCH($AG136&amp;$AE$1,$AN$11:$BM$11&amp;$AN$9:$BM$9,0))/1000</f>
        <v>1.4314285714285715</v>
      </c>
      <c r="AF136" s="549">
        <f t="array" ref="AF136">(AE136^INDEX(ShipData!$X$36:$X$39,MATCH($F136,ShipData!$U$36:$U$39,0)))*0.756*INDEX(ShipData!$W$36:$W$39,MATCH($F136,ShipData!$U$36:$U$39,0))</f>
        <v>1715.2886160618959</v>
      </c>
      <c r="AG136" s="549" t="s">
        <v>1239</v>
      </c>
      <c r="AH136" s="526" t="s">
        <v>1246</v>
      </c>
      <c r="AI136" s="549" t="s">
        <v>1145</v>
      </c>
      <c r="AL136"/>
      <c r="AM136"/>
      <c r="AN136"/>
    </row>
    <row r="137" spans="3:40">
      <c r="C137" s="1428" t="str">
        <f t="shared" si="42"/>
        <v>TFSMMOFCR3N</v>
      </c>
      <c r="D137" s="552" t="s">
        <v>1124</v>
      </c>
      <c r="E137" s="1429" t="s">
        <v>995</v>
      </c>
      <c r="F137" s="1430" t="s">
        <v>1029</v>
      </c>
      <c r="G137" s="1430">
        <v>2030</v>
      </c>
      <c r="H137" s="1431" t="s">
        <v>986</v>
      </c>
      <c r="I137" s="1434">
        <f t="array" ref="I137">INDEX($AN$12:$BM$15,MATCH(F137,$AM$12:$AM$15,0),MATCH(I$1&amp;$AG137,$AN$9:$BM$9&amp;$AN$11:$BM$11,0))</f>
        <v>3608</v>
      </c>
      <c r="J137" s="1434">
        <f t="shared" si="57"/>
        <v>3608</v>
      </c>
      <c r="K137" s="1434">
        <v>925</v>
      </c>
      <c r="L137" s="1451">
        <v>1668</v>
      </c>
      <c r="M137" s="1448">
        <f t="array" ref="M137">1/(INDEX($AN$12:$BM$15,MATCH($F137,$AM$12:$AM$15,0),MATCH(($G137&amp;M$1)&amp;$AG137,$AN$9:$BM$9&amp;$AN$11:$BM$11,0))/1.852)</f>
        <v>0.87906595126970144</v>
      </c>
      <c r="N137" s="1448">
        <f t="shared" si="58"/>
        <v>0.87906595126970144</v>
      </c>
      <c r="O137" s="1431">
        <v>30</v>
      </c>
      <c r="P137" s="1448"/>
      <c r="Q137" s="1448">
        <f t="shared" si="59"/>
        <v>8064.813316947655</v>
      </c>
      <c r="R137" s="1448">
        <f t="array" ref="R137">(AF137*(INDEX(ShipData!$P$19:$R$26,MATCH($AH137,ShipData!$N$19:$N$26,0),MATCH($AI137,ShipData!$P$18:$R$18,0))+INDEX(ShipData!$P$30:$R$37,MATCH($AH137,ShipData!$N$30:$N$37,0),MATCH($AI137,ShipData!$P$29:$R$29,0)))+K137*0.1*(1/M137)*INDEX(ShipData!$P$41:$R$48,MATCH($AH137,ShipData!$N$41:$N$48,0),MATCH($AI137,ShipData!$P$40:$R$40,0)))*6.5/1000</f>
        <v>230423.23762707584</v>
      </c>
      <c r="S137" s="1431"/>
      <c r="T137" s="1431">
        <v>1E-3</v>
      </c>
      <c r="U137" s="1446"/>
      <c r="V137" s="1428"/>
      <c r="W137" s="1530">
        <f t="array" ref="W137">INDEX(EMIS_factors!$G$6:$O$152,MATCH($G137&amp;$AB137,EMIS_factors!$E$6:$E$152&amp;EMIS_factors!$D$6:$D$152,0),MATCH(RIGHT(W$4,6),EMIS_factors!$G$4:$O$4,0))</f>
        <v>46.838407494145208</v>
      </c>
      <c r="X137" s="1530">
        <f t="array" ref="X137">INDEX(EMIS_factors!$G$6:$O$152,MATCH($G137&amp;$AB137,EMIS_factors!$E$6:$E$152&amp;EMIS_factors!$D$6:$D$152,0),MATCH(RIGHT(X$4,6),EMIS_factors!$G$4:$O$4,0))</f>
        <v>938.56734047344298</v>
      </c>
      <c r="Y137" s="1530">
        <f t="array" ref="Y137">INDEX(EMIS_factors!$G$6:$O$152,MATCH($G137&amp;$AB137,EMIS_factors!$E$6:$E$152&amp;EMIS_factors!$D$6:$D$152,0),MATCH(RIGHT(Y$4,6),EMIS_factors!$G$4:$O$4,0))</f>
        <v>1.9042584079204421</v>
      </c>
      <c r="Z137" s="1530">
        <f t="array" ref="Z137">INDEX(EMIS_factors!$G$6:$O$152,MATCH($G137&amp;$AB137,EMIS_factors!$E$6:$E$152&amp;EMIS_factors!$D$6:$D$152,0),MATCH(RIGHT(Z$4,6),EMIS_factors!$G$4:$O$4,0))</f>
        <v>21.22370326738832</v>
      </c>
      <c r="AB137" s="526" t="s">
        <v>1462</v>
      </c>
      <c r="AE137" s="1265">
        <f t="array" ref="AE137">INDEX($AN$12:$BM$15,MATCH(F137,$AM$12:$AM$15,0),MATCH($AG137&amp;$AE$1,$AN$11:$BM$11&amp;$AN$9:$BM$9,0))/1000</f>
        <v>5.1542857142857148</v>
      </c>
      <c r="AF137" s="549">
        <f t="array" ref="AF137">(AE137^INDEX(ShipData!$X$36:$X$39,MATCH($F137,ShipData!$U$36:$U$39,0)))*0.756*INDEX(ShipData!$W$36:$W$39,MATCH($F137,ShipData!$U$36:$U$39,0))</f>
        <v>5468.6247789018307</v>
      </c>
      <c r="AG137" s="549" t="s">
        <v>1236</v>
      </c>
      <c r="AH137" s="526" t="s">
        <v>1246</v>
      </c>
      <c r="AI137" s="549" t="s">
        <v>1145</v>
      </c>
      <c r="AL137"/>
      <c r="AM137"/>
      <c r="AN137"/>
    </row>
    <row r="138" spans="3:40">
      <c r="C138" s="552" t="str">
        <f t="shared" si="42"/>
        <v>TFSSH2FCL2N</v>
      </c>
      <c r="D138" s="552" t="s">
        <v>1101</v>
      </c>
      <c r="E138" s="534" t="s">
        <v>1341</v>
      </c>
      <c r="F138" s="531" t="s">
        <v>1026</v>
      </c>
      <c r="G138" s="531">
        <v>2020</v>
      </c>
      <c r="H138" s="1237" t="s">
        <v>986</v>
      </c>
      <c r="I138" s="1239">
        <f t="array" ref="I138">INDEX($AN$12:$BM$15,MATCH(F138,$AM$12:$AM$15,0),MATCH(I$1&amp;$AG138,$AN$9:$BM$9&amp;$AN$11:$BM$11,0))</f>
        <v>810</v>
      </c>
      <c r="J138" s="1239">
        <f t="shared" si="16"/>
        <v>810</v>
      </c>
      <c r="K138" s="1239">
        <v>46488</v>
      </c>
      <c r="L138" s="1237">
        <v>83879</v>
      </c>
      <c r="M138" s="1265">
        <f t="array" ref="M138">1/(INDEX($AN$12:$BM$15,MATCH($F138,$AM$12:$AM$15,0),MATCH(($G138&amp;M$1)&amp;$AG138,$AN$9:$BM$9&amp;$AN$11:$BM$11,0))/1.852)</f>
        <v>2.3752039567310899</v>
      </c>
      <c r="N138" s="1265">
        <f t="shared" si="43"/>
        <v>2.3752039567310899</v>
      </c>
      <c r="O138" s="1237">
        <v>30</v>
      </c>
      <c r="P138" s="1265"/>
      <c r="Q138" s="1265">
        <f t="shared" si="52"/>
        <v>2702.0399079357921</v>
      </c>
      <c r="R138" s="1265">
        <f t="array" ref="R138">(AF138*(INDEX(ShipData!$P$19:$R$26,MATCH($AH138,ShipData!$N$19:$N$26,0),MATCH($AI138,ShipData!$P$18:$R$18,0))+INDEX(ShipData!$P$30:$R$37,MATCH($AH138,ShipData!$N$30:$N$37,0),MATCH($AI138,ShipData!$P$29:$R$29,0)))+K138*0.1*(1/M138)*INDEX(ShipData!$P$41:$R$48,MATCH($AH138,ShipData!$N$41:$N$48,0),MATCH($AI138,ShipData!$P$40:$R$40,0)))*6.5/1000</f>
        <v>77201.140226736912</v>
      </c>
      <c r="S138" s="1237"/>
      <c r="T138" s="1237">
        <v>1E-3</v>
      </c>
      <c r="U138" s="1278"/>
      <c r="V138" s="552"/>
      <c r="W138" s="1530">
        <f t="array" ref="W138">INDEX(EMIS_factors!$G$6:$O$152,MATCH($G138&amp;$AB138,EMIS_factors!$E$6:$E$152&amp;EMIS_factors!$D$6:$D$152,0),MATCH(RIGHT(W$4,6),EMIS_factors!$G$4:$O$4,0))</f>
        <v>0</v>
      </c>
      <c r="X138" s="1530">
        <f t="array" ref="X138">INDEX(EMIS_factors!$G$6:$O$152,MATCH($G138&amp;$AB138,EMIS_factors!$E$6:$E$152&amp;EMIS_factors!$D$6:$D$152,0),MATCH(RIGHT(X$4,6),EMIS_factors!$G$4:$O$4,0))</f>
        <v>0</v>
      </c>
      <c r="Y138" s="1530">
        <f t="array" ref="Y138">INDEX(EMIS_factors!$G$6:$O$152,MATCH($G138&amp;$AB138,EMIS_factors!$E$6:$E$152&amp;EMIS_factors!$D$6:$D$152,0),MATCH(RIGHT(Y$4,6),EMIS_factors!$G$4:$O$4,0))</f>
        <v>0</v>
      </c>
      <c r="Z138" s="1530">
        <f t="array" ref="Z138">INDEX(EMIS_factors!$G$6:$O$152,MATCH($G138&amp;$AB138,EMIS_factors!$E$6:$E$152&amp;EMIS_factors!$D$6:$D$152,0),MATCH(RIGHT(Z$4,6),EMIS_factors!$G$4:$O$4,0))</f>
        <v>0</v>
      </c>
      <c r="AB138" s="526" t="s">
        <v>1485</v>
      </c>
      <c r="AE138" s="1265">
        <f t="array" ref="AE138">INDEX($AN$12:$BM$15,MATCH(F138,$AM$12:$AM$15,0),MATCH($AG138&amp;$AE$1,$AN$11:$BM$11&amp;$AN$9:$BM$9,0))/1000</f>
        <v>1.5804878048780491</v>
      </c>
      <c r="AF138" s="549">
        <f t="array" ref="AF138">(AE138^INDEX(ShipData!$X$36:$X$39,MATCH($F138,ShipData!$U$36:$U$39,0)))*0.756*INDEX(ShipData!$W$36:$W$39,MATCH($F138,ShipData!$U$36:$U$39,0))</f>
        <v>1602.8300580975306</v>
      </c>
      <c r="AG138" s="549" t="s">
        <v>1239</v>
      </c>
      <c r="AH138" s="526" t="s">
        <v>1247</v>
      </c>
      <c r="AI138" s="549" t="s">
        <v>1143</v>
      </c>
      <c r="AL138"/>
      <c r="AM138"/>
      <c r="AN138"/>
    </row>
    <row r="139" spans="3:40">
      <c r="C139" s="552" t="str">
        <f t="shared" si="42"/>
        <v>TFSMH2FCL3N</v>
      </c>
      <c r="D139" s="552" t="s">
        <v>1102</v>
      </c>
      <c r="E139" s="534" t="s">
        <v>1341</v>
      </c>
      <c r="F139" s="531" t="s">
        <v>1026</v>
      </c>
      <c r="G139" s="531">
        <v>2030</v>
      </c>
      <c r="H139" s="1237" t="s">
        <v>986</v>
      </c>
      <c r="I139" s="1239">
        <f t="array" ref="I139">INDEX($AN$12:$BM$15,MATCH(F139,$AM$12:$AM$15,0),MATCH(I$1&amp;$AG139,$AN$9:$BM$9&amp;$AN$11:$BM$11,0))</f>
        <v>3045.9905660377353</v>
      </c>
      <c r="J139" s="1239">
        <f t="shared" si="16"/>
        <v>3045.9905660377353</v>
      </c>
      <c r="K139" s="1239">
        <v>25616</v>
      </c>
      <c r="L139" s="1237">
        <v>46219</v>
      </c>
      <c r="M139" s="1265">
        <f t="array" ref="M139">1/(INDEX($AN$12:$BM$15,MATCH($F139,$AM$12:$AM$15,0),MATCH(($G139&amp;M$1)&amp;$AG139,$AN$9:$BM$9&amp;$AN$11:$BM$11,0))/1.852)</f>
        <v>1.9876124255718461</v>
      </c>
      <c r="N139" s="1265">
        <f t="shared" si="43"/>
        <v>1.9876124255718461</v>
      </c>
      <c r="O139" s="1237">
        <v>30</v>
      </c>
      <c r="P139" s="1265"/>
      <c r="Q139" s="1265">
        <f t="shared" si="52"/>
        <v>5487.8424428011513</v>
      </c>
      <c r="R139" s="1265">
        <f t="array" ref="R139">(AF139*(INDEX(ShipData!$P$19:$R$26,MATCH($AH139,ShipData!$N$19:$N$26,0),MATCH($AI139,ShipData!$P$18:$R$18,0))+INDEX(ShipData!$P$30:$R$37,MATCH($AH139,ShipData!$N$30:$N$37,0),MATCH($AI139,ShipData!$P$29:$R$29,0)))+K139*0.1*(1/M139)*INDEX(ShipData!$P$41:$R$48,MATCH($AH139,ShipData!$N$41:$N$48,0),MATCH($AI139,ShipData!$P$40:$R$40,0)))*6.5/1000</f>
        <v>156795.49836574716</v>
      </c>
      <c r="S139" s="1237"/>
      <c r="T139" s="1237">
        <v>1E-3</v>
      </c>
      <c r="U139" s="1278"/>
      <c r="V139" s="552"/>
      <c r="W139" s="1530">
        <f t="array" ref="W139">INDEX(EMIS_factors!$G$6:$O$152,MATCH($G139&amp;$AB139,EMIS_factors!$E$6:$E$152&amp;EMIS_factors!$D$6:$D$152,0),MATCH(RIGHT(W$4,6),EMIS_factors!$G$4:$O$4,0))</f>
        <v>0</v>
      </c>
      <c r="X139" s="1530">
        <f t="array" ref="X139">INDEX(EMIS_factors!$G$6:$O$152,MATCH($G139&amp;$AB139,EMIS_factors!$E$6:$E$152&amp;EMIS_factors!$D$6:$D$152,0),MATCH(RIGHT(X$4,6),EMIS_factors!$G$4:$O$4,0))</f>
        <v>0</v>
      </c>
      <c r="Y139" s="1530">
        <f t="array" ref="Y139">INDEX(EMIS_factors!$G$6:$O$152,MATCH($G139&amp;$AB139,EMIS_factors!$E$6:$E$152&amp;EMIS_factors!$D$6:$D$152,0),MATCH(RIGHT(Y$4,6),EMIS_factors!$G$4:$O$4,0))</f>
        <v>0</v>
      </c>
      <c r="Z139" s="1530">
        <f t="array" ref="Z139">INDEX(EMIS_factors!$G$6:$O$152,MATCH($G139&amp;$AB139,EMIS_factors!$E$6:$E$152&amp;EMIS_factors!$D$6:$D$152,0),MATCH(RIGHT(Z$4,6),EMIS_factors!$G$4:$O$4,0))</f>
        <v>0</v>
      </c>
      <c r="AB139" s="526" t="s">
        <v>1485</v>
      </c>
      <c r="AE139" s="1265">
        <f t="array" ref="AE139">INDEX($AN$12:$BM$15,MATCH(F139,$AM$12:$AM$15,0),MATCH($AG139&amp;$AE$1,$AN$11:$BM$11&amp;$AN$9:$BM$9,0))/1000</f>
        <v>5.9433962264150946</v>
      </c>
      <c r="AF139" s="549">
        <f t="array" ref="AF139">(AE139^INDEX(ShipData!$X$36:$X$39,MATCH($F139,ShipData!$U$36:$U$39,0)))*0.756*INDEX(ShipData!$W$36:$W$39,MATCH($F139,ShipData!$U$36:$U$39,0))</f>
        <v>3369.7610132900404</v>
      </c>
      <c r="AG139" s="549" t="s">
        <v>1236</v>
      </c>
      <c r="AH139" s="526" t="s">
        <v>1247</v>
      </c>
      <c r="AI139" s="549" t="s">
        <v>1143</v>
      </c>
      <c r="AL139"/>
      <c r="AM139"/>
      <c r="AN139"/>
    </row>
    <row r="140" spans="3:40">
      <c r="C140" s="552" t="str">
        <f t="shared" si="42"/>
        <v>TFSSH2FCD2N</v>
      </c>
      <c r="D140" s="552" t="s">
        <v>1109</v>
      </c>
      <c r="E140" s="534" t="s">
        <v>1341</v>
      </c>
      <c r="F140" s="531" t="s">
        <v>1027</v>
      </c>
      <c r="G140" s="531">
        <v>2020</v>
      </c>
      <c r="H140" s="1237" t="s">
        <v>986</v>
      </c>
      <c r="I140" s="1239">
        <f t="array" ref="I140">INDEX($AN$12:$BM$15,MATCH(F140,$AM$12:$AM$15,0),MATCH(I$1&amp;$AG140,$AN$9:$BM$9&amp;$AN$11:$BM$11,0))</f>
        <v>1527</v>
      </c>
      <c r="J140" s="1239">
        <f t="shared" ref="J140:J145" si="60">I140</f>
        <v>1527</v>
      </c>
      <c r="K140" s="1239">
        <v>17027</v>
      </c>
      <c r="L140" s="1281">
        <v>30722</v>
      </c>
      <c r="M140" s="1265">
        <f t="array" ref="M140">1/(INDEX($AN$12:$BM$15,MATCH($F140,$AM$12:$AM$15,0),MATCH(($G140&amp;M$1)&amp;$AG140,$AN$9:$BM$9&amp;$AN$11:$BM$11,0))/1.852)</f>
        <v>3.4190010788978875</v>
      </c>
      <c r="N140" s="1265">
        <f t="shared" ref="N140:N145" si="61">M140</f>
        <v>3.4190010788978875</v>
      </c>
      <c r="O140" s="1237">
        <v>30</v>
      </c>
      <c r="P140" s="1265"/>
      <c r="Q140" s="1265">
        <f t="shared" ref="Q140:Q145" si="62">0.035*R140</f>
        <v>3113.3600763731083</v>
      </c>
      <c r="R140" s="1265">
        <f t="array" ref="R140">(AF140*(INDEX(ShipData!$P$19:$R$26,MATCH($AH140,ShipData!$N$19:$N$26,0),MATCH($AI140,ShipData!$P$18:$R$18,0))+INDEX(ShipData!$P$30:$R$37,MATCH($AH140,ShipData!$N$30:$N$37,0),MATCH($AI140,ShipData!$P$29:$R$29,0)))+K140*0.1*(1/M140)*INDEX(ShipData!$P$41:$R$48,MATCH($AH140,ShipData!$N$41:$N$48,0),MATCH($AI140,ShipData!$P$40:$R$40,0)))*6.5/1000</f>
        <v>88953.145039231662</v>
      </c>
      <c r="S140" s="1237"/>
      <c r="T140" s="1237">
        <v>1E-3</v>
      </c>
      <c r="U140" s="1278"/>
      <c r="V140" s="552"/>
      <c r="W140" s="1530">
        <f t="array" ref="W140">INDEX(EMIS_factors!$G$6:$O$152,MATCH($G140&amp;$AB140,EMIS_factors!$E$6:$E$152&amp;EMIS_factors!$D$6:$D$152,0),MATCH(RIGHT(W$4,6),EMIS_factors!$G$4:$O$4,0))</f>
        <v>0</v>
      </c>
      <c r="X140" s="1530">
        <f t="array" ref="X140">INDEX(EMIS_factors!$G$6:$O$152,MATCH($G140&amp;$AB140,EMIS_factors!$E$6:$E$152&amp;EMIS_factors!$D$6:$D$152,0),MATCH(RIGHT(X$4,6),EMIS_factors!$G$4:$O$4,0))</f>
        <v>0</v>
      </c>
      <c r="Y140" s="1530">
        <f t="array" ref="Y140">INDEX(EMIS_factors!$G$6:$O$152,MATCH($G140&amp;$AB140,EMIS_factors!$E$6:$E$152&amp;EMIS_factors!$D$6:$D$152,0),MATCH(RIGHT(Y$4,6),EMIS_factors!$G$4:$O$4,0))</f>
        <v>0</v>
      </c>
      <c r="Z140" s="1530">
        <f t="array" ref="Z140">INDEX(EMIS_factors!$G$6:$O$152,MATCH($G140&amp;$AB140,EMIS_factors!$E$6:$E$152&amp;EMIS_factors!$D$6:$D$152,0),MATCH(RIGHT(Z$4,6),EMIS_factors!$G$4:$O$4,0))</f>
        <v>0</v>
      </c>
      <c r="AB140" s="526" t="s">
        <v>1485</v>
      </c>
      <c r="AE140" s="1265">
        <f t="array" ref="AE140">INDEX($AN$12:$BM$15,MATCH(F140,$AM$12:$AM$15,0),MATCH($AG140&amp;$AE$1,$AN$11:$BM$11&amp;$AN$9:$BM$9,0))/1000</f>
        <v>2.5449999999999999</v>
      </c>
      <c r="AF140" s="549">
        <f t="array" ref="AF140">(AE140^INDEX(ShipData!$X$36:$X$39,MATCH($F140,ShipData!$U$36:$U$39,0)))*0.756*INDEX(ShipData!$W$36:$W$39,MATCH($F140,ShipData!$U$36:$U$39,0))</f>
        <v>1921.6608368614334</v>
      </c>
      <c r="AG140" s="549" t="s">
        <v>1239</v>
      </c>
      <c r="AH140" s="526" t="s">
        <v>1247</v>
      </c>
      <c r="AI140" s="549" t="s">
        <v>1143</v>
      </c>
      <c r="AL140"/>
      <c r="AM140"/>
      <c r="AN140"/>
    </row>
    <row r="141" spans="3:40">
      <c r="C141" s="552" t="str">
        <f t="shared" si="42"/>
        <v>TFSMH2FCD3N</v>
      </c>
      <c r="D141" s="552" t="s">
        <v>1110</v>
      </c>
      <c r="E141" s="534" t="s">
        <v>1341</v>
      </c>
      <c r="F141" s="531" t="s">
        <v>1027</v>
      </c>
      <c r="G141" s="531">
        <v>2030</v>
      </c>
      <c r="H141" s="1237" t="s">
        <v>986</v>
      </c>
      <c r="I141" s="1239">
        <f t="array" ref="I141">INDEX($AN$12:$BM$15,MATCH(F141,$AM$12:$AM$15,0),MATCH(I$1&amp;$AG141,$AN$9:$BM$9&amp;$AN$11:$BM$11,0))</f>
        <v>4174</v>
      </c>
      <c r="J141" s="1239">
        <f t="shared" si="60"/>
        <v>4174</v>
      </c>
      <c r="K141" s="1239">
        <v>3330</v>
      </c>
      <c r="L141" s="1281">
        <v>6009</v>
      </c>
      <c r="M141" s="1265">
        <f t="array" ref="M141">1/(INDEX($AN$12:$BM$15,MATCH($F141,$AM$12:$AM$15,0),MATCH(($G141&amp;M$1)&amp;$AG141,$AN$9:$BM$9&amp;$AN$11:$BM$11,0))/1.852)</f>
        <v>2.1794284452298629</v>
      </c>
      <c r="N141" s="1265">
        <f t="shared" si="61"/>
        <v>2.1794284452298629</v>
      </c>
      <c r="O141" s="1237">
        <v>30</v>
      </c>
      <c r="P141" s="1265"/>
      <c r="Q141" s="1265">
        <f t="shared" si="62"/>
        <v>5522.5530364292918</v>
      </c>
      <c r="R141" s="1265">
        <f t="array" ref="R141">(AF141*(INDEX(ShipData!$P$19:$R$26,MATCH($AH141,ShipData!$N$19:$N$26,0),MATCH($AI141,ShipData!$P$18:$R$18,0))+INDEX(ShipData!$P$30:$R$37,MATCH($AH141,ShipData!$N$30:$N$37,0),MATCH($AI141,ShipData!$P$29:$R$29,0)))+K141*0.1*(1/M141)*INDEX(ShipData!$P$41:$R$48,MATCH($AH141,ShipData!$N$41:$N$48,0),MATCH($AI141,ShipData!$P$40:$R$40,0)))*6.5/1000</f>
        <v>157787.22961226545</v>
      </c>
      <c r="S141" s="1237"/>
      <c r="T141" s="1237">
        <v>1E-3</v>
      </c>
      <c r="U141" s="1278"/>
      <c r="V141" s="552"/>
      <c r="W141" s="1530">
        <f t="array" ref="W141">INDEX(EMIS_factors!$G$6:$O$152,MATCH($G141&amp;$AB141,EMIS_factors!$E$6:$E$152&amp;EMIS_factors!$D$6:$D$152,0),MATCH(RIGHT(W$4,6),EMIS_factors!$G$4:$O$4,0))</f>
        <v>0</v>
      </c>
      <c r="X141" s="1530">
        <f t="array" ref="X141">INDEX(EMIS_factors!$G$6:$O$152,MATCH($G141&amp;$AB141,EMIS_factors!$E$6:$E$152&amp;EMIS_factors!$D$6:$D$152,0),MATCH(RIGHT(X$4,6),EMIS_factors!$G$4:$O$4,0))</f>
        <v>0</v>
      </c>
      <c r="Y141" s="1530">
        <f t="array" ref="Y141">INDEX(EMIS_factors!$G$6:$O$152,MATCH($G141&amp;$AB141,EMIS_factors!$E$6:$E$152&amp;EMIS_factors!$D$6:$D$152,0),MATCH(RIGHT(Y$4,6),EMIS_factors!$G$4:$O$4,0))</f>
        <v>0</v>
      </c>
      <c r="Z141" s="1530">
        <f t="array" ref="Z141">INDEX(EMIS_factors!$G$6:$O$152,MATCH($G141&amp;$AB141,EMIS_factors!$E$6:$E$152&amp;EMIS_factors!$D$6:$D$152,0),MATCH(RIGHT(Z$4,6),EMIS_factors!$G$4:$O$4,0))</f>
        <v>0</v>
      </c>
      <c r="AB141" s="526" t="s">
        <v>1485</v>
      </c>
      <c r="AE141" s="1265">
        <f t="array" ref="AE141">INDEX($AN$12:$BM$15,MATCH(F141,$AM$12:$AM$15,0),MATCH($AG141&amp;$AE$1,$AN$11:$BM$11&amp;$AN$9:$BM$9,0))/1000</f>
        <v>6.956666666666667</v>
      </c>
      <c r="AF141" s="549">
        <f t="array" ref="AF141">(AE141^INDEX(ShipData!$X$36:$X$39,MATCH($F141,ShipData!$U$36:$U$39,0)))*0.756*INDEX(ShipData!$W$36:$W$39,MATCH($F141,ShipData!$U$36:$U$39,0))</f>
        <v>3439.8048335584949</v>
      </c>
      <c r="AG141" s="549" t="s">
        <v>1236</v>
      </c>
      <c r="AH141" s="526" t="s">
        <v>1247</v>
      </c>
      <c r="AI141" s="549" t="s">
        <v>1143</v>
      </c>
      <c r="AL141"/>
      <c r="AM141"/>
      <c r="AN141"/>
    </row>
    <row r="142" spans="3:40">
      <c r="C142" s="552" t="str">
        <f t="shared" si="42"/>
        <v>TFSSH2FCC2N</v>
      </c>
      <c r="D142" s="552" t="s">
        <v>1117</v>
      </c>
      <c r="E142" s="534" t="s">
        <v>1341</v>
      </c>
      <c r="F142" s="531" t="s">
        <v>1028</v>
      </c>
      <c r="G142" s="531">
        <v>2020</v>
      </c>
      <c r="H142" s="1237" t="s">
        <v>986</v>
      </c>
      <c r="I142" s="1239">
        <f t="array" ref="I142">INDEX($AN$12:$BM$15,MATCH(F142,$AM$12:$AM$15,0),MATCH(I$1&amp;$AG142,$AN$9:$BM$9&amp;$AN$11:$BM$11,0))</f>
        <v>2450</v>
      </c>
      <c r="J142" s="1239">
        <f t="shared" si="60"/>
        <v>2450</v>
      </c>
      <c r="K142" s="1239">
        <v>0</v>
      </c>
      <c r="L142" s="1281">
        <v>0</v>
      </c>
      <c r="M142" s="1265">
        <f t="array" ref="M142">1/(INDEX($AN$12:$BM$15,MATCH($F142,$AM$12:$AM$15,0),MATCH(($G142&amp;M$1)&amp;$AG142,$AN$9:$BM$9&amp;$AN$11:$BM$11,0))/1.852)</f>
        <v>1.7403348779577166</v>
      </c>
      <c r="N142" s="1265">
        <f t="shared" si="61"/>
        <v>1.7403348779577166</v>
      </c>
      <c r="O142" s="1237">
        <v>30</v>
      </c>
      <c r="P142" s="1265"/>
      <c r="Q142" s="1265">
        <f t="shared" si="62"/>
        <v>3718.1637315340222</v>
      </c>
      <c r="R142" s="1265">
        <f t="array" ref="R142">(AF142*(INDEX(ShipData!$P$19:$R$26,MATCH($AH142,ShipData!$N$19:$N$26,0),MATCH($AI142,ShipData!$P$18:$R$18,0))+INDEX(ShipData!$P$30:$R$37,MATCH($AH142,ShipData!$N$30:$N$37,0),MATCH($AI142,ShipData!$P$29:$R$29,0)))+K142*0.1*(1/M142)*INDEX(ShipData!$P$41:$R$48,MATCH($AH142,ShipData!$N$41:$N$48,0),MATCH($AI142,ShipData!$P$40:$R$40,0)))*6.5/1000</f>
        <v>106233.24947240062</v>
      </c>
      <c r="S142" s="1237"/>
      <c r="T142" s="1237">
        <v>1E-3</v>
      </c>
      <c r="U142" s="1278"/>
      <c r="V142" s="531"/>
      <c r="W142" s="1530">
        <f t="array" ref="W142">INDEX(EMIS_factors!$G$6:$O$152,MATCH($G142&amp;$AB142,EMIS_factors!$E$6:$E$152&amp;EMIS_factors!$D$6:$D$152,0),MATCH(RIGHT(W$4,6),EMIS_factors!$G$4:$O$4,0))</f>
        <v>0</v>
      </c>
      <c r="X142" s="1530">
        <f t="array" ref="X142">INDEX(EMIS_factors!$G$6:$O$152,MATCH($G142&amp;$AB142,EMIS_factors!$E$6:$E$152&amp;EMIS_factors!$D$6:$D$152,0),MATCH(RIGHT(X$4,6),EMIS_factors!$G$4:$O$4,0))</f>
        <v>0</v>
      </c>
      <c r="Y142" s="1530">
        <f t="array" ref="Y142">INDEX(EMIS_factors!$G$6:$O$152,MATCH($G142&amp;$AB142,EMIS_factors!$E$6:$E$152&amp;EMIS_factors!$D$6:$D$152,0),MATCH(RIGHT(Y$4,6),EMIS_factors!$G$4:$O$4,0))</f>
        <v>0</v>
      </c>
      <c r="Z142" s="1530">
        <f t="array" ref="Z142">INDEX(EMIS_factors!$G$6:$O$152,MATCH($G142&amp;$AB142,EMIS_factors!$E$6:$E$152&amp;EMIS_factors!$D$6:$D$152,0),MATCH(RIGHT(Z$4,6),EMIS_factors!$G$4:$O$4,0))</f>
        <v>0</v>
      </c>
      <c r="AB142" s="526" t="s">
        <v>1485</v>
      </c>
      <c r="AC142" s="526" t="s">
        <v>1030</v>
      </c>
      <c r="AD142" s="526"/>
      <c r="AE142" s="1265">
        <f t="array" ref="AE142">INDEX($AN$12:$BM$15,MATCH(F142,$AM$12:$AM$15,0),MATCH($AG142&amp;$AE$1,$AN$11:$BM$11&amp;$AN$9:$BM$9,0))/1000</f>
        <v>3.5</v>
      </c>
      <c r="AF142" s="549">
        <f t="array" ref="AF142">(AE142^INDEX(ShipData!$X$36:$X$39,MATCH($F142,ShipData!$U$36:$U$39,0)))*0.756*INDEX(ShipData!$W$36:$W$39,MATCH($F142,ShipData!$U$36:$U$39,0))</f>
        <v>2454.0448908848457</v>
      </c>
      <c r="AG142" s="549" t="s">
        <v>1239</v>
      </c>
      <c r="AH142" s="526" t="s">
        <v>1247</v>
      </c>
      <c r="AI142" s="549" t="s">
        <v>1145</v>
      </c>
      <c r="AL142"/>
      <c r="AM142"/>
      <c r="AN142"/>
    </row>
    <row r="143" spans="3:40">
      <c r="C143" s="552" t="str">
        <f t="shared" si="42"/>
        <v>TFSMH2FCC3N</v>
      </c>
      <c r="D143" s="552" t="s">
        <v>1118</v>
      </c>
      <c r="E143" s="534" t="s">
        <v>1341</v>
      </c>
      <c r="F143" s="531" t="s">
        <v>1028</v>
      </c>
      <c r="G143" s="531">
        <v>2030</v>
      </c>
      <c r="H143" s="1237" t="s">
        <v>986</v>
      </c>
      <c r="I143" s="1239">
        <f t="array" ref="I143">INDEX($AN$12:$BM$15,MATCH(F143,$AM$12:$AM$15,0),MATCH(I$1&amp;$AG143,$AN$9:$BM$9&amp;$AN$11:$BM$11,0))</f>
        <v>4900</v>
      </c>
      <c r="J143" s="1239">
        <f t="shared" si="60"/>
        <v>4900</v>
      </c>
      <c r="K143" s="1239">
        <v>362</v>
      </c>
      <c r="L143" s="1281">
        <v>653</v>
      </c>
      <c r="M143" s="1265">
        <f t="array" ref="M143">1/(INDEX($AN$12:$BM$15,MATCH($F143,$AM$12:$AM$15,0),MATCH(($G143&amp;M$1)&amp;$AG143,$AN$9:$BM$9&amp;$AN$11:$BM$11,0))/1.852)</f>
        <v>0.87906595126970144</v>
      </c>
      <c r="N143" s="1265">
        <f t="shared" si="61"/>
        <v>0.87906595126970144</v>
      </c>
      <c r="O143" s="1237">
        <v>30</v>
      </c>
      <c r="P143" s="1265"/>
      <c r="Q143" s="1265">
        <f t="shared" si="62"/>
        <v>8310.620933963206</v>
      </c>
      <c r="R143" s="1265">
        <f t="array" ref="R143">(AF143*(INDEX(ShipData!$P$19:$R$26,MATCH($AH143,ShipData!$N$19:$N$26,0),MATCH($AI143,ShipData!$P$18:$R$18,0))+INDEX(ShipData!$P$30:$R$37,MATCH($AH143,ShipData!$N$30:$N$37,0),MATCH($AI143,ShipData!$P$29:$R$29,0)))+K143*0.1*(1/M143)*INDEX(ShipData!$P$41:$R$48,MATCH($AH143,ShipData!$N$41:$N$48,0),MATCH($AI143,ShipData!$P$40:$R$40,0)))*6.5/1000</f>
        <v>237446.31239894874</v>
      </c>
      <c r="S143" s="1237"/>
      <c r="T143" s="1237">
        <v>1E-3</v>
      </c>
      <c r="U143" s="1278"/>
      <c r="V143" s="552"/>
      <c r="W143" s="1530">
        <f t="array" ref="W143">INDEX(EMIS_factors!$G$6:$O$152,MATCH($G143&amp;$AB143,EMIS_factors!$E$6:$E$152&amp;EMIS_factors!$D$6:$D$152,0),MATCH(RIGHT(W$4,6),EMIS_factors!$G$4:$O$4,0))</f>
        <v>0</v>
      </c>
      <c r="X143" s="1530">
        <f t="array" ref="X143">INDEX(EMIS_factors!$G$6:$O$152,MATCH($G143&amp;$AB143,EMIS_factors!$E$6:$E$152&amp;EMIS_factors!$D$6:$D$152,0),MATCH(RIGHT(X$4,6),EMIS_factors!$G$4:$O$4,0))</f>
        <v>0</v>
      </c>
      <c r="Y143" s="1530">
        <f t="array" ref="Y143">INDEX(EMIS_factors!$G$6:$O$152,MATCH($G143&amp;$AB143,EMIS_factors!$E$6:$E$152&amp;EMIS_factors!$D$6:$D$152,0),MATCH(RIGHT(Y$4,6),EMIS_factors!$G$4:$O$4,0))</f>
        <v>0</v>
      </c>
      <c r="Z143" s="1530">
        <f t="array" ref="Z143">INDEX(EMIS_factors!$G$6:$O$152,MATCH($G143&amp;$AB143,EMIS_factors!$E$6:$E$152&amp;EMIS_factors!$D$6:$D$152,0),MATCH(RIGHT(Z$4,6),EMIS_factors!$G$4:$O$4,0))</f>
        <v>0</v>
      </c>
      <c r="AB143" s="526" t="s">
        <v>1485</v>
      </c>
      <c r="AE143" s="1265">
        <f t="array" ref="AE143">INDEX($AN$12:$BM$15,MATCH(F143,$AM$12:$AM$15,0),MATCH($AG143&amp;$AE$1,$AN$11:$BM$11&amp;$AN$9:$BM$9,0))/1000</f>
        <v>7</v>
      </c>
      <c r="AF143" s="549">
        <f t="array" ref="AF143">(AE143^INDEX(ShipData!$X$36:$X$39,MATCH($F143,ShipData!$U$36:$U$39,0)))*0.756*INDEX(ShipData!$W$36:$W$39,MATCH($F143,ShipData!$U$36:$U$39,0))</f>
        <v>5483.7455856749639</v>
      </c>
      <c r="AG143" s="549" t="s">
        <v>1236</v>
      </c>
      <c r="AH143" s="526" t="s">
        <v>1247</v>
      </c>
      <c r="AI143" s="549" t="s">
        <v>1145</v>
      </c>
      <c r="AL143"/>
      <c r="AM143"/>
      <c r="AN143"/>
    </row>
    <row r="144" spans="3:40">
      <c r="C144" s="552" t="str">
        <f t="shared" si="42"/>
        <v>TFSSH2FCR2N</v>
      </c>
      <c r="D144" s="552" t="s">
        <v>1125</v>
      </c>
      <c r="E144" s="534" t="s">
        <v>1341</v>
      </c>
      <c r="F144" s="531" t="s">
        <v>1029</v>
      </c>
      <c r="G144" s="531">
        <v>2020</v>
      </c>
      <c r="H144" s="1237" t="s">
        <v>986</v>
      </c>
      <c r="I144" s="1239">
        <f t="array" ref="I144">INDEX($AN$12:$BM$15,MATCH(F144,$AM$12:$AM$15,0),MATCH(I$1&amp;$AG144,$AN$9:$BM$9&amp;$AN$11:$BM$11,0))</f>
        <v>1002</v>
      </c>
      <c r="J144" s="1239">
        <f t="shared" si="60"/>
        <v>1002</v>
      </c>
      <c r="K144" s="1239">
        <v>38287</v>
      </c>
      <c r="L144" s="1281">
        <v>69083</v>
      </c>
      <c r="M144" s="1265">
        <f t="array" ref="M144">1/(INDEX($AN$12:$BM$15,MATCH($F144,$AM$12:$AM$15,0),MATCH(($G144&amp;M$1)&amp;$AG144,$AN$9:$BM$9&amp;$AN$11:$BM$11,0))/1.852)</f>
        <v>1.7403348779577166</v>
      </c>
      <c r="N144" s="1265">
        <f t="shared" si="61"/>
        <v>1.7403348779577166</v>
      </c>
      <c r="O144" s="1237">
        <v>30</v>
      </c>
      <c r="P144" s="1265"/>
      <c r="Q144" s="1265">
        <f t="shared" si="62"/>
        <v>2711.4733822044759</v>
      </c>
      <c r="R144" s="1265">
        <f t="array" ref="R144">(AF144*(INDEX(ShipData!$P$19:$R$26,MATCH($AH144,ShipData!$N$19:$N$26,0),MATCH($AI144,ShipData!$P$18:$R$18,0))+INDEX(ShipData!$P$30:$R$37,MATCH($AH144,ShipData!$N$30:$N$37,0),MATCH($AI144,ShipData!$P$29:$R$29,0)))+K144*0.1*(1/M144)*INDEX(ShipData!$P$41:$R$48,MATCH($AH144,ShipData!$N$41:$N$48,0),MATCH($AI144,ShipData!$P$40:$R$40,0)))*6.5/1000</f>
        <v>77470.668062985016</v>
      </c>
      <c r="S144" s="1237"/>
      <c r="T144" s="1237">
        <v>1E-3</v>
      </c>
      <c r="U144" s="1278"/>
      <c r="V144" s="552"/>
      <c r="W144" s="1530">
        <f t="array" ref="W144">INDEX(EMIS_factors!$G$6:$O$152,MATCH($G144&amp;$AB144,EMIS_factors!$E$6:$E$152&amp;EMIS_factors!$D$6:$D$152,0),MATCH(RIGHT(W$4,6),EMIS_factors!$G$4:$O$4,0))</f>
        <v>0</v>
      </c>
      <c r="X144" s="1530">
        <f t="array" ref="X144">INDEX(EMIS_factors!$G$6:$O$152,MATCH($G144&amp;$AB144,EMIS_factors!$E$6:$E$152&amp;EMIS_factors!$D$6:$D$152,0),MATCH(RIGHT(X$4,6),EMIS_factors!$G$4:$O$4,0))</f>
        <v>0</v>
      </c>
      <c r="Y144" s="1530">
        <f t="array" ref="Y144">INDEX(EMIS_factors!$G$6:$O$152,MATCH($G144&amp;$AB144,EMIS_factors!$E$6:$E$152&amp;EMIS_factors!$D$6:$D$152,0),MATCH(RIGHT(Y$4,6),EMIS_factors!$G$4:$O$4,0))</f>
        <v>0</v>
      </c>
      <c r="Z144" s="1530">
        <f t="array" ref="Z144">INDEX(EMIS_factors!$G$6:$O$152,MATCH($G144&amp;$AB144,EMIS_factors!$E$6:$E$152&amp;EMIS_factors!$D$6:$D$152,0),MATCH(RIGHT(Z$4,6),EMIS_factors!$G$4:$O$4,0))</f>
        <v>0</v>
      </c>
      <c r="AB144" s="526" t="s">
        <v>1485</v>
      </c>
      <c r="AE144" s="1265">
        <f t="array" ref="AE144">INDEX($AN$12:$BM$15,MATCH(F144,$AM$12:$AM$15,0),MATCH($AG144&amp;$AE$1,$AN$11:$BM$11&amp;$AN$9:$BM$9,0))/1000</f>
        <v>1.4314285714285715</v>
      </c>
      <c r="AF144" s="549">
        <f t="array" ref="AF144">(AE144^INDEX(ShipData!$X$36:$X$39,MATCH($F144,ShipData!$U$36:$U$39,0)))*0.756*INDEX(ShipData!$W$36:$W$39,MATCH($F144,ShipData!$U$36:$U$39,0))</f>
        <v>1715.2886160618959</v>
      </c>
      <c r="AG144" s="549" t="s">
        <v>1239</v>
      </c>
      <c r="AH144" s="526" t="s">
        <v>1247</v>
      </c>
      <c r="AI144" s="549" t="s">
        <v>1145</v>
      </c>
      <c r="AL144"/>
      <c r="AM144"/>
      <c r="AN144"/>
    </row>
    <row r="145" spans="3:40">
      <c r="C145" s="1428" t="str">
        <f t="shared" si="42"/>
        <v>TFSMH2FCR3N</v>
      </c>
      <c r="D145" s="552" t="s">
        <v>1126</v>
      </c>
      <c r="E145" s="1429" t="s">
        <v>1341</v>
      </c>
      <c r="F145" s="1430" t="s">
        <v>1029</v>
      </c>
      <c r="G145" s="1430">
        <v>2030</v>
      </c>
      <c r="H145" s="1431" t="s">
        <v>986</v>
      </c>
      <c r="I145" s="1434">
        <f t="array" ref="I145">INDEX($AN$12:$BM$15,MATCH(F145,$AM$12:$AM$15,0),MATCH(I$1&amp;$AG145,$AN$9:$BM$9&amp;$AN$11:$BM$11,0))</f>
        <v>3608</v>
      </c>
      <c r="J145" s="1434">
        <f t="shared" si="60"/>
        <v>3608</v>
      </c>
      <c r="K145" s="1434">
        <v>925</v>
      </c>
      <c r="L145" s="1451">
        <v>1668</v>
      </c>
      <c r="M145" s="1448">
        <f t="array" ref="M145">1/(INDEX($AN$12:$BM$15,MATCH($F145,$AM$12:$AM$15,0),MATCH(($G145&amp;M$1)&amp;$AG145,$AN$9:$BM$9&amp;$AN$11:$BM$11,0))/1.852)</f>
        <v>0.87906595126970144</v>
      </c>
      <c r="N145" s="1448">
        <f t="shared" si="61"/>
        <v>0.87906595126970144</v>
      </c>
      <c r="O145" s="1431">
        <v>30</v>
      </c>
      <c r="P145" s="1448"/>
      <c r="Q145" s="1448">
        <f t="shared" si="62"/>
        <v>8290.9894675174073</v>
      </c>
      <c r="R145" s="1448">
        <f t="array" ref="R145">(AF145*(INDEX(ShipData!$P$19:$R$26,MATCH($AH145,ShipData!$N$19:$N$26,0),MATCH($AI145,ShipData!$P$18:$R$18,0))+INDEX(ShipData!$P$30:$R$37,MATCH($AH145,ShipData!$N$30:$N$37,0),MATCH($AI145,ShipData!$P$29:$R$29,0)))+K145*0.1*(1/M145)*INDEX(ShipData!$P$41:$R$48,MATCH($AH145,ShipData!$N$41:$N$48,0),MATCH($AI145,ShipData!$P$40:$R$40,0)))*6.5/1000</f>
        <v>236885.41335764021</v>
      </c>
      <c r="S145" s="1431"/>
      <c r="T145" s="1431">
        <v>1E-3</v>
      </c>
      <c r="U145" s="1446"/>
      <c r="V145" s="1428"/>
      <c r="W145" s="1530">
        <f t="array" ref="W145">INDEX(EMIS_factors!$G$6:$O$152,MATCH($G145&amp;$AB145,EMIS_factors!$E$6:$E$152&amp;EMIS_factors!$D$6:$D$152,0),MATCH(RIGHT(W$4,6),EMIS_factors!$G$4:$O$4,0))</f>
        <v>0</v>
      </c>
      <c r="X145" s="1530">
        <f t="array" ref="X145">INDEX(EMIS_factors!$G$6:$O$152,MATCH($G145&amp;$AB145,EMIS_factors!$E$6:$E$152&amp;EMIS_factors!$D$6:$D$152,0),MATCH(RIGHT(X$4,6),EMIS_factors!$G$4:$O$4,0))</f>
        <v>0</v>
      </c>
      <c r="Y145" s="1530">
        <f t="array" ref="Y145">INDEX(EMIS_factors!$G$6:$O$152,MATCH($G145&amp;$AB145,EMIS_factors!$E$6:$E$152&amp;EMIS_factors!$D$6:$D$152,0),MATCH(RIGHT(Y$4,6),EMIS_factors!$G$4:$O$4,0))</f>
        <v>0</v>
      </c>
      <c r="Z145" s="1530">
        <f t="array" ref="Z145">INDEX(EMIS_factors!$G$6:$O$152,MATCH($G145&amp;$AB145,EMIS_factors!$E$6:$E$152&amp;EMIS_factors!$D$6:$D$152,0),MATCH(RIGHT(Z$4,6),EMIS_factors!$G$4:$O$4,0))</f>
        <v>0</v>
      </c>
      <c r="AB145" s="526" t="s">
        <v>1485</v>
      </c>
      <c r="AE145" s="1265">
        <f t="array" ref="AE145">INDEX($AN$12:$BM$15,MATCH(F145,$AM$12:$AM$15,0),MATCH($AG145&amp;$AE$1,$AN$11:$BM$11&amp;$AN$9:$BM$9,0))/1000</f>
        <v>5.1542857142857148</v>
      </c>
      <c r="AF145" s="549">
        <f t="array" ref="AF145">(AE145^INDEX(ShipData!$X$36:$X$39,MATCH($F145,ShipData!$U$36:$U$39,0)))*0.756*INDEX(ShipData!$W$36:$W$39,MATCH($F145,ShipData!$U$36:$U$39,0))</f>
        <v>5468.6247789018307</v>
      </c>
      <c r="AG145" s="549" t="s">
        <v>1236</v>
      </c>
      <c r="AH145" s="526" t="s">
        <v>1247</v>
      </c>
      <c r="AI145" s="549" t="s">
        <v>1145</v>
      </c>
      <c r="AL145"/>
      <c r="AM145"/>
      <c r="AN145"/>
    </row>
    <row r="146" spans="3:40">
      <c r="C146" s="552" t="str">
        <f t="shared" si="42"/>
        <v>TFSSNGFCL2N</v>
      </c>
      <c r="D146" s="552" t="s">
        <v>1103</v>
      </c>
      <c r="E146" s="534" t="s">
        <v>1344</v>
      </c>
      <c r="F146" s="531" t="s">
        <v>1026</v>
      </c>
      <c r="G146" s="531">
        <v>2020</v>
      </c>
      <c r="H146" s="1237" t="s">
        <v>986</v>
      </c>
      <c r="I146" s="1239">
        <f t="array" ref="I146">INDEX($AN$12:$BM$15,MATCH(F146,$AM$12:$AM$15,0),MATCH(I$1&amp;$AG146,$AN$9:$BM$9&amp;$AN$11:$BM$11,0))</f>
        <v>810</v>
      </c>
      <c r="J146" s="1239">
        <f t="shared" si="16"/>
        <v>810</v>
      </c>
      <c r="K146" s="1239">
        <v>46488</v>
      </c>
      <c r="L146" s="1237">
        <v>83879</v>
      </c>
      <c r="M146" s="1265">
        <f t="array" ref="M146">1/(INDEX($AN$12:$BM$15,MATCH($F146,$AM$12:$AM$15,0),MATCH(($G146&amp;M$1)&amp;$AG146,$AN$9:$BM$9&amp;$AN$11:$BM$11,0))/1.852)</f>
        <v>2.3752039567310899</v>
      </c>
      <c r="N146" s="1265">
        <f t="shared" si="43"/>
        <v>2.3752039567310899</v>
      </c>
      <c r="O146" s="1237">
        <v>30</v>
      </c>
      <c r="P146" s="1265"/>
      <c r="Q146" s="1265">
        <f t="shared" si="52"/>
        <v>2582.4426646781103</v>
      </c>
      <c r="R146" s="1265">
        <f t="array" ref="R146">(AF146*(INDEX(ShipData!$P$19:$R$26,MATCH($AH146,ShipData!$N$19:$N$26,0),MATCH($AI146,ShipData!$P$18:$R$18,0))+INDEX(ShipData!$P$30:$R$37,MATCH($AH146,ShipData!$N$30:$N$37,0),MATCH($AI146,ShipData!$P$29:$R$29,0)))+K146*0.1*(1/M146)*INDEX(ShipData!$P$41:$R$48,MATCH($AH146,ShipData!$N$41:$N$48,0),MATCH($AI146,ShipData!$P$40:$R$40,0)))*6.5/1000</f>
        <v>73784.076133660288</v>
      </c>
      <c r="S146" s="1237"/>
      <c r="T146" s="1237">
        <v>1E-3</v>
      </c>
      <c r="U146" s="1278"/>
      <c r="V146" s="552"/>
      <c r="W146" s="1530">
        <f t="array" ref="W146">INDEX(EMIS_factors!$G$6:$O$152,MATCH($G146&amp;$AB146,EMIS_factors!$E$6:$E$152&amp;EMIS_factors!$D$6:$D$152,0),MATCH(RIGHT(W$4,6),EMIS_factors!$G$4:$O$4,0))</f>
        <v>0</v>
      </c>
      <c r="X146" s="1530">
        <f t="array" ref="X146">INDEX(EMIS_factors!$G$6:$O$152,MATCH($G146&amp;$AB146,EMIS_factors!$E$6:$E$152&amp;EMIS_factors!$D$6:$D$152,0),MATCH(RIGHT(X$4,6),EMIS_factors!$G$4:$O$4,0))</f>
        <v>411.41501253398201</v>
      </c>
      <c r="Y146" s="1530">
        <f t="array" ref="Y146">INDEX(EMIS_factors!$G$6:$O$152,MATCH($G146&amp;$AB146,EMIS_factors!$E$6:$E$152&amp;EMIS_factors!$D$6:$D$152,0),MATCH(RIGHT(Y$4,6),EMIS_factors!$G$4:$O$4,0))</f>
        <v>0.11686473412375831</v>
      </c>
      <c r="Z146" s="1530">
        <f t="array" ref="Z146">INDEX(EMIS_factors!$G$6:$O$152,MATCH($G146&amp;$AB146,EMIS_factors!$E$6:$E$152&amp;EMIS_factors!$D$6:$D$152,0),MATCH(RIGHT(Z$4,6),EMIS_factors!$G$4:$O$4,0))</f>
        <v>0</v>
      </c>
      <c r="AB146" s="526" t="s">
        <v>1483</v>
      </c>
      <c r="AE146" s="1265">
        <f t="array" ref="AE146">INDEX($AN$12:$BM$15,MATCH(F146,$AM$12:$AM$15,0),MATCH($AG146&amp;$AE$1,$AN$11:$BM$11&amp;$AN$9:$BM$9,0))/1000</f>
        <v>1.5804878048780491</v>
      </c>
      <c r="AF146" s="549">
        <f t="array" ref="AF146">(AE146^INDEX(ShipData!$X$36:$X$39,MATCH($F146,ShipData!$U$36:$U$39,0)))*0.756*INDEX(ShipData!$W$36:$W$39,MATCH($F146,ShipData!$U$36:$U$39,0))</f>
        <v>1602.8300580975306</v>
      </c>
      <c r="AG146" s="549" t="s">
        <v>1239</v>
      </c>
      <c r="AH146" s="526" t="s">
        <v>1248</v>
      </c>
      <c r="AI146" s="549" t="s">
        <v>1143</v>
      </c>
      <c r="AL146"/>
      <c r="AM146"/>
      <c r="AN146"/>
    </row>
    <row r="147" spans="3:40">
      <c r="C147" s="552" t="str">
        <f t="shared" si="42"/>
        <v>TFSMNGFCL3N</v>
      </c>
      <c r="D147" s="552" t="s">
        <v>1104</v>
      </c>
      <c r="E147" s="534" t="s">
        <v>1343</v>
      </c>
      <c r="F147" s="531" t="s">
        <v>1026</v>
      </c>
      <c r="G147" s="531">
        <v>2030</v>
      </c>
      <c r="H147" s="1237" t="s">
        <v>986</v>
      </c>
      <c r="I147" s="1239">
        <f t="array" ref="I147">INDEX($AN$12:$BM$15,MATCH(F147,$AM$12:$AM$15,0),MATCH(I$1&amp;$AG147,$AN$9:$BM$9&amp;$AN$11:$BM$11,0))</f>
        <v>3045.9905660377353</v>
      </c>
      <c r="J147" s="1239">
        <f t="shared" si="16"/>
        <v>3045.9905660377353</v>
      </c>
      <c r="K147" s="1239">
        <v>25616</v>
      </c>
      <c r="L147" s="1237">
        <v>46219</v>
      </c>
      <c r="M147" s="1265">
        <f t="array" ref="M147">1/(INDEX($AN$12:$BM$15,MATCH($F147,$AM$12:$AM$15,0),MATCH(($G147&amp;M$1)&amp;$AG147,$AN$9:$BM$9&amp;$AN$11:$BM$11,0))/1.852)</f>
        <v>1.9876124255718461</v>
      </c>
      <c r="N147" s="1265">
        <f t="shared" si="43"/>
        <v>1.9876124255718461</v>
      </c>
      <c r="O147" s="1237">
        <v>30</v>
      </c>
      <c r="P147" s="1265"/>
      <c r="Q147" s="1265">
        <f t="shared" si="52"/>
        <v>5358.5591296125003</v>
      </c>
      <c r="R147" s="1265">
        <f t="array" ref="R147">(AF147*(INDEX(ShipData!$P$19:$R$26,MATCH($AH147,ShipData!$N$19:$N$26,0),MATCH($AI147,ShipData!$P$18:$R$18,0))+INDEX(ShipData!$P$30:$R$37,MATCH($AH147,ShipData!$N$30:$N$37,0),MATCH($AI147,ShipData!$P$29:$R$29,0)))+K147*0.1*(1/M147)*INDEX(ShipData!$P$41:$R$48,MATCH($AH147,ShipData!$N$41:$N$48,0),MATCH($AI147,ShipData!$P$40:$R$40,0)))*6.5/1000</f>
        <v>153101.68941749999</v>
      </c>
      <c r="S147" s="1237"/>
      <c r="T147" s="1237">
        <v>1E-3</v>
      </c>
      <c r="U147" s="1278"/>
      <c r="V147" s="552"/>
      <c r="W147" s="1530">
        <f t="array" ref="W147">INDEX(EMIS_factors!$G$6:$O$152,MATCH($G147&amp;$AB147,EMIS_factors!$E$6:$E$152&amp;EMIS_factors!$D$6:$D$152,0),MATCH(RIGHT(W$4,6),EMIS_factors!$G$4:$O$4,0))</f>
        <v>0</v>
      </c>
      <c r="X147" s="1530">
        <f t="array" ref="X147">INDEX(EMIS_factors!$G$6:$O$152,MATCH($G147&amp;$AB147,EMIS_factors!$E$6:$E$152&amp;EMIS_factors!$D$6:$D$152,0),MATCH(RIGHT(X$4,6),EMIS_factors!$G$4:$O$4,0))</f>
        <v>411.41501253398201</v>
      </c>
      <c r="Y147" s="1530">
        <f t="array" ref="Y147">INDEX(EMIS_factors!$G$6:$O$152,MATCH($G147&amp;$AB147,EMIS_factors!$E$6:$E$152&amp;EMIS_factors!$D$6:$D$152,0),MATCH(RIGHT(Y$4,6),EMIS_factors!$G$4:$O$4,0))</f>
        <v>0.11686473412375831</v>
      </c>
      <c r="Z147" s="1530">
        <f t="array" ref="Z147">INDEX(EMIS_factors!$G$6:$O$152,MATCH($G147&amp;$AB147,EMIS_factors!$E$6:$E$152&amp;EMIS_factors!$D$6:$D$152,0),MATCH(RIGHT(Z$4,6),EMIS_factors!$G$4:$O$4,0))</f>
        <v>0</v>
      </c>
      <c r="AB147" s="526" t="s">
        <v>1483</v>
      </c>
      <c r="AE147" s="1265">
        <f t="array" ref="AE147">INDEX($AN$12:$BM$15,MATCH(F147,$AM$12:$AM$15,0),MATCH($AG147&amp;$AE$1,$AN$11:$BM$11&amp;$AN$9:$BM$9,0))/1000</f>
        <v>5.9433962264150946</v>
      </c>
      <c r="AF147" s="549">
        <f t="array" ref="AF147">(AE147^INDEX(ShipData!$X$36:$X$39,MATCH($F147,ShipData!$U$36:$U$39,0)))*0.756*INDEX(ShipData!$W$36:$W$39,MATCH($F147,ShipData!$U$36:$U$39,0))</f>
        <v>3369.7610132900404</v>
      </c>
      <c r="AG147" s="549" t="s">
        <v>1236</v>
      </c>
      <c r="AH147" s="526" t="s">
        <v>1248</v>
      </c>
      <c r="AI147" s="549" t="s">
        <v>1143</v>
      </c>
      <c r="AL147"/>
      <c r="AM147"/>
      <c r="AN147"/>
    </row>
    <row r="148" spans="3:40">
      <c r="C148" s="552" t="str">
        <f t="shared" si="42"/>
        <v>TFSSNGFCD2N</v>
      </c>
      <c r="D148" s="552" t="s">
        <v>1111</v>
      </c>
      <c r="E148" s="534" t="str">
        <f>E146</f>
        <v>TRANGBL3N</v>
      </c>
      <c r="F148" s="531" t="s">
        <v>1027</v>
      </c>
      <c r="G148" s="531">
        <v>2020</v>
      </c>
      <c r="H148" s="1237" t="s">
        <v>986</v>
      </c>
      <c r="I148" s="1239">
        <f t="array" ref="I148">INDEX($AN$12:$BM$15,MATCH(F148,$AM$12:$AM$15,0),MATCH(I$1&amp;$AG148,$AN$9:$BM$9&amp;$AN$11:$BM$11,0))</f>
        <v>1527</v>
      </c>
      <c r="J148" s="1239">
        <f t="shared" si="16"/>
        <v>1527</v>
      </c>
      <c r="K148" s="1239">
        <v>17027</v>
      </c>
      <c r="L148" s="1281">
        <v>30722</v>
      </c>
      <c r="M148" s="1265">
        <f t="array" ref="M148">1/(INDEX($AN$12:$BM$15,MATCH($F148,$AM$12:$AM$15,0),MATCH(($G148&amp;M$1)&amp;$AG148,$AN$9:$BM$9&amp;$AN$11:$BM$11,0))/1.852)</f>
        <v>3.4190010788978875</v>
      </c>
      <c r="N148" s="1265">
        <f t="shared" si="43"/>
        <v>3.4190010788978875</v>
      </c>
      <c r="O148" s="1237">
        <v>30</v>
      </c>
      <c r="P148" s="1265"/>
      <c r="Q148" s="1265">
        <f t="shared" si="52"/>
        <v>3049.8758218063249</v>
      </c>
      <c r="R148" s="1265">
        <f t="array" ref="R148">(AF148*(INDEX(ShipData!$P$19:$R$26,MATCH($AH148,ShipData!$N$19:$N$26,0),MATCH($AI148,ShipData!$P$18:$R$18,0))+INDEX(ShipData!$P$30:$R$37,MATCH($AH148,ShipData!$N$30:$N$37,0),MATCH($AI148,ShipData!$P$29:$R$29,0)))+K148*0.1*(1/M148)*INDEX(ShipData!$P$41:$R$48,MATCH($AH148,ShipData!$N$41:$N$48,0),MATCH($AI148,ShipData!$P$40:$R$40,0)))*6.5/1000</f>
        <v>87139.309194466419</v>
      </c>
      <c r="S148" s="1237"/>
      <c r="T148" s="1237">
        <v>1E-3</v>
      </c>
      <c r="U148" s="1278"/>
      <c r="V148" s="552"/>
      <c r="W148" s="1530">
        <f t="array" ref="W148">INDEX(EMIS_factors!$G$6:$O$152,MATCH($G148&amp;$AB148,EMIS_factors!$E$6:$E$152&amp;EMIS_factors!$D$6:$D$152,0),MATCH(RIGHT(W$4,6),EMIS_factors!$G$4:$O$4,0))</f>
        <v>0</v>
      </c>
      <c r="X148" s="1530">
        <f t="array" ref="X148">INDEX(EMIS_factors!$G$6:$O$152,MATCH($G148&amp;$AB148,EMIS_factors!$E$6:$E$152&amp;EMIS_factors!$D$6:$D$152,0),MATCH(RIGHT(X$4,6),EMIS_factors!$G$4:$O$4,0))</f>
        <v>411.41501253398201</v>
      </c>
      <c r="Y148" s="1530">
        <f t="array" ref="Y148">INDEX(EMIS_factors!$G$6:$O$152,MATCH($G148&amp;$AB148,EMIS_factors!$E$6:$E$152&amp;EMIS_factors!$D$6:$D$152,0),MATCH(RIGHT(Y$4,6),EMIS_factors!$G$4:$O$4,0))</f>
        <v>0.11686473412375831</v>
      </c>
      <c r="Z148" s="1530">
        <f t="array" ref="Z148">INDEX(EMIS_factors!$G$6:$O$152,MATCH($G148&amp;$AB148,EMIS_factors!$E$6:$E$152&amp;EMIS_factors!$D$6:$D$152,0),MATCH(RIGHT(Z$4,6),EMIS_factors!$G$4:$O$4,0))</f>
        <v>0</v>
      </c>
      <c r="AB148" s="526" t="s">
        <v>1483</v>
      </c>
      <c r="AE148" s="1265">
        <f t="array" ref="AE148">INDEX($AN$12:$BM$15,MATCH(F148,$AM$12:$AM$15,0),MATCH($AG148&amp;$AE$1,$AN$11:$BM$11&amp;$AN$9:$BM$9,0))/1000</f>
        <v>2.5449999999999999</v>
      </c>
      <c r="AF148" s="549">
        <f t="array" ref="AF148">(AE148^INDEX(ShipData!$X$36:$X$39,MATCH($F148,ShipData!$U$36:$U$39,0)))*0.756*INDEX(ShipData!$W$36:$W$39,MATCH($F148,ShipData!$U$36:$U$39,0))</f>
        <v>1921.6608368614334</v>
      </c>
      <c r="AG148" s="549" t="s">
        <v>1239</v>
      </c>
      <c r="AH148" s="526" t="s">
        <v>1248</v>
      </c>
      <c r="AI148" s="549" t="s">
        <v>1143</v>
      </c>
      <c r="AL148"/>
      <c r="AM148"/>
      <c r="AN148"/>
    </row>
    <row r="149" spans="3:40">
      <c r="C149" s="552" t="str">
        <f t="shared" si="42"/>
        <v>TFSMNGFCD3N</v>
      </c>
      <c r="D149" s="552" t="s">
        <v>1112</v>
      </c>
      <c r="E149" s="534" t="str">
        <f t="shared" ref="E149:E153" si="63">E147</f>
        <v>TRANGBL4N</v>
      </c>
      <c r="F149" s="531" t="s">
        <v>1027</v>
      </c>
      <c r="G149" s="531">
        <v>2030</v>
      </c>
      <c r="H149" s="1237" t="s">
        <v>986</v>
      </c>
      <c r="I149" s="1239">
        <f t="array" ref="I149">INDEX($AN$12:$BM$15,MATCH(F149,$AM$12:$AM$15,0),MATCH(I$1&amp;$AG149,$AN$9:$BM$9&amp;$AN$11:$BM$11,0))</f>
        <v>4174</v>
      </c>
      <c r="J149" s="1239">
        <f t="shared" si="16"/>
        <v>4174</v>
      </c>
      <c r="K149" s="1239">
        <v>3330</v>
      </c>
      <c r="L149" s="1281">
        <v>6009</v>
      </c>
      <c r="M149" s="1265">
        <f t="array" ref="M149">1/(INDEX($AN$12:$BM$15,MATCH($F149,$AM$12:$AM$15,0),MATCH(($G149&amp;M$1)&amp;$AG149,$AN$9:$BM$9&amp;$AN$11:$BM$11,0))/1.852)</f>
        <v>2.1794284452298629</v>
      </c>
      <c r="N149" s="1265">
        <f t="shared" si="43"/>
        <v>2.1794284452298629</v>
      </c>
      <c r="O149" s="1237">
        <v>30</v>
      </c>
      <c r="P149" s="1265"/>
      <c r="Q149" s="1265">
        <f t="shared" si="52"/>
        <v>5440.8435513079758</v>
      </c>
      <c r="R149" s="1265">
        <f t="array" ref="R149">(AF149*(INDEX(ShipData!$P$19:$R$26,MATCH($AH149,ShipData!$N$19:$N$26,0),MATCH($AI149,ShipData!$P$18:$R$18,0))+INDEX(ShipData!$P$30:$R$37,MATCH($AH149,ShipData!$N$30:$N$37,0),MATCH($AI149,ShipData!$P$29:$R$29,0)))+K149*0.1*(1/M149)*INDEX(ShipData!$P$41:$R$48,MATCH($AH149,ShipData!$N$41:$N$48,0),MATCH($AI149,ShipData!$P$40:$R$40,0)))*6.5/1000</f>
        <v>155452.67289451358</v>
      </c>
      <c r="S149" s="1237"/>
      <c r="T149" s="1237">
        <v>1E-3</v>
      </c>
      <c r="U149" s="1278"/>
      <c r="V149" s="552"/>
      <c r="W149" s="1530">
        <f t="array" ref="W149">INDEX(EMIS_factors!$G$6:$O$152,MATCH($G149&amp;$AB149,EMIS_factors!$E$6:$E$152&amp;EMIS_factors!$D$6:$D$152,0),MATCH(RIGHT(W$4,6),EMIS_factors!$G$4:$O$4,0))</f>
        <v>0</v>
      </c>
      <c r="X149" s="1530">
        <f t="array" ref="X149">INDEX(EMIS_factors!$G$6:$O$152,MATCH($G149&amp;$AB149,EMIS_factors!$E$6:$E$152&amp;EMIS_factors!$D$6:$D$152,0),MATCH(RIGHT(X$4,6),EMIS_factors!$G$4:$O$4,0))</f>
        <v>411.41501253398201</v>
      </c>
      <c r="Y149" s="1530">
        <f t="array" ref="Y149">INDEX(EMIS_factors!$G$6:$O$152,MATCH($G149&amp;$AB149,EMIS_factors!$E$6:$E$152&amp;EMIS_factors!$D$6:$D$152,0),MATCH(RIGHT(Y$4,6),EMIS_factors!$G$4:$O$4,0))</f>
        <v>0.11686473412375831</v>
      </c>
      <c r="Z149" s="1530">
        <f t="array" ref="Z149">INDEX(EMIS_factors!$G$6:$O$152,MATCH($G149&amp;$AB149,EMIS_factors!$E$6:$E$152&amp;EMIS_factors!$D$6:$D$152,0),MATCH(RIGHT(Z$4,6),EMIS_factors!$G$4:$O$4,0))</f>
        <v>0</v>
      </c>
      <c r="AB149" s="526" t="s">
        <v>1483</v>
      </c>
      <c r="AE149" s="1265">
        <f t="array" ref="AE149">INDEX($AN$12:$BM$15,MATCH(F149,$AM$12:$AM$15,0),MATCH($AG149&amp;$AE$1,$AN$11:$BM$11&amp;$AN$9:$BM$9,0))/1000</f>
        <v>6.956666666666667</v>
      </c>
      <c r="AF149" s="549">
        <f t="array" ref="AF149">(AE149^INDEX(ShipData!$X$36:$X$39,MATCH($F149,ShipData!$U$36:$U$39,0)))*0.756*INDEX(ShipData!$W$36:$W$39,MATCH($F149,ShipData!$U$36:$U$39,0))</f>
        <v>3439.8048335584949</v>
      </c>
      <c r="AG149" s="549" t="s">
        <v>1236</v>
      </c>
      <c r="AH149" s="526" t="s">
        <v>1248</v>
      </c>
      <c r="AI149" s="549" t="s">
        <v>1143</v>
      </c>
      <c r="AL149"/>
      <c r="AM149"/>
      <c r="AN149"/>
    </row>
    <row r="150" spans="3:40">
      <c r="C150" s="552" t="str">
        <f t="shared" si="42"/>
        <v>TFSSNGFCC2N</v>
      </c>
      <c r="D150" s="552" t="s">
        <v>1119</v>
      </c>
      <c r="E150" s="534" t="str">
        <f t="shared" si="63"/>
        <v>TRANGBL3N</v>
      </c>
      <c r="F150" s="531" t="s">
        <v>1028</v>
      </c>
      <c r="G150" s="531">
        <v>2020</v>
      </c>
      <c r="H150" s="1237" t="s">
        <v>986</v>
      </c>
      <c r="I150" s="1239">
        <f t="array" ref="I150">INDEX($AN$12:$BM$15,MATCH(F150,$AM$12:$AM$15,0),MATCH(I$1&amp;$AG150,$AN$9:$BM$9&amp;$AN$11:$BM$11,0))</f>
        <v>2450</v>
      </c>
      <c r="J150" s="1239">
        <f t="shared" si="16"/>
        <v>2450</v>
      </c>
      <c r="K150" s="1239">
        <v>0</v>
      </c>
      <c r="L150" s="1281">
        <v>0</v>
      </c>
      <c r="M150" s="1265">
        <f t="array" ref="M150">1/(INDEX($AN$12:$BM$15,MATCH($F150,$AM$12:$AM$15,0),MATCH(($G150&amp;M$1)&amp;$AG150,$AN$9:$BM$9&amp;$AN$11:$BM$11,0))/1.852)</f>
        <v>1.7403348779577166</v>
      </c>
      <c r="N150" s="1265">
        <f t="shared" si="43"/>
        <v>1.7403348779577166</v>
      </c>
      <c r="O150" s="1237">
        <v>30</v>
      </c>
      <c r="P150" s="1265"/>
      <c r="Q150" s="1265">
        <f t="shared" si="52"/>
        <v>3641.6182222129496</v>
      </c>
      <c r="R150" s="1265">
        <f t="array" ref="R150">(AF150*(INDEX(ShipData!$P$19:$R$26,MATCH($AH150,ShipData!$N$19:$N$26,0),MATCH($AI150,ShipData!$P$18:$R$18,0))+INDEX(ShipData!$P$30:$R$37,MATCH($AH150,ShipData!$N$30:$N$37,0),MATCH($AI150,ShipData!$P$29:$R$29,0)))+K150*0.1*(1/M150)*INDEX(ShipData!$P$41:$R$48,MATCH($AH150,ShipData!$N$41:$N$48,0),MATCH($AI150,ShipData!$P$40:$R$40,0)))*6.5/1000</f>
        <v>104046.23492036999</v>
      </c>
      <c r="S150" s="1237"/>
      <c r="T150" s="1237">
        <v>1E-3</v>
      </c>
      <c r="U150" s="1278"/>
      <c r="V150" s="552"/>
      <c r="W150" s="1530">
        <f t="array" ref="W150">INDEX(EMIS_factors!$G$6:$O$152,MATCH($G150&amp;$AB150,EMIS_factors!$E$6:$E$152&amp;EMIS_factors!$D$6:$D$152,0),MATCH(RIGHT(W$4,6),EMIS_factors!$G$4:$O$4,0))</f>
        <v>0</v>
      </c>
      <c r="X150" s="1530">
        <f t="array" ref="X150">INDEX(EMIS_factors!$G$6:$O$152,MATCH($G150&amp;$AB150,EMIS_factors!$E$6:$E$152&amp;EMIS_factors!$D$6:$D$152,0),MATCH(RIGHT(X$4,6),EMIS_factors!$G$4:$O$4,0))</f>
        <v>411.41501253398201</v>
      </c>
      <c r="Y150" s="1530">
        <f t="array" ref="Y150">INDEX(EMIS_factors!$G$6:$O$152,MATCH($G150&amp;$AB150,EMIS_factors!$E$6:$E$152&amp;EMIS_factors!$D$6:$D$152,0),MATCH(RIGHT(Y$4,6),EMIS_factors!$G$4:$O$4,0))</f>
        <v>0.11686473412375831</v>
      </c>
      <c r="Z150" s="1530">
        <f t="array" ref="Z150">INDEX(EMIS_factors!$G$6:$O$152,MATCH($G150&amp;$AB150,EMIS_factors!$E$6:$E$152&amp;EMIS_factors!$D$6:$D$152,0),MATCH(RIGHT(Z$4,6),EMIS_factors!$G$4:$O$4,0))</f>
        <v>0</v>
      </c>
      <c r="AB150" s="526" t="s">
        <v>1483</v>
      </c>
      <c r="AE150" s="1265">
        <f t="array" ref="AE150">INDEX($AN$12:$BM$15,MATCH(F150,$AM$12:$AM$15,0),MATCH($AG150&amp;$AE$1,$AN$11:$BM$11&amp;$AN$9:$BM$9,0))/1000</f>
        <v>3.5</v>
      </c>
      <c r="AF150" s="549">
        <f t="array" ref="AF150">(AE150^INDEX(ShipData!$X$36:$X$39,MATCH($F150,ShipData!$U$36:$U$39,0)))*0.756*INDEX(ShipData!$W$36:$W$39,MATCH($F150,ShipData!$U$36:$U$39,0))</f>
        <v>2454.0448908848457</v>
      </c>
      <c r="AG150" s="549" t="s">
        <v>1239</v>
      </c>
      <c r="AH150" s="526" t="s">
        <v>1248</v>
      </c>
      <c r="AI150" s="549" t="s">
        <v>1145</v>
      </c>
      <c r="AL150"/>
      <c r="AM150"/>
      <c r="AN150"/>
    </row>
    <row r="151" spans="3:40">
      <c r="C151" s="552" t="str">
        <f t="shared" si="42"/>
        <v>TFSMNGFCC3N</v>
      </c>
      <c r="D151" s="552" t="s">
        <v>1120</v>
      </c>
      <c r="E151" s="534" t="str">
        <f t="shared" si="63"/>
        <v>TRANGBL4N</v>
      </c>
      <c r="F151" s="531" t="s">
        <v>1028</v>
      </c>
      <c r="G151" s="531">
        <v>2030</v>
      </c>
      <c r="H151" s="1237" t="s">
        <v>986</v>
      </c>
      <c r="I151" s="1239">
        <f t="array" ref="I151">INDEX($AN$12:$BM$15,MATCH(F151,$AM$12:$AM$15,0),MATCH(I$1&amp;$AG151,$AN$9:$BM$9&amp;$AN$11:$BM$11,0))</f>
        <v>4900</v>
      </c>
      <c r="J151" s="1239">
        <f t="shared" si="16"/>
        <v>4900</v>
      </c>
      <c r="K151" s="1239">
        <v>362</v>
      </c>
      <c r="L151" s="1281">
        <v>653</v>
      </c>
      <c r="M151" s="1265">
        <f t="array" ref="M151">1/(INDEX($AN$12:$BM$15,MATCH($F151,$AM$12:$AM$15,0),MATCH(($G151&amp;M$1)&amp;$AG151,$AN$9:$BM$9&amp;$AN$11:$BM$11,0))/1.852)</f>
        <v>0.87906595126970144</v>
      </c>
      <c r="N151" s="1265">
        <f t="shared" si="43"/>
        <v>0.87906595126970144</v>
      </c>
      <c r="O151" s="1237">
        <v>30</v>
      </c>
      <c r="P151" s="1265"/>
      <c r="Q151" s="1265">
        <f t="shared" si="52"/>
        <v>8138.2158802235699</v>
      </c>
      <c r="R151" s="1265">
        <f t="array" ref="R151">(AF151*(INDEX(ShipData!$P$19:$R$26,MATCH($AH151,ShipData!$N$19:$N$26,0),MATCH($AI151,ShipData!$P$18:$R$18,0))+INDEX(ShipData!$P$30:$R$37,MATCH($AH151,ShipData!$N$30:$N$37,0),MATCH($AI151,ShipData!$P$29:$R$29,0)))+K151*0.1*(1/M151)*INDEX(ShipData!$P$41:$R$48,MATCH($AH151,ShipData!$N$41:$N$48,0),MATCH($AI151,ShipData!$P$40:$R$40,0)))*6.5/1000</f>
        <v>232520.45372067339</v>
      </c>
      <c r="S151" s="1237"/>
      <c r="T151" s="1237">
        <v>1E-3</v>
      </c>
      <c r="U151" s="1278"/>
      <c r="V151" s="552"/>
      <c r="W151" s="1530">
        <f t="array" ref="W151">INDEX(EMIS_factors!$G$6:$O$152,MATCH($G151&amp;$AB151,EMIS_factors!$E$6:$E$152&amp;EMIS_factors!$D$6:$D$152,0),MATCH(RIGHT(W$4,6),EMIS_factors!$G$4:$O$4,0))</f>
        <v>0</v>
      </c>
      <c r="X151" s="1530">
        <f t="array" ref="X151">INDEX(EMIS_factors!$G$6:$O$152,MATCH($G151&amp;$AB151,EMIS_factors!$E$6:$E$152&amp;EMIS_factors!$D$6:$D$152,0),MATCH(RIGHT(X$4,6),EMIS_factors!$G$4:$O$4,0))</f>
        <v>411.41501253398201</v>
      </c>
      <c r="Y151" s="1530">
        <f t="array" ref="Y151">INDEX(EMIS_factors!$G$6:$O$152,MATCH($G151&amp;$AB151,EMIS_factors!$E$6:$E$152&amp;EMIS_factors!$D$6:$D$152,0),MATCH(RIGHT(Y$4,6),EMIS_factors!$G$4:$O$4,0))</f>
        <v>0.11686473412375831</v>
      </c>
      <c r="Z151" s="1530">
        <f t="array" ref="Z151">INDEX(EMIS_factors!$G$6:$O$152,MATCH($G151&amp;$AB151,EMIS_factors!$E$6:$E$152&amp;EMIS_factors!$D$6:$D$152,0),MATCH(RIGHT(Z$4,6),EMIS_factors!$G$4:$O$4,0))</f>
        <v>0</v>
      </c>
      <c r="AB151" s="526" t="s">
        <v>1483</v>
      </c>
      <c r="AE151" s="1265">
        <f t="array" ref="AE151">INDEX($AN$12:$BM$15,MATCH(F151,$AM$12:$AM$15,0),MATCH($AG151&amp;$AE$1,$AN$11:$BM$11&amp;$AN$9:$BM$9,0))/1000</f>
        <v>7</v>
      </c>
      <c r="AF151" s="549">
        <f t="array" ref="AF151">(AE151^INDEX(ShipData!$X$36:$X$39,MATCH($F151,ShipData!$U$36:$U$39,0)))*0.756*INDEX(ShipData!$W$36:$W$39,MATCH($F151,ShipData!$U$36:$U$39,0))</f>
        <v>5483.7455856749639</v>
      </c>
      <c r="AG151" s="549" t="s">
        <v>1236</v>
      </c>
      <c r="AH151" s="526" t="s">
        <v>1248</v>
      </c>
      <c r="AI151" s="549" t="s">
        <v>1145</v>
      </c>
      <c r="AL151"/>
      <c r="AM151"/>
      <c r="AN151"/>
    </row>
    <row r="152" spans="3:40">
      <c r="C152" s="552" t="str">
        <f t="shared" si="42"/>
        <v>TFSSNGFCR2N</v>
      </c>
      <c r="D152" s="552" t="s">
        <v>1127</v>
      </c>
      <c r="E152" s="534" t="str">
        <f t="shared" si="63"/>
        <v>TRANGBL3N</v>
      </c>
      <c r="F152" s="531" t="s">
        <v>1029</v>
      </c>
      <c r="G152" s="531">
        <v>2020</v>
      </c>
      <c r="H152" s="1237" t="s">
        <v>986</v>
      </c>
      <c r="I152" s="1239">
        <f t="array" ref="I152">INDEX($AN$12:$BM$15,MATCH(F152,$AM$12:$AM$15,0),MATCH(I$1&amp;$AG152,$AN$9:$BM$9&amp;$AN$11:$BM$11,0))</f>
        <v>1002</v>
      </c>
      <c r="J152" s="1239">
        <f t="shared" si="16"/>
        <v>1002</v>
      </c>
      <c r="K152" s="1239">
        <v>38287</v>
      </c>
      <c r="L152" s="1281">
        <v>69083</v>
      </c>
      <c r="M152" s="1265">
        <f t="array" ref="M152">1/(INDEX($AN$12:$BM$15,MATCH($F152,$AM$12:$AM$15,0),MATCH(($G152&amp;M$1)&amp;$AG152,$AN$9:$BM$9&amp;$AN$11:$BM$11,0))/1.852)</f>
        <v>1.7403348779577166</v>
      </c>
      <c r="N152" s="1265">
        <f t="shared" si="43"/>
        <v>1.7403348779577166</v>
      </c>
      <c r="O152" s="1237">
        <v>30</v>
      </c>
      <c r="P152" s="1265"/>
      <c r="Q152" s="1265">
        <f t="shared" si="52"/>
        <v>2585.3990360699986</v>
      </c>
      <c r="R152" s="1265">
        <f t="array" ref="R152">(AF152*(INDEX(ShipData!$P$19:$R$26,MATCH($AH152,ShipData!$N$19:$N$26,0),MATCH($AI152,ShipData!$P$18:$R$18,0))+INDEX(ShipData!$P$30:$R$37,MATCH($AH152,ShipData!$N$30:$N$37,0),MATCH($AI152,ShipData!$P$29:$R$29,0)))+K152*0.1*(1/M152)*INDEX(ShipData!$P$41:$R$48,MATCH($AH152,ShipData!$N$41:$N$48,0),MATCH($AI152,ShipData!$P$40:$R$40,0)))*6.5/1000</f>
        <v>73868.543887714244</v>
      </c>
      <c r="S152" s="1237"/>
      <c r="T152" s="1237">
        <v>1E-3</v>
      </c>
      <c r="U152" s="1278"/>
      <c r="V152" s="552"/>
      <c r="W152" s="1530">
        <f t="array" ref="W152">INDEX(EMIS_factors!$G$6:$O$152,MATCH($G152&amp;$AB152,EMIS_factors!$E$6:$E$152&amp;EMIS_factors!$D$6:$D$152,0),MATCH(RIGHT(W$4,6),EMIS_factors!$G$4:$O$4,0))</f>
        <v>0</v>
      </c>
      <c r="X152" s="1530">
        <f t="array" ref="X152">INDEX(EMIS_factors!$G$6:$O$152,MATCH($G152&amp;$AB152,EMIS_factors!$E$6:$E$152&amp;EMIS_factors!$D$6:$D$152,0),MATCH(RIGHT(X$4,6),EMIS_factors!$G$4:$O$4,0))</f>
        <v>411.41501253398201</v>
      </c>
      <c r="Y152" s="1530">
        <f t="array" ref="Y152">INDEX(EMIS_factors!$G$6:$O$152,MATCH($G152&amp;$AB152,EMIS_factors!$E$6:$E$152&amp;EMIS_factors!$D$6:$D$152,0),MATCH(RIGHT(Y$4,6),EMIS_factors!$G$4:$O$4,0))</f>
        <v>0.11686473412375831</v>
      </c>
      <c r="Z152" s="1530">
        <f t="array" ref="Z152">INDEX(EMIS_factors!$G$6:$O$152,MATCH($G152&amp;$AB152,EMIS_factors!$E$6:$E$152&amp;EMIS_factors!$D$6:$D$152,0),MATCH(RIGHT(Z$4,6),EMIS_factors!$G$4:$O$4,0))</f>
        <v>0</v>
      </c>
      <c r="AB152" s="526" t="s">
        <v>1483</v>
      </c>
      <c r="AE152" s="1265">
        <f t="array" ref="AE152">INDEX($AN$12:$BM$15,MATCH(F152,$AM$12:$AM$15,0),MATCH($AG152&amp;$AE$1,$AN$11:$BM$11&amp;$AN$9:$BM$9,0))/1000</f>
        <v>1.4314285714285715</v>
      </c>
      <c r="AF152" s="549">
        <f t="array" ref="AF152">(AE152^INDEX(ShipData!$X$36:$X$39,MATCH($F152,ShipData!$U$36:$U$39,0)))*0.756*INDEX(ShipData!$W$36:$W$39,MATCH($F152,ShipData!$U$36:$U$39,0))</f>
        <v>1715.2886160618959</v>
      </c>
      <c r="AG152" s="549" t="s">
        <v>1239</v>
      </c>
      <c r="AH152" s="526" t="s">
        <v>1248</v>
      </c>
      <c r="AI152" s="549" t="s">
        <v>1145</v>
      </c>
      <c r="AL152"/>
      <c r="AM152"/>
      <c r="AN152"/>
    </row>
    <row r="153" spans="3:40">
      <c r="C153" s="1428" t="str">
        <f t="shared" si="42"/>
        <v>TFSMNGFCR3N</v>
      </c>
      <c r="D153" s="552" t="s">
        <v>1128</v>
      </c>
      <c r="E153" s="1429" t="str">
        <f t="shared" si="63"/>
        <v>TRANGBL4N</v>
      </c>
      <c r="F153" s="1430" t="s">
        <v>1029</v>
      </c>
      <c r="G153" s="1430">
        <v>2030</v>
      </c>
      <c r="H153" s="1431" t="s">
        <v>986</v>
      </c>
      <c r="I153" s="1434">
        <f t="array" ref="I153">INDEX($AN$12:$BM$15,MATCH(F153,$AM$12:$AM$15,0),MATCH(I$1&amp;$AG153,$AN$9:$BM$9&amp;$AN$11:$BM$11,0))</f>
        <v>3608</v>
      </c>
      <c r="J153" s="1434">
        <f t="shared" si="16"/>
        <v>3608</v>
      </c>
      <c r="K153" s="1434">
        <v>925</v>
      </c>
      <c r="L153" s="1451">
        <v>1668</v>
      </c>
      <c r="M153" s="1448">
        <f t="array" ref="M153">1/(INDEX($AN$12:$BM$15,MATCH($F153,$AM$12:$AM$15,0),MATCH(($G153&amp;M$1)&amp;$AG153,$AN$9:$BM$9&amp;$AN$11:$BM$11,0))/1.852)</f>
        <v>0.87906595126970144</v>
      </c>
      <c r="N153" s="1448">
        <f t="shared" si="43"/>
        <v>0.87906595126970144</v>
      </c>
      <c r="O153" s="1431">
        <v>30</v>
      </c>
      <c r="P153" s="1448"/>
      <c r="Q153" s="1448">
        <f t="shared" si="52"/>
        <v>8116.9433627217122</v>
      </c>
      <c r="R153" s="1448">
        <f t="array" ref="R153">(AF153*(INDEX(ShipData!$P$19:$R$26,MATCH($AH153,ShipData!$N$19:$N$26,0),MATCH($AI153,ShipData!$P$18:$R$18,0))+INDEX(ShipData!$P$30:$R$37,MATCH($AH153,ShipData!$N$30:$N$37,0),MATCH($AI153,ShipData!$P$29:$R$29,0)))+K153*0.1*(1/M153)*INDEX(ShipData!$P$41:$R$48,MATCH($AH153,ShipData!$N$41:$N$48,0),MATCH($AI153,ShipData!$P$40:$R$40,0)))*6.5/1000</f>
        <v>231912.6675063346</v>
      </c>
      <c r="S153" s="1431"/>
      <c r="T153" s="1431">
        <v>1E-3</v>
      </c>
      <c r="U153" s="1446"/>
      <c r="V153" s="1430"/>
      <c r="W153" s="1530">
        <f t="array" ref="W153">INDEX(EMIS_factors!$G$6:$O$152,MATCH($G153&amp;$AB153,EMIS_factors!$E$6:$E$152&amp;EMIS_factors!$D$6:$D$152,0),MATCH(RIGHT(W$4,6),EMIS_factors!$G$4:$O$4,0))</f>
        <v>0</v>
      </c>
      <c r="X153" s="1530">
        <f t="array" ref="X153">INDEX(EMIS_factors!$G$6:$O$152,MATCH($G153&amp;$AB153,EMIS_factors!$E$6:$E$152&amp;EMIS_factors!$D$6:$D$152,0),MATCH(RIGHT(X$4,6),EMIS_factors!$G$4:$O$4,0))</f>
        <v>411.41501253398201</v>
      </c>
      <c r="Y153" s="1530">
        <f t="array" ref="Y153">INDEX(EMIS_factors!$G$6:$O$152,MATCH($G153&amp;$AB153,EMIS_factors!$E$6:$E$152&amp;EMIS_factors!$D$6:$D$152,0),MATCH(RIGHT(Y$4,6),EMIS_factors!$G$4:$O$4,0))</f>
        <v>0.11686473412375831</v>
      </c>
      <c r="Z153" s="1530">
        <f t="array" ref="Z153">INDEX(EMIS_factors!$G$6:$O$152,MATCH($G153&amp;$AB153,EMIS_factors!$E$6:$E$152&amp;EMIS_factors!$D$6:$D$152,0),MATCH(RIGHT(Z$4,6),EMIS_factors!$G$4:$O$4,0))</f>
        <v>0</v>
      </c>
      <c r="AB153" s="526" t="s">
        <v>1483</v>
      </c>
      <c r="AC153" s="526" t="s">
        <v>993</v>
      </c>
      <c r="AD153" s="526"/>
      <c r="AE153" s="1265">
        <f t="array" ref="AE153">INDEX($AN$12:$BM$15,MATCH(F153,$AM$12:$AM$15,0),MATCH($AG153&amp;$AE$1,$AN$11:$BM$11&amp;$AN$9:$BM$9,0))/1000</f>
        <v>5.1542857142857148</v>
      </c>
      <c r="AF153" s="549">
        <f t="array" ref="AF153">(AE153^INDEX(ShipData!$X$36:$X$39,MATCH($F153,ShipData!$U$36:$U$39,0)))*0.756*INDEX(ShipData!$W$36:$W$39,MATCH($F153,ShipData!$U$36:$U$39,0))</f>
        <v>5468.6247789018307</v>
      </c>
      <c r="AG153" s="549" t="s">
        <v>1236</v>
      </c>
      <c r="AH153" s="526" t="s">
        <v>1248</v>
      </c>
      <c r="AI153" s="549" t="s">
        <v>1145</v>
      </c>
      <c r="AL153"/>
      <c r="AM153"/>
      <c r="AN153"/>
    </row>
    <row r="154" spans="3:40">
      <c r="C154" s="552"/>
      <c r="D154" s="552"/>
      <c r="E154" s="534"/>
      <c r="F154" s="531"/>
      <c r="G154" s="531"/>
      <c r="H154" s="1237"/>
      <c r="I154" s="1237"/>
      <c r="J154" s="1237"/>
      <c r="K154" s="1237"/>
      <c r="L154" s="1281"/>
      <c r="M154" s="1237"/>
      <c r="N154" s="1239"/>
      <c r="O154" s="1239"/>
      <c r="P154" s="1265"/>
      <c r="Q154" s="1265"/>
      <c r="R154" s="1237"/>
      <c r="S154" s="1237"/>
      <c r="T154" s="1237"/>
      <c r="U154" s="1278"/>
      <c r="AL154"/>
      <c r="AM154"/>
      <c r="AN154"/>
    </row>
    <row r="155" spans="3:40">
      <c r="C155" s="552"/>
      <c r="D155" s="552"/>
      <c r="E155" s="534"/>
      <c r="F155" s="531"/>
      <c r="G155" s="531"/>
      <c r="H155" s="1237"/>
      <c r="I155" s="1237"/>
      <c r="J155" s="1237"/>
      <c r="K155" s="1237"/>
      <c r="L155" s="1281"/>
      <c r="M155" s="1237"/>
      <c r="N155" s="1239"/>
      <c r="O155" s="1239"/>
      <c r="P155" s="1265"/>
      <c r="Q155" s="1265"/>
      <c r="R155" s="1237"/>
      <c r="S155" s="1237"/>
      <c r="T155" s="1237"/>
      <c r="U155" s="1278"/>
      <c r="AL155"/>
      <c r="AM155"/>
      <c r="AN155"/>
    </row>
    <row r="156" spans="3:40">
      <c r="C156" s="552"/>
      <c r="D156" s="552"/>
      <c r="E156" s="534"/>
      <c r="F156" s="531"/>
      <c r="G156" s="531"/>
      <c r="H156" s="1237"/>
      <c r="I156" s="1237"/>
      <c r="J156" s="1237"/>
      <c r="K156" s="1237"/>
      <c r="L156" s="1281"/>
      <c r="M156" s="1237"/>
      <c r="N156" s="1239"/>
      <c r="O156" s="1239"/>
      <c r="P156" s="1265"/>
      <c r="Q156" s="1265"/>
      <c r="R156" s="1237"/>
      <c r="S156" s="1237"/>
      <c r="T156" s="1237"/>
      <c r="U156" s="1278"/>
      <c r="AL156"/>
      <c r="AM156"/>
      <c r="AN156"/>
    </row>
    <row r="157" spans="3:40">
      <c r="C157" s="552"/>
      <c r="D157" s="552"/>
      <c r="E157" s="534"/>
      <c r="F157" s="531"/>
      <c r="G157" s="531"/>
      <c r="H157" s="1237"/>
      <c r="I157" s="1237"/>
      <c r="J157" s="1237"/>
      <c r="K157" s="1237"/>
      <c r="L157" s="1281"/>
      <c r="M157" s="1237"/>
      <c r="N157" s="1239"/>
      <c r="O157" s="1239"/>
      <c r="P157" s="1265"/>
      <c r="Q157" s="1265"/>
      <c r="R157" s="1237"/>
      <c r="S157" s="1237"/>
      <c r="T157" s="1237"/>
      <c r="U157" s="1278"/>
      <c r="AL157"/>
      <c r="AM157"/>
      <c r="AN157"/>
    </row>
    <row r="158" spans="3:40">
      <c r="C158" s="552"/>
      <c r="D158" s="552"/>
      <c r="E158" s="534"/>
      <c r="F158" s="531"/>
      <c r="G158" s="531"/>
      <c r="H158" s="1237"/>
      <c r="I158" s="1237"/>
      <c r="J158" s="1237"/>
      <c r="K158" s="1237"/>
      <c r="L158" s="1281"/>
      <c r="M158" s="1237"/>
      <c r="N158" s="1239"/>
      <c r="O158" s="1239"/>
      <c r="P158" s="1265"/>
      <c r="Q158" s="1265"/>
      <c r="R158" s="1237"/>
      <c r="S158" s="1237"/>
      <c r="T158" s="1237"/>
      <c r="U158" s="1278"/>
      <c r="AL158"/>
      <c r="AM158"/>
      <c r="AN158"/>
    </row>
    <row r="159" spans="3:40">
      <c r="C159" s="552"/>
      <c r="D159" s="552"/>
      <c r="E159" s="534"/>
      <c r="F159" s="531"/>
      <c r="G159" s="531"/>
      <c r="H159" s="1237"/>
      <c r="I159" s="1237"/>
      <c r="J159" s="1237"/>
      <c r="K159" s="1237"/>
      <c r="L159" s="1281"/>
      <c r="M159" s="1237"/>
      <c r="N159" s="1239"/>
      <c r="O159" s="1239"/>
      <c r="P159" s="1265"/>
      <c r="Q159" s="1265"/>
      <c r="R159" s="1237"/>
      <c r="S159" s="1237"/>
      <c r="T159" s="1237"/>
      <c r="U159" s="1278"/>
      <c r="AL159"/>
      <c r="AM159"/>
      <c r="AN159"/>
    </row>
    <row r="160" spans="3:40">
      <c r="C160" s="552"/>
      <c r="D160" s="552"/>
      <c r="E160" s="534"/>
      <c r="F160" s="531"/>
      <c r="G160" s="531"/>
      <c r="H160" s="1237"/>
      <c r="I160" s="1237"/>
      <c r="J160" s="1237"/>
      <c r="K160" s="1237"/>
      <c r="L160" s="1281"/>
      <c r="M160" s="1237"/>
      <c r="N160" s="1239"/>
      <c r="O160" s="1239"/>
      <c r="P160" s="1265"/>
      <c r="Q160" s="1265"/>
      <c r="R160" s="1237"/>
      <c r="S160" s="1237"/>
      <c r="T160" s="1237"/>
      <c r="U160" s="1278"/>
      <c r="AL160"/>
      <c r="AM160"/>
      <c r="AN160"/>
    </row>
    <row r="161" spans="2:40">
      <c r="C161" s="552"/>
      <c r="D161" s="552"/>
      <c r="E161" s="534"/>
      <c r="F161" s="531"/>
      <c r="G161" s="531"/>
      <c r="H161" s="1237"/>
      <c r="I161" s="1237"/>
      <c r="J161" s="1237"/>
      <c r="K161" s="1237"/>
      <c r="L161" s="1281"/>
      <c r="M161" s="1237"/>
      <c r="N161" s="1239"/>
      <c r="O161" s="1239"/>
      <c r="P161" s="1265"/>
      <c r="Q161" s="1265"/>
      <c r="R161" s="1237"/>
      <c r="S161" s="1237"/>
      <c r="T161" s="1237"/>
      <c r="U161" s="1278"/>
      <c r="AL161"/>
      <c r="AM161"/>
      <c r="AN161"/>
    </row>
    <row r="162" spans="2:40">
      <c r="B162" s="18" t="s">
        <v>62</v>
      </c>
      <c r="C162" s="18"/>
      <c r="D162" s="18"/>
      <c r="E162" s="553"/>
      <c r="F162" s="553"/>
      <c r="G162" s="526"/>
      <c r="M162" s="519"/>
      <c r="N162" s="535"/>
      <c r="O162" s="520"/>
      <c r="R162" s="476"/>
      <c r="S162" s="476"/>
      <c r="T162" s="476"/>
      <c r="AL162"/>
      <c r="AM162"/>
      <c r="AN162"/>
    </row>
    <row r="163" spans="2:40" ht="27.6">
      <c r="B163" s="1267" t="s">
        <v>63</v>
      </c>
      <c r="C163" s="1267" t="s">
        <v>1</v>
      </c>
      <c r="D163" s="1267" t="s">
        <v>64</v>
      </c>
      <c r="E163" s="1267" t="s">
        <v>65</v>
      </c>
      <c r="F163" s="1267" t="s">
        <v>66</v>
      </c>
      <c r="G163" s="1267" t="s">
        <v>67</v>
      </c>
      <c r="H163" s="1267" t="s">
        <v>68</v>
      </c>
      <c r="I163" s="1267" t="s">
        <v>69</v>
      </c>
      <c r="K163" s="519"/>
      <c r="L163" s="535"/>
      <c r="M163" s="520"/>
      <c r="P163" s="552"/>
      <c r="AL163"/>
      <c r="AM163"/>
      <c r="AN163"/>
    </row>
    <row r="164" spans="2:40" ht="41.4" thickBot="1">
      <c r="B164" s="20" t="s">
        <v>70</v>
      </c>
      <c r="C164" s="20" t="s">
        <v>71</v>
      </c>
      <c r="D164" s="20" t="s">
        <v>72</v>
      </c>
      <c r="E164" s="20" t="s">
        <v>73</v>
      </c>
      <c r="F164" s="20" t="s">
        <v>74</v>
      </c>
      <c r="G164" s="20" t="s">
        <v>75</v>
      </c>
      <c r="H164" s="20" t="s">
        <v>76</v>
      </c>
      <c r="I164" s="20" t="s">
        <v>77</v>
      </c>
      <c r="K164" s="519"/>
      <c r="L164" s="535"/>
      <c r="M164" s="520"/>
      <c r="P164" s="552"/>
      <c r="AL164"/>
      <c r="AM164"/>
      <c r="AN164"/>
    </row>
    <row r="165" spans="2:40">
      <c r="B165" s="545" t="s">
        <v>78</v>
      </c>
      <c r="C165" s="553" t="str">
        <f t="shared" ref="C165:D186" si="64">C7</f>
        <v>TFSSFOICL2N</v>
      </c>
      <c r="D165" s="553" t="str">
        <f t="shared" si="64"/>
        <v>Transport Freight Liquid Bulk - DICI SMALL Engine</v>
      </c>
      <c r="E165" s="547" t="s">
        <v>86</v>
      </c>
      <c r="F165" s="547" t="s">
        <v>82</v>
      </c>
      <c r="G165" s="545"/>
      <c r="H165" s="545"/>
      <c r="I165" s="548"/>
      <c r="J165" s="552"/>
      <c r="K165" s="535"/>
      <c r="M165" s="520"/>
      <c r="P165" s="552"/>
      <c r="AL165"/>
      <c r="AM165"/>
      <c r="AN165"/>
    </row>
    <row r="166" spans="2:40" ht="13.8" thickBot="1">
      <c r="B166" s="57"/>
      <c r="C166" s="553" t="str">
        <f t="shared" si="64"/>
        <v>TFSSFOICL3N</v>
      </c>
      <c r="D166" s="553" t="str">
        <f t="shared" si="64"/>
        <v>Transport Freight Liquid Bulk - DICI SMALL Engine</v>
      </c>
      <c r="E166" s="547" t="s">
        <v>86</v>
      </c>
      <c r="F166" s="547" t="s">
        <v>82</v>
      </c>
      <c r="G166" s="553"/>
      <c r="H166" s="553"/>
      <c r="I166" s="548"/>
      <c r="J166" s="552"/>
      <c r="K166" s="535"/>
      <c r="L166" s="535"/>
      <c r="M166" s="520"/>
      <c r="P166" s="552"/>
      <c r="AL166"/>
      <c r="AM166"/>
      <c r="AN166"/>
    </row>
    <row r="167" spans="2:40">
      <c r="B167" s="57"/>
      <c r="C167" s="553" t="str">
        <f t="shared" si="64"/>
        <v>TFSMFOICL2N</v>
      </c>
      <c r="D167" s="553" t="str">
        <f t="shared" si="64"/>
        <v>Transport Freight Liquid Bulk - DICI MEDIUM Engine</v>
      </c>
      <c r="E167" s="547" t="s">
        <v>86</v>
      </c>
      <c r="F167" s="547" t="s">
        <v>82</v>
      </c>
      <c r="G167" s="553"/>
      <c r="H167" s="553"/>
      <c r="I167" s="548"/>
      <c r="J167" s="1253"/>
      <c r="K167" s="535"/>
      <c r="L167" s="535"/>
      <c r="M167" s="520"/>
      <c r="P167" s="552"/>
      <c r="AL167"/>
      <c r="AM167"/>
      <c r="AN167"/>
    </row>
    <row r="168" spans="2:40">
      <c r="B168" s="57"/>
      <c r="C168" s="553" t="str">
        <f t="shared" si="64"/>
        <v>TFSMFOICL3N</v>
      </c>
      <c r="D168" s="553" t="str">
        <f t="shared" si="64"/>
        <v>Transport Freight Liquid Bulk - DICI MEDIUM Engine</v>
      </c>
      <c r="E168" s="547" t="s">
        <v>86</v>
      </c>
      <c r="F168" s="547" t="s">
        <v>82</v>
      </c>
      <c r="G168" s="553"/>
      <c r="H168" s="553"/>
      <c r="I168" s="548"/>
      <c r="J168" s="552"/>
      <c r="K168" s="535"/>
      <c r="P168" s="552"/>
      <c r="AL168"/>
      <c r="AM168"/>
      <c r="AN168"/>
    </row>
    <row r="169" spans="2:40">
      <c r="C169" s="553" t="str">
        <f t="shared" si="64"/>
        <v>TFSLFOICL2N</v>
      </c>
      <c r="D169" s="553" t="str">
        <f t="shared" si="64"/>
        <v>Transport Freight Liquid Bulk - DICI LARGE Engine</v>
      </c>
      <c r="E169" s="547" t="s">
        <v>86</v>
      </c>
      <c r="F169" s="547" t="s">
        <v>82</v>
      </c>
      <c r="J169" s="552"/>
      <c r="K169" s="535"/>
      <c r="L169" s="1242"/>
      <c r="M169" s="1237"/>
      <c r="AL169"/>
      <c r="AM169"/>
      <c r="AN169"/>
    </row>
    <row r="170" spans="2:40">
      <c r="C170" s="553" t="str">
        <f t="shared" si="64"/>
        <v>TFSLFOICL3N</v>
      </c>
      <c r="D170" s="553" t="str">
        <f t="shared" si="64"/>
        <v>Transport Freight Liquid Bulk - DICI LARGE Engine</v>
      </c>
      <c r="E170" s="547" t="s">
        <v>86</v>
      </c>
      <c r="F170" s="547" t="s">
        <v>82</v>
      </c>
      <c r="J170" s="552"/>
      <c r="K170" s="535"/>
      <c r="L170" s="1242"/>
      <c r="M170" s="1237"/>
      <c r="AL170"/>
      <c r="AM170"/>
      <c r="AN170"/>
    </row>
    <row r="171" spans="2:40">
      <c r="C171" s="553" t="str">
        <f t="shared" si="64"/>
        <v>TFSSFOICD2N</v>
      </c>
      <c r="D171" s="553" t="str">
        <f t="shared" si="64"/>
        <v>Transport Freight Dry Bulk - DICI SMALL Engine</v>
      </c>
      <c r="E171" s="547" t="s">
        <v>86</v>
      </c>
      <c r="F171" s="547" t="s">
        <v>82</v>
      </c>
      <c r="J171" s="552"/>
      <c r="K171" s="535"/>
      <c r="L171" s="1242"/>
      <c r="M171" s="1237"/>
      <c r="AL171"/>
      <c r="AM171"/>
      <c r="AN171"/>
    </row>
    <row r="172" spans="2:40">
      <c r="C172" s="553" t="str">
        <f t="shared" si="64"/>
        <v>TFSSFOICD3N</v>
      </c>
      <c r="D172" s="553" t="str">
        <f t="shared" si="64"/>
        <v>Transport Freight Dry Bulk - DICI SMALL Engine</v>
      </c>
      <c r="E172" s="547" t="s">
        <v>86</v>
      </c>
      <c r="F172" s="547" t="s">
        <v>82</v>
      </c>
      <c r="J172" s="552"/>
      <c r="K172" s="535"/>
      <c r="M172" s="519"/>
      <c r="AL172"/>
      <c r="AM172"/>
      <c r="AN172"/>
    </row>
    <row r="173" spans="2:40">
      <c r="C173" s="553" t="str">
        <f t="shared" si="64"/>
        <v>TFSMFOICD2N</v>
      </c>
      <c r="D173" s="553" t="str">
        <f t="shared" si="64"/>
        <v>Transport Freight Dry Bulk - DICI MEDIUM Engine</v>
      </c>
      <c r="E173" s="547" t="s">
        <v>86</v>
      </c>
      <c r="F173" s="547" t="s">
        <v>82</v>
      </c>
      <c r="J173" s="552"/>
      <c r="K173" s="535"/>
      <c r="L173" s="1268"/>
      <c r="M173" s="519"/>
      <c r="AL173"/>
      <c r="AM173"/>
      <c r="AN173"/>
    </row>
    <row r="174" spans="2:40">
      <c r="C174" s="553" t="str">
        <f t="shared" si="64"/>
        <v>TFSMFOICD3N</v>
      </c>
      <c r="D174" s="553" t="str">
        <f t="shared" si="64"/>
        <v>Transport Freight Dry Bulk - DICI MEDIUM Engine</v>
      </c>
      <c r="E174" s="547" t="s">
        <v>86</v>
      </c>
      <c r="F174" s="547" t="s">
        <v>82</v>
      </c>
      <c r="J174" s="552"/>
      <c r="K174" s="535"/>
      <c r="M174" s="519"/>
      <c r="AL174"/>
      <c r="AM174"/>
      <c r="AN174"/>
    </row>
    <row r="175" spans="2:40">
      <c r="C175" s="553" t="str">
        <f t="shared" si="64"/>
        <v>TFSLFOICD2N</v>
      </c>
      <c r="D175" s="553" t="str">
        <f t="shared" si="64"/>
        <v>Transport Freight Dry Bulk - DICI LARGE Engine</v>
      </c>
      <c r="E175" s="547" t="s">
        <v>86</v>
      </c>
      <c r="F175" s="547" t="s">
        <v>82</v>
      </c>
      <c r="J175" s="552"/>
      <c r="K175" s="535"/>
      <c r="M175" s="519"/>
      <c r="AL175"/>
      <c r="AM175"/>
      <c r="AN175"/>
    </row>
    <row r="176" spans="2:40">
      <c r="C176" s="553" t="str">
        <f t="shared" si="64"/>
        <v>TFSLFOICD3N</v>
      </c>
      <c r="D176" s="553" t="str">
        <f t="shared" si="64"/>
        <v>Transport Freight Dry Bulk - DICI LARGE Engine</v>
      </c>
      <c r="E176" s="547" t="s">
        <v>86</v>
      </c>
      <c r="F176" s="547" t="s">
        <v>82</v>
      </c>
      <c r="J176" s="552"/>
      <c r="K176" s="535"/>
      <c r="M176" s="519"/>
      <c r="AL176"/>
      <c r="AM176"/>
      <c r="AN176"/>
    </row>
    <row r="177" spans="3:40">
      <c r="C177" s="553" t="str">
        <f t="shared" si="64"/>
        <v>TFSSFOICC2N</v>
      </c>
      <c r="D177" s="553" t="str">
        <f t="shared" si="64"/>
        <v>Transport Freight Containerised Cargo - DICI SMALL Engine</v>
      </c>
      <c r="E177" s="547" t="s">
        <v>86</v>
      </c>
      <c r="F177" s="547" t="s">
        <v>82</v>
      </c>
      <c r="J177" s="552"/>
      <c r="K177" s="535"/>
      <c r="AL177"/>
      <c r="AM177"/>
      <c r="AN177"/>
    </row>
    <row r="178" spans="3:40">
      <c r="C178" s="553" t="str">
        <f t="shared" si="64"/>
        <v>TFSSFOICC3N</v>
      </c>
      <c r="D178" s="553" t="str">
        <f t="shared" si="64"/>
        <v>Transport Freight Containerised Cargo - DICI SMALL Engine</v>
      </c>
      <c r="E178" s="547" t="s">
        <v>86</v>
      </c>
      <c r="F178" s="547" t="s">
        <v>82</v>
      </c>
      <c r="J178" s="552"/>
      <c r="K178" s="535"/>
      <c r="AL178"/>
      <c r="AM178"/>
      <c r="AN178"/>
    </row>
    <row r="179" spans="3:40">
      <c r="C179" s="553" t="str">
        <f t="shared" si="64"/>
        <v>TFSMFOICC2N</v>
      </c>
      <c r="D179" s="553" t="str">
        <f t="shared" si="64"/>
        <v>Transport Freight Containerised Cargo - DICI MEDIUM Engine</v>
      </c>
      <c r="E179" s="547" t="s">
        <v>86</v>
      </c>
      <c r="F179" s="547" t="s">
        <v>82</v>
      </c>
      <c r="J179" s="552"/>
      <c r="K179" s="535"/>
      <c r="AL179"/>
      <c r="AM179"/>
      <c r="AN179"/>
    </row>
    <row r="180" spans="3:40">
      <c r="C180" s="553" t="str">
        <f t="shared" si="64"/>
        <v>TFSMFOICC3N</v>
      </c>
      <c r="D180" s="553" t="str">
        <f t="shared" si="64"/>
        <v>Transport Freight Containerised Cargo - DICI MEDIUM Engine</v>
      </c>
      <c r="E180" s="547" t="s">
        <v>86</v>
      </c>
      <c r="F180" s="547" t="s">
        <v>82</v>
      </c>
      <c r="J180" s="552"/>
      <c r="K180" s="535"/>
      <c r="AL180"/>
      <c r="AM180"/>
      <c r="AN180"/>
    </row>
    <row r="181" spans="3:40">
      <c r="C181" s="553" t="str">
        <f t="shared" si="64"/>
        <v>TFSLFOICC2N</v>
      </c>
      <c r="D181" s="553" t="str">
        <f t="shared" si="64"/>
        <v>Transport Freight Containerised Cargo - DICI LARGE Engine</v>
      </c>
      <c r="E181" s="547" t="s">
        <v>86</v>
      </c>
      <c r="F181" s="547" t="s">
        <v>82</v>
      </c>
      <c r="J181" s="552"/>
      <c r="K181" s="535"/>
      <c r="AL181"/>
      <c r="AM181"/>
      <c r="AN181"/>
    </row>
    <row r="182" spans="3:40">
      <c r="C182" s="553" t="str">
        <f t="shared" si="64"/>
        <v>TFSLFOICC3N</v>
      </c>
      <c r="D182" s="553" t="str">
        <f t="shared" si="64"/>
        <v>Transport Freight Containerised Cargo - DICI LARGE Engine</v>
      </c>
      <c r="E182" s="547" t="s">
        <v>86</v>
      </c>
      <c r="F182" s="547" t="s">
        <v>82</v>
      </c>
      <c r="J182" s="552"/>
      <c r="K182" s="535"/>
      <c r="AL182"/>
      <c r="AM182"/>
      <c r="AN182"/>
    </row>
    <row r="183" spans="3:40">
      <c r="C183" s="553" t="str">
        <f t="shared" si="64"/>
        <v>TFSSFOICR2N</v>
      </c>
      <c r="D183" s="553" t="str">
        <f t="shared" si="64"/>
        <v>Transport Freight Ro-Ro Cargo - DICI SMALL Engine</v>
      </c>
      <c r="E183" s="547" t="s">
        <v>86</v>
      </c>
      <c r="F183" s="547" t="s">
        <v>82</v>
      </c>
      <c r="J183" s="552"/>
      <c r="K183" s="535"/>
      <c r="AL183"/>
      <c r="AM183"/>
      <c r="AN183"/>
    </row>
    <row r="184" spans="3:40">
      <c r="C184" s="553" t="str">
        <f t="shared" si="64"/>
        <v>TFSSFOICR3N</v>
      </c>
      <c r="D184" s="553" t="str">
        <f t="shared" si="64"/>
        <v>Transport Freight Ro-Ro Cargo - DICI SMALL Engine</v>
      </c>
      <c r="E184" s="547" t="s">
        <v>86</v>
      </c>
      <c r="F184" s="547" t="s">
        <v>82</v>
      </c>
      <c r="J184" s="552"/>
      <c r="K184" s="535"/>
      <c r="AL184"/>
      <c r="AM184"/>
      <c r="AN184"/>
    </row>
    <row r="185" spans="3:40">
      <c r="C185" s="553" t="str">
        <f t="shared" si="64"/>
        <v>TFSMFOICR2N</v>
      </c>
      <c r="D185" s="553" t="str">
        <f t="shared" si="64"/>
        <v>Transport Freight Ro-Ro Cargo - DICI MEDIUM Engine</v>
      </c>
      <c r="E185" s="547" t="s">
        <v>86</v>
      </c>
      <c r="F185" s="547" t="s">
        <v>82</v>
      </c>
      <c r="J185" s="552"/>
      <c r="K185" s="535"/>
      <c r="AL185"/>
      <c r="AM185"/>
      <c r="AN185"/>
    </row>
    <row r="186" spans="3:40">
      <c r="C186" s="553" t="str">
        <f t="shared" si="64"/>
        <v>TFSMFOICR3N</v>
      </c>
      <c r="D186" s="553" t="str">
        <f t="shared" si="64"/>
        <v>Transport Freight Ro-Ro Cargo - DICI MEDIUM Engine</v>
      </c>
      <c r="E186" s="547" t="s">
        <v>86</v>
      </c>
      <c r="F186" s="547" t="s">
        <v>82</v>
      </c>
      <c r="J186" s="552"/>
      <c r="K186" s="535"/>
      <c r="AL186"/>
      <c r="AM186"/>
      <c r="AN186"/>
    </row>
    <row r="187" spans="3:40">
      <c r="C187" s="553" t="str">
        <f t="shared" ref="C187:D187" si="65">C29</f>
        <v>TFSSMOICL2N</v>
      </c>
      <c r="D187" s="553" t="str">
        <f t="shared" si="65"/>
        <v>Transport Freight Liquid Bulk - Methanol DICI SMALL Engine</v>
      </c>
      <c r="E187" s="547" t="s">
        <v>86</v>
      </c>
      <c r="F187" s="547" t="s">
        <v>82</v>
      </c>
      <c r="J187" s="552"/>
      <c r="K187" s="535"/>
      <c r="AL187"/>
      <c r="AM187"/>
      <c r="AN187"/>
    </row>
    <row r="188" spans="3:40">
      <c r="C188" s="553" t="str">
        <f t="shared" ref="C188:D188" si="66">C30</f>
        <v>TFSMMOICL2N</v>
      </c>
      <c r="D188" s="553" t="str">
        <f t="shared" si="66"/>
        <v>Transport Freight Liquid Bulk - Methanol DICI MEDIUM Engine</v>
      </c>
      <c r="E188" s="547" t="s">
        <v>86</v>
      </c>
      <c r="F188" s="547" t="s">
        <v>82</v>
      </c>
      <c r="J188" s="552"/>
      <c r="K188" s="535"/>
      <c r="AL188"/>
      <c r="AM188"/>
      <c r="AN188"/>
    </row>
    <row r="189" spans="3:40">
      <c r="C189" s="553" t="str">
        <f t="shared" ref="C189:D189" si="67">C31</f>
        <v>TFSLMOICL2N</v>
      </c>
      <c r="D189" s="553" t="str">
        <f t="shared" si="67"/>
        <v>Transport Freight Liquid Bulk - Methanol DICI LARGE Engine</v>
      </c>
      <c r="E189" s="547" t="s">
        <v>86</v>
      </c>
      <c r="F189" s="547" t="s">
        <v>82</v>
      </c>
      <c r="J189" s="552"/>
      <c r="K189" s="535"/>
      <c r="AL189"/>
      <c r="AM189"/>
      <c r="AN189"/>
    </row>
    <row r="190" spans="3:40">
      <c r="C190" s="553" t="str">
        <f t="shared" ref="C190:D190" si="68">C32</f>
        <v>TFSSMOICD2N</v>
      </c>
      <c r="D190" s="553" t="str">
        <f t="shared" si="68"/>
        <v>Transport Freight Dry Bulk - Methanol DICI SMALL Engine</v>
      </c>
      <c r="E190" s="547" t="s">
        <v>86</v>
      </c>
      <c r="F190" s="547" t="s">
        <v>82</v>
      </c>
      <c r="J190" s="552"/>
      <c r="K190" s="535"/>
      <c r="AL190"/>
      <c r="AM190"/>
      <c r="AN190"/>
    </row>
    <row r="191" spans="3:40">
      <c r="C191" s="553" t="str">
        <f t="shared" ref="C191:D191" si="69">C33</f>
        <v>TFSMMOICD2N</v>
      </c>
      <c r="D191" s="553" t="str">
        <f t="shared" si="69"/>
        <v>Transport Freight Dry Bulk - Methanol DICI MEDIUM Engine</v>
      </c>
      <c r="E191" s="547" t="s">
        <v>86</v>
      </c>
      <c r="F191" s="547" t="s">
        <v>82</v>
      </c>
      <c r="J191" s="552"/>
      <c r="K191" s="535"/>
      <c r="AL191"/>
      <c r="AM191"/>
      <c r="AN191"/>
    </row>
    <row r="192" spans="3:40">
      <c r="C192" s="553" t="str">
        <f t="shared" ref="C192:D192" si="70">C34</f>
        <v>TFSLMOICD2N</v>
      </c>
      <c r="D192" s="553" t="str">
        <f t="shared" si="70"/>
        <v>Transport Freight Dry Bulk - Methanol DICI LARGE Engine</v>
      </c>
      <c r="E192" s="547" t="s">
        <v>86</v>
      </c>
      <c r="F192" s="547" t="s">
        <v>82</v>
      </c>
      <c r="J192" s="552"/>
      <c r="K192" s="535"/>
      <c r="AL192"/>
      <c r="AM192"/>
      <c r="AN192"/>
    </row>
    <row r="193" spans="3:40">
      <c r="C193" s="553" t="str">
        <f t="shared" ref="C193:D193" si="71">C35</f>
        <v>TFSSMOICC2N</v>
      </c>
      <c r="D193" s="553" t="str">
        <f t="shared" si="71"/>
        <v>Transport Freight Containerised Cargo - Methanol DICI SMALL Engine</v>
      </c>
      <c r="E193" s="547" t="s">
        <v>86</v>
      </c>
      <c r="F193" s="547" t="s">
        <v>82</v>
      </c>
      <c r="J193" s="552"/>
      <c r="K193" s="535"/>
      <c r="AL193"/>
      <c r="AM193"/>
      <c r="AN193"/>
    </row>
    <row r="194" spans="3:40">
      <c r="C194" s="553" t="str">
        <f t="shared" ref="C194:D194" si="72">C36</f>
        <v>TFSMMOICC2N</v>
      </c>
      <c r="D194" s="553" t="str">
        <f t="shared" si="72"/>
        <v>Transport Freight Containerised Cargo - Methanol DICI MEDIUM Engine</v>
      </c>
      <c r="E194" s="547" t="s">
        <v>86</v>
      </c>
      <c r="F194" s="547" t="s">
        <v>82</v>
      </c>
      <c r="J194" s="552"/>
      <c r="K194" s="535"/>
      <c r="AL194"/>
      <c r="AM194"/>
      <c r="AN194"/>
    </row>
    <row r="195" spans="3:40">
      <c r="C195" s="553" t="str">
        <f t="shared" ref="C195:D195" si="73">C37</f>
        <v>TFSLMOICC2N</v>
      </c>
      <c r="D195" s="553" t="str">
        <f t="shared" si="73"/>
        <v>Transport Freight Containerised Cargo - Methanol DICI LARGE Engine</v>
      </c>
      <c r="E195" s="547" t="s">
        <v>86</v>
      </c>
      <c r="F195" s="547" t="s">
        <v>82</v>
      </c>
      <c r="J195" s="552"/>
      <c r="K195" s="535"/>
      <c r="AL195"/>
      <c r="AM195"/>
      <c r="AN195"/>
    </row>
    <row r="196" spans="3:40">
      <c r="C196" s="553" t="str">
        <f t="shared" ref="C196:D196" si="74">C38</f>
        <v>TFSSMOICR2N</v>
      </c>
      <c r="D196" s="553" t="str">
        <f t="shared" si="74"/>
        <v>Transport Freight Ro-Ro Cargo - Methanol DICI SMALL Engine</v>
      </c>
      <c r="E196" s="547" t="s">
        <v>86</v>
      </c>
      <c r="F196" s="547" t="s">
        <v>82</v>
      </c>
      <c r="J196" s="552"/>
      <c r="K196" s="535"/>
      <c r="AL196"/>
      <c r="AM196"/>
      <c r="AN196"/>
    </row>
    <row r="197" spans="3:40">
      <c r="C197" s="553" t="str">
        <f t="shared" ref="C197:D197" si="75">C39</f>
        <v>TFSMMOICR2N</v>
      </c>
      <c r="D197" s="553" t="str">
        <f t="shared" si="75"/>
        <v>Transport Freight Ro-Ro Cargo - Methanol DICI MEDIUM Engine</v>
      </c>
      <c r="E197" s="547" t="s">
        <v>86</v>
      </c>
      <c r="F197" s="547" t="s">
        <v>82</v>
      </c>
      <c r="J197" s="552"/>
      <c r="K197" s="535"/>
      <c r="AL197"/>
      <c r="AM197"/>
      <c r="AN197"/>
    </row>
    <row r="198" spans="3:40">
      <c r="C198" s="553" t="str">
        <f t="shared" ref="C198:D198" si="76">C40</f>
        <v>TFSSH2ICL2N</v>
      </c>
      <c r="D198" s="553" t="str">
        <f t="shared" si="76"/>
        <v>Transport Freight Liquid Bulk - H2 DICI SMALL Engine</v>
      </c>
      <c r="E198" s="547" t="s">
        <v>86</v>
      </c>
      <c r="F198" s="547" t="s">
        <v>82</v>
      </c>
      <c r="J198" s="552"/>
      <c r="K198" s="535"/>
      <c r="AL198"/>
      <c r="AM198"/>
      <c r="AN198"/>
    </row>
    <row r="199" spans="3:40">
      <c r="C199" s="553" t="str">
        <f t="shared" ref="C199:D199" si="77">C41</f>
        <v>TFSMH2ICL2N</v>
      </c>
      <c r="D199" s="553" t="str">
        <f t="shared" si="77"/>
        <v>Transport Freight Liquid Bulk - H2 DICI MEDIUM Engine</v>
      </c>
      <c r="E199" s="547" t="s">
        <v>86</v>
      </c>
      <c r="F199" s="547" t="s">
        <v>82</v>
      </c>
      <c r="J199" s="552"/>
      <c r="K199" s="535"/>
      <c r="AL199"/>
      <c r="AM199"/>
      <c r="AN199"/>
    </row>
    <row r="200" spans="3:40">
      <c r="C200" s="553" t="str">
        <f t="shared" ref="C200:D200" si="78">C42</f>
        <v>TFSLH2ICL2N</v>
      </c>
      <c r="D200" s="553" t="str">
        <f t="shared" si="78"/>
        <v>Transport Freight Liquid Bulk - H2 DICI LARGE Engine</v>
      </c>
      <c r="E200" s="547" t="s">
        <v>86</v>
      </c>
      <c r="F200" s="547" t="s">
        <v>82</v>
      </c>
      <c r="J200" s="552"/>
      <c r="K200" s="535"/>
      <c r="AL200"/>
      <c r="AM200"/>
      <c r="AN200"/>
    </row>
    <row r="201" spans="3:40">
      <c r="C201" s="553" t="str">
        <f t="shared" ref="C201:D201" si="79">C43</f>
        <v>TFSSH2ICD2N</v>
      </c>
      <c r="D201" s="553" t="str">
        <f t="shared" si="79"/>
        <v>Transport Freight Dry Bulk - H2 DICI SMALL Engine</v>
      </c>
      <c r="E201" s="547" t="s">
        <v>86</v>
      </c>
      <c r="F201" s="547" t="s">
        <v>82</v>
      </c>
      <c r="J201" s="552"/>
      <c r="K201" s="535"/>
      <c r="AL201"/>
      <c r="AM201"/>
      <c r="AN201"/>
    </row>
    <row r="202" spans="3:40">
      <c r="C202" s="553" t="str">
        <f t="shared" ref="C202:D202" si="80">C44</f>
        <v>TFSMH2ICD2N</v>
      </c>
      <c r="D202" s="553" t="str">
        <f t="shared" si="80"/>
        <v>Transport Freight Dry Bulk - H2 DICI MEDIUM Engine</v>
      </c>
      <c r="E202" s="547" t="s">
        <v>86</v>
      </c>
      <c r="F202" s="547" t="s">
        <v>82</v>
      </c>
      <c r="J202" s="552"/>
      <c r="K202" s="535"/>
      <c r="AL202"/>
      <c r="AM202"/>
      <c r="AN202"/>
    </row>
    <row r="203" spans="3:40">
      <c r="C203" s="553" t="str">
        <f t="shared" ref="C203:D203" si="81">C45</f>
        <v>TFSLH2ICD2N</v>
      </c>
      <c r="D203" s="553" t="str">
        <f t="shared" si="81"/>
        <v>Transport Freight Dry Bulk - H2 DICI LARGE Engine</v>
      </c>
      <c r="E203" s="547" t="s">
        <v>86</v>
      </c>
      <c r="F203" s="547" t="s">
        <v>82</v>
      </c>
      <c r="J203" s="552"/>
      <c r="K203" s="535"/>
      <c r="AL203"/>
      <c r="AM203"/>
      <c r="AN203"/>
    </row>
    <row r="204" spans="3:40">
      <c r="C204" s="553" t="str">
        <f t="shared" ref="C204:D204" si="82">C46</f>
        <v>TFSSH2ICC2N</v>
      </c>
      <c r="D204" s="553" t="str">
        <f t="shared" si="82"/>
        <v>Transport Freight Containerised Cargo - H2 DICI SMALL Engine</v>
      </c>
      <c r="E204" s="547" t="s">
        <v>86</v>
      </c>
      <c r="F204" s="547" t="s">
        <v>82</v>
      </c>
      <c r="J204" s="552"/>
      <c r="K204" s="535"/>
      <c r="AL204"/>
      <c r="AM204"/>
      <c r="AN204"/>
    </row>
    <row r="205" spans="3:40">
      <c r="C205" s="553" t="str">
        <f t="shared" ref="C205:D205" si="83">C47</f>
        <v>TFSMH2ICC2N</v>
      </c>
      <c r="D205" s="553" t="str">
        <f t="shared" si="83"/>
        <v>Transport Freight Containerised Cargo - H2 DICI MEDIUM Engine</v>
      </c>
      <c r="E205" s="547" t="s">
        <v>86</v>
      </c>
      <c r="F205" s="547" t="s">
        <v>82</v>
      </c>
      <c r="J205" s="552"/>
      <c r="K205" s="535"/>
      <c r="AL205"/>
      <c r="AM205"/>
      <c r="AN205"/>
    </row>
    <row r="206" spans="3:40">
      <c r="C206" s="553" t="str">
        <f t="shared" ref="C206:D206" si="84">C48</f>
        <v>TFSLH2ICC2N</v>
      </c>
      <c r="D206" s="553" t="str">
        <f t="shared" si="84"/>
        <v>Transport Freight Containerised Cargo - H2 DICI LARGE Engine</v>
      </c>
      <c r="E206" s="547" t="s">
        <v>86</v>
      </c>
      <c r="F206" s="547" t="s">
        <v>82</v>
      </c>
      <c r="J206" s="552"/>
      <c r="K206" s="535"/>
      <c r="AL206"/>
      <c r="AM206"/>
      <c r="AN206"/>
    </row>
    <row r="207" spans="3:40">
      <c r="C207" s="553" t="str">
        <f t="shared" ref="C207:D207" si="85">C49</f>
        <v>TFSLH2ICR2N</v>
      </c>
      <c r="D207" s="553" t="str">
        <f t="shared" si="85"/>
        <v>Transport Freight Ro-Ro Cargo - H2 DICI SMALL Engine</v>
      </c>
      <c r="E207" s="547" t="s">
        <v>86</v>
      </c>
      <c r="F207" s="547" t="s">
        <v>82</v>
      </c>
      <c r="J207" s="552"/>
      <c r="K207" s="535"/>
      <c r="AL207"/>
      <c r="AM207"/>
      <c r="AN207"/>
    </row>
    <row r="208" spans="3:40">
      <c r="C208" s="553" t="str">
        <f t="shared" ref="C208:D208" si="86">C50</f>
        <v>TFSSH2ICR2N</v>
      </c>
      <c r="D208" s="553" t="str">
        <f t="shared" si="86"/>
        <v>Transport Freight Ro-Ro Cargo - H2 DICI MEDIUM Engine</v>
      </c>
      <c r="E208" s="547" t="s">
        <v>86</v>
      </c>
      <c r="F208" s="547" t="s">
        <v>82</v>
      </c>
      <c r="J208" s="552"/>
      <c r="K208" s="535"/>
      <c r="AL208"/>
      <c r="AM208"/>
      <c r="AN208"/>
    </row>
    <row r="209" spans="3:40">
      <c r="C209" s="553" t="str">
        <f t="shared" ref="C209:D209" si="87">C51</f>
        <v>TFSMNGICL2N</v>
      </c>
      <c r="D209" s="553" t="str">
        <f t="shared" si="87"/>
        <v>Transport Freight Liquid Bulk - LNG PISI SMALL Engine</v>
      </c>
      <c r="E209" s="547" t="s">
        <v>86</v>
      </c>
      <c r="F209" s="547" t="s">
        <v>82</v>
      </c>
      <c r="J209" s="552"/>
      <c r="K209" s="535"/>
      <c r="AL209"/>
      <c r="AM209"/>
      <c r="AN209"/>
    </row>
    <row r="210" spans="3:40">
      <c r="C210" s="553" t="str">
        <f t="shared" ref="C210:D210" si="88">C52</f>
        <v>TFSLNGICL2N</v>
      </c>
      <c r="D210" s="553" t="str">
        <f t="shared" si="88"/>
        <v>Transport Freight Liquid Bulk - LNG PISI MEDIUM Engine</v>
      </c>
      <c r="E210" s="547" t="s">
        <v>86</v>
      </c>
      <c r="F210" s="547" t="s">
        <v>82</v>
      </c>
      <c r="J210" s="552"/>
      <c r="K210" s="535"/>
      <c r="AL210"/>
      <c r="AM210"/>
      <c r="AN210"/>
    </row>
    <row r="211" spans="3:40">
      <c r="C211" s="553" t="str">
        <f t="shared" ref="C211:D211" si="89">C53</f>
        <v>TFSSNGICL2N</v>
      </c>
      <c r="D211" s="553" t="str">
        <f t="shared" si="89"/>
        <v>Transport Freight Liquid Bulk - LNG PISI LARGE Engine</v>
      </c>
      <c r="E211" s="547" t="s">
        <v>86</v>
      </c>
      <c r="F211" s="547" t="s">
        <v>82</v>
      </c>
      <c r="J211" s="552"/>
      <c r="K211" s="535"/>
      <c r="AL211"/>
      <c r="AM211"/>
      <c r="AN211"/>
    </row>
    <row r="212" spans="3:40">
      <c r="C212" s="553" t="str">
        <f t="shared" ref="C212:D212" si="90">C54</f>
        <v>TFSMNGICD2N</v>
      </c>
      <c r="D212" s="553" t="str">
        <f t="shared" si="90"/>
        <v>Transport Freight Dry Bulk - LNG PISI SMALL Engine</v>
      </c>
      <c r="E212" s="547" t="s">
        <v>86</v>
      </c>
      <c r="F212" s="547" t="s">
        <v>82</v>
      </c>
      <c r="J212" s="552"/>
      <c r="K212" s="535"/>
      <c r="AL212"/>
      <c r="AM212"/>
      <c r="AN212"/>
    </row>
    <row r="213" spans="3:40">
      <c r="C213" s="553" t="str">
        <f t="shared" ref="C213:D213" si="91">C55</f>
        <v>TFSLNGICD2N</v>
      </c>
      <c r="D213" s="553" t="str">
        <f t="shared" si="91"/>
        <v>Transport Freight Dry Bulk - LNG PISI MEDIUM Engine</v>
      </c>
      <c r="E213" s="547" t="s">
        <v>86</v>
      </c>
      <c r="F213" s="547" t="s">
        <v>82</v>
      </c>
      <c r="J213" s="552"/>
      <c r="K213" s="535"/>
      <c r="AL213"/>
      <c r="AM213"/>
      <c r="AN213"/>
    </row>
    <row r="214" spans="3:40">
      <c r="C214" s="553" t="str">
        <f t="shared" ref="C214:D214" si="92">C56</f>
        <v>TFSSNGICD2N</v>
      </c>
      <c r="D214" s="553" t="str">
        <f t="shared" si="92"/>
        <v>Transport Freight Dry Bulk - LNG PISI LARGE Engine</v>
      </c>
      <c r="E214" s="547" t="s">
        <v>86</v>
      </c>
      <c r="F214" s="547" t="s">
        <v>82</v>
      </c>
      <c r="J214" s="552"/>
      <c r="K214" s="535"/>
      <c r="AL214"/>
      <c r="AM214"/>
      <c r="AN214"/>
    </row>
    <row r="215" spans="3:40">
      <c r="C215" s="553" t="str">
        <f t="shared" ref="C215:D215" si="93">C57</f>
        <v>TFSMNGICC2N</v>
      </c>
      <c r="D215" s="553" t="str">
        <f t="shared" si="93"/>
        <v>Transport Freight Containerised Cargo - LNG PISI SMALL Engine</v>
      </c>
      <c r="E215" s="547" t="s">
        <v>86</v>
      </c>
      <c r="F215" s="547" t="s">
        <v>82</v>
      </c>
      <c r="J215" s="552"/>
      <c r="K215" s="535"/>
      <c r="AL215"/>
      <c r="AM215"/>
      <c r="AN215"/>
    </row>
    <row r="216" spans="3:40">
      <c r="C216" s="553" t="str">
        <f t="shared" ref="C216:D216" si="94">C58</f>
        <v>TFSLNGICC2N</v>
      </c>
      <c r="D216" s="553" t="str">
        <f t="shared" si="94"/>
        <v>Transport Freight Containerised Cargo - LNG PISI MEDIUM Engine</v>
      </c>
      <c r="E216" s="547" t="s">
        <v>86</v>
      </c>
      <c r="F216" s="547" t="s">
        <v>82</v>
      </c>
      <c r="J216" s="552"/>
      <c r="K216" s="535"/>
      <c r="AL216"/>
      <c r="AM216"/>
      <c r="AN216"/>
    </row>
    <row r="217" spans="3:40">
      <c r="C217" s="553" t="str">
        <f t="shared" ref="C217:D217" si="95">C59</f>
        <v>TFSSNGICC2N</v>
      </c>
      <c r="D217" s="553" t="str">
        <f t="shared" si="95"/>
        <v>Transport Freight Containerised Cargo - LNG PISI LARGE Engine</v>
      </c>
      <c r="E217" s="547" t="s">
        <v>86</v>
      </c>
      <c r="F217" s="547" t="s">
        <v>82</v>
      </c>
      <c r="J217" s="552"/>
      <c r="K217" s="535"/>
      <c r="AL217"/>
      <c r="AM217"/>
      <c r="AN217"/>
    </row>
    <row r="218" spans="3:40">
      <c r="C218" s="553" t="str">
        <f t="shared" ref="C218:D218" si="96">C60</f>
        <v>TFSMNGICR2N</v>
      </c>
      <c r="D218" s="553" t="str">
        <f t="shared" si="96"/>
        <v>Transport Freight Ro-Ro Cargo - LNG PISI SMALL Engine</v>
      </c>
      <c r="E218" s="547" t="s">
        <v>86</v>
      </c>
      <c r="F218" s="547" t="s">
        <v>82</v>
      </c>
      <c r="J218" s="552"/>
      <c r="K218" s="535"/>
      <c r="AL218"/>
      <c r="AM218"/>
      <c r="AN218"/>
    </row>
    <row r="219" spans="3:40">
      <c r="C219" s="553" t="str">
        <f t="shared" ref="C219:D219" si="97">C61</f>
        <v>TFSLNGICR2N</v>
      </c>
      <c r="D219" s="553" t="str">
        <f t="shared" si="97"/>
        <v>Transport Freight Ro-Ro Cargo - LNG PISI MEDIUM Engine</v>
      </c>
      <c r="E219" s="547" t="s">
        <v>86</v>
      </c>
      <c r="F219" s="547" t="s">
        <v>82</v>
      </c>
      <c r="J219" s="552"/>
      <c r="K219" s="535"/>
      <c r="AL219"/>
      <c r="AM219"/>
      <c r="AN219"/>
    </row>
    <row r="220" spans="3:40">
      <c r="C220" s="553" t="str">
        <f t="shared" ref="C220:D220" si="98">C62</f>
        <v>TFSSNGDUL2N</v>
      </c>
      <c r="D220" s="553" t="str">
        <f t="shared" si="98"/>
        <v>Transport Freight Liquid Bulk - LNG PIDF SMALL Engine</v>
      </c>
      <c r="E220" s="547" t="s">
        <v>86</v>
      </c>
      <c r="F220" s="547" t="s">
        <v>82</v>
      </c>
      <c r="J220" s="552"/>
      <c r="K220" s="535"/>
      <c r="AL220"/>
      <c r="AM220"/>
      <c r="AN220"/>
    </row>
    <row r="221" spans="3:40">
      <c r="C221" s="553" t="str">
        <f t="shared" ref="C221:D221" si="99">C66</f>
        <v>TFSMNGDUL2N</v>
      </c>
      <c r="D221" s="553" t="str">
        <f t="shared" si="99"/>
        <v>Transport Freight Liquid Bulk - LNG PIDF MEDIUM Engine</v>
      </c>
      <c r="E221" s="547" t="s">
        <v>86</v>
      </c>
      <c r="F221" s="547" t="s">
        <v>82</v>
      </c>
      <c r="J221" s="552"/>
      <c r="K221" s="535"/>
      <c r="AL221"/>
      <c r="AM221"/>
      <c r="AN221"/>
    </row>
    <row r="222" spans="3:40">
      <c r="C222" s="553" t="str">
        <f t="shared" ref="C222:D222" si="100">C70</f>
        <v>TFSLNGDUL2N</v>
      </c>
      <c r="D222" s="553" t="str">
        <f t="shared" si="100"/>
        <v>Transport Freight Liquid Bulk - LNG PIDF LARGE Engine</v>
      </c>
      <c r="E222" s="547" t="s">
        <v>86</v>
      </c>
      <c r="F222" s="547" t="s">
        <v>82</v>
      </c>
      <c r="J222" s="552"/>
      <c r="K222" s="535"/>
      <c r="AL222"/>
      <c r="AM222"/>
      <c r="AN222"/>
    </row>
    <row r="223" spans="3:40">
      <c r="C223" s="553" t="str">
        <f t="shared" ref="C223:D223" si="101">C74</f>
        <v>TFSSNGDUD2N</v>
      </c>
      <c r="D223" s="553" t="str">
        <f t="shared" si="101"/>
        <v>Transport Freight Dry Bulk - LNG PIDF SMALL Engine</v>
      </c>
      <c r="E223" s="547" t="s">
        <v>86</v>
      </c>
      <c r="F223" s="547" t="s">
        <v>82</v>
      </c>
      <c r="J223" s="552"/>
      <c r="K223" s="535"/>
      <c r="AL223"/>
      <c r="AM223"/>
      <c r="AN223"/>
    </row>
    <row r="224" spans="3:40">
      <c r="C224" s="553" t="str">
        <f t="shared" ref="C224:D224" si="102">C78</f>
        <v>TFSMNGDUD2N</v>
      </c>
      <c r="D224" s="553" t="str">
        <f t="shared" si="102"/>
        <v>Transport Freight Dry Bulk - LNG PIDF MEDIUM Engine</v>
      </c>
      <c r="E224" s="547" t="s">
        <v>86</v>
      </c>
      <c r="F224" s="547" t="s">
        <v>82</v>
      </c>
      <c r="J224" s="552"/>
      <c r="K224" s="535"/>
      <c r="AL224"/>
      <c r="AM224"/>
      <c r="AN224"/>
    </row>
    <row r="225" spans="3:40">
      <c r="C225" s="553" t="str">
        <f t="shared" ref="C225:D225" si="103">C82</f>
        <v>TFSLNGDUD2N</v>
      </c>
      <c r="D225" s="553" t="str">
        <f t="shared" si="103"/>
        <v>Transport Freight Dry Bulk - LNG PIDF LARGE Engine</v>
      </c>
      <c r="E225" s="547" t="s">
        <v>86</v>
      </c>
      <c r="F225" s="547" t="s">
        <v>82</v>
      </c>
      <c r="J225" s="552"/>
      <c r="K225" s="535"/>
      <c r="AL225"/>
      <c r="AM225"/>
      <c r="AN225"/>
    </row>
    <row r="226" spans="3:40">
      <c r="C226" s="553" t="str">
        <f t="shared" ref="C226:D226" si="104">C86</f>
        <v>TFSSNGDUC2N</v>
      </c>
      <c r="D226" s="553" t="str">
        <f t="shared" si="104"/>
        <v>Transport Freight Containerised Cargo - LNG PIDF SMALL Engine</v>
      </c>
      <c r="E226" s="547" t="s">
        <v>86</v>
      </c>
      <c r="F226" s="547" t="s">
        <v>82</v>
      </c>
      <c r="J226" s="552"/>
      <c r="K226" s="535"/>
      <c r="AL226"/>
      <c r="AM226"/>
      <c r="AN226"/>
    </row>
    <row r="227" spans="3:40">
      <c r="C227" s="553" t="str">
        <f t="shared" ref="C227:D227" si="105">C90</f>
        <v>TFSMNGDUC2N</v>
      </c>
      <c r="D227" s="553" t="str">
        <f t="shared" si="105"/>
        <v>Transport Freight Containerised Cargo - LNG PIDF MEDIUM Engine</v>
      </c>
      <c r="E227" s="547" t="s">
        <v>86</v>
      </c>
      <c r="F227" s="547" t="s">
        <v>82</v>
      </c>
      <c r="J227" s="552"/>
      <c r="K227" s="535"/>
      <c r="AL227"/>
      <c r="AM227"/>
      <c r="AN227"/>
    </row>
    <row r="228" spans="3:40">
      <c r="C228" s="553" t="str">
        <f t="shared" ref="C228:D228" si="106">C94</f>
        <v>TFSLNGDUC2N</v>
      </c>
      <c r="D228" s="553" t="str">
        <f t="shared" si="106"/>
        <v>Transport Freight Containerised Cargo - LNG PIDF LARGE Engine</v>
      </c>
      <c r="E228" s="547" t="s">
        <v>86</v>
      </c>
      <c r="F228" s="547" t="s">
        <v>82</v>
      </c>
      <c r="J228" s="552"/>
      <c r="K228" s="535"/>
      <c r="AL228"/>
      <c r="AM228"/>
      <c r="AN228"/>
    </row>
    <row r="229" spans="3:40">
      <c r="C229" s="553" t="str">
        <f t="shared" ref="C229:D229" si="107">C98</f>
        <v>TFSSNGDUR2N</v>
      </c>
      <c r="D229" s="553" t="str">
        <f t="shared" si="107"/>
        <v>Transport Freight Ro-Ro Cargo - LNG PIDF SMALL Engine</v>
      </c>
      <c r="E229" s="547" t="s">
        <v>86</v>
      </c>
      <c r="F229" s="547" t="s">
        <v>82</v>
      </c>
      <c r="J229" s="552"/>
      <c r="K229" s="535"/>
      <c r="AL229"/>
      <c r="AM229"/>
      <c r="AN229"/>
    </row>
    <row r="230" spans="3:40">
      <c r="C230" s="553" t="str">
        <f t="shared" ref="C230:D230" si="108">C102</f>
        <v>TFSMNGDUR2N</v>
      </c>
      <c r="D230" s="553" t="str">
        <f t="shared" si="108"/>
        <v>Transport Freight Ro-Ro Cargo - LNG PIDF MEDIUM Engine</v>
      </c>
      <c r="E230" s="547" t="s">
        <v>86</v>
      </c>
      <c r="F230" s="547" t="s">
        <v>82</v>
      </c>
      <c r="J230" s="552"/>
      <c r="K230" s="535"/>
      <c r="AL230"/>
      <c r="AM230"/>
      <c r="AN230"/>
    </row>
    <row r="231" spans="3:40">
      <c r="C231" s="553" t="str">
        <f t="shared" ref="C231:D231" si="109">C106</f>
        <v>TFSSELCCL2N</v>
      </c>
      <c r="D231" s="553" t="str">
        <f t="shared" si="109"/>
        <v>Transport Freight Liquid Bulk - ELC SMALL Engine</v>
      </c>
      <c r="E231" s="547" t="s">
        <v>86</v>
      </c>
      <c r="F231" s="547" t="s">
        <v>82</v>
      </c>
      <c r="J231" s="552"/>
      <c r="K231" s="535"/>
      <c r="AL231"/>
      <c r="AM231"/>
      <c r="AN231"/>
    </row>
    <row r="232" spans="3:40">
      <c r="C232" s="553" t="str">
        <f t="shared" ref="C232:D232" si="110">C107</f>
        <v>TFSMELCCL3N</v>
      </c>
      <c r="D232" s="553" t="str">
        <f t="shared" si="110"/>
        <v>Transport Freight Liquid Bulk - ELC MEDIUM Engine</v>
      </c>
      <c r="E232" s="547" t="s">
        <v>86</v>
      </c>
      <c r="F232" s="547" t="s">
        <v>82</v>
      </c>
      <c r="J232" s="552"/>
      <c r="K232" s="535"/>
      <c r="AL232"/>
      <c r="AM232"/>
      <c r="AN232"/>
    </row>
    <row r="233" spans="3:40">
      <c r="C233" s="553" t="str">
        <f t="shared" ref="C233:D233" si="111">C108</f>
        <v>TFSSELCCD2N</v>
      </c>
      <c r="D233" s="553" t="str">
        <f t="shared" si="111"/>
        <v>Transport Freight Dry Bulk - ELC SMALL Engine</v>
      </c>
      <c r="E233" s="547" t="s">
        <v>86</v>
      </c>
      <c r="F233" s="547" t="s">
        <v>82</v>
      </c>
      <c r="J233" s="1231"/>
      <c r="K233" s="535"/>
      <c r="AL233"/>
      <c r="AM233"/>
      <c r="AN233"/>
    </row>
    <row r="234" spans="3:40">
      <c r="C234" s="553" t="str">
        <f t="shared" ref="C234:D234" si="112">C109</f>
        <v>TFSMELCCD3N</v>
      </c>
      <c r="D234" s="553" t="str">
        <f t="shared" si="112"/>
        <v>Transport Freight Dry Bulk - ELC MEDIUM Engine</v>
      </c>
      <c r="E234" s="547" t="s">
        <v>86</v>
      </c>
      <c r="F234" s="547" t="s">
        <v>82</v>
      </c>
      <c r="J234" s="552"/>
      <c r="K234" s="535"/>
      <c r="AL234"/>
      <c r="AM234"/>
      <c r="AN234"/>
    </row>
    <row r="235" spans="3:40">
      <c r="C235" s="553" t="str">
        <f t="shared" ref="C235:D235" si="113">C110</f>
        <v>TFSSELCCC2N</v>
      </c>
      <c r="D235" s="553" t="str">
        <f t="shared" si="113"/>
        <v>Transport Freight Containerised Cargo - ELC SMALL Engine</v>
      </c>
      <c r="E235" s="547" t="s">
        <v>86</v>
      </c>
      <c r="F235" s="547" t="s">
        <v>82</v>
      </c>
      <c r="J235" s="552"/>
      <c r="K235" s="535"/>
      <c r="AL235"/>
      <c r="AM235"/>
      <c r="AN235"/>
    </row>
    <row r="236" spans="3:40">
      <c r="C236" s="553" t="str">
        <f t="shared" ref="C236:D236" si="114">C111</f>
        <v>TFSMELCCC3N</v>
      </c>
      <c r="D236" s="553" t="str">
        <f t="shared" si="114"/>
        <v>Transport Freight Containerised Cargo - ELC MEDIUM Engine</v>
      </c>
      <c r="E236" s="547" t="s">
        <v>86</v>
      </c>
      <c r="F236" s="547" t="s">
        <v>82</v>
      </c>
      <c r="J236" s="552"/>
      <c r="K236" s="535"/>
      <c r="AL236"/>
      <c r="AM236"/>
      <c r="AN236"/>
    </row>
    <row r="237" spans="3:40">
      <c r="C237" s="553" t="str">
        <f t="shared" ref="C237:D237" si="115">C112</f>
        <v>TFSSELCCR2N</v>
      </c>
      <c r="D237" s="553" t="str">
        <f t="shared" si="115"/>
        <v>Transport Freight Ro-Ro Cargo - ELC SMALL Engine</v>
      </c>
      <c r="E237" s="547" t="s">
        <v>86</v>
      </c>
      <c r="F237" s="547" t="s">
        <v>82</v>
      </c>
      <c r="J237" s="552"/>
      <c r="K237" s="535"/>
      <c r="AL237"/>
      <c r="AM237"/>
      <c r="AN237"/>
    </row>
    <row r="238" spans="3:40">
      <c r="C238" s="553" t="str">
        <f t="shared" ref="C238:D238" si="116">C113</f>
        <v>TFSMELCCR3N</v>
      </c>
      <c r="D238" s="553" t="str">
        <f t="shared" si="116"/>
        <v>Transport Freight Ro-Ro Cargo - ELC MEDIUM Engine</v>
      </c>
      <c r="E238" s="547" t="s">
        <v>86</v>
      </c>
      <c r="F238" s="547" t="s">
        <v>82</v>
      </c>
      <c r="J238" s="552"/>
      <c r="K238" s="535"/>
      <c r="AL238"/>
      <c r="AM238"/>
      <c r="AN238"/>
    </row>
    <row r="239" spans="3:40">
      <c r="C239" s="553" t="str">
        <f t="shared" ref="C239:D239" si="117">C114</f>
        <v>TFSSFOFCL2N</v>
      </c>
      <c r="D239" s="553" t="str">
        <f t="shared" si="117"/>
        <v>Transport Freight Liquid Bulk - MGO SMALL FC</v>
      </c>
      <c r="E239" s="547" t="s">
        <v>86</v>
      </c>
      <c r="F239" s="547" t="s">
        <v>82</v>
      </c>
      <c r="J239" s="552"/>
      <c r="K239" s="535"/>
      <c r="AL239"/>
      <c r="AM239"/>
      <c r="AN239"/>
    </row>
    <row r="240" spans="3:40">
      <c r="C240" s="553" t="str">
        <f t="shared" ref="C240:D240" si="118">C115</f>
        <v>TFSMFOFCL3N</v>
      </c>
      <c r="D240" s="553" t="str">
        <f t="shared" si="118"/>
        <v>Transport Freight Liquid Bulk - MGO MEDIUM FC</v>
      </c>
      <c r="E240" s="547" t="s">
        <v>86</v>
      </c>
      <c r="F240" s="547" t="s">
        <v>82</v>
      </c>
      <c r="J240" s="552"/>
      <c r="K240" s="535"/>
      <c r="AL240"/>
      <c r="AM240"/>
      <c r="AN240"/>
    </row>
    <row r="241" spans="3:40">
      <c r="C241" s="553" t="str">
        <f t="shared" ref="C241:D241" si="119">C116</f>
        <v>TFSSFOFCD2N</v>
      </c>
      <c r="D241" s="553" t="str">
        <f t="shared" si="119"/>
        <v>Transport Freight Dry Bulk - MGO SMALL FC</v>
      </c>
      <c r="E241" s="547" t="s">
        <v>86</v>
      </c>
      <c r="F241" s="547" t="s">
        <v>82</v>
      </c>
      <c r="J241" s="552"/>
      <c r="K241" s="535"/>
      <c r="AL241"/>
      <c r="AM241"/>
      <c r="AN241"/>
    </row>
    <row r="242" spans="3:40">
      <c r="C242" s="553" t="str">
        <f t="shared" ref="C242:D242" si="120">C117</f>
        <v>TFSMFOFCD3N</v>
      </c>
      <c r="D242" s="553" t="str">
        <f t="shared" si="120"/>
        <v>Transport Freight Dry Bulk - MGO MEDIUM FC</v>
      </c>
      <c r="E242" s="547" t="s">
        <v>86</v>
      </c>
      <c r="F242" s="547" t="s">
        <v>82</v>
      </c>
      <c r="J242" s="552"/>
      <c r="K242" s="535"/>
      <c r="AL242"/>
      <c r="AM242"/>
      <c r="AN242"/>
    </row>
    <row r="243" spans="3:40">
      <c r="C243" s="553" t="str">
        <f t="shared" ref="C243:D243" si="121">C118</f>
        <v>TFSSFOFCC2N</v>
      </c>
      <c r="D243" s="553" t="str">
        <f t="shared" si="121"/>
        <v>Transport Freight Containerised Cargo - MGO SMALL FC</v>
      </c>
      <c r="E243" s="547" t="s">
        <v>86</v>
      </c>
      <c r="F243" s="547" t="s">
        <v>82</v>
      </c>
      <c r="J243" s="552"/>
      <c r="K243" s="535"/>
      <c r="AL243"/>
      <c r="AM243"/>
      <c r="AN243"/>
    </row>
    <row r="244" spans="3:40">
      <c r="C244" s="553" t="str">
        <f t="shared" ref="C244:D244" si="122">C119</f>
        <v>TFSMFOFCC3N</v>
      </c>
      <c r="D244" s="553" t="str">
        <f t="shared" si="122"/>
        <v>Transport Freight Containerised Cargo - MGO MEDIUM FC</v>
      </c>
      <c r="E244" s="547" t="s">
        <v>86</v>
      </c>
      <c r="F244" s="547" t="s">
        <v>82</v>
      </c>
      <c r="J244" s="552"/>
      <c r="K244" s="535"/>
      <c r="AL244"/>
      <c r="AM244"/>
      <c r="AN244"/>
    </row>
    <row r="245" spans="3:40">
      <c r="C245" s="553" t="str">
        <f t="shared" ref="C245:D245" si="123">C120</f>
        <v>TFSSFOFCR2N</v>
      </c>
      <c r="D245" s="553" t="str">
        <f t="shared" si="123"/>
        <v>Transport Freight Ro-Ro Cargo - MGO SMALL FC</v>
      </c>
      <c r="E245" s="547" t="s">
        <v>86</v>
      </c>
      <c r="F245" s="547" t="s">
        <v>82</v>
      </c>
      <c r="J245" s="552"/>
      <c r="K245" s="535"/>
      <c r="AL245"/>
      <c r="AM245"/>
      <c r="AN245"/>
    </row>
    <row r="246" spans="3:40">
      <c r="C246" s="553" t="str">
        <f t="shared" ref="C246:D246" si="124">C121</f>
        <v>TFSMFOFCR3N</v>
      </c>
      <c r="D246" s="553" t="str">
        <f t="shared" si="124"/>
        <v>Transport Freight Ro-Ro Cargo - MGO MEDIUM FC</v>
      </c>
      <c r="E246" s="547" t="s">
        <v>86</v>
      </c>
      <c r="F246" s="547" t="s">
        <v>82</v>
      </c>
      <c r="J246" s="552"/>
      <c r="K246" s="535"/>
      <c r="AL246"/>
      <c r="AM246"/>
      <c r="AN246"/>
    </row>
    <row r="247" spans="3:40">
      <c r="C247" s="553" t="str">
        <f t="shared" ref="C247:D247" si="125">C122</f>
        <v>TFSSFOFCL3N</v>
      </c>
      <c r="D247" s="553" t="str">
        <f t="shared" si="125"/>
        <v>Transport Freight Liquid Bulk - MGO SMALL FC</v>
      </c>
      <c r="E247" s="547" t="s">
        <v>86</v>
      </c>
      <c r="F247" s="547" t="s">
        <v>82</v>
      </c>
      <c r="J247" s="552"/>
      <c r="K247" s="535"/>
      <c r="AL247"/>
      <c r="AM247"/>
      <c r="AN247"/>
    </row>
    <row r="248" spans="3:40">
      <c r="C248" s="553" t="str">
        <f t="shared" ref="C248:D248" si="126">C123</f>
        <v>TFSMFOFCL3N</v>
      </c>
      <c r="D248" s="553" t="str">
        <f t="shared" si="126"/>
        <v>Transport Freight Liquid Bulk - MGO MEDIUM FC</v>
      </c>
      <c r="E248" s="547" t="s">
        <v>86</v>
      </c>
      <c r="F248" s="547" t="s">
        <v>82</v>
      </c>
      <c r="J248" s="552"/>
      <c r="K248" s="535"/>
      <c r="AL248"/>
      <c r="AM248"/>
      <c r="AN248"/>
    </row>
    <row r="249" spans="3:40">
      <c r="C249" s="553" t="str">
        <f t="shared" ref="C249:D249" si="127">C124</f>
        <v>TFSSFOFCD3N</v>
      </c>
      <c r="D249" s="553" t="str">
        <f t="shared" si="127"/>
        <v>Transport Freight Dry Bulk - MGO SMALL FC</v>
      </c>
      <c r="E249" s="547" t="s">
        <v>86</v>
      </c>
      <c r="F249" s="547" t="s">
        <v>82</v>
      </c>
      <c r="J249" s="552"/>
      <c r="K249" s="535"/>
      <c r="AL249"/>
      <c r="AM249"/>
      <c r="AN249"/>
    </row>
    <row r="250" spans="3:40">
      <c r="C250" s="553" t="str">
        <f t="shared" ref="C250:D250" si="128">C125</f>
        <v>TFSMFOFCD3N</v>
      </c>
      <c r="D250" s="553" t="str">
        <f t="shared" si="128"/>
        <v>Transport Freight Dry Bulk - MGO MEDIUM FC</v>
      </c>
      <c r="E250" s="547" t="s">
        <v>86</v>
      </c>
      <c r="F250" s="547" t="s">
        <v>82</v>
      </c>
      <c r="J250" s="552"/>
      <c r="K250" s="535"/>
      <c r="AL250"/>
      <c r="AM250"/>
      <c r="AN250"/>
    </row>
    <row r="251" spans="3:40">
      <c r="C251" s="553" t="str">
        <f t="shared" ref="C251:D251" si="129">C126</f>
        <v>TFSSFOFCC3N</v>
      </c>
      <c r="D251" s="553" t="str">
        <f t="shared" si="129"/>
        <v>Transport Freight Containerised Cargo - MGO SMALL FC</v>
      </c>
      <c r="E251" s="547" t="s">
        <v>86</v>
      </c>
      <c r="F251" s="547" t="s">
        <v>82</v>
      </c>
      <c r="J251" s="552"/>
      <c r="K251" s="535"/>
      <c r="AL251"/>
      <c r="AM251"/>
      <c r="AN251"/>
    </row>
    <row r="252" spans="3:40">
      <c r="C252" s="553" t="str">
        <f t="shared" ref="C252:D252" si="130">C127</f>
        <v>TFSMFOFCC3N</v>
      </c>
      <c r="D252" s="553" t="str">
        <f t="shared" si="130"/>
        <v>Transport Freight Containerised Cargo - MGO MEDIUM FC</v>
      </c>
      <c r="E252" s="547" t="s">
        <v>86</v>
      </c>
      <c r="F252" s="547" t="s">
        <v>82</v>
      </c>
      <c r="J252" s="552"/>
      <c r="K252" s="535"/>
      <c r="AL252"/>
      <c r="AM252"/>
      <c r="AN252"/>
    </row>
    <row r="253" spans="3:40">
      <c r="C253" s="553" t="str">
        <f t="shared" ref="C253:D253" si="131">C128</f>
        <v>TFSSFOFCR3N</v>
      </c>
      <c r="D253" s="553" t="str">
        <f t="shared" si="131"/>
        <v>Transport Freight Ro-Ro Cargo - MGO SMALL FC</v>
      </c>
      <c r="E253" s="547" t="s">
        <v>86</v>
      </c>
      <c r="F253" s="547" t="s">
        <v>82</v>
      </c>
      <c r="J253" s="552"/>
      <c r="K253" s="535"/>
      <c r="AL253"/>
      <c r="AM253"/>
      <c r="AN253"/>
    </row>
    <row r="254" spans="3:40">
      <c r="C254" s="553" t="str">
        <f t="shared" ref="C254:D254" si="132">C129</f>
        <v>TFSMFOFCR3N</v>
      </c>
      <c r="D254" s="553" t="str">
        <f t="shared" si="132"/>
        <v>Transport Freight Ro-Ro Cargo - MGO MEDIUM FC</v>
      </c>
      <c r="E254" s="547" t="s">
        <v>86</v>
      </c>
      <c r="F254" s="547" t="s">
        <v>82</v>
      </c>
      <c r="J254" s="552"/>
      <c r="K254" s="535"/>
      <c r="AL254"/>
      <c r="AM254"/>
      <c r="AN254"/>
    </row>
    <row r="255" spans="3:40">
      <c r="C255" s="553" t="str">
        <f t="shared" ref="C255:D255" si="133">C130</f>
        <v>TFSSMOFCL2N</v>
      </c>
      <c r="D255" s="553" t="str">
        <f t="shared" si="133"/>
        <v>Transport Freight Liquid Bulk - Methanol SMALL FC</v>
      </c>
      <c r="E255" s="547" t="s">
        <v>86</v>
      </c>
      <c r="F255" s="547" t="s">
        <v>82</v>
      </c>
      <c r="J255" s="552"/>
      <c r="K255" s="535"/>
      <c r="AL255"/>
      <c r="AM255"/>
      <c r="AN255"/>
    </row>
    <row r="256" spans="3:40">
      <c r="C256" s="553" t="str">
        <f t="shared" ref="C256:D256" si="134">C131</f>
        <v>TFSMMOFCL3N</v>
      </c>
      <c r="D256" s="553" t="str">
        <f t="shared" si="134"/>
        <v>Transport Freight Liquid Bulk - Methanol MEDIUM FC</v>
      </c>
      <c r="E256" s="547" t="s">
        <v>86</v>
      </c>
      <c r="F256" s="547" t="s">
        <v>82</v>
      </c>
      <c r="J256" s="552"/>
      <c r="K256" s="535"/>
      <c r="AL256"/>
      <c r="AM256"/>
      <c r="AN256"/>
    </row>
    <row r="257" spans="3:40">
      <c r="C257" s="553" t="str">
        <f t="shared" ref="C257:D257" si="135">C132</f>
        <v>TFSSMOFCD2N</v>
      </c>
      <c r="D257" s="553" t="str">
        <f t="shared" si="135"/>
        <v>Transport Freight Dry Bulk - Methanol SMALL FC</v>
      </c>
      <c r="E257" s="547" t="s">
        <v>86</v>
      </c>
      <c r="F257" s="547" t="s">
        <v>82</v>
      </c>
      <c r="J257" s="1231"/>
      <c r="K257" s="535"/>
      <c r="AL257"/>
      <c r="AM257"/>
      <c r="AN257"/>
    </row>
    <row r="258" spans="3:40">
      <c r="C258" s="553" t="str">
        <f t="shared" ref="C258:D258" si="136">C133</f>
        <v>TFSMMOFCD3N</v>
      </c>
      <c r="D258" s="553" t="str">
        <f t="shared" si="136"/>
        <v>Transport Freight Dry Bulk - Methanol MEDIUM FC</v>
      </c>
      <c r="E258" s="547" t="s">
        <v>86</v>
      </c>
      <c r="F258" s="547" t="s">
        <v>82</v>
      </c>
      <c r="J258" s="552"/>
      <c r="K258" s="535"/>
      <c r="AL258"/>
      <c r="AM258"/>
      <c r="AN258"/>
    </row>
    <row r="259" spans="3:40">
      <c r="C259" s="553" t="str">
        <f t="shared" ref="C259:D259" si="137">C134</f>
        <v>TFSSMOFCC2N</v>
      </c>
      <c r="D259" s="553" t="str">
        <f t="shared" si="137"/>
        <v>Transport Freight Containerised Cargo - Methanol SMALL FC</v>
      </c>
      <c r="E259" s="547" t="s">
        <v>86</v>
      </c>
      <c r="F259" s="547" t="s">
        <v>82</v>
      </c>
      <c r="J259" s="552"/>
      <c r="K259" s="535"/>
      <c r="AL259"/>
      <c r="AM259"/>
      <c r="AN259"/>
    </row>
    <row r="260" spans="3:40">
      <c r="C260" s="553" t="str">
        <f t="shared" ref="C260:D260" si="138">C135</f>
        <v>TFSMMOFCC3N</v>
      </c>
      <c r="D260" s="553" t="str">
        <f t="shared" si="138"/>
        <v>Transport Freight Containerised Cargo - Methanol MEDIUM FC</v>
      </c>
      <c r="E260" s="547" t="s">
        <v>86</v>
      </c>
      <c r="F260" s="547" t="s">
        <v>82</v>
      </c>
      <c r="J260" s="552"/>
      <c r="K260" s="535"/>
      <c r="AL260"/>
      <c r="AM260"/>
      <c r="AN260"/>
    </row>
    <row r="261" spans="3:40">
      <c r="C261" s="553" t="str">
        <f t="shared" ref="C261:D261" si="139">C136</f>
        <v>TFSSMOFCR2N</v>
      </c>
      <c r="D261" s="553" t="str">
        <f t="shared" si="139"/>
        <v>Transport Freight Ro-Ro Cargo - Methanol SMALL FC</v>
      </c>
      <c r="E261" s="547" t="s">
        <v>86</v>
      </c>
      <c r="F261" s="547" t="s">
        <v>82</v>
      </c>
      <c r="J261" s="552"/>
      <c r="K261" s="535"/>
      <c r="AL261"/>
      <c r="AM261"/>
      <c r="AN261"/>
    </row>
    <row r="262" spans="3:40">
      <c r="C262" s="553" t="str">
        <f>C137</f>
        <v>TFSMMOFCR3N</v>
      </c>
      <c r="D262" s="553" t="str">
        <f>D137</f>
        <v>Transport Freight Ro-Ro Cargo - Methanol MEDIUM FC</v>
      </c>
      <c r="E262" s="547" t="s">
        <v>86</v>
      </c>
      <c r="F262" s="547" t="s">
        <v>82</v>
      </c>
      <c r="J262" s="552"/>
      <c r="K262" s="535"/>
      <c r="AL262"/>
      <c r="AM262"/>
      <c r="AN262"/>
    </row>
    <row r="263" spans="3:40">
      <c r="C263" s="553" t="str">
        <f t="shared" ref="C263:D263" si="140">C138</f>
        <v>TFSSH2FCL2N</v>
      </c>
      <c r="D263" s="553" t="str">
        <f t="shared" si="140"/>
        <v>Transport Freight Liquid Bulk - H2 SMALL FC</v>
      </c>
      <c r="E263" s="547" t="s">
        <v>86</v>
      </c>
      <c r="F263" s="547" t="s">
        <v>82</v>
      </c>
      <c r="J263" s="552"/>
      <c r="K263" s="535"/>
      <c r="AL263"/>
      <c r="AM263"/>
      <c r="AN263"/>
    </row>
    <row r="264" spans="3:40">
      <c r="C264" s="553" t="str">
        <f t="shared" ref="C264:D264" si="141">C139</f>
        <v>TFSMH2FCL3N</v>
      </c>
      <c r="D264" s="553" t="str">
        <f t="shared" si="141"/>
        <v>Transport Freight Liquid Bulk - H2 MEDIUM FC</v>
      </c>
      <c r="E264" s="547" t="s">
        <v>86</v>
      </c>
      <c r="F264" s="547" t="s">
        <v>82</v>
      </c>
      <c r="J264" s="552"/>
      <c r="K264" s="535"/>
      <c r="AL264"/>
      <c r="AM264"/>
      <c r="AN264"/>
    </row>
    <row r="265" spans="3:40">
      <c r="C265" s="553" t="str">
        <f t="shared" ref="C265:D265" si="142">C140</f>
        <v>TFSSH2FCD2N</v>
      </c>
      <c r="D265" s="553" t="str">
        <f t="shared" si="142"/>
        <v>Transport Freight Dry Bulk - H2 SMALL FC</v>
      </c>
      <c r="E265" s="547" t="s">
        <v>86</v>
      </c>
      <c r="F265" s="547" t="s">
        <v>82</v>
      </c>
      <c r="J265" s="552"/>
      <c r="K265" s="535"/>
      <c r="AL265"/>
      <c r="AM265"/>
      <c r="AN265"/>
    </row>
    <row r="266" spans="3:40">
      <c r="C266" s="553" t="str">
        <f t="shared" ref="C266:D266" si="143">C141</f>
        <v>TFSMH2FCD3N</v>
      </c>
      <c r="D266" s="553" t="str">
        <f t="shared" si="143"/>
        <v>Transport Freight Dry Bulk - H2 MEDIUM FC</v>
      </c>
      <c r="E266" s="547" t="s">
        <v>86</v>
      </c>
      <c r="F266" s="547" t="s">
        <v>82</v>
      </c>
      <c r="J266" s="552"/>
      <c r="K266" s="535"/>
      <c r="AL266"/>
      <c r="AM266"/>
      <c r="AN266"/>
    </row>
    <row r="267" spans="3:40">
      <c r="C267" s="553" t="str">
        <f t="shared" ref="C267:D267" si="144">C142</f>
        <v>TFSSH2FCC2N</v>
      </c>
      <c r="D267" s="553" t="str">
        <f t="shared" si="144"/>
        <v>Transport Freight Containerised Cargo - H2 SMALL FC</v>
      </c>
      <c r="E267" s="547" t="s">
        <v>86</v>
      </c>
      <c r="F267" s="547" t="s">
        <v>82</v>
      </c>
      <c r="K267" s="535"/>
      <c r="AL267"/>
      <c r="AM267"/>
      <c r="AN267"/>
    </row>
    <row r="268" spans="3:40">
      <c r="C268" s="553" t="str">
        <f t="shared" ref="C268:D268" si="145">C143</f>
        <v>TFSMH2FCC3N</v>
      </c>
      <c r="D268" s="553" t="str">
        <f t="shared" si="145"/>
        <v>Transport Freight Containerised Cargo - H2 MEDIUM FC</v>
      </c>
      <c r="E268" s="547" t="s">
        <v>86</v>
      </c>
      <c r="F268" s="547" t="s">
        <v>82</v>
      </c>
    </row>
    <row r="269" spans="3:40">
      <c r="C269" s="553" t="str">
        <f t="shared" ref="C269:D269" si="146">C144</f>
        <v>TFSSH2FCR2N</v>
      </c>
      <c r="D269" s="553" t="str">
        <f t="shared" si="146"/>
        <v>Transport Freight Ro-Ro Cargo - H2 SMALL FC</v>
      </c>
      <c r="E269" s="547" t="s">
        <v>86</v>
      </c>
      <c r="F269" s="547" t="s">
        <v>82</v>
      </c>
    </row>
    <row r="270" spans="3:40">
      <c r="C270" s="553" t="str">
        <f>C145</f>
        <v>TFSMH2FCR3N</v>
      </c>
      <c r="D270" s="553" t="str">
        <f>D145</f>
        <v>Transport Freight Ro-Ro Cargo - H2 MEDIUM FC</v>
      </c>
      <c r="E270" s="547" t="s">
        <v>86</v>
      </c>
      <c r="F270" s="547" t="s">
        <v>82</v>
      </c>
    </row>
    <row r="271" spans="3:40">
      <c r="C271" s="553" t="str">
        <f t="shared" ref="C271:D271" si="147">C146</f>
        <v>TFSSNGFCL2N</v>
      </c>
      <c r="D271" s="553" t="str">
        <f t="shared" si="147"/>
        <v>Transport Freight Liquid Bulk - LNG SMALL FC</v>
      </c>
      <c r="E271" s="547" t="s">
        <v>86</v>
      </c>
      <c r="F271" s="547" t="s">
        <v>82</v>
      </c>
    </row>
    <row r="272" spans="3:40">
      <c r="C272" s="553" t="str">
        <f t="shared" ref="C272:D272" si="148">C147</f>
        <v>TFSMNGFCL3N</v>
      </c>
      <c r="D272" s="553" t="str">
        <f t="shared" si="148"/>
        <v>Transport Freight Liquid Bulk - LNG MEDIUM FC</v>
      </c>
      <c r="E272" s="547" t="s">
        <v>86</v>
      </c>
      <c r="F272" s="547" t="s">
        <v>82</v>
      </c>
    </row>
    <row r="273" spans="3:6">
      <c r="C273" s="553" t="str">
        <f t="shared" ref="C273:D273" si="149">C148</f>
        <v>TFSSNGFCD2N</v>
      </c>
      <c r="D273" s="553" t="str">
        <f t="shared" si="149"/>
        <v>Transport Freight Dry Bulk - LNG SMALL FC</v>
      </c>
      <c r="E273" s="547" t="s">
        <v>86</v>
      </c>
      <c r="F273" s="547" t="s">
        <v>82</v>
      </c>
    </row>
    <row r="274" spans="3:6">
      <c r="C274" s="553" t="str">
        <f t="shared" ref="C274:D274" si="150">C149</f>
        <v>TFSMNGFCD3N</v>
      </c>
      <c r="D274" s="553" t="str">
        <f t="shared" si="150"/>
        <v>Transport Freight Dry Bulk - LNG MEDIUM FC</v>
      </c>
      <c r="E274" s="547" t="s">
        <v>86</v>
      </c>
      <c r="F274" s="547" t="s">
        <v>82</v>
      </c>
    </row>
    <row r="275" spans="3:6">
      <c r="C275" s="553" t="str">
        <f t="shared" ref="C275:D275" si="151">C150</f>
        <v>TFSSNGFCC2N</v>
      </c>
      <c r="D275" s="553" t="str">
        <f t="shared" si="151"/>
        <v>Transport Freight Containerised Cargo - LNG SMALL FC</v>
      </c>
      <c r="E275" s="547" t="s">
        <v>86</v>
      </c>
      <c r="F275" s="547" t="s">
        <v>82</v>
      </c>
    </row>
    <row r="276" spans="3:6">
      <c r="C276" s="553" t="str">
        <f t="shared" ref="C276:D276" si="152">C151</f>
        <v>TFSMNGFCC3N</v>
      </c>
      <c r="D276" s="553" t="str">
        <f t="shared" si="152"/>
        <v>Transport Freight Containerised Cargo - LNG MEDIUM FC</v>
      </c>
      <c r="E276" s="547" t="s">
        <v>86</v>
      </c>
      <c r="F276" s="547" t="s">
        <v>82</v>
      </c>
    </row>
    <row r="277" spans="3:6">
      <c r="C277" s="553" t="str">
        <f t="shared" ref="C277:D277" si="153">C152</f>
        <v>TFSSNGFCR2N</v>
      </c>
      <c r="D277" s="553" t="str">
        <f t="shared" si="153"/>
        <v>Transport Freight Ro-Ro Cargo - LNG SMALL FC</v>
      </c>
      <c r="E277" s="547" t="s">
        <v>86</v>
      </c>
      <c r="F277" s="547" t="s">
        <v>82</v>
      </c>
    </row>
    <row r="278" spans="3:6">
      <c r="C278" s="553" t="str">
        <f t="shared" ref="C278:D278" si="154">C153</f>
        <v>TFSMNGFCR3N</v>
      </c>
      <c r="D278" s="553" t="str">
        <f t="shared" si="154"/>
        <v>Transport Freight Ro-Ro Cargo - LNG MEDIUM FC</v>
      </c>
      <c r="E278" s="547" t="s">
        <v>86</v>
      </c>
      <c r="F278" s="547" t="s">
        <v>82</v>
      </c>
    </row>
    <row r="279" spans="3:6">
      <c r="C279" s="553"/>
      <c r="D279" s="553"/>
      <c r="E279" s="547"/>
      <c r="F279" s="547"/>
    </row>
    <row r="280" spans="3:6">
      <c r="C280" s="553"/>
      <c r="D280" s="553"/>
      <c r="E280" s="547"/>
      <c r="F280" s="547"/>
    </row>
    <row r="281" spans="3:6">
      <c r="C281" s="553"/>
      <c r="D281" s="553"/>
      <c r="E281" s="547"/>
      <c r="F281" s="547"/>
    </row>
    <row r="282" spans="3:6">
      <c r="C282" s="553"/>
      <c r="D282" s="553"/>
      <c r="E282" s="547"/>
      <c r="F282" s="547"/>
    </row>
    <row r="283" spans="3:6">
      <c r="C283" s="553"/>
      <c r="D283" s="553"/>
      <c r="E283" s="547"/>
      <c r="F283" s="547"/>
    </row>
    <row r="284" spans="3:6">
      <c r="C284" s="553"/>
      <c r="D284" s="553"/>
      <c r="E284" s="547"/>
      <c r="F284" s="547"/>
    </row>
    <row r="285" spans="3:6">
      <c r="C285" s="553"/>
      <c r="D285" s="553"/>
      <c r="E285" s="547"/>
      <c r="F285" s="547"/>
    </row>
    <row r="286" spans="3:6">
      <c r="C286" s="553"/>
      <c r="D286" s="553"/>
      <c r="E286" s="547"/>
      <c r="F286" s="547"/>
    </row>
    <row r="287" spans="3:6">
      <c r="C287" s="553"/>
      <c r="D287" s="553"/>
      <c r="E287" s="547"/>
      <c r="F287" s="547"/>
    </row>
    <row r="288" spans="3:6">
      <c r="C288" s="553"/>
      <c r="D288" s="553"/>
      <c r="E288" s="547"/>
      <c r="F288" s="547"/>
    </row>
    <row r="289" spans="3:6">
      <c r="C289" s="553"/>
      <c r="D289" s="553"/>
      <c r="E289" s="547"/>
      <c r="F289" s="547"/>
    </row>
  </sheetData>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BO183"/>
  <sheetViews>
    <sheetView zoomScale="80" zoomScaleNormal="80" workbookViewId="0">
      <pane xSplit="3" ySplit="6" topLeftCell="L17" activePane="bottomRight" state="frozen"/>
      <selection pane="topRight" activeCell="D1" sqref="D1"/>
      <selection pane="bottomLeft" activeCell="A7" sqref="A7"/>
      <selection pane="bottomRight" activeCell="Z4" sqref="Z4:AC4"/>
    </sheetView>
  </sheetViews>
  <sheetFormatPr defaultColWidth="9.33203125" defaultRowHeight="13.2"/>
  <cols>
    <col min="1" max="1" width="9.33203125" style="549"/>
    <col min="2" max="2" width="6.33203125" style="550" customWidth="1"/>
    <col min="3" max="3" width="16.44140625" style="550" customWidth="1"/>
    <col min="4" max="4" width="71.33203125" style="550" bestFit="1" customWidth="1"/>
    <col min="5" max="5" width="16.33203125" style="549" customWidth="1"/>
    <col min="6" max="6" width="11.88671875" style="549" bestFit="1" customWidth="1"/>
    <col min="7" max="7" width="23.88671875" style="549" customWidth="1"/>
    <col min="8" max="8" width="10.44140625" style="549" customWidth="1"/>
    <col min="9" max="10" width="17" style="549" customWidth="1"/>
    <col min="11" max="11" width="12.5546875" style="549" customWidth="1"/>
    <col min="12" max="12" width="9" style="549" customWidth="1"/>
    <col min="13" max="13" width="12.6640625" style="549" customWidth="1"/>
    <col min="14" max="14" width="11.33203125" style="549" customWidth="1"/>
    <col min="15" max="15" width="8" style="549" customWidth="1"/>
    <col min="16" max="17" width="10.33203125" style="549" customWidth="1"/>
    <col min="18" max="18" width="17" style="549" customWidth="1"/>
    <col min="19" max="19" width="14.6640625" style="549" customWidth="1"/>
    <col min="20" max="20" width="9.33203125" style="549" customWidth="1"/>
    <col min="21" max="21" width="11.6640625" style="549" customWidth="1"/>
    <col min="22" max="22" width="10" style="549" customWidth="1"/>
    <col min="23" max="23" width="9.33203125" style="549" customWidth="1"/>
    <col min="24" max="24" width="10.33203125" style="549" customWidth="1"/>
    <col min="25" max="25" width="13.33203125" style="549" bestFit="1" customWidth="1"/>
    <col min="26" max="29" width="13.33203125" style="549" customWidth="1"/>
    <col min="30" max="30" width="9.5546875" style="549" bestFit="1" customWidth="1"/>
    <col min="31" max="31" width="14.88671875" style="549" bestFit="1" customWidth="1"/>
    <col min="32" max="32" width="13.5546875" style="549" bestFit="1" customWidth="1"/>
    <col min="33" max="33" width="12" style="549" bestFit="1" customWidth="1"/>
    <col min="34" max="37" width="9.33203125" style="549"/>
    <col min="38" max="38" width="13.33203125" style="549" customWidth="1"/>
    <col min="39" max="42" width="9.33203125" style="549"/>
    <col min="46" max="46" width="10.88671875" bestFit="1" customWidth="1"/>
    <col min="47" max="47" width="10.109375" customWidth="1"/>
    <col min="68" max="16384" width="9.33203125" style="549"/>
  </cols>
  <sheetData>
    <row r="1" spans="3:67">
      <c r="I1" s="526" t="s">
        <v>1222</v>
      </c>
      <c r="J1" s="526" t="s">
        <v>1222</v>
      </c>
      <c r="K1" s="526" t="s">
        <v>1223</v>
      </c>
      <c r="L1" s="526" t="s">
        <v>1223</v>
      </c>
      <c r="M1" s="526" t="s">
        <v>1224</v>
      </c>
      <c r="N1" s="526" t="s">
        <v>1224</v>
      </c>
      <c r="R1" s="526"/>
      <c r="AE1" s="526"/>
      <c r="AF1" s="526" t="s">
        <v>1212</v>
      </c>
      <c r="AQ1" s="549"/>
      <c r="AR1" s="549"/>
      <c r="AS1" s="549"/>
      <c r="AT1" s="549"/>
      <c r="AU1" s="549"/>
      <c r="AV1" s="549"/>
      <c r="AW1" s="549"/>
      <c r="AX1" s="549"/>
      <c r="AY1" s="549"/>
      <c r="AZ1" s="549"/>
      <c r="BA1" s="549"/>
      <c r="BB1" s="549"/>
      <c r="BC1" s="549"/>
      <c r="BD1" s="549"/>
      <c r="BE1" s="549"/>
      <c r="BF1" s="549"/>
      <c r="BG1" s="549"/>
      <c r="BH1" s="549"/>
      <c r="BI1" s="549"/>
      <c r="BJ1" s="549"/>
      <c r="BK1" s="549"/>
      <c r="BL1" s="549"/>
      <c r="BM1" s="549"/>
      <c r="BN1" s="549"/>
      <c r="BO1" s="549"/>
    </row>
    <row r="2" spans="3:67">
      <c r="I2" s="526"/>
      <c r="R2" s="526"/>
    </row>
    <row r="3" spans="3:67">
      <c r="H3" s="2" t="s">
        <v>0</v>
      </c>
      <c r="I3" s="2"/>
      <c r="J3" s="2"/>
      <c r="K3" s="2"/>
      <c r="M3" s="550"/>
      <c r="P3" s="1231"/>
      <c r="Q3" s="1231"/>
    </row>
    <row r="4" spans="3:67" ht="24" customHeight="1">
      <c r="C4" s="1156" t="s">
        <v>1</v>
      </c>
      <c r="D4" s="1267" t="s">
        <v>1342</v>
      </c>
      <c r="E4" s="1156" t="s">
        <v>2</v>
      </c>
      <c r="F4" s="1156" t="s">
        <v>3</v>
      </c>
      <c r="G4" s="1156" t="s">
        <v>957</v>
      </c>
      <c r="H4" s="1232" t="s">
        <v>219</v>
      </c>
      <c r="I4" s="1232" t="s">
        <v>958</v>
      </c>
      <c r="J4" s="1232" t="s">
        <v>991</v>
      </c>
      <c r="K4" s="1232" t="s">
        <v>959</v>
      </c>
      <c r="L4" s="1232" t="s">
        <v>960</v>
      </c>
      <c r="M4" s="1232" t="s">
        <v>961</v>
      </c>
      <c r="N4" s="1232" t="s">
        <v>962</v>
      </c>
      <c r="O4" s="1232" t="s">
        <v>10</v>
      </c>
      <c r="P4" s="1233" t="s">
        <v>6</v>
      </c>
      <c r="Q4" s="1234" t="s">
        <v>4</v>
      </c>
      <c r="R4" s="1235" t="s">
        <v>7</v>
      </c>
      <c r="S4" s="1235" t="s">
        <v>963</v>
      </c>
      <c r="T4" s="1232" t="s">
        <v>965</v>
      </c>
      <c r="U4" s="1232" t="s">
        <v>5</v>
      </c>
      <c r="V4" s="1235" t="s">
        <v>964</v>
      </c>
      <c r="W4" s="1235" t="s">
        <v>966</v>
      </c>
      <c r="X4" s="1235" t="s">
        <v>897</v>
      </c>
      <c r="Y4" s="1156" t="s">
        <v>505</v>
      </c>
      <c r="Z4" s="43" t="s">
        <v>1497</v>
      </c>
      <c r="AA4" s="43" t="s">
        <v>1498</v>
      </c>
      <c r="AB4" s="43" t="s">
        <v>1499</v>
      </c>
      <c r="AC4" s="43" t="s">
        <v>1500</v>
      </c>
      <c r="AE4" s="43" t="s">
        <v>1461</v>
      </c>
      <c r="AF4" s="549" t="s">
        <v>1172</v>
      </c>
      <c r="AG4" s="549" t="s">
        <v>1244</v>
      </c>
      <c r="AH4" s="549" t="s">
        <v>1136</v>
      </c>
      <c r="AI4" s="549" t="s">
        <v>762</v>
      </c>
    </row>
    <row r="5" spans="3:67" ht="31.2" thickBot="1">
      <c r="C5" s="551" t="s">
        <v>967</v>
      </c>
      <c r="D5" s="20" t="s">
        <v>71</v>
      </c>
      <c r="E5" s="551"/>
      <c r="F5" s="551"/>
      <c r="G5" s="551"/>
      <c r="H5" s="1236" t="s">
        <v>968</v>
      </c>
      <c r="I5" s="551" t="s">
        <v>969</v>
      </c>
      <c r="J5" s="551" t="s">
        <v>969</v>
      </c>
      <c r="K5" s="551" t="s">
        <v>970</v>
      </c>
      <c r="L5" s="551" t="s">
        <v>970</v>
      </c>
      <c r="M5" s="551" t="s">
        <v>971</v>
      </c>
      <c r="N5" s="551" t="s">
        <v>971</v>
      </c>
      <c r="O5" s="551" t="s">
        <v>14</v>
      </c>
      <c r="P5" s="551" t="s">
        <v>972</v>
      </c>
      <c r="Q5" s="551" t="s">
        <v>973</v>
      </c>
      <c r="R5" s="551" t="s">
        <v>974</v>
      </c>
      <c r="S5" s="551" t="s">
        <v>975</v>
      </c>
      <c r="T5" s="551" t="s">
        <v>976</v>
      </c>
      <c r="U5" s="551"/>
      <c r="V5" s="551" t="s">
        <v>975</v>
      </c>
      <c r="W5" s="551" t="s">
        <v>975</v>
      </c>
      <c r="X5" s="551" t="s">
        <v>975</v>
      </c>
      <c r="Y5" s="551" t="s">
        <v>91</v>
      </c>
      <c r="Z5" s="949" t="s">
        <v>1460</v>
      </c>
      <c r="AA5" s="949" t="s">
        <v>1460</v>
      </c>
      <c r="AB5" s="949" t="s">
        <v>1460</v>
      </c>
      <c r="AC5" s="949" t="s">
        <v>1460</v>
      </c>
    </row>
    <row r="6" spans="3:67" ht="24.75" customHeight="1" thickBot="1">
      <c r="C6" s="551" t="s">
        <v>11</v>
      </c>
      <c r="D6" s="551"/>
      <c r="E6" s="1442"/>
      <c r="F6" s="1442"/>
      <c r="G6" s="1442"/>
      <c r="H6" s="1443" t="s">
        <v>977</v>
      </c>
      <c r="I6" s="1442" t="s">
        <v>1024</v>
      </c>
      <c r="J6" s="1442" t="s">
        <v>1024</v>
      </c>
      <c r="K6" s="1442" t="s">
        <v>979</v>
      </c>
      <c r="L6" s="1442" t="s">
        <v>979</v>
      </c>
      <c r="M6" s="1442" t="s">
        <v>980</v>
      </c>
      <c r="N6" s="1442" t="s">
        <v>980</v>
      </c>
      <c r="O6" s="1442"/>
      <c r="P6" s="1442" t="s">
        <v>1025</v>
      </c>
      <c r="Q6" s="1442" t="s">
        <v>982</v>
      </c>
      <c r="R6" s="1442" t="s">
        <v>982</v>
      </c>
      <c r="S6" s="1442"/>
      <c r="T6" s="1442" t="s">
        <v>983</v>
      </c>
      <c r="U6" s="1442"/>
      <c r="V6" s="1442"/>
      <c r="W6" s="1442"/>
      <c r="X6" s="1442"/>
      <c r="Y6" s="1444"/>
      <c r="Z6" s="1530"/>
      <c r="AA6" s="1530"/>
      <c r="AB6" s="1530"/>
      <c r="AC6" s="1530"/>
      <c r="AM6" s="654" t="s">
        <v>1225</v>
      </c>
      <c r="AQ6" s="549"/>
      <c r="AR6" s="549"/>
      <c r="AS6" s="549"/>
      <c r="AT6" s="549"/>
      <c r="AU6" s="549"/>
      <c r="AV6" s="549"/>
      <c r="AW6" s="549"/>
      <c r="AX6" s="549"/>
    </row>
    <row r="7" spans="3:67" ht="13.8" thickBot="1">
      <c r="C7" s="552" t="str">
        <f>"TFS"&amp;LEFT(AH7,1)&amp;AI7&amp;RIGHT(F7,2)&amp;MID(G7,3,1)&amp;"N"</f>
        <v>TFSIFOICLI1N</v>
      </c>
      <c r="D7" s="552"/>
      <c r="E7" s="534" t="s">
        <v>984</v>
      </c>
      <c r="F7" s="531" t="s">
        <v>1130</v>
      </c>
      <c r="G7" s="531">
        <v>2010</v>
      </c>
      <c r="H7" s="1237" t="s">
        <v>986</v>
      </c>
      <c r="I7" s="1237">
        <f>INDEX(TRA_Ship_Freight_INT!$AO$10:$AX$13,MATCH($F7,TRA_Ship_Freight_INT!$AN$10:$AN$13,0),MATCH(I$1,TRA_Ship_Freight_INT!$AO$8:$AX$8,0))</f>
        <v>31739.303030303032</v>
      </c>
      <c r="J7" s="1237">
        <f t="array" ref="J7">INDEX(TRA_Ship_Freight_INT!$AO$10:$AX$13,MATCH($F7,TRA_Ship_Freight_INT!$AN$10:$AN$13,0),MATCH(J$1,TRA_Ship_Freight_INT!$AO$8:$AX$8,0))</f>
        <v>31739.303030303032</v>
      </c>
      <c r="K7" s="1239">
        <f t="array" ref="K7">INDEX(TRA_Ship_Freight_INT!$AO$10:$AX$13,MATCH($F7,TRA_Ship_Freight_INT!$AN$10:$AN$13,0),MATCH($G7&amp;K$1,TRA_Ship_Freight_INT!$AO$8:$AX$8,0))*1.852*8760*ShipData!$E$18</f>
        <v>194682.24000000002</v>
      </c>
      <c r="L7" s="1239">
        <f t="array" ref="L7">INDEX(TRA_Ship_Freight_INT!$AO$10:$AX$13,MATCH($F7,TRA_Ship_Freight_INT!$AN$10:$AN$13,0),MATCH($G7&amp;L$1,TRA_Ship_Freight_INT!$AO$8:$AX$8,0))*1.852*8760*ShipData!$E$18</f>
        <v>194682.24000000002</v>
      </c>
      <c r="M7" s="1241">
        <f t="array" ref="M7">1/(INDEX(TRA_Ship_Freight_INT!$AO$10:$AX$13,MATCH($F7,TRA_Ship_Freight_INT!$AN$10:$AN$13,0),MATCH($G7&amp;M$1,TRA_Ship_Freight_INT!$AO$8:$AX$8,0))/1.852)</f>
        <v>0.40440986117839922</v>
      </c>
      <c r="N7" s="1241">
        <f t="array" ref="N7">1/(INDEX(TRA_Ship_Freight_INT!$AO$10:$AX$13,MATCH($F7,TRA_Ship_Freight_INT!$AN$10:$AN$13,0),MATCH($G7&amp;N$1,TRA_Ship_Freight_INT!$AO$8:$AX$8,0))/1.852)</f>
        <v>0.40440986117839922</v>
      </c>
      <c r="O7" s="1237">
        <v>30</v>
      </c>
      <c r="P7" s="1239"/>
      <c r="Q7" s="1239">
        <v>7223.0632100000003</v>
      </c>
      <c r="R7" s="1239">
        <f>(AG7*(ShipData!$Q$19+ShipData!$Q$30)+(K7*0.1*(1/M7)*ShipData!$Q$41))*6.5/1000</f>
        <v>212408.38169254625</v>
      </c>
      <c r="S7" s="1237"/>
      <c r="T7" s="1237">
        <v>1E-3</v>
      </c>
      <c r="U7" s="1278">
        <v>2012</v>
      </c>
      <c r="V7" s="552"/>
      <c r="W7" s="1240"/>
      <c r="Z7" s="1530">
        <f t="array" ref="Z7">INDEX(EMIS_factors!$G$6:$O$152,MATCH($G7&amp;$AE7,EMIS_factors!$E$6:$E$152&amp;EMIS_factors!$D$6:$D$152,0),MATCH(RIGHT(Z$4,6),EMIS_factors!$G$4:$O$4,0))</f>
        <v>46.838407494145208</v>
      </c>
      <c r="AA7" s="1530">
        <f t="array" ref="AA7">INDEX(EMIS_factors!$G$6:$O$152,MATCH($G7&amp;$AE7,EMIS_factors!$E$6:$E$152&amp;EMIS_factors!$D$6:$D$152,0),MATCH(RIGHT(AA$4,6),EMIS_factors!$G$4:$O$4,0))</f>
        <v>1576.9540522622719</v>
      </c>
      <c r="AB7" s="1530">
        <f t="array" ref="AB7">INDEX(EMIS_factors!$G$6:$O$152,MATCH($G7&amp;$AE7,EMIS_factors!$E$6:$E$152&amp;EMIS_factors!$D$6:$D$152,0),MATCH(RIGHT(AB$4,6),EMIS_factors!$G$4:$O$4,0))</f>
        <v>1.7612014026457654</v>
      </c>
      <c r="AC7" s="1530">
        <f t="array" ref="AC7">INDEX(EMIS_factors!$G$6:$O$152,MATCH($G7&amp;$AE7,EMIS_factors!$E$6:$E$152&amp;EMIS_factors!$D$6:$D$152,0),MATCH(RIGHT(AC$4,6),EMIS_factors!$G$4:$O$4,0))</f>
        <v>21.22370326738832</v>
      </c>
      <c r="AD7" s="1295"/>
      <c r="AE7" s="526" t="s">
        <v>1462</v>
      </c>
      <c r="AF7" s="1265">
        <f t="array" ref="AF7">INDEX(TRA_Ship_Freight_INT!$AO$10:$AX$13,MATCH($F7,TRA_Ship_Freight_INT!$AN$10:$AN$13,0),MATCH(AF$1,TRA_Ship_Freight_INT!$AO$8:$AX$8,0))/1000</f>
        <v>61.43090909090909</v>
      </c>
      <c r="AG7" s="549">
        <f>(AF7^ShipData!$X$39)*0.756*ShipData!$W$39</f>
        <v>12492.539122598679</v>
      </c>
      <c r="AH7" s="526" t="s">
        <v>496</v>
      </c>
      <c r="AI7" s="526" t="s">
        <v>1249</v>
      </c>
      <c r="AJ7" s="549" t="s">
        <v>1144</v>
      </c>
      <c r="AQ7" s="549"/>
      <c r="AR7" s="549"/>
      <c r="AS7" s="549"/>
      <c r="AT7" s="549"/>
      <c r="AU7" s="549"/>
      <c r="AV7" s="549"/>
      <c r="AW7" s="549"/>
      <c r="AX7" s="549"/>
    </row>
    <row r="8" spans="3:67">
      <c r="C8" s="1253"/>
      <c r="D8" s="552"/>
      <c r="E8" s="1429" t="s">
        <v>987</v>
      </c>
      <c r="F8" s="1430" t="str">
        <f>F7</f>
        <v>TFSLI</v>
      </c>
      <c r="G8" s="1430">
        <v>2030</v>
      </c>
      <c r="H8" s="1431" t="s">
        <v>986</v>
      </c>
      <c r="I8" s="1431">
        <f t="array" ref="I8">INDEX(TRA_Ship_Freight_INT!$AO$10:$AX$13,MATCH($F8,TRA_Ship_Freight_INT!$AN$10:$AN$13,0),MATCH(I$1,TRA_Ship_Freight_INT!$AO$8:$AX$8,0))</f>
        <v>31739.303030303032</v>
      </c>
      <c r="J8" s="1431">
        <f t="array" ref="J8">INDEX(TRA_Ship_Freight_INT!$AO$10:$AX$13,MATCH($F8,TRA_Ship_Freight_INT!$AN$10:$AN$13,0),MATCH(J$1,TRA_Ship_Freight_INT!$AO$8:$AX$8,0))</f>
        <v>31739.303030303032</v>
      </c>
      <c r="K8" s="1434">
        <f t="array" ref="K8">INDEX(TRA_Ship_Freight_INT!$AO$10:$AX$13,MATCH($F8,TRA_Ship_Freight_INT!$AN$10:$AN$13,0),MATCH($G8&amp;K$1,TRA_Ship_Freight_INT!$AO$8:$AX$8,0))*1.852*8760*ShipData!$E$18</f>
        <v>166453.31520000004</v>
      </c>
      <c r="L8" s="1434">
        <f t="array" ref="L8">INDEX(TRA_Ship_Freight_INT!$AO$10:$AX$13,MATCH($F8,TRA_Ship_Freight_INT!$AN$10:$AN$13,0),MATCH($G8&amp;L$1,TRA_Ship_Freight_INT!$AO$8:$AX$8,0))*1.852*8760*ShipData!$E$18</f>
        <v>166453.31520000004</v>
      </c>
      <c r="M8" s="1445">
        <f t="array" ref="M8">1/(INDEX(TRA_Ship_Freight_INT!$AO$10:$AX$13,MATCH($F8,TRA_Ship_Freight_INT!$AN$10:$AN$13,0),MATCH($G8&amp;M$1,TRA_Ship_Freight_INT!$AO$8:$AX$8,0))/1.852)</f>
        <v>0.67094968292886403</v>
      </c>
      <c r="N8" s="1445">
        <f t="array" ref="N8">1/(INDEX(TRA_Ship_Freight_INT!$AO$10:$AX$13,MATCH($F8,TRA_Ship_Freight_INT!$AN$10:$AN$13,0),MATCH($G8&amp;N$1,TRA_Ship_Freight_INT!$AO$8:$AX$8,0))/1.852)</f>
        <v>0.67094968292886403</v>
      </c>
      <c r="O8" s="1431">
        <v>30</v>
      </c>
      <c r="P8" s="1434"/>
      <c r="Q8" s="1434">
        <v>7224.0632100000021</v>
      </c>
      <c r="R8" s="1434">
        <f>(AG8*(ShipData!$Q$19+ShipData!$Q$30)+(K8*0.1*(1/M8)*ShipData!$Q$41))*6.5/1000</f>
        <v>208617.05823290968</v>
      </c>
      <c r="S8" s="1431"/>
      <c r="T8" s="1431">
        <v>1E-3</v>
      </c>
      <c r="U8" s="1446"/>
      <c r="V8" s="1428"/>
      <c r="W8" s="1447"/>
      <c r="X8" s="1428"/>
      <c r="Y8" s="1428"/>
      <c r="Z8" s="1530">
        <f t="array" ref="Z8">INDEX(EMIS_factors!$G$6:$O$152,MATCH($G8&amp;$AE8,EMIS_factors!$E$6:$E$152&amp;EMIS_factors!$D$6:$D$152,0),MATCH(RIGHT(Z$4,6),EMIS_factors!$G$4:$O$4,0))</f>
        <v>46.838407494145208</v>
      </c>
      <c r="AA8" s="1530">
        <f t="array" ref="AA8">INDEX(EMIS_factors!$G$6:$O$152,MATCH($G8&amp;$AE8,EMIS_factors!$E$6:$E$152&amp;EMIS_factors!$D$6:$D$152,0),MATCH(RIGHT(AA$4,6),EMIS_factors!$G$4:$O$4,0))</f>
        <v>938.56734047344298</v>
      </c>
      <c r="AB8" s="1530">
        <f t="array" ref="AB8">INDEX(EMIS_factors!$G$6:$O$152,MATCH($G8&amp;$AE8,EMIS_factors!$E$6:$E$152&amp;EMIS_factors!$D$6:$D$152,0),MATCH(RIGHT(AB$4,6),EMIS_factors!$G$4:$O$4,0))</f>
        <v>1.9042584079204421</v>
      </c>
      <c r="AC8" s="1530">
        <f t="array" ref="AC8">INDEX(EMIS_factors!$G$6:$O$152,MATCH($G8&amp;$AE8,EMIS_factors!$E$6:$E$152&amp;EMIS_factors!$D$6:$D$152,0),MATCH(RIGHT(AC$4,6),EMIS_factors!$G$4:$O$4,0))</f>
        <v>21.22370326738832</v>
      </c>
      <c r="AD8" s="1295"/>
      <c r="AE8" s="526" t="s">
        <v>1462</v>
      </c>
      <c r="AF8" s="1265">
        <f>INDEX(TRA_Ship_Freight_INT!$AO$10:$AX$13,MATCH($F8,TRA_Ship_Freight_INT!$AN$10:$AN$13,0),MATCH(AF$1,TRA_Ship_Freight_INT!$AO$8:$AX$8,0))/1000</f>
        <v>61.43090909090909</v>
      </c>
      <c r="AG8" s="549">
        <f t="array" ref="AG8">(AF8^ShipData!$X$39)*0.756*ShipData!$W$39</f>
        <v>12492.539122598679</v>
      </c>
      <c r="AH8" s="526" t="s">
        <v>496</v>
      </c>
      <c r="AI8" s="526" t="s">
        <v>1249</v>
      </c>
      <c r="AJ8" s="549" t="s">
        <v>1144</v>
      </c>
      <c r="AM8" s="1311"/>
      <c r="AN8" s="1315"/>
      <c r="AO8" s="1255" t="s">
        <v>1212</v>
      </c>
      <c r="AP8" s="1255" t="s">
        <v>1222</v>
      </c>
      <c r="AQ8" s="1255" t="s">
        <v>1213</v>
      </c>
      <c r="AR8" s="1255" t="s">
        <v>78</v>
      </c>
      <c r="AS8" s="1255" t="s">
        <v>1216</v>
      </c>
      <c r="AT8" s="1255" t="s">
        <v>1217</v>
      </c>
      <c r="AU8" s="1255" t="s">
        <v>1218</v>
      </c>
      <c r="AV8" s="1255" t="s">
        <v>1219</v>
      </c>
      <c r="AW8" s="1255" t="s">
        <v>1220</v>
      </c>
      <c r="AX8" s="1304" t="s">
        <v>1221</v>
      </c>
    </row>
    <row r="9" spans="3:67">
      <c r="C9" s="552" t="str">
        <f>"TFS"&amp;LEFT(AH9,1)&amp;AI9&amp;RIGHT(F9,2)&amp;MID(G9,3,1)&amp;"N"</f>
        <v>TFSIFOICDI1N</v>
      </c>
      <c r="D9" s="552"/>
      <c r="E9" s="534" t="s">
        <v>984</v>
      </c>
      <c r="F9" s="531" t="s">
        <v>1131</v>
      </c>
      <c r="G9" s="531">
        <v>2010</v>
      </c>
      <c r="H9" s="1237" t="s">
        <v>986</v>
      </c>
      <c r="I9" s="1237">
        <f t="array" ref="I9">INDEX(TRA_Ship_Freight_INT!$AO$10:$AX$13,MATCH($F9,TRA_Ship_Freight_INT!$AN$10:$AN$13,0),MATCH(I$1,TRA_Ship_Freight_INT!$AO$8:$AX$8,0))</f>
        <v>24851.199999999997</v>
      </c>
      <c r="J9" s="1237">
        <f t="array" ref="J9">INDEX(TRA_Ship_Freight_INT!$AO$10:$AX$13,MATCH($F9,TRA_Ship_Freight_INT!$AN$10:$AN$13,0),MATCH(J$1,TRA_Ship_Freight_INT!$AO$8:$AX$8,0))</f>
        <v>24851.199999999997</v>
      </c>
      <c r="K9" s="1239">
        <f t="array" ref="K9">INDEX(TRA_Ship_Freight_INT!$AO$10:$AX$13,MATCH($F9,TRA_Ship_Freight_INT!$AN$10:$AN$13,0),MATCH($G9&amp;K$1,TRA_Ship_Freight_INT!$AO$8:$AX$8,0))*1.852*8760*ShipData!$E$18</f>
        <v>185732.56076912995</v>
      </c>
      <c r="L9" s="1239">
        <f t="array" ref="L9">INDEX(TRA_Ship_Freight_INT!$AO$10:$AX$13,MATCH($F9,TRA_Ship_Freight_INT!$AN$10:$AN$13,0),MATCH($G9&amp;L$1,TRA_Ship_Freight_INT!$AO$8:$AX$8,0))*1.852*8760*ShipData!$E$18</f>
        <v>185732.56076912995</v>
      </c>
      <c r="M9" s="1241">
        <f t="array" ref="M9">1/(INDEX(TRA_Ship_Freight_INT!$AO$10:$AX$13,MATCH($F9,TRA_Ship_Freight_INT!$AN$10:$AN$13,0),MATCH($G9&amp;M$1,TRA_Ship_Freight_INT!$AO$8:$AX$8,0))/1.852)</f>
        <v>0.49242394053296357</v>
      </c>
      <c r="N9" s="1241">
        <f t="array" ref="N9">1/(INDEX(TRA_Ship_Freight_INT!$AO$10:$AX$13,MATCH($F9,TRA_Ship_Freight_INT!$AN$10:$AN$13,0),MATCH($G9&amp;N$1,TRA_Ship_Freight_INT!$AO$8:$AX$8,0))/1.852)</f>
        <v>0.49242394053296357</v>
      </c>
      <c r="O9" s="1237">
        <v>30</v>
      </c>
      <c r="P9" s="1265"/>
      <c r="Q9" s="1239">
        <f>0.035*R9</f>
        <v>5962.6856594753053</v>
      </c>
      <c r="R9" s="1239">
        <f>(AG9*(ShipData!$Q$19+ShipData!$Q$30)+(K9*0.1*(1/M9)*ShipData!$Q$41))*6.5/1000</f>
        <v>170362.44741358014</v>
      </c>
      <c r="S9" s="1237"/>
      <c r="T9" s="1237">
        <v>1E-3</v>
      </c>
      <c r="U9" s="1278">
        <v>2012</v>
      </c>
      <c r="V9" s="552"/>
      <c r="W9" s="1240"/>
      <c r="Z9" s="1530">
        <f t="array" ref="Z9">INDEX(EMIS_factors!$G$6:$O$152,MATCH($G9&amp;$AE9,EMIS_factors!$E$6:$E$152&amp;EMIS_factors!$D$6:$D$152,0),MATCH(RIGHT(Z$4,6),EMIS_factors!$G$4:$O$4,0))</f>
        <v>46.838407494145208</v>
      </c>
      <c r="AA9" s="1530">
        <f t="array" ref="AA9">INDEX(EMIS_factors!$G$6:$O$152,MATCH($G9&amp;$AE9,EMIS_factors!$E$6:$E$152&amp;EMIS_factors!$D$6:$D$152,0),MATCH(RIGHT(AA$4,6),EMIS_factors!$G$4:$O$4,0))</f>
        <v>1576.9540522622719</v>
      </c>
      <c r="AB9" s="1530">
        <f t="array" ref="AB9">INDEX(EMIS_factors!$G$6:$O$152,MATCH($G9&amp;$AE9,EMIS_factors!$E$6:$E$152&amp;EMIS_factors!$D$6:$D$152,0),MATCH(RIGHT(AB$4,6),EMIS_factors!$G$4:$O$4,0))</f>
        <v>1.7612014026457654</v>
      </c>
      <c r="AC9" s="1530">
        <f t="array" ref="AC9">INDEX(EMIS_factors!$G$6:$O$152,MATCH($G9&amp;$AE9,EMIS_factors!$E$6:$E$152&amp;EMIS_factors!$D$6:$D$152,0),MATCH(RIGHT(AC$4,6),EMIS_factors!$G$4:$O$4,0))</f>
        <v>21.22370326738832</v>
      </c>
      <c r="AD9" s="1295"/>
      <c r="AE9" s="526" t="s">
        <v>1462</v>
      </c>
      <c r="AF9" s="1265">
        <f>INDEX(TRA_Ship_Freight_INT!$AO$10:$AX$13,MATCH($F9,TRA_Ship_Freight_INT!$AN$10:$AN$13,0),MATCH(AF$1,TRA_Ship_Freight_INT!$AO$8:$AX$8,0))/1000</f>
        <v>45.183999999999997</v>
      </c>
      <c r="AG9" s="549">
        <f t="array" ref="AG9">(AF9^ShipData!$X$38)*ShipData!$W$38*0.746</f>
        <v>10028.515953319025</v>
      </c>
      <c r="AH9" s="526" t="s">
        <v>496</v>
      </c>
      <c r="AI9" s="526" t="s">
        <v>1249</v>
      </c>
      <c r="AJ9" s="549" t="s">
        <v>1144</v>
      </c>
      <c r="AM9" s="1312"/>
      <c r="AN9" s="1316"/>
      <c r="AO9" s="1247" t="s">
        <v>1214</v>
      </c>
      <c r="AP9" s="1247" t="s">
        <v>1214</v>
      </c>
      <c r="AQ9" s="1247" t="s">
        <v>26</v>
      </c>
      <c r="AR9" s="1247" t="s">
        <v>1215</v>
      </c>
      <c r="AS9" s="1247" t="s">
        <v>316</v>
      </c>
      <c r="AT9" s="1247" t="s">
        <v>316</v>
      </c>
      <c r="AU9" s="1247" t="s">
        <v>316</v>
      </c>
      <c r="AV9" s="1247" t="s">
        <v>322</v>
      </c>
      <c r="AW9" s="1247" t="s">
        <v>322</v>
      </c>
      <c r="AX9" s="1310" t="s">
        <v>322</v>
      </c>
    </row>
    <row r="10" spans="3:67">
      <c r="C10" s="552"/>
      <c r="D10" s="552"/>
      <c r="E10" s="1429" t="s">
        <v>987</v>
      </c>
      <c r="F10" s="1430" t="str">
        <f>F9</f>
        <v>TFSDI</v>
      </c>
      <c r="G10" s="1430">
        <v>2030</v>
      </c>
      <c r="H10" s="1431" t="s">
        <v>986</v>
      </c>
      <c r="I10" s="1431">
        <f t="array" ref="I10">INDEX(TRA_Ship_Freight_INT!$AO$10:$AX$13,MATCH($F10,TRA_Ship_Freight_INT!$AN$10:$AN$13,0),MATCH(I$1,TRA_Ship_Freight_INT!$AO$8:$AX$8,0))</f>
        <v>24851.199999999997</v>
      </c>
      <c r="J10" s="1431">
        <f t="array" ref="J10">INDEX(TRA_Ship_Freight_INT!$AO$10:$AX$13,MATCH($F10,TRA_Ship_Freight_INT!$AN$10:$AN$13,0),MATCH(J$1,TRA_Ship_Freight_INT!$AO$8:$AX$8,0))</f>
        <v>24851.199999999997</v>
      </c>
      <c r="K10" s="1434">
        <f t="array" ref="K10">INDEX(TRA_Ship_Freight_INT!$AO$10:$AX$13,MATCH($F10,TRA_Ship_Freight_INT!$AN$10:$AN$13,0),MATCH($G10&amp;K$1,TRA_Ship_Freight_INT!$AO$8:$AX$8,0))*1.852*8760*ShipData!$E$18</f>
        <v>167159.30469221697</v>
      </c>
      <c r="L10" s="1434">
        <f t="array" ref="L10">INDEX(TRA_Ship_Freight_INT!$AO$10:$AX$13,MATCH($F10,TRA_Ship_Freight_INT!$AN$10:$AN$13,0),MATCH($G10&amp;L$1,TRA_Ship_Freight_INT!$AO$8:$AX$8,0))*1.852*8760*ShipData!$E$18</f>
        <v>167159.30469221697</v>
      </c>
      <c r="M10" s="1445">
        <f t="array" ref="M10">1/(INDEX(TRA_Ship_Freight_INT!$AO$10:$AX$13,MATCH($F10,TRA_Ship_Freight_INT!$AN$10:$AN$13,0),MATCH($G10&amp;M$1,TRA_Ship_Freight_INT!$AO$8:$AX$8,0))/1.852)</f>
        <v>0.67616238190178735</v>
      </c>
      <c r="N10" s="1445">
        <f t="array" ref="N10">1/(INDEX(TRA_Ship_Freight_INT!$AO$10:$AX$13,MATCH($F10,TRA_Ship_Freight_INT!$AN$10:$AN$13,0),MATCH($G10&amp;N$1,TRA_Ship_Freight_INT!$AO$8:$AX$8,0))/1.852)</f>
        <v>0.67616238190178735</v>
      </c>
      <c r="O10" s="1431">
        <v>30</v>
      </c>
      <c r="P10" s="1448"/>
      <c r="Q10" s="1434">
        <v>6844.1214240000018</v>
      </c>
      <c r="R10" s="1434">
        <f>(AG10*(ShipData!$Q$19+ShipData!$Q$30)+(K10*0.1*(1/M10)*ShipData!$Q$41))*6.5/1000</f>
        <v>168250.55667492378</v>
      </c>
      <c r="S10" s="1431"/>
      <c r="T10" s="1431">
        <v>1E-3</v>
      </c>
      <c r="U10" s="1446"/>
      <c r="V10" s="1428"/>
      <c r="W10" s="1447"/>
      <c r="X10" s="1449"/>
      <c r="Y10" s="1428"/>
      <c r="Z10" s="1530">
        <f t="array" ref="Z10">INDEX(EMIS_factors!$G$6:$O$152,MATCH($G10&amp;$AE10,EMIS_factors!$E$6:$E$152&amp;EMIS_factors!$D$6:$D$152,0),MATCH(RIGHT(Z$4,6),EMIS_factors!$G$4:$O$4,0))</f>
        <v>46.838407494145208</v>
      </c>
      <c r="AA10" s="1530">
        <f t="array" ref="AA10">INDEX(EMIS_factors!$G$6:$O$152,MATCH($G10&amp;$AE10,EMIS_factors!$E$6:$E$152&amp;EMIS_factors!$D$6:$D$152,0),MATCH(RIGHT(AA$4,6),EMIS_factors!$G$4:$O$4,0))</f>
        <v>938.56734047344298</v>
      </c>
      <c r="AB10" s="1530">
        <f t="array" ref="AB10">INDEX(EMIS_factors!$G$6:$O$152,MATCH($G10&amp;$AE10,EMIS_factors!$E$6:$E$152&amp;EMIS_factors!$D$6:$D$152,0),MATCH(RIGHT(AB$4,6),EMIS_factors!$G$4:$O$4,0))</f>
        <v>1.9042584079204421</v>
      </c>
      <c r="AC10" s="1530">
        <f t="array" ref="AC10">INDEX(EMIS_factors!$G$6:$O$152,MATCH($G10&amp;$AE10,EMIS_factors!$E$6:$E$152&amp;EMIS_factors!$D$6:$D$152,0),MATCH(RIGHT(AC$4,6),EMIS_factors!$G$4:$O$4,0))</f>
        <v>21.22370326738832</v>
      </c>
      <c r="AD10" s="1295"/>
      <c r="AE10" s="526" t="s">
        <v>1462</v>
      </c>
      <c r="AF10" s="1265">
        <f>INDEX(TRA_Ship_Freight_INT!$AO$10:$AX$13,MATCH($F10,TRA_Ship_Freight_INT!$AN$10:$AN$13,0),MATCH(AF$1,TRA_Ship_Freight_INT!$AO$8:$AX$8,0))/1000</f>
        <v>45.183999999999997</v>
      </c>
      <c r="AG10" s="549">
        <f t="array" ref="AG10">(AF10^ShipData!$X$38)*ShipData!$W$38*0.746</f>
        <v>10028.515953319025</v>
      </c>
      <c r="AH10" s="526" t="s">
        <v>496</v>
      </c>
      <c r="AI10" s="526" t="s">
        <v>1249</v>
      </c>
      <c r="AJ10" s="549" t="s">
        <v>1144</v>
      </c>
      <c r="AM10" s="1313" t="s">
        <v>1209</v>
      </c>
      <c r="AN10" s="1318" t="s">
        <v>1131</v>
      </c>
      <c r="AO10" s="532">
        <f>ShipData!F41</f>
        <v>45184</v>
      </c>
      <c r="AP10" s="532">
        <f>AO10*AQ10</f>
        <v>24851.199999999997</v>
      </c>
      <c r="AQ10" s="552">
        <f>AVERAGE(ShipData!E60:E62)</f>
        <v>0.54999999999999993</v>
      </c>
      <c r="AR10" s="532">
        <f>ShipData!G41/1000</f>
        <v>50131.758829999999</v>
      </c>
      <c r="AS10" s="1305">
        <f>ShipData!P54</f>
        <v>3.7609869211385849</v>
      </c>
      <c r="AT10" s="1305">
        <f>ShipData!Q54</f>
        <v>3.035893517863149</v>
      </c>
      <c r="AU10" s="1305">
        <f>ShipData!R54</f>
        <v>2.7389870385735291</v>
      </c>
      <c r="AV10" s="1305">
        <f>ShipData!P62</f>
        <v>14.310439470682837</v>
      </c>
      <c r="AW10" s="1305">
        <f>ShipData!Q62</f>
        <v>13.594917497148694</v>
      </c>
      <c r="AX10" s="1306">
        <f>ShipData!R62</f>
        <v>12.879395523614553</v>
      </c>
    </row>
    <row r="11" spans="3:67">
      <c r="C11" s="552" t="str">
        <f>"TFS"&amp;LEFT(AH11,1)&amp;AI11&amp;RIGHT(F11,2)&amp;MID(G11,3,1)&amp;"N"</f>
        <v>TFSIFOICCI1N</v>
      </c>
      <c r="D11" s="552"/>
      <c r="E11" s="534" t="s">
        <v>984</v>
      </c>
      <c r="F11" s="531" t="s">
        <v>1132</v>
      </c>
      <c r="G11" s="531">
        <v>2010</v>
      </c>
      <c r="H11" s="1237" t="s">
        <v>986</v>
      </c>
      <c r="I11" s="1237">
        <f t="array" ref="I11">INDEX(TRA_Ship_Freight_INT!$AO$10:$AX$13,MATCH($F11,TRA_Ship_Freight_INT!$AN$10:$AN$13,0),MATCH(I$1,TRA_Ship_Freight_INT!$AO$8:$AX$8,0))</f>
        <v>18571.699999999997</v>
      </c>
      <c r="J11" s="1237">
        <f t="array" ref="J11">INDEX(TRA_Ship_Freight_INT!$AO$10:$AX$13,MATCH($F11,TRA_Ship_Freight_INT!$AN$10:$AN$13,0),MATCH(J$1,TRA_Ship_Freight_INT!$AO$8:$AX$8,0))</f>
        <v>18571.699999999997</v>
      </c>
      <c r="K11" s="1239">
        <f t="array" ref="K11">INDEX(TRA_Ship_Freight_INT!$AO$10:$AX$13,MATCH($F11,TRA_Ship_Freight_INT!$AN$10:$AN$13,0),MATCH($G11&amp;K$1,TRA_Ship_Freight_INT!$AO$8:$AX$8,0))*1.852*8760*ShipData!$E$18</f>
        <v>282191.26273831638</v>
      </c>
      <c r="L11" s="1239">
        <f t="array" ref="L11">INDEX(TRA_Ship_Freight_INT!$AO$10:$AX$13,MATCH($F11,TRA_Ship_Freight_INT!$AN$10:$AN$13,0),MATCH($G11&amp;L$1,TRA_Ship_Freight_INT!$AO$8:$AX$8,0))*1.852*8760*ShipData!$E$18</f>
        <v>282191.26273831638</v>
      </c>
      <c r="M11" s="1241">
        <f t="array" ref="M11">1/(INDEX(TRA_Ship_Freight_INT!$AO$10:$AX$13,MATCH($F11,TRA_Ship_Freight_INT!$AN$10:$AN$13,0),MATCH($G11&amp;M$1,TRA_Ship_Freight_INT!$AO$8:$AX$8,0))/1.852)</f>
        <v>0.26216904939249813</v>
      </c>
      <c r="N11" s="1241">
        <f t="array" ref="N11">1/(INDEX(TRA_Ship_Freight_INT!$AO$10:$AX$13,MATCH($F11,TRA_Ship_Freight_INT!$AN$10:$AN$13,0),MATCH($G11&amp;N$1,TRA_Ship_Freight_INT!$AO$8:$AX$8,0))/1.852)</f>
        <v>0.26216904939249813</v>
      </c>
      <c r="O11" s="1237">
        <v>30</v>
      </c>
      <c r="P11" s="1265"/>
      <c r="Q11" s="1239">
        <f>0.035*R11</f>
        <v>12208.376337023847</v>
      </c>
      <c r="R11" s="1239">
        <f>(AG11*(ShipData!$R$19+ShipData!$R$30)+(K11*0.1*(1/M11)*ShipData!$R$41))*6.5/1000</f>
        <v>348810.75248639559</v>
      </c>
      <c r="S11" s="1237"/>
      <c r="T11" s="1237">
        <v>1E-3</v>
      </c>
      <c r="U11" s="1278">
        <v>2012</v>
      </c>
      <c r="V11" s="552"/>
      <c r="W11" s="1240"/>
      <c r="Z11" s="1530">
        <f t="array" ref="Z11">INDEX(EMIS_factors!$G$6:$O$152,MATCH($G11&amp;$AE11,EMIS_factors!$E$6:$E$152&amp;EMIS_factors!$D$6:$D$152,0),MATCH(RIGHT(Z$4,6),EMIS_factors!$G$4:$O$4,0))</f>
        <v>46.838407494145208</v>
      </c>
      <c r="AA11" s="1530">
        <f t="array" ref="AA11">INDEX(EMIS_factors!$G$6:$O$152,MATCH($G11&amp;$AE11,EMIS_factors!$E$6:$E$152&amp;EMIS_factors!$D$6:$D$152,0),MATCH(RIGHT(AA$4,6),EMIS_factors!$G$4:$O$4,0))</f>
        <v>1576.9540522622719</v>
      </c>
      <c r="AB11" s="1530">
        <f t="array" ref="AB11">INDEX(EMIS_factors!$G$6:$O$152,MATCH($G11&amp;$AE11,EMIS_factors!$E$6:$E$152&amp;EMIS_factors!$D$6:$D$152,0),MATCH(RIGHT(AB$4,6),EMIS_factors!$G$4:$O$4,0))</f>
        <v>1.7612014026457654</v>
      </c>
      <c r="AC11" s="1530">
        <f t="array" ref="AC11">INDEX(EMIS_factors!$G$6:$O$152,MATCH($G11&amp;$AE11,EMIS_factors!$E$6:$E$152&amp;EMIS_factors!$D$6:$D$152,0),MATCH(RIGHT(AC$4,6),EMIS_factors!$G$4:$O$4,0))</f>
        <v>21.22370326738832</v>
      </c>
      <c r="AD11" s="1295"/>
      <c r="AE11" s="526" t="s">
        <v>1462</v>
      </c>
      <c r="AF11" s="1265">
        <f>INDEX(TRA_Ship_Freight_INT!$AO$10:$AX$13,MATCH($F11,TRA_Ship_Freight_INT!$AN$10:$AN$13,0),MATCH(AF$1,TRA_Ship_Freight_INT!$AO$8:$AX$8,0))/1000</f>
        <v>26.530999999999999</v>
      </c>
      <c r="AG11" s="549">
        <f>(AF11^ShipData!$X$36)*ShipData!$W$36*0.746</f>
        <v>25382.523802637832</v>
      </c>
      <c r="AH11" s="526" t="s">
        <v>496</v>
      </c>
      <c r="AI11" s="526" t="s">
        <v>1249</v>
      </c>
      <c r="AJ11" s="549" t="s">
        <v>1145</v>
      </c>
      <c r="AM11" s="1313" t="s">
        <v>1210</v>
      </c>
      <c r="AN11" s="1318" t="s">
        <v>1130</v>
      </c>
      <c r="AO11" s="532">
        <f>ShipData!F42</f>
        <v>61430.909090909088</v>
      </c>
      <c r="AP11" s="532">
        <f>AO11*AQ11</f>
        <v>31739.303030303032</v>
      </c>
      <c r="AQ11" s="552">
        <f>AVERAGE(ShipData!E54:E59)</f>
        <v>0.51666666666666672</v>
      </c>
      <c r="AR11" s="532">
        <f>ShipData!G42/1000</f>
        <v>68611.997780000005</v>
      </c>
      <c r="AS11" s="1305">
        <f>ShipData!P55</f>
        <v>4.5795124644179204</v>
      </c>
      <c r="AT11" s="1305">
        <f>ShipData!Q55</f>
        <v>3.521487151522388</v>
      </c>
      <c r="AU11" s="1305">
        <f>ShipData!R55</f>
        <v>2.760266599896962</v>
      </c>
      <c r="AV11" s="1305">
        <f>ShipData!P63</f>
        <v>15</v>
      </c>
      <c r="AW11" s="1305">
        <f>ShipData!Q63</f>
        <v>14.25</v>
      </c>
      <c r="AX11" s="1306">
        <f>ShipData!R63</f>
        <v>12.825000000000001</v>
      </c>
    </row>
    <row r="12" spans="3:67">
      <c r="C12" s="552"/>
      <c r="D12" s="552"/>
      <c r="E12" s="1429" t="s">
        <v>987</v>
      </c>
      <c r="F12" s="1430" t="str">
        <f>F11</f>
        <v>TFSCI</v>
      </c>
      <c r="G12" s="1430">
        <v>2030</v>
      </c>
      <c r="H12" s="1431" t="s">
        <v>986</v>
      </c>
      <c r="I12" s="1431">
        <f t="array" ref="I12">INDEX(TRA_Ship_Freight_INT!$AO$10:$AX$13,MATCH($F12,TRA_Ship_Freight_INT!$AN$10:$AN$13,0),MATCH(I$1,TRA_Ship_Freight_INT!$AO$8:$AX$8,0))</f>
        <v>18571.699999999997</v>
      </c>
      <c r="J12" s="1431">
        <f t="array" ref="J12">INDEX(TRA_Ship_Freight_INT!$AO$10:$AX$13,MATCH($F12,TRA_Ship_Freight_INT!$AN$10:$AN$13,0),MATCH(J$1,TRA_Ship_Freight_INT!$AO$8:$AX$8,0))</f>
        <v>18571.699999999997</v>
      </c>
      <c r="K12" s="1434">
        <f t="array" ref="K12">INDEX(TRA_Ship_Freight_INT!$AO$10:$AX$13,MATCH($F12,TRA_Ship_Freight_INT!$AN$10:$AN$13,0),MATCH($G12&amp;K$1,TRA_Ship_Freight_INT!$AO$8:$AX$8,0))*1.852*8760*ShipData!$E$18</f>
        <v>240108.09600000002</v>
      </c>
      <c r="L12" s="1434">
        <f t="array" ref="L12">INDEX(TRA_Ship_Freight_INT!$AO$10:$AX$13,MATCH($F12,TRA_Ship_Freight_INT!$AN$10:$AN$13,0),MATCH($G12&amp;L$1,TRA_Ship_Freight_INT!$AO$8:$AX$8,0))*1.852*8760*ShipData!$E$18</f>
        <v>240108.09600000002</v>
      </c>
      <c r="M12" s="1445">
        <f t="array" ref="M12">1/(INDEX(TRA_Ship_Freight_INT!$AO$10:$AX$13,MATCH($F12,TRA_Ship_Freight_INT!$AN$10:$AN$13,0),MATCH($G12&amp;M$1,TRA_Ship_Freight_INT!$AO$8:$AX$8,0))/1.852)</f>
        <v>0.35855970078637039</v>
      </c>
      <c r="N12" s="1445">
        <f t="array" ref="N12">1/(INDEX(TRA_Ship_Freight_INT!$AO$10:$AX$13,MATCH($F12,TRA_Ship_Freight_INT!$AN$10:$AN$13,0),MATCH($G12&amp;N$1,TRA_Ship_Freight_INT!$AO$8:$AX$8,0))/1.852)</f>
        <v>0.35855970078637039</v>
      </c>
      <c r="O12" s="1431">
        <v>30</v>
      </c>
      <c r="P12" s="1448"/>
      <c r="Q12" s="1434">
        <v>14546.555100000003</v>
      </c>
      <c r="R12" s="1434">
        <f>(AG12*(ShipData!$R$19+ShipData!$R$30)+(K12*0.1*(1/M12)*ShipData!$R$41))*6.5/1000</f>
        <v>342201.46618973487</v>
      </c>
      <c r="S12" s="1431"/>
      <c r="T12" s="1431">
        <v>1E-3</v>
      </c>
      <c r="U12" s="1446"/>
      <c r="V12" s="1428"/>
      <c r="W12" s="1447"/>
      <c r="X12" s="1428"/>
      <c r="Y12" s="1428"/>
      <c r="Z12" s="1530">
        <f t="array" ref="Z12">INDEX(EMIS_factors!$G$6:$O$152,MATCH($G12&amp;$AE12,EMIS_factors!$E$6:$E$152&amp;EMIS_factors!$D$6:$D$152,0),MATCH(RIGHT(Z$4,6),EMIS_factors!$G$4:$O$4,0))</f>
        <v>46.838407494145208</v>
      </c>
      <c r="AA12" s="1530">
        <f t="array" ref="AA12">INDEX(EMIS_factors!$G$6:$O$152,MATCH($G12&amp;$AE12,EMIS_factors!$E$6:$E$152&amp;EMIS_factors!$D$6:$D$152,0),MATCH(RIGHT(AA$4,6),EMIS_factors!$G$4:$O$4,0))</f>
        <v>938.56734047344298</v>
      </c>
      <c r="AB12" s="1530">
        <f t="array" ref="AB12">INDEX(EMIS_factors!$G$6:$O$152,MATCH($G12&amp;$AE12,EMIS_factors!$E$6:$E$152&amp;EMIS_factors!$D$6:$D$152,0),MATCH(RIGHT(AB$4,6),EMIS_factors!$G$4:$O$4,0))</f>
        <v>1.9042584079204421</v>
      </c>
      <c r="AC12" s="1530">
        <f t="array" ref="AC12">INDEX(EMIS_factors!$G$6:$O$152,MATCH($G12&amp;$AE12,EMIS_factors!$E$6:$E$152&amp;EMIS_factors!$D$6:$D$152,0),MATCH(RIGHT(AC$4,6),EMIS_factors!$G$4:$O$4,0))</f>
        <v>21.22370326738832</v>
      </c>
      <c r="AD12" s="1295"/>
      <c r="AE12" s="526" t="s">
        <v>1462</v>
      </c>
      <c r="AF12" s="1265">
        <f>INDEX(TRA_Ship_Freight_INT!$AO$10:$AX$13,MATCH($F12,TRA_Ship_Freight_INT!$AN$10:$AN$13,0),MATCH(AF$1,TRA_Ship_Freight_INT!$AO$8:$AX$8,0))/1000</f>
        <v>26.530999999999999</v>
      </c>
      <c r="AG12" s="549">
        <f>(AF12^ShipData!$X$36)*ShipData!$W$36*0.746</f>
        <v>25382.523802637832</v>
      </c>
      <c r="AH12" s="526" t="s">
        <v>496</v>
      </c>
      <c r="AI12" s="526" t="s">
        <v>1249</v>
      </c>
      <c r="AJ12" s="549" t="s">
        <v>1145</v>
      </c>
      <c r="AM12" s="1313" t="s">
        <v>1182</v>
      </c>
      <c r="AN12" s="1319" t="s">
        <v>1132</v>
      </c>
      <c r="AO12" s="532">
        <f>ShipData!F43</f>
        <v>26531</v>
      </c>
      <c r="AP12" s="532">
        <f>AO12*AQ12</f>
        <v>18571.699999999997</v>
      </c>
      <c r="AQ12" s="552">
        <f>ShipData!E65</f>
        <v>0.7</v>
      </c>
      <c r="AR12" s="532">
        <f>ShipData!G43/1000</f>
        <v>20996.695339999998</v>
      </c>
      <c r="AS12" s="1305">
        <f>ShipData!P56</f>
        <v>7.0641443156294805</v>
      </c>
      <c r="AT12" s="1305">
        <f>ShipData!Q56</f>
        <v>5.1651091741160853</v>
      </c>
      <c r="AU12" s="1305">
        <f>ShipData!R56</f>
        <v>5.1651091741160853</v>
      </c>
      <c r="AV12" s="1305">
        <f>ShipData!P64</f>
        <v>21.74245036976534</v>
      </c>
      <c r="AW12" s="1305">
        <f>ShipData!Q64</f>
        <v>18.5</v>
      </c>
      <c r="AX12" s="1306">
        <f>ShipData!R64</f>
        <v>18.5</v>
      </c>
    </row>
    <row r="13" spans="3:67" ht="13.8" thickBot="1">
      <c r="C13" s="552" t="str">
        <f>"TFS"&amp;LEFT(AH13,1)&amp;AI13&amp;RIGHT(F13,2)&amp;MID(G13,3,1)&amp;"N"</f>
        <v>TFSIFOICRI1N</v>
      </c>
      <c r="D13" s="552"/>
      <c r="E13" s="534" t="s">
        <v>984</v>
      </c>
      <c r="F13" s="531" t="s">
        <v>1129</v>
      </c>
      <c r="G13" s="531">
        <v>2010</v>
      </c>
      <c r="H13" s="1237" t="s">
        <v>986</v>
      </c>
      <c r="I13" s="1237">
        <f t="array" ref="I13">INDEX(TRA_Ship_Freight_INT!$AO$10:$AX$13,MATCH($F13,TRA_Ship_Freight_INT!$AN$10:$AN$13,0),MATCH(I$1,TRA_Ship_Freight_INT!$AO$8:$AX$8,0))</f>
        <v>8457.6944444444453</v>
      </c>
      <c r="J13" s="1237">
        <f t="array" ref="J13">INDEX(TRA_Ship_Freight_INT!$AO$10:$AX$13,MATCH($F13,TRA_Ship_Freight_INT!$AN$10:$AN$13,0),MATCH(J$1,TRA_Ship_Freight_INT!$AO$8:$AX$8,0))</f>
        <v>8457.6944444444453</v>
      </c>
      <c r="K13" s="1239">
        <f t="array" ref="K13">INDEX(TRA_Ship_Freight_INT!$AO$10:$AX$13,MATCH($F13,TRA_Ship_Freight_INT!$AN$10:$AN$13,0),MATCH($G13&amp;K$1,TRA_Ship_Freight_INT!$AO$8:$AX$8,0))*1.852*8760*ShipData!$E$18</f>
        <v>282191.26273831638</v>
      </c>
      <c r="L13" s="1239">
        <f t="array" ref="L13">INDEX(TRA_Ship_Freight_INT!$AO$10:$AX$13,MATCH($F13,TRA_Ship_Freight_INT!$AN$10:$AN$13,0),MATCH($G13&amp;L$1,TRA_Ship_Freight_INT!$AO$8:$AX$8,0))*1.852*8760*ShipData!$E$18</f>
        <v>282191.26273831638</v>
      </c>
      <c r="M13" s="1241">
        <f t="array" ref="M13">1/(INDEX(TRA_Ship_Freight_INT!$AO$10:$AX$13,MATCH($F13,TRA_Ship_Freight_INT!$AN$10:$AN$13,0),MATCH($G13&amp;M$1,TRA_Ship_Freight_INT!$AO$8:$AX$8,0))/1.852)</f>
        <v>0.26216904939249813</v>
      </c>
      <c r="N13" s="1241">
        <f t="array" ref="N13">1/(INDEX(TRA_Ship_Freight_INT!$AO$10:$AX$13,MATCH($F13,TRA_Ship_Freight_INT!$AN$10:$AN$13,0),MATCH($G13&amp;N$1,TRA_Ship_Freight_INT!$AO$8:$AX$8,0))/1.852)</f>
        <v>0.26216904939249813</v>
      </c>
      <c r="O13" s="1237">
        <v>30</v>
      </c>
      <c r="P13" s="1265"/>
      <c r="Q13" s="1239">
        <f>0.035*R13</f>
        <v>7299.0813778863157</v>
      </c>
      <c r="R13" s="1239">
        <f>(AG13*(ShipData!$Q$19+ShipData!$Q$30)+(K13*0.1*(1/M13)*ShipData!$Q$41))*6.5/1000</f>
        <v>208545.18222532328</v>
      </c>
      <c r="S13" s="1237"/>
      <c r="T13" s="1237">
        <v>1E-3</v>
      </c>
      <c r="U13" s="1278">
        <v>2012</v>
      </c>
      <c r="V13" s="552"/>
      <c r="W13" s="1240"/>
      <c r="Z13" s="1530">
        <f t="array" ref="Z13">INDEX(EMIS_factors!$G$6:$O$152,MATCH($G13&amp;$AE13,EMIS_factors!$E$6:$E$152&amp;EMIS_factors!$D$6:$D$152,0),MATCH(RIGHT(Z$4,6),EMIS_factors!$G$4:$O$4,0))</f>
        <v>46.838407494145208</v>
      </c>
      <c r="AA13" s="1530">
        <f t="array" ref="AA13">INDEX(EMIS_factors!$G$6:$O$152,MATCH($G13&amp;$AE13,EMIS_factors!$E$6:$E$152&amp;EMIS_factors!$D$6:$D$152,0),MATCH(RIGHT(AA$4,6),EMIS_factors!$G$4:$O$4,0))</f>
        <v>1576.9540522622719</v>
      </c>
      <c r="AB13" s="1530">
        <f t="array" ref="AB13">INDEX(EMIS_factors!$G$6:$O$152,MATCH($G13&amp;$AE13,EMIS_factors!$E$6:$E$152&amp;EMIS_factors!$D$6:$D$152,0),MATCH(RIGHT(AB$4,6),EMIS_factors!$G$4:$O$4,0))</f>
        <v>1.7612014026457654</v>
      </c>
      <c r="AC13" s="1530">
        <f t="array" ref="AC13">INDEX(EMIS_factors!$G$6:$O$152,MATCH($G13&amp;$AE13,EMIS_factors!$E$6:$E$152&amp;EMIS_factors!$D$6:$D$152,0),MATCH(RIGHT(AC$4,6),EMIS_factors!$G$4:$O$4,0))</f>
        <v>21.22370326738832</v>
      </c>
      <c r="AD13" s="1295"/>
      <c r="AE13" s="526" t="s">
        <v>1462</v>
      </c>
      <c r="AF13" s="1265">
        <f>INDEX(TRA_Ship_Freight_INT!$AO$10:$AX$13,MATCH($F13,TRA_Ship_Freight_INT!$AN$10:$AN$13,0),MATCH(AF$1,TRA_Ship_Freight_INT!$AO$8:$AX$8,0))/1000</f>
        <v>12.082420634920636</v>
      </c>
      <c r="AG13" s="549">
        <f t="array" ref="AG13">(AF13^ShipData!$X$37)*ShipData!$W$37*0.746</f>
        <v>11666.269406201467</v>
      </c>
      <c r="AH13" s="526" t="s">
        <v>496</v>
      </c>
      <c r="AI13" s="526" t="s">
        <v>1249</v>
      </c>
      <c r="AJ13" s="549" t="s">
        <v>1145</v>
      </c>
      <c r="AK13" s="526"/>
      <c r="AM13" s="1314" t="s">
        <v>1211</v>
      </c>
      <c r="AN13" s="1317" t="s">
        <v>1129</v>
      </c>
      <c r="AO13" s="1307">
        <f>AVERAGE(ShipData!F44:F46)</f>
        <v>12082.420634920636</v>
      </c>
      <c r="AP13" s="1307">
        <f>AO13*AQ13</f>
        <v>8457.6944444444453</v>
      </c>
      <c r="AQ13" s="1259">
        <f>ShipData!E67</f>
        <v>0.7</v>
      </c>
      <c r="AR13" s="1307">
        <f>SUM(ShipData!G44:G46)/1000</f>
        <v>12766.51197</v>
      </c>
      <c r="AS13" s="1308">
        <f>ShipData!P57</f>
        <v>7.0641443156294805</v>
      </c>
      <c r="AT13" s="1308">
        <f>ShipData!Q57</f>
        <v>5.1651091741160853</v>
      </c>
      <c r="AU13" s="1308">
        <f>ShipData!R57</f>
        <v>5.1651091741160853</v>
      </c>
      <c r="AV13" s="1308">
        <f>ShipData!P65</f>
        <v>21.74245036976534</v>
      </c>
      <c r="AW13" s="1308">
        <f>ShipData!Q65</f>
        <v>18.5</v>
      </c>
      <c r="AX13" s="1309">
        <f>ShipData!R65</f>
        <v>18.5</v>
      </c>
    </row>
    <row r="14" spans="3:67">
      <c r="C14" s="552"/>
      <c r="D14" s="552"/>
      <c r="E14" s="1429" t="s">
        <v>987</v>
      </c>
      <c r="F14" s="1430" t="str">
        <f>F13</f>
        <v>TFSRI</v>
      </c>
      <c r="G14" s="1430">
        <v>2030</v>
      </c>
      <c r="H14" s="1431" t="s">
        <v>986</v>
      </c>
      <c r="I14" s="1431">
        <f t="array" ref="I14">INDEX(TRA_Ship_Freight_INT!$AO$10:$AX$13,MATCH($F14,TRA_Ship_Freight_INT!$AN$10:$AN$13,0),MATCH(I$1,TRA_Ship_Freight_INT!$AO$8:$AX$8,0))</f>
        <v>8457.6944444444453</v>
      </c>
      <c r="J14" s="1431">
        <f t="array" ref="J14">INDEX(TRA_Ship_Freight_INT!$AO$10:$AX$13,MATCH($F14,TRA_Ship_Freight_INT!$AN$10:$AN$13,0),MATCH(J$1,TRA_Ship_Freight_INT!$AO$8:$AX$8,0))</f>
        <v>8457.6944444444453</v>
      </c>
      <c r="K14" s="1434">
        <f t="array" ref="K14">INDEX(TRA_Ship_Freight_INT!$AO$10:$AX$13,MATCH($F14,TRA_Ship_Freight_INT!$AN$10:$AN$13,0),MATCH($G14&amp;K$1,TRA_Ship_Freight_INT!$AO$8:$AX$8,0))*1.852*8760*ShipData!$E$18</f>
        <v>240108.09600000002</v>
      </c>
      <c r="L14" s="1434">
        <f t="array" ref="L14">INDEX(TRA_Ship_Freight_INT!$AO$10:$AX$13,MATCH($F14,TRA_Ship_Freight_INT!$AN$10:$AN$13,0),MATCH($G14&amp;L$1,TRA_Ship_Freight_INT!$AO$8:$AX$8,0))*1.852*8760*ShipData!$E$18</f>
        <v>240108.09600000002</v>
      </c>
      <c r="M14" s="1445">
        <f t="array" ref="M14">1/(INDEX(TRA_Ship_Freight_INT!$AO$10:$AX$13,MATCH($F14,TRA_Ship_Freight_INT!$AN$10:$AN$13,0),MATCH($G14&amp;M$1,TRA_Ship_Freight_INT!$AO$8:$AX$8,0))/1.852)</f>
        <v>0.35855970078637039</v>
      </c>
      <c r="N14" s="1445">
        <f t="array" ref="N14">1/(INDEX(TRA_Ship_Freight_INT!$AO$10:$AX$13,MATCH($F14,TRA_Ship_Freight_INT!$AN$10:$AN$13,0),MATCH($G14&amp;N$1,TRA_Ship_Freight_INT!$AO$8:$AX$8,0))/1.852)</f>
        <v>0.35855970078637039</v>
      </c>
      <c r="O14" s="1431">
        <v>30</v>
      </c>
      <c r="P14" s="1448"/>
      <c r="Q14" s="1434">
        <v>6973.3533240000024</v>
      </c>
      <c r="R14" s="1434">
        <f>(AG14*(ShipData!$Q$19+ShipData!$Q$30)+(K14*0.1*(1/M14)*ShipData!$Q$41))*6.5/1000</f>
        <v>201935.89592866259</v>
      </c>
      <c r="S14" s="1431"/>
      <c r="T14" s="1431">
        <v>1E-3</v>
      </c>
      <c r="U14" s="1446"/>
      <c r="V14" s="1428"/>
      <c r="W14" s="1447"/>
      <c r="X14" s="1428"/>
      <c r="Y14" s="1428"/>
      <c r="Z14" s="1530">
        <f t="array" ref="Z14">INDEX(EMIS_factors!$G$6:$O$152,MATCH($G14&amp;$AE14,EMIS_factors!$E$6:$E$152&amp;EMIS_factors!$D$6:$D$152,0),MATCH(RIGHT(Z$4,6),EMIS_factors!$G$4:$O$4,0))</f>
        <v>46.838407494145208</v>
      </c>
      <c r="AA14" s="1530">
        <f t="array" ref="AA14">INDEX(EMIS_factors!$G$6:$O$152,MATCH($G14&amp;$AE14,EMIS_factors!$E$6:$E$152&amp;EMIS_factors!$D$6:$D$152,0),MATCH(RIGHT(AA$4,6),EMIS_factors!$G$4:$O$4,0))</f>
        <v>938.56734047344298</v>
      </c>
      <c r="AB14" s="1530">
        <f t="array" ref="AB14">INDEX(EMIS_factors!$G$6:$O$152,MATCH($G14&amp;$AE14,EMIS_factors!$E$6:$E$152&amp;EMIS_factors!$D$6:$D$152,0),MATCH(RIGHT(AB$4,6),EMIS_factors!$G$4:$O$4,0))</f>
        <v>1.9042584079204421</v>
      </c>
      <c r="AC14" s="1530">
        <f t="array" ref="AC14">INDEX(EMIS_factors!$G$6:$O$152,MATCH($G14&amp;$AE14,EMIS_factors!$E$6:$E$152&amp;EMIS_factors!$D$6:$D$152,0),MATCH(RIGHT(AC$4,6),EMIS_factors!$G$4:$O$4,0))</f>
        <v>21.22370326738832</v>
      </c>
      <c r="AD14" s="1295"/>
      <c r="AE14" s="526" t="s">
        <v>1462</v>
      </c>
      <c r="AF14" s="1265">
        <f>INDEX(TRA_Ship_Freight_INT!$AO$10:$AX$13,MATCH($F14,TRA_Ship_Freight_INT!$AN$10:$AN$13,0),MATCH(AF$1,TRA_Ship_Freight_INT!$AO$8:$AX$8,0))/1000</f>
        <v>12.082420634920636</v>
      </c>
      <c r="AG14" s="549">
        <f>(AF14^ShipData!$X$37)*ShipData!$W$37*0.746</f>
        <v>11666.269406201467</v>
      </c>
      <c r="AH14" s="526" t="s">
        <v>496</v>
      </c>
      <c r="AI14" s="526" t="s">
        <v>1249</v>
      </c>
      <c r="AJ14" s="549" t="s">
        <v>1145</v>
      </c>
      <c r="AK14" s="526"/>
    </row>
    <row r="15" spans="3:67">
      <c r="C15" s="552" t="s">
        <v>1346</v>
      </c>
      <c r="D15" s="552"/>
      <c r="E15" s="534" t="s">
        <v>919</v>
      </c>
      <c r="F15" s="531" t="s">
        <v>1130</v>
      </c>
      <c r="G15" s="531">
        <v>2010</v>
      </c>
      <c r="H15" s="1237" t="s">
        <v>986</v>
      </c>
      <c r="I15" s="1237">
        <f t="array" ref="I15">INDEX(TRA_Ship_Freight_INT!$AO$10:$AX$13,MATCH($F15,TRA_Ship_Freight_INT!$AN$10:$AN$13,0),MATCH(I$1,TRA_Ship_Freight_INT!$AO$8:$AX$8,0))</f>
        <v>31739.303030303032</v>
      </c>
      <c r="J15" s="1237">
        <f t="array" ref="J15">INDEX(TRA_Ship_Freight_INT!$AO$10:$AX$13,MATCH($F15,TRA_Ship_Freight_INT!$AN$10:$AN$13,0),MATCH(J$1,TRA_Ship_Freight_INT!$AO$8:$AX$8,0))</f>
        <v>31739.303030303032</v>
      </c>
      <c r="K15" s="1239">
        <f t="array" ref="K15">INDEX(TRA_Ship_Freight_INT!$AO$10:$AX$13,MATCH($F15,TRA_Ship_Freight_INT!$AN$10:$AN$13,0),MATCH($G15&amp;K$1,TRA_Ship_Freight_INT!$AO$8:$AX$8,0))*1.852*8760*ShipData!$E$18</f>
        <v>194682.24000000002</v>
      </c>
      <c r="L15" s="1239">
        <f t="array" ref="L15">INDEX(TRA_Ship_Freight_INT!$AO$10:$AX$13,MATCH($F15,TRA_Ship_Freight_INT!$AN$10:$AN$13,0),MATCH($G15&amp;L$1,TRA_Ship_Freight_INT!$AO$8:$AX$8,0))*1.852*8760*ShipData!$E$18</f>
        <v>194682.24000000002</v>
      </c>
      <c r="M15" s="1241">
        <f t="array" ref="M15">1/(INDEX(TRA_Ship_Freight_INT!$AO$10:$AX$13,MATCH($F15,TRA_Ship_Freight_INT!$AN$10:$AN$13,0),MATCH($G15&amp;M$1,TRA_Ship_Freight_INT!$AO$8:$AX$8,0))/1.852)</f>
        <v>0.40440986117839922</v>
      </c>
      <c r="N15" s="1241">
        <f t="array" ref="N15">1/(INDEX(TRA_Ship_Freight_INT!$AO$10:$AX$13,MATCH($F15,TRA_Ship_Freight_INT!$AN$10:$AN$13,0),MATCH($G15&amp;N$1,TRA_Ship_Freight_INT!$AO$8:$AX$8,0))/1.852)</f>
        <v>0.40440986117839922</v>
      </c>
      <c r="O15" s="1237">
        <v>30</v>
      </c>
      <c r="P15" s="1265"/>
      <c r="Q15" s="1239">
        <f t="shared" ref="Q15:Q30" si="0">0.035*R15</f>
        <v>7434.2933592391191</v>
      </c>
      <c r="R15" s="1239">
        <f>(AG15*(ShipData!$Q$19+ShipData!$Q$30)+(K15*0.1*(1/M15)*ShipData!$Q$41))*6.5/1000</f>
        <v>212408.38169254625</v>
      </c>
      <c r="S15" s="1237"/>
      <c r="T15" s="1237">
        <v>1E-3</v>
      </c>
      <c r="U15" s="1278">
        <v>2012</v>
      </c>
      <c r="V15" s="552"/>
      <c r="W15" s="1240"/>
      <c r="Z15" s="1530">
        <f t="array" ref="Z15">INDEX(EMIS_factors!$G$6:$O$152,MATCH($G15&amp;$AE15,EMIS_factors!$E$6:$E$152&amp;EMIS_factors!$D$6:$D$152,0),MATCH(RIGHT(Z$4,6),EMIS_factors!$G$4:$O$4,0))</f>
        <v>488.99755501222495</v>
      </c>
      <c r="AA15" s="1530">
        <f t="array" ref="AA15">INDEX(EMIS_factors!$G$6:$O$152,MATCH($G15&amp;$AE15,EMIS_factors!$E$6:$E$152&amp;EMIS_factors!$D$6:$D$152,0),MATCH(RIGHT(AA$4,6),EMIS_factors!$G$4:$O$4,0))</f>
        <v>2114.3909535161811</v>
      </c>
      <c r="AB15" s="1530">
        <f t="array" ref="AB15">INDEX(EMIS_factors!$G$6:$O$152,MATCH($G15&amp;$AE15,EMIS_factors!$E$6:$E$152&amp;EMIS_factors!$D$6:$D$152,0),MATCH(RIGHT(AB$4,6),EMIS_factors!$G$4:$O$4,0))</f>
        <v>1.9355600084592535</v>
      </c>
      <c r="AC15" s="1530">
        <f t="array" ref="AC15">INDEX(EMIS_factors!$G$6:$O$152,MATCH($G15&amp;$AE15,EMIS_factors!$E$6:$E$152&amp;EMIS_factors!$D$6:$D$152,0),MATCH(RIGHT(AC$4,6),EMIS_factors!$G$4:$O$4,0))</f>
        <v>43.323165542577996</v>
      </c>
      <c r="AD15" s="1295"/>
      <c r="AE15" s="526" t="s">
        <v>1473</v>
      </c>
      <c r="AF15" s="1265">
        <f>INDEX(TRA_Ship_Freight_INT!$AO$10:$AX$13,MATCH($F15,TRA_Ship_Freight_INT!$AN$10:$AN$13,0),MATCH(AF$1,TRA_Ship_Freight_INT!$AO$8:$AX$8,0))/1000</f>
        <v>61.43090909090909</v>
      </c>
      <c r="AG15" s="549">
        <f>(AF15^ShipData!$X$39)*0.756*ShipData!$W$39</f>
        <v>12492.539122598679</v>
      </c>
      <c r="AH15" s="526" t="s">
        <v>496</v>
      </c>
      <c r="AI15" s="526" t="s">
        <v>1249</v>
      </c>
      <c r="AJ15" s="549" t="s">
        <v>1144</v>
      </c>
      <c r="AK15" s="526"/>
    </row>
    <row r="16" spans="3:67">
      <c r="C16" s="552" t="s">
        <v>1347</v>
      </c>
      <c r="D16" s="1231"/>
      <c r="E16" s="534" t="s">
        <v>919</v>
      </c>
      <c r="F16" s="531" t="s">
        <v>1131</v>
      </c>
      <c r="G16" s="531">
        <v>2010</v>
      </c>
      <c r="H16" s="1237" t="s">
        <v>986</v>
      </c>
      <c r="I16" s="1237">
        <f t="array" ref="I16">INDEX(TRA_Ship_Freight_INT!$AO$10:$AX$13,MATCH($F16,TRA_Ship_Freight_INT!$AN$10:$AN$13,0),MATCH(I$1,TRA_Ship_Freight_INT!$AO$8:$AX$8,0))</f>
        <v>24851.199999999997</v>
      </c>
      <c r="J16" s="1237">
        <f t="array" ref="J16">INDEX(TRA_Ship_Freight_INT!$AO$10:$AX$13,MATCH($F16,TRA_Ship_Freight_INT!$AN$10:$AN$13,0),MATCH(J$1,TRA_Ship_Freight_INT!$AO$8:$AX$8,0))</f>
        <v>24851.199999999997</v>
      </c>
      <c r="K16" s="1239">
        <f>INDEX(TRA_Ship_Freight_INT!$AO$10:$AX$13,MATCH($F16,TRA_Ship_Freight_INT!$AN$10:$AN$13,0),MATCH($G16&amp;K$1,TRA_Ship_Freight_INT!$AO$8:$AX$8,0))*1.852*8760*ShipData!$E$18</f>
        <v>185732.56076912995</v>
      </c>
      <c r="L16" s="1239">
        <f t="array" ref="L16">INDEX(TRA_Ship_Freight_INT!$AO$10:$AX$13,MATCH($F16,TRA_Ship_Freight_INT!$AN$10:$AN$13,0),MATCH($G16&amp;L$1,TRA_Ship_Freight_INT!$AO$8:$AX$8,0))*1.852*8760*ShipData!$E$18</f>
        <v>185732.56076912995</v>
      </c>
      <c r="M16" s="1241">
        <f t="array" ref="M16">1/(INDEX(TRA_Ship_Freight_INT!$AO$10:$AX$13,MATCH($F16,TRA_Ship_Freight_INT!$AN$10:$AN$13,0),MATCH($G16&amp;M$1,TRA_Ship_Freight_INT!$AO$8:$AX$8,0))/1.852)</f>
        <v>0.49242394053296357</v>
      </c>
      <c r="N16" s="1241">
        <f t="array" ref="N16">1/(INDEX(TRA_Ship_Freight_INT!$AO$10:$AX$13,MATCH($F16,TRA_Ship_Freight_INT!$AN$10:$AN$13,0),MATCH($G16&amp;N$1,TRA_Ship_Freight_INT!$AO$8:$AX$8,0))/1.852)</f>
        <v>0.49242394053296357</v>
      </c>
      <c r="O16" s="1237">
        <v>30</v>
      </c>
      <c r="P16" s="1265"/>
      <c r="Q16" s="1239">
        <f t="shared" si="0"/>
        <v>5962.6856594753053</v>
      </c>
      <c r="R16" s="1239">
        <f>(AG16*(ShipData!$Q$19+ShipData!$Q$30)+(K16*0.1*(1/M16)*ShipData!$Q$41))*6.5/1000</f>
        <v>170362.44741358014</v>
      </c>
      <c r="S16" s="1237"/>
      <c r="T16" s="1237">
        <v>1E-3</v>
      </c>
      <c r="U16" s="1278">
        <v>2012</v>
      </c>
      <c r="V16" s="552"/>
      <c r="W16" s="1240"/>
      <c r="Z16" s="1530">
        <f t="array" ref="Z16">INDEX(EMIS_factors!$G$6:$O$152,MATCH($G16&amp;$AE16,EMIS_factors!$E$6:$E$152&amp;EMIS_factors!$D$6:$D$152,0),MATCH(RIGHT(Z$4,6),EMIS_factors!$G$4:$O$4,0))</f>
        <v>488.99755501222495</v>
      </c>
      <c r="AA16" s="1530">
        <f t="array" ref="AA16">INDEX(EMIS_factors!$G$6:$O$152,MATCH($G16&amp;$AE16,EMIS_factors!$E$6:$E$152&amp;EMIS_factors!$D$6:$D$152,0),MATCH(RIGHT(AA$4,6),EMIS_factors!$G$4:$O$4,0))</f>
        <v>2114.3909535161811</v>
      </c>
      <c r="AB16" s="1530">
        <f t="array" ref="AB16">INDEX(EMIS_factors!$G$6:$O$152,MATCH($G16&amp;$AE16,EMIS_factors!$E$6:$E$152&amp;EMIS_factors!$D$6:$D$152,0),MATCH(RIGHT(AB$4,6),EMIS_factors!$G$4:$O$4,0))</f>
        <v>1.9355600084592535</v>
      </c>
      <c r="AC16" s="1530">
        <f t="array" ref="AC16">INDEX(EMIS_factors!$G$6:$O$152,MATCH($G16&amp;$AE16,EMIS_factors!$E$6:$E$152&amp;EMIS_factors!$D$6:$D$152,0),MATCH(RIGHT(AC$4,6),EMIS_factors!$G$4:$O$4,0))</f>
        <v>43.323165542577996</v>
      </c>
      <c r="AD16" s="1295"/>
      <c r="AE16" s="526" t="s">
        <v>1473</v>
      </c>
      <c r="AF16" s="1265">
        <f>INDEX(TRA_Ship_Freight_INT!$AO$10:$AX$13,MATCH($F16,TRA_Ship_Freight_INT!$AN$10:$AN$13,0),MATCH(AF$1,TRA_Ship_Freight_INT!$AO$8:$AX$8,0))/1000</f>
        <v>45.183999999999997</v>
      </c>
      <c r="AG16" s="549">
        <f t="array" ref="AG16">(AF16^ShipData!$X$38)*ShipData!$W$38*0.746</f>
        <v>10028.515953319025</v>
      </c>
      <c r="AH16" s="526" t="s">
        <v>496</v>
      </c>
      <c r="AI16" s="526" t="s">
        <v>1249</v>
      </c>
      <c r="AJ16" s="549" t="s">
        <v>1144</v>
      </c>
      <c r="AM16" s="536" t="s">
        <v>1313</v>
      </c>
    </row>
    <row r="17" spans="3:53">
      <c r="C17" s="552" t="s">
        <v>1348</v>
      </c>
      <c r="D17" s="1231"/>
      <c r="E17" s="1429" t="s">
        <v>919</v>
      </c>
      <c r="F17" s="1430" t="s">
        <v>1132</v>
      </c>
      <c r="G17" s="1430">
        <v>2010</v>
      </c>
      <c r="H17" s="1431" t="s">
        <v>986</v>
      </c>
      <c r="I17" s="1431">
        <f t="array" ref="I17">INDEX(TRA_Ship_Freight_INT!$AO$10:$AX$13,MATCH($F17,TRA_Ship_Freight_INT!$AN$10:$AN$13,0),MATCH(I$1,TRA_Ship_Freight_INT!$AO$8:$AX$8,0))</f>
        <v>18571.699999999997</v>
      </c>
      <c r="J17" s="1431">
        <f t="array" ref="J17">INDEX(TRA_Ship_Freight_INT!$AO$10:$AX$13,MATCH($F17,TRA_Ship_Freight_INT!$AN$10:$AN$13,0),MATCH(J$1,TRA_Ship_Freight_INT!$AO$8:$AX$8,0))</f>
        <v>18571.699999999997</v>
      </c>
      <c r="K17" s="1434">
        <f t="array" ref="K17">INDEX(TRA_Ship_Freight_INT!$AO$10:$AX$13,MATCH($F17,TRA_Ship_Freight_INT!$AN$10:$AN$13,0),MATCH($G17&amp;K$1,TRA_Ship_Freight_INT!$AO$8:$AX$8,0))*1.852*8760*ShipData!$E$18</f>
        <v>282191.26273831638</v>
      </c>
      <c r="L17" s="1434">
        <f t="array" ref="L17">INDEX(TRA_Ship_Freight_INT!$AO$10:$AX$13,MATCH($F17,TRA_Ship_Freight_INT!$AN$10:$AN$13,0),MATCH($G17&amp;L$1,TRA_Ship_Freight_INT!$AO$8:$AX$8,0))*1.852*8760*ShipData!$E$18</f>
        <v>282191.26273831638</v>
      </c>
      <c r="M17" s="1445">
        <f t="array" ref="M17">1/(INDEX(TRA_Ship_Freight_INT!$AO$10:$AX$13,MATCH($F17,TRA_Ship_Freight_INT!$AN$10:$AN$13,0),MATCH($G17&amp;M$1,TRA_Ship_Freight_INT!$AO$8:$AX$8,0))/1.852)</f>
        <v>0.26216904939249813</v>
      </c>
      <c r="N17" s="1445">
        <f t="array" ref="N17">1/(INDEX(TRA_Ship_Freight_INT!$AO$10:$AX$13,MATCH($F17,TRA_Ship_Freight_INT!$AN$10:$AN$13,0),MATCH($G17&amp;N$1,TRA_Ship_Freight_INT!$AO$8:$AX$8,0))/1.852)</f>
        <v>0.26216904939249813</v>
      </c>
      <c r="O17" s="1431">
        <v>30</v>
      </c>
      <c r="P17" s="1448"/>
      <c r="Q17" s="1434">
        <f t="shared" si="0"/>
        <v>12208.376337023847</v>
      </c>
      <c r="R17" s="1434">
        <f>(AG17*(ShipData!$R$19+ShipData!$R$30)+(K17*0.1*(1/M17)*ShipData!$R$41))*6.5/1000</f>
        <v>348810.75248639559</v>
      </c>
      <c r="S17" s="1431"/>
      <c r="T17" s="1431">
        <v>1E-3</v>
      </c>
      <c r="U17" s="1446">
        <v>2012</v>
      </c>
      <c r="V17" s="1428"/>
      <c r="W17" s="1447"/>
      <c r="X17" s="1428"/>
      <c r="Y17" s="1428"/>
      <c r="Z17" s="1530">
        <f t="array" ref="Z17">INDEX(EMIS_factors!$G$6:$O$152,MATCH($G17&amp;$AE17,EMIS_factors!$E$6:$E$152&amp;EMIS_factors!$D$6:$D$152,0),MATCH(RIGHT(Z$4,6),EMIS_factors!$G$4:$O$4,0))</f>
        <v>488.99755501222495</v>
      </c>
      <c r="AA17" s="1530">
        <f t="array" ref="AA17">INDEX(EMIS_factors!$G$6:$O$152,MATCH($G17&amp;$AE17,EMIS_factors!$E$6:$E$152&amp;EMIS_factors!$D$6:$D$152,0),MATCH(RIGHT(AA$4,6),EMIS_factors!$G$4:$O$4,0))</f>
        <v>2114.3909535161811</v>
      </c>
      <c r="AB17" s="1530">
        <f t="array" ref="AB17">INDEX(EMIS_factors!$G$6:$O$152,MATCH($G17&amp;$AE17,EMIS_factors!$E$6:$E$152&amp;EMIS_factors!$D$6:$D$152,0),MATCH(RIGHT(AB$4,6),EMIS_factors!$G$4:$O$4,0))</f>
        <v>1.9355600084592535</v>
      </c>
      <c r="AC17" s="1530">
        <f t="array" ref="AC17">INDEX(EMIS_factors!$G$6:$O$152,MATCH($G17&amp;$AE17,EMIS_factors!$E$6:$E$152&amp;EMIS_factors!$D$6:$D$152,0),MATCH(RIGHT(AC$4,6),EMIS_factors!$G$4:$O$4,0))</f>
        <v>43.323165542577996</v>
      </c>
      <c r="AD17" s="1295"/>
      <c r="AE17" s="526" t="s">
        <v>1473</v>
      </c>
      <c r="AF17" s="1265">
        <f>INDEX(TRA_Ship_Freight_INT!$AO$10:$AX$13,MATCH($F17,TRA_Ship_Freight_INT!$AN$10:$AN$13,0),MATCH(AF$1,TRA_Ship_Freight_INT!$AO$8:$AX$8,0))/1000</f>
        <v>26.530999999999999</v>
      </c>
      <c r="AG17" s="549">
        <f>(AF17^ShipData!$X$36)*ShipData!$W$36*0.746</f>
        <v>25382.523802637832</v>
      </c>
      <c r="AH17" s="526" t="s">
        <v>496</v>
      </c>
      <c r="AI17" s="526" t="s">
        <v>1249</v>
      </c>
      <c r="AJ17" s="549" t="s">
        <v>1145</v>
      </c>
      <c r="AM17" s="536">
        <v>0.9</v>
      </c>
    </row>
    <row r="18" spans="3:53">
      <c r="C18" s="552" t="str">
        <f t="shared" ref="C18:C30" si="1">"TFS"&amp;LEFT(AH18,1)&amp;AI18&amp;RIGHT(F18,2)&amp;MID(G18,3,1)&amp;"N"</f>
        <v>TFSIMOICLI2N</v>
      </c>
      <c r="D18" s="552"/>
      <c r="E18" s="534" t="s">
        <v>995</v>
      </c>
      <c r="F18" s="531" t="s">
        <v>1130</v>
      </c>
      <c r="G18" s="481">
        <v>2020</v>
      </c>
      <c r="H18" s="1237" t="s">
        <v>986</v>
      </c>
      <c r="I18" s="1237">
        <f t="array" ref="I18">INDEX(TRA_Ship_Freight_INT!$AO$10:$AX$13,MATCH($F18,TRA_Ship_Freight_INT!$AN$10:$AN$13,0),MATCH(I$1,TRA_Ship_Freight_INT!$AO$8:$AX$8,0))</f>
        <v>31739.303030303032</v>
      </c>
      <c r="J18" s="1237">
        <f t="array" ref="J18">INDEX(TRA_Ship_Freight_INT!$AO$10:$AX$13,MATCH($F18,TRA_Ship_Freight_INT!$AN$10:$AN$13,0),MATCH(J$1,TRA_Ship_Freight_INT!$AO$8:$AX$8,0))</f>
        <v>31739.303030303032</v>
      </c>
      <c r="K18" s="1239">
        <f t="array" ref="K18">INDEX(TRA_Ship_Freight_INT!$AO$10:$AX$13,MATCH($F18,TRA_Ship_Freight_INT!$AN$10:$AN$13,0),MATCH($G18&amp;K$1,TRA_Ship_Freight_INT!$AO$8:$AX$8,0))*1.852*8760*ShipData!$E$18</f>
        <v>184948.12800000003</v>
      </c>
      <c r="L18" s="1239">
        <f t="array" ref="L18">INDEX(TRA_Ship_Freight_INT!$AO$10:$AX$13,MATCH($F18,TRA_Ship_Freight_INT!$AN$10:$AN$13,0),MATCH($G18&amp;L$1,TRA_Ship_Freight_INT!$AO$8:$AX$8,0))*1.852*8760*ShipData!$E$18</f>
        <v>184948.12800000003</v>
      </c>
      <c r="M18" s="1241">
        <f t="array" ref="M18">1/(INDEX(TRA_Ship_Freight_INT!$AO$10:$AX$13,MATCH($F18,TRA_Ship_Freight_INT!$AN$10:$AN$13,0),MATCH($G18&amp;M$1,TRA_Ship_Freight_INT!$AO$8:$AX$8,0))/1.852)</f>
        <v>0.52591417214154956</v>
      </c>
      <c r="N18" s="1241">
        <f t="array" ref="N18">1/(INDEX(TRA_Ship_Freight_INT!$AO$10:$AX$13,MATCH($F18,TRA_Ship_Freight_INT!$AN$10:$AN$13,0),MATCH($G18&amp;N$1,TRA_Ship_Freight_INT!$AO$8:$AX$8,0))/1.852)</f>
        <v>0.52591417214154956</v>
      </c>
      <c r="O18" s="1237">
        <v>30</v>
      </c>
      <c r="P18" s="1265"/>
      <c r="Q18" s="1239">
        <f t="shared" si="0"/>
        <v>7654.2571790174734</v>
      </c>
      <c r="R18" s="1239">
        <f>(AG18*(ShipData!$Q$20+ShipData!$Q$31)+(K18*0.1*(1/M18)*ShipData!$Q$42))*6.5/1000</f>
        <v>218693.06225764207</v>
      </c>
      <c r="S18" s="1237"/>
      <c r="T18" s="1237">
        <v>1E-3</v>
      </c>
      <c r="U18" s="1278"/>
      <c r="V18" s="552"/>
      <c r="W18" s="1240"/>
      <c r="Z18" s="1530">
        <f t="array" ref="Z18">INDEX(EMIS_factors!$G$6:$O$152,MATCH($G18&amp;$AE18,EMIS_factors!$E$6:$E$152&amp;EMIS_factors!$D$6:$D$152,0),MATCH(RIGHT(Z$4,6),EMIS_factors!$G$4:$O$4,0))</f>
        <v>46.838407494145208</v>
      </c>
      <c r="AA18" s="1530">
        <f t="array" ref="AA18">INDEX(EMIS_factors!$G$6:$O$152,MATCH($G18&amp;$AE18,EMIS_factors!$E$6:$E$152&amp;EMIS_factors!$D$6:$D$152,0),MATCH(RIGHT(AA$4,6),EMIS_factors!$G$4:$O$4,0))</f>
        <v>1402.4856581824845</v>
      </c>
      <c r="AB18" s="1530">
        <f t="array" ref="AB18">INDEX(EMIS_factors!$G$6:$O$152,MATCH($G18&amp;$AE18,EMIS_factors!$E$6:$E$152&amp;EMIS_factors!$D$6:$D$152,0),MATCH(RIGHT(AB$4,6),EMIS_factors!$G$4:$O$4,0))</f>
        <v>1.8637630108223573</v>
      </c>
      <c r="AC18" s="1530">
        <f t="array" ref="AC18">INDEX(EMIS_factors!$G$6:$O$152,MATCH($G18&amp;$AE18,EMIS_factors!$E$6:$E$152&amp;EMIS_factors!$D$6:$D$152,0),MATCH(RIGHT(AC$4,6),EMIS_factors!$G$4:$O$4,0))</f>
        <v>21.22370326738832</v>
      </c>
      <c r="AD18" s="1295"/>
      <c r="AE18" s="526" t="s">
        <v>1462</v>
      </c>
      <c r="AF18" s="1265">
        <f>INDEX(TRA_Ship_Freight_INT!$AO$10:$AX$13,MATCH($F18,TRA_Ship_Freight_INT!$AN$10:$AN$13,0),MATCH(AF$1,TRA_Ship_Freight_INT!$AO$8:$AX$8,0))/1000</f>
        <v>61.43090909090909</v>
      </c>
      <c r="AG18" s="549">
        <f>(AF18^ShipData!$X$39)*0.756*ShipData!$W$39</f>
        <v>12492.539122598679</v>
      </c>
      <c r="AH18" s="526" t="s">
        <v>496</v>
      </c>
      <c r="AI18" s="526" t="s">
        <v>1250</v>
      </c>
      <c r="AJ18" s="549" t="s">
        <v>1144</v>
      </c>
    </row>
    <row r="19" spans="3:53">
      <c r="C19" s="552" t="str">
        <f t="shared" si="1"/>
        <v>TFSIMOICDI2N</v>
      </c>
      <c r="D19" s="552"/>
      <c r="E19" s="534" t="s">
        <v>995</v>
      </c>
      <c r="F19" s="531" t="s">
        <v>1131</v>
      </c>
      <c r="G19" s="481">
        <v>2020</v>
      </c>
      <c r="H19" s="1237" t="s">
        <v>986</v>
      </c>
      <c r="I19" s="1237">
        <f t="array" ref="I19">INDEX(TRA_Ship_Freight_INT!$AO$10:$AX$13,MATCH($F19,TRA_Ship_Freight_INT!$AN$10:$AN$13,0),MATCH(I$1,TRA_Ship_Freight_INT!$AO$8:$AX$8,0))</f>
        <v>24851.199999999997</v>
      </c>
      <c r="J19" s="1237">
        <f t="array" ref="J19">INDEX(TRA_Ship_Freight_INT!$AO$10:$AX$13,MATCH($F19,TRA_Ship_Freight_INT!$AN$10:$AN$13,0),MATCH(J$1,TRA_Ship_Freight_INT!$AO$8:$AX$8,0))</f>
        <v>24851.199999999997</v>
      </c>
      <c r="K19" s="1239">
        <f t="array" ref="K19">INDEX(TRA_Ship_Freight_INT!$AO$10:$AX$13,MATCH($F19,TRA_Ship_Freight_INT!$AN$10:$AN$13,0),MATCH($G19&amp;K$1,TRA_Ship_Freight_INT!$AO$8:$AX$8,0))*1.852*8760*ShipData!$E$18</f>
        <v>176445.93273067346</v>
      </c>
      <c r="L19" s="1239">
        <f t="array" ref="L19">INDEX(TRA_Ship_Freight_INT!$AO$10:$AX$13,MATCH($F19,TRA_Ship_Freight_INT!$AN$10:$AN$13,0),MATCH($G19&amp;L$1,TRA_Ship_Freight_INT!$AO$8:$AX$8,0))*1.852*8760*ShipData!$E$18</f>
        <v>176445.93273067346</v>
      </c>
      <c r="M19" s="1241">
        <f t="array" ref="M19">1/(INDEX(TRA_Ship_Freight_INT!$AO$10:$AX$13,MATCH($F19,TRA_Ship_Freight_INT!$AN$10:$AN$13,0),MATCH($G19&amp;M$1,TRA_Ship_Freight_INT!$AO$8:$AX$8,0))/1.852)</f>
        <v>0.61003457107532311</v>
      </c>
      <c r="N19" s="1241">
        <f t="array" ref="N19">1/(INDEX(TRA_Ship_Freight_INT!$AO$10:$AX$13,MATCH($F19,TRA_Ship_Freight_INT!$AN$10:$AN$13,0),MATCH($G19&amp;N$1,TRA_Ship_Freight_INT!$AO$8:$AX$8,0))/1.852)</f>
        <v>0.61003457107532311</v>
      </c>
      <c r="O19" s="1237">
        <v>30</v>
      </c>
      <c r="P19" s="1265"/>
      <c r="Q19" s="1239">
        <f t="shared" si="0"/>
        <v>6150.8434145105393</v>
      </c>
      <c r="R19" s="1239">
        <f>(AG19*(ShipData!$Q$20+ShipData!$Q$31)+(K19*0.1*(1/M19)*ShipData!$Q$42))*6.5/1000</f>
        <v>175738.38327172969</v>
      </c>
      <c r="S19" s="1237"/>
      <c r="T19" s="1237">
        <v>1E-3</v>
      </c>
      <c r="U19" s="1278"/>
      <c r="V19" s="552"/>
      <c r="W19" s="1240"/>
      <c r="Z19" s="1530">
        <f t="array" ref="Z19">INDEX(EMIS_factors!$G$6:$O$152,MATCH($G19&amp;$AE19,EMIS_factors!$E$6:$E$152&amp;EMIS_factors!$D$6:$D$152,0),MATCH(RIGHT(Z$4,6),EMIS_factors!$G$4:$O$4,0))</f>
        <v>46.838407494145208</v>
      </c>
      <c r="AA19" s="1530">
        <f t="array" ref="AA19">INDEX(EMIS_factors!$G$6:$O$152,MATCH($G19&amp;$AE19,EMIS_factors!$E$6:$E$152&amp;EMIS_factors!$D$6:$D$152,0),MATCH(RIGHT(AA$4,6),EMIS_factors!$G$4:$O$4,0))</f>
        <v>1402.4856581824845</v>
      </c>
      <c r="AB19" s="1530">
        <f t="array" ref="AB19">INDEX(EMIS_factors!$G$6:$O$152,MATCH($G19&amp;$AE19,EMIS_factors!$E$6:$E$152&amp;EMIS_factors!$D$6:$D$152,0),MATCH(RIGHT(AB$4,6),EMIS_factors!$G$4:$O$4,0))</f>
        <v>1.8637630108223573</v>
      </c>
      <c r="AC19" s="1530">
        <f t="array" ref="AC19">INDEX(EMIS_factors!$G$6:$O$152,MATCH($G19&amp;$AE19,EMIS_factors!$E$6:$E$152&amp;EMIS_factors!$D$6:$D$152,0),MATCH(RIGHT(AC$4,6),EMIS_factors!$G$4:$O$4,0))</f>
        <v>21.22370326738832</v>
      </c>
      <c r="AD19" s="1295"/>
      <c r="AE19" s="526" t="s">
        <v>1462</v>
      </c>
      <c r="AF19" s="1265">
        <f>INDEX(TRA_Ship_Freight_INT!$AO$10:$AX$13,MATCH($F19,TRA_Ship_Freight_INT!$AN$10:$AN$13,0),MATCH(AF$1,TRA_Ship_Freight_INT!$AO$8:$AX$8,0))/1000</f>
        <v>45.183999999999997</v>
      </c>
      <c r="AG19" s="549">
        <f>(AF19^ShipData!$X$38)*ShipData!$W$38*0.746</f>
        <v>10028.515953319025</v>
      </c>
      <c r="AH19" s="526" t="s">
        <v>496</v>
      </c>
      <c r="AI19" s="526" t="s">
        <v>1250</v>
      </c>
      <c r="AJ19" s="549" t="s">
        <v>1144</v>
      </c>
    </row>
    <row r="20" spans="3:53">
      <c r="C20" s="552" t="str">
        <f t="shared" si="1"/>
        <v>TFSIMOICCI2N</v>
      </c>
      <c r="D20" s="1231"/>
      <c r="E20" s="534" t="s">
        <v>995</v>
      </c>
      <c r="F20" s="531" t="s">
        <v>1132</v>
      </c>
      <c r="G20" s="531">
        <v>2020</v>
      </c>
      <c r="H20" s="1237" t="s">
        <v>986</v>
      </c>
      <c r="I20" s="1237">
        <f t="array" ref="I20">INDEX(TRA_Ship_Freight_INT!$AO$10:$AX$13,MATCH($F20,TRA_Ship_Freight_INT!$AN$10:$AN$13,0),MATCH(I$1,TRA_Ship_Freight_INT!$AO$8:$AX$8,0))</f>
        <v>18571.699999999997</v>
      </c>
      <c r="J20" s="1237">
        <f t="array" ref="J20">INDEX(TRA_Ship_Freight_INT!$AO$10:$AX$13,MATCH($F20,TRA_Ship_Freight_INT!$AN$10:$AN$13,0),MATCH(J$1,TRA_Ship_Freight_INT!$AO$8:$AX$8,0))</f>
        <v>18571.699999999997</v>
      </c>
      <c r="K20" s="1239">
        <f t="array" ref="K20">INDEX(TRA_Ship_Freight_INT!$AO$10:$AX$13,MATCH($F20,TRA_Ship_Freight_INT!$AN$10:$AN$13,0),MATCH($G20&amp;K$1,TRA_Ship_Freight_INT!$AO$8:$AX$8,0))*1.852*8760*ShipData!$E$18</f>
        <v>240108.09600000002</v>
      </c>
      <c r="L20" s="1239">
        <f t="array" ref="L20">INDEX(TRA_Ship_Freight_INT!$AO$10:$AX$13,MATCH($F20,TRA_Ship_Freight_INT!$AN$10:$AN$13,0),MATCH($G20&amp;L$1,TRA_Ship_Freight_INT!$AO$8:$AX$8,0))*1.852*8760*ShipData!$E$18</f>
        <v>240108.09600000002</v>
      </c>
      <c r="M20" s="1241">
        <f t="array" ref="M20">1/(INDEX(TRA_Ship_Freight_INT!$AO$10:$AX$13,MATCH($F20,TRA_Ship_Freight_INT!$AN$10:$AN$13,0),MATCH($G20&amp;M$1,TRA_Ship_Freight_INT!$AO$8:$AX$8,0))/1.852)</f>
        <v>0.35855970078637039</v>
      </c>
      <c r="N20" s="1241">
        <f t="array" ref="N20">1/(INDEX(TRA_Ship_Freight_INT!$AO$10:$AX$13,MATCH($F20,TRA_Ship_Freight_INT!$AN$10:$AN$13,0),MATCH($G20&amp;N$1,TRA_Ship_Freight_INT!$AO$8:$AX$8,0))/1.852)</f>
        <v>0.35855970078637039</v>
      </c>
      <c r="O20" s="1237">
        <v>30</v>
      </c>
      <c r="P20" s="1265"/>
      <c r="Q20" s="1239">
        <f t="shared" si="0"/>
        <v>12479.402668754296</v>
      </c>
      <c r="R20" s="1239">
        <f>(AG20*(ShipData!$R$20+ShipData!$R$31)+(K20*0.1*(1/M20)*ShipData!$R$42))*6.5/1000</f>
        <v>356554.36196440842</v>
      </c>
      <c r="S20" s="1237"/>
      <c r="T20" s="1237">
        <v>1E-3</v>
      </c>
      <c r="U20" s="1278"/>
      <c r="V20" s="552"/>
      <c r="W20" s="1240"/>
      <c r="Z20" s="1530">
        <f t="array" ref="Z20">INDEX(EMIS_factors!$G$6:$O$152,MATCH($G20&amp;$AE20,EMIS_factors!$E$6:$E$152&amp;EMIS_factors!$D$6:$D$152,0),MATCH(RIGHT(Z$4,6),EMIS_factors!$G$4:$O$4,0))</f>
        <v>46.838407494145208</v>
      </c>
      <c r="AA20" s="1530">
        <f t="array" ref="AA20">INDEX(EMIS_factors!$G$6:$O$152,MATCH($G20&amp;$AE20,EMIS_factors!$E$6:$E$152&amp;EMIS_factors!$D$6:$D$152,0),MATCH(RIGHT(AA$4,6),EMIS_factors!$G$4:$O$4,0))</f>
        <v>1402.4856581824845</v>
      </c>
      <c r="AB20" s="1530">
        <f t="array" ref="AB20">INDEX(EMIS_factors!$G$6:$O$152,MATCH($G20&amp;$AE20,EMIS_factors!$E$6:$E$152&amp;EMIS_factors!$D$6:$D$152,0),MATCH(RIGHT(AB$4,6),EMIS_factors!$G$4:$O$4,0))</f>
        <v>1.8637630108223573</v>
      </c>
      <c r="AC20" s="1530">
        <f t="array" ref="AC20">INDEX(EMIS_factors!$G$6:$O$152,MATCH($G20&amp;$AE20,EMIS_factors!$E$6:$E$152&amp;EMIS_factors!$D$6:$D$152,0),MATCH(RIGHT(AC$4,6),EMIS_factors!$G$4:$O$4,0))</f>
        <v>21.22370326738832</v>
      </c>
      <c r="AD20" s="1295"/>
      <c r="AE20" s="526" t="s">
        <v>1462</v>
      </c>
      <c r="AF20" s="1265">
        <f>INDEX(TRA_Ship_Freight_INT!$AO$10:$AX$13,MATCH($F20,TRA_Ship_Freight_INT!$AN$10:$AN$13,0),MATCH(AF$1,TRA_Ship_Freight_INT!$AO$8:$AX$8,0))/1000</f>
        <v>26.530999999999999</v>
      </c>
      <c r="AG20" s="549">
        <f>(AF20^ShipData!$X$36)*ShipData!$W$36*0.746</f>
        <v>25382.523802637832</v>
      </c>
      <c r="AH20" s="526" t="s">
        <v>496</v>
      </c>
      <c r="AI20" s="526" t="s">
        <v>1250</v>
      </c>
      <c r="AJ20" s="549" t="s">
        <v>1145</v>
      </c>
    </row>
    <row r="21" spans="3:53">
      <c r="C21" s="552" t="str">
        <f t="shared" si="1"/>
        <v>TFSIMOICRI2N</v>
      </c>
      <c r="D21" s="1231"/>
      <c r="E21" s="1429" t="s">
        <v>995</v>
      </c>
      <c r="F21" s="1430" t="s">
        <v>1129</v>
      </c>
      <c r="G21" s="1450">
        <v>2020</v>
      </c>
      <c r="H21" s="1431" t="s">
        <v>986</v>
      </c>
      <c r="I21" s="1431">
        <f t="array" ref="I21">INDEX(TRA_Ship_Freight_INT!$AO$10:$AX$13,MATCH($F21,TRA_Ship_Freight_INT!$AN$10:$AN$13,0),MATCH(I$1,TRA_Ship_Freight_INT!$AO$8:$AX$8,0))</f>
        <v>8457.6944444444453</v>
      </c>
      <c r="J21" s="1431">
        <f t="array" ref="J21">INDEX(TRA_Ship_Freight_INT!$AO$10:$AX$13,MATCH($F21,TRA_Ship_Freight_INT!$AN$10:$AN$13,0),MATCH(J$1,TRA_Ship_Freight_INT!$AO$8:$AX$8,0))</f>
        <v>8457.6944444444453</v>
      </c>
      <c r="K21" s="1434">
        <f t="array" ref="K21">INDEX(TRA_Ship_Freight_INT!$AO$10:$AX$13,MATCH($F21,TRA_Ship_Freight_INT!$AN$10:$AN$13,0),MATCH($G21&amp;K$1,TRA_Ship_Freight_INT!$AO$8:$AX$8,0))*1.852*8760*ShipData!$E$18</f>
        <v>240108.09600000002</v>
      </c>
      <c r="L21" s="1434">
        <f t="array" ref="L21">INDEX(TRA_Ship_Freight_INT!$AO$10:$AX$13,MATCH($F21,TRA_Ship_Freight_INT!$AN$10:$AN$13,0),MATCH($G21&amp;L$1,TRA_Ship_Freight_INT!$AO$8:$AX$8,0))*1.852*8760*ShipData!$E$18</f>
        <v>240108.09600000002</v>
      </c>
      <c r="M21" s="1445">
        <f t="array" ref="M21">1/(INDEX(TRA_Ship_Freight_INT!$AO$10:$AX$13,MATCH($F21,TRA_Ship_Freight_INT!$AN$10:$AN$13,0),MATCH($G21&amp;M$1,TRA_Ship_Freight_INT!$AO$8:$AX$8,0))/1.852)</f>
        <v>0.35855970078637039</v>
      </c>
      <c r="N21" s="1445">
        <f t="array" ref="N21">1/(INDEX(TRA_Ship_Freight_INT!$AO$10:$AX$13,MATCH($F21,TRA_Ship_Freight_INT!$AN$10:$AN$13,0),MATCH($G21&amp;N$1,TRA_Ship_Freight_INT!$AO$8:$AX$8,0))/1.852)</f>
        <v>0.35855970078637039</v>
      </c>
      <c r="O21" s="1431">
        <v>30</v>
      </c>
      <c r="P21" s="1448"/>
      <c r="Q21" s="1434">
        <f t="shared" si="0"/>
        <v>7458.521378528113</v>
      </c>
      <c r="R21" s="1434">
        <f>(AG21*(ShipData!$Q$20+ShipData!$Q$31)+(K21*0.1*(1/M21)*ShipData!$Q$42))*6.5/1000</f>
        <v>213100.61081508893</v>
      </c>
      <c r="S21" s="1431"/>
      <c r="T21" s="1431">
        <v>1E-3</v>
      </c>
      <c r="U21" s="1446"/>
      <c r="V21" s="1428"/>
      <c r="W21" s="1447"/>
      <c r="X21" s="1428"/>
      <c r="Y21" s="1428"/>
      <c r="Z21" s="1530">
        <f t="array" ref="Z21">INDEX(EMIS_factors!$G$6:$O$152,MATCH($G21&amp;$AE21,EMIS_factors!$E$6:$E$152&amp;EMIS_factors!$D$6:$D$152,0),MATCH(RIGHT(Z$4,6),EMIS_factors!$G$4:$O$4,0))</f>
        <v>46.838407494145208</v>
      </c>
      <c r="AA21" s="1530">
        <f t="array" ref="AA21">INDEX(EMIS_factors!$G$6:$O$152,MATCH($G21&amp;$AE21,EMIS_factors!$E$6:$E$152&amp;EMIS_factors!$D$6:$D$152,0),MATCH(RIGHT(AA$4,6),EMIS_factors!$G$4:$O$4,0))</f>
        <v>1402.4856581824845</v>
      </c>
      <c r="AB21" s="1530">
        <f t="array" ref="AB21">INDEX(EMIS_factors!$G$6:$O$152,MATCH($G21&amp;$AE21,EMIS_factors!$E$6:$E$152&amp;EMIS_factors!$D$6:$D$152,0),MATCH(RIGHT(AB$4,6),EMIS_factors!$G$4:$O$4,0))</f>
        <v>1.8637630108223573</v>
      </c>
      <c r="AC21" s="1530">
        <f t="array" ref="AC21">INDEX(EMIS_factors!$G$6:$O$152,MATCH($G21&amp;$AE21,EMIS_factors!$E$6:$E$152&amp;EMIS_factors!$D$6:$D$152,0),MATCH(RIGHT(AC$4,6),EMIS_factors!$G$4:$O$4,0))</f>
        <v>21.22370326738832</v>
      </c>
      <c r="AD21" s="1295"/>
      <c r="AE21" s="526" t="s">
        <v>1462</v>
      </c>
      <c r="AF21" s="1265">
        <f>INDEX(TRA_Ship_Freight_INT!$AO$10:$AX$13,MATCH($F21,TRA_Ship_Freight_INT!$AN$10:$AN$13,0),MATCH(AF$1,TRA_Ship_Freight_INT!$AO$8:$AX$8,0))/1000</f>
        <v>12.082420634920636</v>
      </c>
      <c r="AG21" s="549">
        <f>(AF21^ShipData!$X$37)*ShipData!$W$37*0.746</f>
        <v>11666.269406201467</v>
      </c>
      <c r="AH21" s="526" t="s">
        <v>496</v>
      </c>
      <c r="AI21" s="526" t="s">
        <v>1250</v>
      </c>
      <c r="AJ21" s="549" t="s">
        <v>1145</v>
      </c>
      <c r="AQ21" s="549"/>
      <c r="AR21" s="549"/>
      <c r="AS21" s="549"/>
      <c r="AT21" s="549"/>
    </row>
    <row r="22" spans="3:53">
      <c r="C22" s="552" t="str">
        <f t="shared" si="1"/>
        <v>TFSIH2ICLI2N</v>
      </c>
      <c r="D22" s="552"/>
      <c r="E22" s="534" t="s">
        <v>1341</v>
      </c>
      <c r="F22" s="531" t="s">
        <v>1130</v>
      </c>
      <c r="G22" s="481">
        <v>2020</v>
      </c>
      <c r="H22" s="1237" t="s">
        <v>986</v>
      </c>
      <c r="I22" s="1237">
        <f>I7*AM17</f>
        <v>28565.37272727273</v>
      </c>
      <c r="J22" s="1237">
        <f t="shared" ref="J22:J30" si="2">I22</f>
        <v>28565.37272727273</v>
      </c>
      <c r="K22" s="1239">
        <f t="array" ref="K22">INDEX(TRA_Ship_Freight_INT!$AO$10:$AX$13,MATCH($F22,TRA_Ship_Freight_INT!$AN$10:$AN$13,0),MATCH($G22&amp;K$1,TRA_Ship_Freight_INT!$AO$8:$AX$8,0))*1.852*8760*ShipData!$E$18</f>
        <v>184948.12800000003</v>
      </c>
      <c r="L22" s="1239">
        <f t="array" ref="L22">INDEX(TRA_Ship_Freight_INT!$AO$10:$AX$13,MATCH($F22,TRA_Ship_Freight_INT!$AN$10:$AN$13,0),MATCH($G22&amp;L$1,TRA_Ship_Freight_INT!$AO$8:$AX$8,0))*1.852*8760*ShipData!$E$18</f>
        <v>184948.12800000003</v>
      </c>
      <c r="M22" s="1241">
        <f t="array" ref="M22">1/(INDEX(TRA_Ship_Freight_INT!$AO$10:$AX$13,MATCH($F22,TRA_Ship_Freight_INT!$AN$10:$AN$13,0),MATCH($G22&amp;M$1,TRA_Ship_Freight_INT!$AO$8:$AX$8,0))/1.852)</f>
        <v>0.52591417214154956</v>
      </c>
      <c r="N22" s="1241">
        <f t="array" ref="N22">1/(INDEX(TRA_Ship_Freight_INT!$AO$10:$AX$13,MATCH($F22,TRA_Ship_Freight_INT!$AN$10:$AN$13,0),MATCH($G22&amp;N$1,TRA_Ship_Freight_INT!$AO$8:$AX$8,0))/1.852)</f>
        <v>0.52591417214154956</v>
      </c>
      <c r="O22" s="1237">
        <v>30</v>
      </c>
      <c r="P22" s="1265"/>
      <c r="Q22" s="1239">
        <f t="shared" si="0"/>
        <v>11208.67719680516</v>
      </c>
      <c r="R22" s="1239">
        <f>(AG22*(ShipData!$Q$22+ShipData!$Q$33)+(K22*0.1*(1/M22)*ShipData!$Q$44))*6.5/1000</f>
        <v>320247.91990871885</v>
      </c>
      <c r="S22" s="1237"/>
      <c r="T22" s="1237">
        <v>1E-3</v>
      </c>
      <c r="U22" s="1278"/>
      <c r="V22" s="552"/>
      <c r="W22" s="1240"/>
      <c r="Z22" s="1530">
        <f t="array" ref="Z22">INDEX(EMIS_factors!$G$6:$O$152,MATCH($G22&amp;$AE22,EMIS_factors!$E$6:$E$152&amp;EMIS_factors!$D$6:$D$152,0),MATCH(RIGHT(Z$4,6),EMIS_factors!$G$4:$O$4,0))</f>
        <v>0</v>
      </c>
      <c r="AA22" s="1530">
        <f t="array" ref="AA22">INDEX(EMIS_factors!$G$6:$O$152,MATCH($G22&amp;$AE22,EMIS_factors!$E$6:$E$152&amp;EMIS_factors!$D$6:$D$152,0),MATCH(RIGHT(AA$4,6),EMIS_factors!$G$4:$O$4,0))</f>
        <v>0</v>
      </c>
      <c r="AB22" s="1530">
        <f t="array" ref="AB22">INDEX(EMIS_factors!$G$6:$O$152,MATCH($G22&amp;$AE22,EMIS_factors!$E$6:$E$152&amp;EMIS_factors!$D$6:$D$152,0),MATCH(RIGHT(AB$4,6),EMIS_factors!$G$4:$O$4,0))</f>
        <v>0</v>
      </c>
      <c r="AC22" s="1530">
        <f t="array" ref="AC22">INDEX(EMIS_factors!$G$6:$O$152,MATCH($G22&amp;$AE22,EMIS_factors!$E$6:$E$152&amp;EMIS_factors!$D$6:$D$152,0),MATCH(RIGHT(AC$4,6),EMIS_factors!$G$4:$O$4,0))</f>
        <v>0</v>
      </c>
      <c r="AD22" s="1295"/>
      <c r="AE22" s="526" t="s">
        <v>1485</v>
      </c>
      <c r="AF22" s="1265">
        <f>INDEX(TRA_Ship_Freight_INT!$AO$10:$AX$13,MATCH($F22,TRA_Ship_Freight_INT!$AN$10:$AN$13,0),MATCH(AF$1,TRA_Ship_Freight_INT!$AO$8:$AX$8,0))/1000</f>
        <v>61.43090909090909</v>
      </c>
      <c r="AG22" s="549">
        <f>(AF22^ShipData!$X$39)*0.756*ShipData!$W$39</f>
        <v>12492.539122598679</v>
      </c>
      <c r="AH22" s="526" t="s">
        <v>496</v>
      </c>
      <c r="AI22" s="526" t="s">
        <v>1251</v>
      </c>
      <c r="AJ22" s="549" t="s">
        <v>1144</v>
      </c>
      <c r="AQ22" s="549"/>
      <c r="AR22" s="549"/>
      <c r="AS22" s="549"/>
      <c r="AT22" s="549"/>
    </row>
    <row r="23" spans="3:53">
      <c r="C23" s="552" t="str">
        <f t="shared" si="1"/>
        <v>TFSIH2ICDI2N</v>
      </c>
      <c r="D23" s="1231"/>
      <c r="E23" s="534" t="s">
        <v>1341</v>
      </c>
      <c r="F23" s="531" t="s">
        <v>1131</v>
      </c>
      <c r="G23" s="481">
        <v>2020</v>
      </c>
      <c r="H23" s="1237" t="s">
        <v>986</v>
      </c>
      <c r="I23" s="1237">
        <f>I9*AM17</f>
        <v>22366.079999999998</v>
      </c>
      <c r="J23" s="1237">
        <f t="shared" si="2"/>
        <v>22366.079999999998</v>
      </c>
      <c r="K23" s="1239">
        <f t="array" ref="K23">INDEX(TRA_Ship_Freight_INT!$AO$10:$AX$13,MATCH($F23,TRA_Ship_Freight_INT!$AN$10:$AN$13,0),MATCH($G23&amp;K$1,TRA_Ship_Freight_INT!$AO$8:$AX$8,0))*1.852*8760*ShipData!$E$18</f>
        <v>176445.93273067346</v>
      </c>
      <c r="L23" s="1239">
        <f t="array" ref="L23">INDEX(TRA_Ship_Freight_INT!$AO$10:$AX$13,MATCH($F23,TRA_Ship_Freight_INT!$AN$10:$AN$13,0),MATCH($G23&amp;L$1,TRA_Ship_Freight_INT!$AO$8:$AX$8,0))*1.852*8760*ShipData!$E$18</f>
        <v>176445.93273067346</v>
      </c>
      <c r="M23" s="1241">
        <f t="array" ref="M23">1/(INDEX(TRA_Ship_Freight_INT!$AO$10:$AX$13,MATCH($F23,TRA_Ship_Freight_INT!$AN$10:$AN$13,0),MATCH($G23&amp;M$1,TRA_Ship_Freight_INT!$AO$8:$AX$8,0))/1.852)</f>
        <v>0.61003457107532311</v>
      </c>
      <c r="N23" s="1241">
        <f t="array" ref="N23">1/(INDEX(TRA_Ship_Freight_INT!$AO$10:$AX$13,MATCH($F23,TRA_Ship_Freight_INT!$AN$10:$AN$13,0),MATCH($G23&amp;N$1,TRA_Ship_Freight_INT!$AO$8:$AX$8,0))/1.852)</f>
        <v>0.61003457107532311</v>
      </c>
      <c r="O23" s="1237">
        <v>30</v>
      </c>
      <c r="P23" s="1265"/>
      <c r="Q23" s="1239">
        <f t="shared" si="0"/>
        <v>9033.3688883003961</v>
      </c>
      <c r="R23" s="1239">
        <f>(AG23*(ShipData!$Q$22+ShipData!$Q$33)+(K23*0.1*(1/M23)*ShipData!$Q$44))*6.5/1000</f>
        <v>258096.25395143984</v>
      </c>
      <c r="S23" s="1237"/>
      <c r="T23" s="1237">
        <v>1E-3</v>
      </c>
      <c r="U23" s="1278"/>
      <c r="V23" s="552"/>
      <c r="W23" s="1240"/>
      <c r="Z23" s="1530">
        <f t="array" ref="Z23">INDEX(EMIS_factors!$G$6:$O$152,MATCH($G23&amp;$AE23,EMIS_factors!$E$6:$E$152&amp;EMIS_factors!$D$6:$D$152,0),MATCH(RIGHT(Z$4,6),EMIS_factors!$G$4:$O$4,0))</f>
        <v>0</v>
      </c>
      <c r="AA23" s="1530">
        <f t="array" ref="AA23">INDEX(EMIS_factors!$G$6:$O$152,MATCH($G23&amp;$AE23,EMIS_factors!$E$6:$E$152&amp;EMIS_factors!$D$6:$D$152,0),MATCH(RIGHT(AA$4,6),EMIS_factors!$G$4:$O$4,0))</f>
        <v>0</v>
      </c>
      <c r="AB23" s="1530">
        <f t="array" ref="AB23">INDEX(EMIS_factors!$G$6:$O$152,MATCH($G23&amp;$AE23,EMIS_factors!$E$6:$E$152&amp;EMIS_factors!$D$6:$D$152,0),MATCH(RIGHT(AB$4,6),EMIS_factors!$G$4:$O$4,0))</f>
        <v>0</v>
      </c>
      <c r="AC23" s="1530">
        <f t="array" ref="AC23">INDEX(EMIS_factors!$G$6:$O$152,MATCH($G23&amp;$AE23,EMIS_factors!$E$6:$E$152&amp;EMIS_factors!$D$6:$D$152,0),MATCH(RIGHT(AC$4,6),EMIS_factors!$G$4:$O$4,0))</f>
        <v>0</v>
      </c>
      <c r="AD23" s="1295"/>
      <c r="AE23" s="526" t="s">
        <v>1485</v>
      </c>
      <c r="AF23" s="1265">
        <f>INDEX(TRA_Ship_Freight_INT!$AO$10:$AX$13,MATCH($F23,TRA_Ship_Freight_INT!$AN$10:$AN$13,0),MATCH(AF$1,TRA_Ship_Freight_INT!$AO$8:$AX$8,0))/1000</f>
        <v>45.183999999999997</v>
      </c>
      <c r="AG23" s="549">
        <f>(AF23^ShipData!$X$38)*ShipData!$W$38*0.746</f>
        <v>10028.515953319025</v>
      </c>
      <c r="AH23" s="526" t="s">
        <v>496</v>
      </c>
      <c r="AI23" s="526" t="s">
        <v>1251</v>
      </c>
      <c r="AJ23" s="549" t="s">
        <v>1144</v>
      </c>
      <c r="AQ23" s="549"/>
      <c r="AR23" s="549"/>
      <c r="AS23" s="549"/>
      <c r="AT23" s="549"/>
    </row>
    <row r="24" spans="3:53">
      <c r="C24" s="552" t="str">
        <f t="shared" si="1"/>
        <v>TFSIH2ICCI2N</v>
      </c>
      <c r="D24" s="1231"/>
      <c r="E24" s="534" t="s">
        <v>1341</v>
      </c>
      <c r="F24" s="531" t="s">
        <v>1132</v>
      </c>
      <c r="G24" s="481">
        <v>2020</v>
      </c>
      <c r="H24" s="1237" t="s">
        <v>986</v>
      </c>
      <c r="I24" s="1237">
        <f>I11*AM17</f>
        <v>16714.53</v>
      </c>
      <c r="J24" s="1237">
        <f t="shared" si="2"/>
        <v>16714.53</v>
      </c>
      <c r="K24" s="1239">
        <f t="array" ref="K24">INDEX(TRA_Ship_Freight_INT!$AO$10:$AX$13,MATCH($F24,TRA_Ship_Freight_INT!$AN$10:$AN$13,0),MATCH($G24&amp;K$1,TRA_Ship_Freight_INT!$AO$8:$AX$8,0))*1.852*8760*ShipData!$E$18</f>
        <v>240108.09600000002</v>
      </c>
      <c r="L24" s="1239">
        <f t="array" ref="L24">INDEX(TRA_Ship_Freight_INT!$AO$10:$AX$13,MATCH($F24,TRA_Ship_Freight_INT!$AN$10:$AN$13,0),MATCH($G24&amp;L$1,TRA_Ship_Freight_INT!$AO$8:$AX$8,0))*1.852*8760*ShipData!$E$18</f>
        <v>240108.09600000002</v>
      </c>
      <c r="M24" s="1241">
        <f t="array" ref="M24">1/(INDEX(TRA_Ship_Freight_INT!$AO$10:$AX$13,MATCH($F24,TRA_Ship_Freight_INT!$AN$10:$AN$13,0),MATCH($G24&amp;M$1,TRA_Ship_Freight_INT!$AO$8:$AX$8,0))/1.852)</f>
        <v>0.35855970078637039</v>
      </c>
      <c r="N24" s="1241">
        <f t="array" ref="N24">1/(INDEX(TRA_Ship_Freight_INT!$AO$10:$AX$13,MATCH($F24,TRA_Ship_Freight_INT!$AN$10:$AN$13,0),MATCH($G24&amp;N$1,TRA_Ship_Freight_INT!$AO$8:$AX$8,0))/1.852)</f>
        <v>0.35855970078637039</v>
      </c>
      <c r="O24" s="1237">
        <v>30</v>
      </c>
      <c r="P24" s="1265"/>
      <c r="Q24" s="1239">
        <f t="shared" si="0"/>
        <v>17906.65035131303</v>
      </c>
      <c r="R24" s="1239">
        <f>(AG24*(ShipData!$R$22+ShipData!$R$33)+(K24*0.1*(1/M24)*ShipData!$R$44))*6.5/1000</f>
        <v>511618.58146608656</v>
      </c>
      <c r="S24" s="1237"/>
      <c r="T24" s="1237">
        <v>1E-3</v>
      </c>
      <c r="U24" s="1278"/>
      <c r="V24" s="552"/>
      <c r="W24" s="1240"/>
      <c r="Z24" s="1530">
        <f t="array" ref="Z24">INDEX(EMIS_factors!$G$6:$O$152,MATCH($G24&amp;$AE24,EMIS_factors!$E$6:$E$152&amp;EMIS_factors!$D$6:$D$152,0),MATCH(RIGHT(Z$4,6),EMIS_factors!$G$4:$O$4,0))</f>
        <v>0</v>
      </c>
      <c r="AA24" s="1530">
        <f t="array" ref="AA24">INDEX(EMIS_factors!$G$6:$O$152,MATCH($G24&amp;$AE24,EMIS_factors!$E$6:$E$152&amp;EMIS_factors!$D$6:$D$152,0),MATCH(RIGHT(AA$4,6),EMIS_factors!$G$4:$O$4,0))</f>
        <v>0</v>
      </c>
      <c r="AB24" s="1530">
        <f t="array" ref="AB24">INDEX(EMIS_factors!$G$6:$O$152,MATCH($G24&amp;$AE24,EMIS_factors!$E$6:$E$152&amp;EMIS_factors!$D$6:$D$152,0),MATCH(RIGHT(AB$4,6),EMIS_factors!$G$4:$O$4,0))</f>
        <v>0</v>
      </c>
      <c r="AC24" s="1530">
        <f t="array" ref="AC24">INDEX(EMIS_factors!$G$6:$O$152,MATCH($G24&amp;$AE24,EMIS_factors!$E$6:$E$152&amp;EMIS_factors!$D$6:$D$152,0),MATCH(RIGHT(AC$4,6),EMIS_factors!$G$4:$O$4,0))</f>
        <v>0</v>
      </c>
      <c r="AD24" s="1295"/>
      <c r="AE24" s="526" t="s">
        <v>1485</v>
      </c>
      <c r="AF24" s="1265">
        <f>INDEX(TRA_Ship_Freight_INT!$AO$10:$AX$13,MATCH($F24,TRA_Ship_Freight_INT!$AN$10:$AN$13,0),MATCH(AF$1,TRA_Ship_Freight_INT!$AO$8:$AX$8,0))/1000</f>
        <v>26.530999999999999</v>
      </c>
      <c r="AG24" s="549">
        <f>(AF24^ShipData!$X$36)*ShipData!$W$36*0.746</f>
        <v>25382.523802637832</v>
      </c>
      <c r="AH24" s="526" t="s">
        <v>496</v>
      </c>
      <c r="AI24" s="526" t="s">
        <v>1251</v>
      </c>
      <c r="AJ24" s="549" t="s">
        <v>1145</v>
      </c>
      <c r="AQ24" s="549"/>
      <c r="AR24" s="549"/>
      <c r="AS24" s="549"/>
      <c r="AT24" s="549"/>
      <c r="AX24" s="527"/>
      <c r="AY24" s="527"/>
      <c r="AZ24" s="527"/>
      <c r="BA24" s="527"/>
    </row>
    <row r="25" spans="3:53">
      <c r="C25" s="552" t="str">
        <f t="shared" si="1"/>
        <v>TFSIH2ICRI2N</v>
      </c>
      <c r="D25" s="552"/>
      <c r="E25" s="1429" t="s">
        <v>1341</v>
      </c>
      <c r="F25" s="1430" t="s">
        <v>1129</v>
      </c>
      <c r="G25" s="1450">
        <v>2020</v>
      </c>
      <c r="H25" s="1431" t="s">
        <v>986</v>
      </c>
      <c r="I25" s="1431">
        <f>I13*AM17</f>
        <v>7611.9250000000011</v>
      </c>
      <c r="J25" s="1431">
        <f t="shared" si="2"/>
        <v>7611.9250000000011</v>
      </c>
      <c r="K25" s="1434">
        <f t="array" ref="K25">INDEX(TRA_Ship_Freight_INT!$AO$10:$AX$13,MATCH($F25,TRA_Ship_Freight_INT!$AN$10:$AN$13,0),MATCH($G25&amp;K$1,TRA_Ship_Freight_INT!$AO$8:$AX$8,0))*1.852*8760*ShipData!$E$18</f>
        <v>240108.09600000002</v>
      </c>
      <c r="L25" s="1434">
        <f t="array" ref="L25">INDEX(TRA_Ship_Freight_INT!$AO$10:$AX$13,MATCH($F25,TRA_Ship_Freight_INT!$AN$10:$AN$13,0),MATCH($G25&amp;L$1,TRA_Ship_Freight_INT!$AO$8:$AX$8,0))*1.852*8760*ShipData!$E$18</f>
        <v>240108.09600000002</v>
      </c>
      <c r="M25" s="1445">
        <f t="array" ref="M25">1/(INDEX(TRA_Ship_Freight_INT!$AO$10:$AX$13,MATCH($F25,TRA_Ship_Freight_INT!$AN$10:$AN$13,0),MATCH($G25&amp;M$1,TRA_Ship_Freight_INT!$AO$8:$AX$8,0))/1.852)</f>
        <v>0.35855970078637039</v>
      </c>
      <c r="N25" s="1445">
        <f t="array" ref="N25">1/(INDEX(TRA_Ship_Freight_INT!$AO$10:$AX$13,MATCH($F25,TRA_Ship_Freight_INT!$AN$10:$AN$13,0),MATCH($G25&amp;N$1,TRA_Ship_Freight_INT!$AO$8:$AX$8,0))/1.852)</f>
        <v>0.35855970078637039</v>
      </c>
      <c r="O25" s="1431">
        <v>30</v>
      </c>
      <c r="P25" s="1448"/>
      <c r="Q25" s="1434">
        <f t="shared" si="0"/>
        <v>12214.025710532527</v>
      </c>
      <c r="R25" s="1434">
        <f>(AG25*(ShipData!$Q$22+ShipData!$Q$33)+((K25*0.1*(1/M25)*ShipData!$Q$44)))*6.5/1000</f>
        <v>348972.16315807216</v>
      </c>
      <c r="S25" s="1431"/>
      <c r="T25" s="1431">
        <v>1E-3</v>
      </c>
      <c r="U25" s="1446"/>
      <c r="V25" s="1428"/>
      <c r="W25" s="1447"/>
      <c r="X25" s="1428"/>
      <c r="Y25" s="1428"/>
      <c r="Z25" s="1530">
        <f t="array" ref="Z25">INDEX(EMIS_factors!$G$6:$O$152,MATCH($G25&amp;$AE25,EMIS_factors!$E$6:$E$152&amp;EMIS_factors!$D$6:$D$152,0),MATCH(RIGHT(Z$4,6),EMIS_factors!$G$4:$O$4,0))</f>
        <v>0</v>
      </c>
      <c r="AA25" s="1530">
        <f t="array" ref="AA25">INDEX(EMIS_factors!$G$6:$O$152,MATCH($G25&amp;$AE25,EMIS_factors!$E$6:$E$152&amp;EMIS_factors!$D$6:$D$152,0),MATCH(RIGHT(AA$4,6),EMIS_factors!$G$4:$O$4,0))</f>
        <v>0</v>
      </c>
      <c r="AB25" s="1530">
        <f t="array" ref="AB25">INDEX(EMIS_factors!$G$6:$O$152,MATCH($G25&amp;$AE25,EMIS_factors!$E$6:$E$152&amp;EMIS_factors!$D$6:$D$152,0),MATCH(RIGHT(AB$4,6),EMIS_factors!$G$4:$O$4,0))</f>
        <v>0</v>
      </c>
      <c r="AC25" s="1530">
        <f t="array" ref="AC25">INDEX(EMIS_factors!$G$6:$O$152,MATCH($G25&amp;$AE25,EMIS_factors!$E$6:$E$152&amp;EMIS_factors!$D$6:$D$152,0),MATCH(RIGHT(AC$4,6),EMIS_factors!$G$4:$O$4,0))</f>
        <v>0</v>
      </c>
      <c r="AD25" s="1295"/>
      <c r="AE25" s="526" t="s">
        <v>1485</v>
      </c>
      <c r="AF25" s="1265">
        <f>INDEX(TRA_Ship_Freight_INT!$AO$10:$AX$13,MATCH($F25,TRA_Ship_Freight_INT!$AN$10:$AN$13,0),MATCH(AF$1,TRA_Ship_Freight_INT!$AO$8:$AX$8,0))/1000</f>
        <v>12.082420634920636</v>
      </c>
      <c r="AG25" s="549">
        <f>(AF25^ShipData!$X$37)*ShipData!$W$37*0.746</f>
        <v>11666.269406201467</v>
      </c>
      <c r="AH25" s="526" t="s">
        <v>496</v>
      </c>
      <c r="AI25" s="526" t="s">
        <v>1251</v>
      </c>
      <c r="AJ25" s="549" t="s">
        <v>1145</v>
      </c>
      <c r="AQ25" s="549"/>
      <c r="AR25" s="549"/>
      <c r="AS25" s="549"/>
      <c r="AT25" s="549"/>
      <c r="AX25" s="527"/>
      <c r="AY25" s="527"/>
      <c r="AZ25" s="527"/>
      <c r="BA25" s="527"/>
    </row>
    <row r="26" spans="3:53">
      <c r="C26" s="552" t="str">
        <f t="shared" si="1"/>
        <v>TFSINGICLI2N</v>
      </c>
      <c r="D26" s="1231"/>
      <c r="E26" s="534" t="s">
        <v>1344</v>
      </c>
      <c r="F26" s="531" t="s">
        <v>1130</v>
      </c>
      <c r="G26" s="481">
        <v>2020</v>
      </c>
      <c r="H26" s="1237" t="s">
        <v>986</v>
      </c>
      <c r="I26" s="1237">
        <f>I23</f>
        <v>22366.079999999998</v>
      </c>
      <c r="J26" s="1237">
        <f t="shared" si="2"/>
        <v>22366.079999999998</v>
      </c>
      <c r="K26" s="1239">
        <f t="array" ref="K26">INDEX(TRA_Ship_Freight_INT!$AO$10:$AX$13,MATCH($F26,TRA_Ship_Freight_INT!$AN$10:$AN$13,0),MATCH($G26&amp;K$1,TRA_Ship_Freight_INT!$AO$8:$AX$8,0))*1.852*8760*ShipData!$E$18</f>
        <v>184948.12800000003</v>
      </c>
      <c r="L26" s="1239">
        <f t="array" ref="L26">INDEX(TRA_Ship_Freight_INT!$AO$10:$AX$13,MATCH($F26,TRA_Ship_Freight_INT!$AN$10:$AN$13,0),MATCH($G26&amp;L$1,TRA_Ship_Freight_INT!$AO$8:$AX$8,0))*1.852*8760*ShipData!$E$18</f>
        <v>184948.12800000003</v>
      </c>
      <c r="M26" s="1241">
        <f t="array" ref="M26">1/(INDEX(TRA_Ship_Freight_INT!$AO$10:$AX$13,MATCH($F26,TRA_Ship_Freight_INT!$AN$10:$AN$13,0),MATCH($G26&amp;M$1,TRA_Ship_Freight_INT!$AO$8:$AX$8,0))/1.852)</f>
        <v>0.52591417214154956</v>
      </c>
      <c r="N26" s="1241">
        <f t="array" ref="N26">1/(INDEX(TRA_Ship_Freight_INT!$AO$10:$AX$13,MATCH($F26,TRA_Ship_Freight_INT!$AN$10:$AN$13,0),MATCH($G26&amp;N$1,TRA_Ship_Freight_INT!$AO$8:$AX$8,0))/1.852)</f>
        <v>0.52591417214154956</v>
      </c>
      <c r="O26" s="1237">
        <v>30</v>
      </c>
      <c r="P26" s="1265"/>
      <c r="Q26" s="1239">
        <f t="shared" si="0"/>
        <v>9152.3841209220172</v>
      </c>
      <c r="R26" s="1239">
        <f>(AG26*(ShipData!$Q$21+ShipData!$Q$32)+((K26*0.1*(1/M26)*ShipData!$Q$43)))*6.5/1000</f>
        <v>261496.68916920046</v>
      </c>
      <c r="S26" s="1237"/>
      <c r="T26" s="1237">
        <v>1E-3</v>
      </c>
      <c r="U26" s="1278"/>
      <c r="V26" s="552"/>
      <c r="W26" s="1240"/>
      <c r="Z26" s="1530">
        <f t="array" ref="Z26">INDEX(EMIS_factors!$G$6:$O$152,MATCH($G26&amp;$AE26,EMIS_factors!$E$6:$E$152&amp;EMIS_factors!$D$6:$D$152,0),MATCH(RIGHT(Z$4,6),EMIS_factors!$G$4:$O$4,0))</f>
        <v>0</v>
      </c>
      <c r="AA26" s="1530">
        <f t="array" ref="AA26">INDEX(EMIS_factors!$G$6:$O$152,MATCH($G26&amp;$AE26,EMIS_factors!$E$6:$E$152&amp;EMIS_factors!$D$6:$D$152,0),MATCH(RIGHT(AA$4,6),EMIS_factors!$G$4:$O$4,0))</f>
        <v>411.41501253398201</v>
      </c>
      <c r="AB26" s="1530">
        <f t="array" ref="AB26">INDEX(EMIS_factors!$G$6:$O$152,MATCH($G26&amp;$AE26,EMIS_factors!$E$6:$E$152&amp;EMIS_factors!$D$6:$D$152,0),MATCH(RIGHT(AB$4,6),EMIS_factors!$G$4:$O$4,0))</f>
        <v>0.11686473412375831</v>
      </c>
      <c r="AC26" s="1530">
        <f t="array" ref="AC26">INDEX(EMIS_factors!$G$6:$O$152,MATCH($G26&amp;$AE26,EMIS_factors!$E$6:$E$152&amp;EMIS_factors!$D$6:$D$152,0),MATCH(RIGHT(AC$4,6),EMIS_factors!$G$4:$O$4,0))</f>
        <v>0</v>
      </c>
      <c r="AD26" s="1295"/>
      <c r="AE26" s="526" t="s">
        <v>1483</v>
      </c>
      <c r="AF26" s="1265">
        <f>INDEX(TRA_Ship_Freight_INT!$AO$10:$AX$13,MATCH($F26,TRA_Ship_Freight_INT!$AN$10:$AN$13,0),MATCH(AF$1,TRA_Ship_Freight_INT!$AO$8:$AX$8,0))/1000</f>
        <v>61.43090909090909</v>
      </c>
      <c r="AG26" s="549">
        <f>(AF26^ShipData!$X$39)*0.756*ShipData!$W$39</f>
        <v>12492.539122598679</v>
      </c>
      <c r="AH26" s="526" t="s">
        <v>496</v>
      </c>
      <c r="AI26" s="526" t="s">
        <v>1252</v>
      </c>
      <c r="AJ26" s="549" t="s">
        <v>1143</v>
      </c>
      <c r="AQ26" s="549"/>
      <c r="AR26" s="549"/>
      <c r="AS26" s="549"/>
      <c r="AT26" s="549"/>
      <c r="AX26" s="527"/>
      <c r="AY26" s="527"/>
      <c r="AZ26" s="527"/>
      <c r="BA26" s="527"/>
    </row>
    <row r="27" spans="3:53">
      <c r="C27" s="552" t="str">
        <f t="shared" si="1"/>
        <v>TFSINGICDI2N</v>
      </c>
      <c r="D27" s="552"/>
      <c r="E27" s="534" t="s">
        <v>1344</v>
      </c>
      <c r="F27" s="531" t="s">
        <v>1131</v>
      </c>
      <c r="G27" s="481">
        <v>2020</v>
      </c>
      <c r="H27" s="1237" t="s">
        <v>986</v>
      </c>
      <c r="I27" s="1237">
        <f>I24</f>
        <v>16714.53</v>
      </c>
      <c r="J27" s="1237">
        <f t="shared" si="2"/>
        <v>16714.53</v>
      </c>
      <c r="K27" s="1239">
        <f t="array" ref="K27">INDEX(TRA_Ship_Freight_INT!$AO$10:$AX$13,MATCH($F27,TRA_Ship_Freight_INT!$AN$10:$AN$13,0),MATCH($G27&amp;K$1,TRA_Ship_Freight_INT!$AO$8:$AX$8,0))*1.852*8760*ShipData!$E$18</f>
        <v>176445.93273067346</v>
      </c>
      <c r="L27" s="1239">
        <f t="array" ref="L27">INDEX(TRA_Ship_Freight_INT!$AO$10:$AX$13,MATCH($F27,TRA_Ship_Freight_INT!$AN$10:$AN$13,0),MATCH($G27&amp;L$1,TRA_Ship_Freight_INT!$AO$8:$AX$8,0))*1.852*8760*ShipData!$E$18</f>
        <v>176445.93273067346</v>
      </c>
      <c r="M27" s="1241">
        <f t="array" ref="M27">1/(INDEX(TRA_Ship_Freight_INT!$AO$10:$AX$13,MATCH($F27,TRA_Ship_Freight_INT!$AN$10:$AN$13,0),MATCH($G27&amp;M$1,TRA_Ship_Freight_INT!$AO$8:$AX$8,0))/1.852)</f>
        <v>0.61003457107532311</v>
      </c>
      <c r="N27" s="1241">
        <f t="array" ref="N27">1/(INDEX(TRA_Ship_Freight_INT!$AO$10:$AX$13,MATCH($F27,TRA_Ship_Freight_INT!$AN$10:$AN$13,0),MATCH($G27&amp;N$1,TRA_Ship_Freight_INT!$AO$8:$AX$8,0))/1.852)</f>
        <v>0.61003457107532311</v>
      </c>
      <c r="O27" s="1237">
        <v>30</v>
      </c>
      <c r="P27" s="1265"/>
      <c r="Q27" s="1239">
        <f t="shared" si="0"/>
        <v>7359.7891341068171</v>
      </c>
      <c r="R27" s="1239">
        <f>(AG27*(ShipData!$Q$21+ShipData!$Q$32)+((K27*0.1*(1/M27)*ShipData!$Q$43)))*6.5/1000</f>
        <v>210279.68954590903</v>
      </c>
      <c r="S27" s="1237"/>
      <c r="T27" s="1237">
        <v>1E-3</v>
      </c>
      <c r="U27" s="1278"/>
      <c r="V27" s="552"/>
      <c r="W27" s="1240"/>
      <c r="Z27" s="1530">
        <f t="array" ref="Z27">INDEX(EMIS_factors!$G$6:$O$152,MATCH($G27&amp;$AE27,EMIS_factors!$E$6:$E$152&amp;EMIS_factors!$D$6:$D$152,0),MATCH(RIGHT(Z$4,6),EMIS_factors!$G$4:$O$4,0))</f>
        <v>0</v>
      </c>
      <c r="AA27" s="1530">
        <f t="array" ref="AA27">INDEX(EMIS_factors!$G$6:$O$152,MATCH($G27&amp;$AE27,EMIS_factors!$E$6:$E$152&amp;EMIS_factors!$D$6:$D$152,0),MATCH(RIGHT(AA$4,6),EMIS_factors!$G$4:$O$4,0))</f>
        <v>411.41501253398201</v>
      </c>
      <c r="AB27" s="1530">
        <f t="array" ref="AB27">INDEX(EMIS_factors!$G$6:$O$152,MATCH($G27&amp;$AE27,EMIS_factors!$E$6:$E$152&amp;EMIS_factors!$D$6:$D$152,0),MATCH(RIGHT(AB$4,6),EMIS_factors!$G$4:$O$4,0))</f>
        <v>0.11686473412375831</v>
      </c>
      <c r="AC27" s="1530">
        <f t="array" ref="AC27">INDEX(EMIS_factors!$G$6:$O$152,MATCH($G27&amp;$AE27,EMIS_factors!$E$6:$E$152&amp;EMIS_factors!$D$6:$D$152,0),MATCH(RIGHT(AC$4,6),EMIS_factors!$G$4:$O$4,0))</f>
        <v>0</v>
      </c>
      <c r="AD27" s="1295"/>
      <c r="AE27" s="526" t="s">
        <v>1483</v>
      </c>
      <c r="AF27" s="1265">
        <f>INDEX(TRA_Ship_Freight_INT!$AO$10:$AX$13,MATCH($F27,TRA_Ship_Freight_INT!$AN$10:$AN$13,0),MATCH(AF$1,TRA_Ship_Freight_INT!$AO$8:$AX$8,0))/1000</f>
        <v>45.183999999999997</v>
      </c>
      <c r="AG27" s="549">
        <f>(AF27^ShipData!$X$38)*ShipData!$W$38*0.746</f>
        <v>10028.515953319025</v>
      </c>
      <c r="AH27" s="526" t="s">
        <v>496</v>
      </c>
      <c r="AI27" s="526" t="s">
        <v>1252</v>
      </c>
      <c r="AJ27" s="549" t="s">
        <v>1143</v>
      </c>
      <c r="AQ27" s="549"/>
      <c r="AR27" s="549"/>
      <c r="AS27" s="549"/>
      <c r="AT27" s="549"/>
      <c r="AX27" s="527"/>
      <c r="AY27" s="527"/>
      <c r="AZ27" s="527"/>
      <c r="BA27" s="527"/>
    </row>
    <row r="28" spans="3:53">
      <c r="C28" s="552" t="str">
        <f t="shared" si="1"/>
        <v>TFSINGICCI2N</v>
      </c>
      <c r="D28" s="1231"/>
      <c r="E28" s="534" t="s">
        <v>1344</v>
      </c>
      <c r="F28" s="531" t="s">
        <v>1132</v>
      </c>
      <c r="G28" s="481">
        <v>2020</v>
      </c>
      <c r="H28" s="1237" t="s">
        <v>986</v>
      </c>
      <c r="I28" s="1237">
        <f>I22</f>
        <v>28565.37272727273</v>
      </c>
      <c r="J28" s="1237">
        <f t="shared" si="2"/>
        <v>28565.37272727273</v>
      </c>
      <c r="K28" s="1239">
        <f t="array" ref="K28">INDEX(TRA_Ship_Freight_INT!$AO$10:$AX$13,MATCH($F28,TRA_Ship_Freight_INT!$AN$10:$AN$13,0),MATCH($G28&amp;K$1,TRA_Ship_Freight_INT!$AO$8:$AX$8,0))*1.852*8760*ShipData!$E$18</f>
        <v>240108.09600000002</v>
      </c>
      <c r="L28" s="1239">
        <f t="array" ref="L28">INDEX(TRA_Ship_Freight_INT!$AO$10:$AX$13,MATCH($F28,TRA_Ship_Freight_INT!$AN$10:$AN$13,0),MATCH($G28&amp;L$1,TRA_Ship_Freight_INT!$AO$8:$AX$8,0))*1.852*8760*ShipData!$E$18</f>
        <v>240108.09600000002</v>
      </c>
      <c r="M28" s="1241">
        <f t="array" ref="M28">1/(INDEX(TRA_Ship_Freight_INT!$AO$10:$AX$13,MATCH($F28,TRA_Ship_Freight_INT!$AN$10:$AN$13,0),MATCH($G28&amp;M$1,TRA_Ship_Freight_INT!$AO$8:$AX$8,0))/1.852)</f>
        <v>0.35855970078637039</v>
      </c>
      <c r="N28" s="1241">
        <f t="array" ref="N28">1/(INDEX(TRA_Ship_Freight_INT!$AO$10:$AX$13,MATCH($F28,TRA_Ship_Freight_INT!$AN$10:$AN$13,0),MATCH($G28&amp;N$1,TRA_Ship_Freight_INT!$AO$8:$AX$8,0))/1.852)</f>
        <v>0.35855970078637039</v>
      </c>
      <c r="O28" s="1237">
        <v>30</v>
      </c>
      <c r="P28" s="1265"/>
      <c r="Q28" s="1239">
        <f>0.035*R28</f>
        <v>14826.762561088031</v>
      </c>
      <c r="R28" s="1239">
        <f>(AG28*(ShipData!$R$21+ShipData!$R$32)+(K28*0.1*(1/M28)*ShipData!$R$43))*6.5/1000</f>
        <v>423621.78745965799</v>
      </c>
      <c r="S28" s="1237"/>
      <c r="T28" s="1237">
        <v>1E-3</v>
      </c>
      <c r="U28" s="1278"/>
      <c r="V28" s="552"/>
      <c r="W28" s="1240"/>
      <c r="Z28" s="1530">
        <f t="array" ref="Z28">INDEX(EMIS_factors!$G$6:$O$152,MATCH($G28&amp;$AE28,EMIS_factors!$E$6:$E$152&amp;EMIS_factors!$D$6:$D$152,0),MATCH(RIGHT(Z$4,6),EMIS_factors!$G$4:$O$4,0))</f>
        <v>0</v>
      </c>
      <c r="AA28" s="1530">
        <f t="array" ref="AA28">INDEX(EMIS_factors!$G$6:$O$152,MATCH($G28&amp;$AE28,EMIS_factors!$E$6:$E$152&amp;EMIS_factors!$D$6:$D$152,0),MATCH(RIGHT(AA$4,6),EMIS_factors!$G$4:$O$4,0))</f>
        <v>411.41501253398201</v>
      </c>
      <c r="AB28" s="1530">
        <f t="array" ref="AB28">INDEX(EMIS_factors!$G$6:$O$152,MATCH($G28&amp;$AE28,EMIS_factors!$E$6:$E$152&amp;EMIS_factors!$D$6:$D$152,0),MATCH(RIGHT(AB$4,6),EMIS_factors!$G$4:$O$4,0))</f>
        <v>0.11686473412375831</v>
      </c>
      <c r="AC28" s="1530">
        <f t="array" ref="AC28">INDEX(EMIS_factors!$G$6:$O$152,MATCH($G28&amp;$AE28,EMIS_factors!$E$6:$E$152&amp;EMIS_factors!$D$6:$D$152,0),MATCH(RIGHT(AC$4,6),EMIS_factors!$G$4:$O$4,0))</f>
        <v>0</v>
      </c>
      <c r="AD28" s="1295"/>
      <c r="AE28" s="526" t="s">
        <v>1483</v>
      </c>
      <c r="AF28" s="1265">
        <f>INDEX(TRA_Ship_Freight_INT!$AO$10:$AX$13,MATCH($F28,TRA_Ship_Freight_INT!$AN$10:$AN$13,0),MATCH(AF$1,TRA_Ship_Freight_INT!$AO$8:$AX$8,0))/1000</f>
        <v>26.530999999999999</v>
      </c>
      <c r="AG28" s="549">
        <f>(AF28^ShipData!$X$36)*ShipData!$W$36*0.746</f>
        <v>25382.523802637832</v>
      </c>
      <c r="AH28" s="526" t="s">
        <v>496</v>
      </c>
      <c r="AI28" s="526" t="s">
        <v>1252</v>
      </c>
      <c r="AJ28" s="549" t="s">
        <v>1145</v>
      </c>
      <c r="AQ28" s="549"/>
      <c r="AR28" s="549"/>
      <c r="AS28" s="549"/>
      <c r="AT28" s="549"/>
      <c r="AX28" s="527"/>
      <c r="AY28" s="527"/>
      <c r="AZ28" s="527"/>
      <c r="BA28" s="527"/>
    </row>
    <row r="29" spans="3:53">
      <c r="C29" s="552" t="str">
        <f t="shared" si="1"/>
        <v>TFSINGICRI2N</v>
      </c>
      <c r="D29" s="552"/>
      <c r="E29" s="534" t="s">
        <v>1344</v>
      </c>
      <c r="F29" s="1430" t="s">
        <v>1129</v>
      </c>
      <c r="G29" s="1450">
        <v>2020</v>
      </c>
      <c r="H29" s="1431" t="s">
        <v>986</v>
      </c>
      <c r="I29" s="1431">
        <f>I25</f>
        <v>7611.9250000000011</v>
      </c>
      <c r="J29" s="1431">
        <f t="shared" si="2"/>
        <v>7611.9250000000011</v>
      </c>
      <c r="K29" s="1434">
        <f t="array" ref="K29">INDEX(TRA_Ship_Freight_INT!$AO$10:$AX$13,MATCH($F29,TRA_Ship_Freight_INT!$AN$10:$AN$13,0),MATCH($G29&amp;K$1,TRA_Ship_Freight_INT!$AO$8:$AX$8,0))*1.852*8760*ShipData!$E$18</f>
        <v>240108.09600000002</v>
      </c>
      <c r="L29" s="1434">
        <f t="array" ref="L29">INDEX(TRA_Ship_Freight_INT!$AO$10:$AX$13,MATCH($F29,TRA_Ship_Freight_INT!$AN$10:$AN$13,0),MATCH($G29&amp;L$1,TRA_Ship_Freight_INT!$AO$8:$AX$8,0))*1.852*8760*ShipData!$E$18</f>
        <v>240108.09600000002</v>
      </c>
      <c r="M29" s="1445">
        <f t="array" ref="M29">1/(INDEX(TRA_Ship_Freight_INT!$AO$10:$AX$13,MATCH($F29,TRA_Ship_Freight_INT!$AN$10:$AN$13,0),MATCH($G29&amp;M$1,TRA_Ship_Freight_INT!$AO$8:$AX$8,0))/1.852)</f>
        <v>0.35855970078637039</v>
      </c>
      <c r="N29" s="1445">
        <f t="array" ref="N29">1/(INDEX(TRA_Ship_Freight_INT!$AO$10:$AX$13,MATCH($F29,TRA_Ship_Freight_INT!$AN$10:$AN$13,0),MATCH($G29&amp;N$1,TRA_Ship_Freight_INT!$AO$8:$AX$8,0))/1.852)</f>
        <v>0.35855970078637039</v>
      </c>
      <c r="O29" s="1431">
        <v>30</v>
      </c>
      <c r="P29" s="1448"/>
      <c r="Q29" s="1434">
        <f t="shared" si="0"/>
        <v>9168.0854681490018</v>
      </c>
      <c r="R29" s="1434">
        <f>(AG29*(ShipData!$Q$21+ShipData!$Q$32)+((K29*0.1*(1/M29)*ShipData!$Q$43)))*6.5/1000</f>
        <v>261945.29908997146</v>
      </c>
      <c r="S29" s="1431"/>
      <c r="T29" s="1431">
        <v>1E-3</v>
      </c>
      <c r="U29" s="1446"/>
      <c r="V29" s="1428"/>
      <c r="W29" s="1447"/>
      <c r="X29" s="1428"/>
      <c r="Y29" s="1428"/>
      <c r="Z29" s="1530">
        <f t="array" ref="Z29">INDEX(EMIS_factors!$G$6:$O$152,MATCH($G29&amp;$AE29,EMIS_factors!$E$6:$E$152&amp;EMIS_factors!$D$6:$D$152,0),MATCH(RIGHT(Z$4,6),EMIS_factors!$G$4:$O$4,0))</f>
        <v>0</v>
      </c>
      <c r="AA29" s="1530">
        <f t="array" ref="AA29">INDEX(EMIS_factors!$G$6:$O$152,MATCH($G29&amp;$AE29,EMIS_factors!$E$6:$E$152&amp;EMIS_factors!$D$6:$D$152,0),MATCH(RIGHT(AA$4,6),EMIS_factors!$G$4:$O$4,0))</f>
        <v>411.41501253398201</v>
      </c>
      <c r="AB29" s="1530">
        <f t="array" ref="AB29">INDEX(EMIS_factors!$G$6:$O$152,MATCH($G29&amp;$AE29,EMIS_factors!$E$6:$E$152&amp;EMIS_factors!$D$6:$D$152,0),MATCH(RIGHT(AB$4,6),EMIS_factors!$G$4:$O$4,0))</f>
        <v>0.11686473412375831</v>
      </c>
      <c r="AC29" s="1530">
        <f t="array" ref="AC29">INDEX(EMIS_factors!$G$6:$O$152,MATCH($G29&amp;$AE29,EMIS_factors!$E$6:$E$152&amp;EMIS_factors!$D$6:$D$152,0),MATCH(RIGHT(AC$4,6),EMIS_factors!$G$4:$O$4,0))</f>
        <v>0</v>
      </c>
      <c r="AD29" s="1295"/>
      <c r="AE29" s="526" t="s">
        <v>1483</v>
      </c>
      <c r="AF29" s="1265">
        <f>INDEX(TRA_Ship_Freight_INT!$AO$10:$AX$13,MATCH($F29,TRA_Ship_Freight_INT!$AN$10:$AN$13,0),MATCH(AF$1,TRA_Ship_Freight_INT!$AO$8:$AX$8,0))/1000</f>
        <v>12.082420634920636</v>
      </c>
      <c r="AG29" s="549">
        <f>(AF29^ShipData!$X$37)*ShipData!$W$37*0.746</f>
        <v>11666.269406201467</v>
      </c>
      <c r="AH29" s="526" t="s">
        <v>496</v>
      </c>
      <c r="AI29" s="526" t="s">
        <v>1252</v>
      </c>
      <c r="AJ29" s="549" t="s">
        <v>1145</v>
      </c>
      <c r="AQ29" s="549"/>
      <c r="AR29" s="549"/>
      <c r="AS29" s="549"/>
      <c r="AT29" s="549"/>
      <c r="AX29" s="527"/>
      <c r="AY29" s="527"/>
      <c r="AZ29" s="527"/>
      <c r="BA29" s="527"/>
    </row>
    <row r="30" spans="3:53">
      <c r="C30" s="552" t="str">
        <f t="shared" si="1"/>
        <v>TFSINGDULI2N</v>
      </c>
      <c r="D30" s="552"/>
      <c r="E30" s="534" t="s">
        <v>1344</v>
      </c>
      <c r="F30" s="531" t="s">
        <v>1130</v>
      </c>
      <c r="G30" s="531">
        <v>2020</v>
      </c>
      <c r="H30" s="1237" t="s">
        <v>986</v>
      </c>
      <c r="I30" s="1237">
        <f>(I22+I7)/2</f>
        <v>30152.337878787883</v>
      </c>
      <c r="J30" s="1237">
        <f t="shared" si="2"/>
        <v>30152.337878787883</v>
      </c>
      <c r="K30" s="1239">
        <f t="array" ref="K30">INDEX(TRA_Ship_Freight_INT!$AO$10:$AX$13,MATCH($F30,TRA_Ship_Freight_INT!$AN$10:$AN$13,0),MATCH($G30&amp;K$1,TRA_Ship_Freight_INT!$AO$8:$AX$8,0))*1.852*8760*ShipData!$E$18</f>
        <v>184948.12800000003</v>
      </c>
      <c r="L30" s="1239">
        <f t="array" ref="L30">INDEX(TRA_Ship_Freight_INT!$AO$10:$AX$13,MATCH($F30,TRA_Ship_Freight_INT!$AN$10:$AN$13,0),MATCH($G30&amp;L$1,TRA_Ship_Freight_INT!$AO$8:$AX$8,0))*1.852*8760*ShipData!$E$18</f>
        <v>184948.12800000003</v>
      </c>
      <c r="M30" s="1241">
        <f t="array" ref="M30">1/(INDEX(TRA_Ship_Freight_INT!$AO$10:$AX$13,MATCH($F30,TRA_Ship_Freight_INT!$AN$10:$AN$13,0),MATCH($G30&amp;M$1,TRA_Ship_Freight_INT!$AO$8:$AX$8,0))/1.852)</f>
        <v>0.52591417214154956</v>
      </c>
      <c r="N30" s="1241">
        <f t="array" ref="N30">1/(INDEX(TRA_Ship_Freight_INT!$AO$10:$AX$13,MATCH($F30,TRA_Ship_Freight_INT!$AN$10:$AN$13,0),MATCH($G30&amp;N$1,TRA_Ship_Freight_INT!$AO$8:$AX$8,0))/1.852)</f>
        <v>0.52591417214154956</v>
      </c>
      <c r="O30" s="1237">
        <v>30</v>
      </c>
      <c r="P30" s="1265"/>
      <c r="Q30" s="1239">
        <f t="shared" si="0"/>
        <v>9152.3841209220172</v>
      </c>
      <c r="R30" s="1239">
        <f>(AG30*(ShipData!$Q$21+ShipData!$Q$32)+(K30*0.1*(1/M30)*ShipData!$Q$43))*6.5/1000</f>
        <v>261496.68916920046</v>
      </c>
      <c r="S30" s="1237">
        <v>0.95</v>
      </c>
      <c r="T30" s="1237">
        <v>1E-3</v>
      </c>
      <c r="U30" s="1278"/>
      <c r="V30" s="552"/>
      <c r="W30" s="1240">
        <v>5</v>
      </c>
      <c r="Z30" s="1530">
        <f t="array" ref="Z30">INDEX(EMIS_factors!$G$6:$O$152,MATCH($G30&amp;$AE30,EMIS_factors!$E$6:$E$152&amp;EMIS_factors!$D$6:$D$152,0),MATCH(RIGHT(Z$4,6),EMIS_factors!$G$4:$O$4,0))</f>
        <v>0</v>
      </c>
      <c r="AA30" s="1530">
        <f t="array" ref="AA30">INDEX(EMIS_factors!$G$6:$O$152,MATCH($G30&amp;$AE30,EMIS_factors!$E$6:$E$152&amp;EMIS_factors!$D$6:$D$152,0),MATCH(RIGHT(AA$4,6),EMIS_factors!$G$4:$O$4,0))</f>
        <v>411.41501253398201</v>
      </c>
      <c r="AB30" s="1530">
        <f t="array" ref="AB30">INDEX(EMIS_factors!$G$6:$O$152,MATCH($G30&amp;$AE30,EMIS_factors!$E$6:$E$152&amp;EMIS_factors!$D$6:$D$152,0),MATCH(RIGHT(AB$4,6),EMIS_factors!$G$4:$O$4,0))</f>
        <v>0.11686473412375831</v>
      </c>
      <c r="AC30" s="1530">
        <f t="array" ref="AC30">INDEX(EMIS_factors!$G$6:$O$152,MATCH($G30&amp;$AE30,EMIS_factors!$E$6:$E$152&amp;EMIS_factors!$D$6:$D$152,0),MATCH(RIGHT(AC$4,6),EMIS_factors!$G$4:$O$4,0))</f>
        <v>0</v>
      </c>
      <c r="AD30" s="1295"/>
      <c r="AE30" s="526" t="s">
        <v>1483</v>
      </c>
      <c r="AF30" s="1265">
        <f>INDEX(TRA_Ship_Freight_INT!$AO$10:$AX$13,MATCH($F30,TRA_Ship_Freight_INT!$AN$10:$AN$13,0),MATCH(AF$1,TRA_Ship_Freight_INT!$AO$8:$AX$8,0))/1000</f>
        <v>61.43090909090909</v>
      </c>
      <c r="AG30" s="549">
        <f>(AF30^ShipData!$X$39)*0.756*ShipData!$W$39</f>
        <v>12492.539122598679</v>
      </c>
      <c r="AH30" s="526" t="s">
        <v>496</v>
      </c>
      <c r="AI30" s="526" t="s">
        <v>1257</v>
      </c>
      <c r="AJ30" s="549" t="s">
        <v>1144</v>
      </c>
      <c r="AQ30" s="549"/>
      <c r="AR30" s="549"/>
      <c r="AS30" s="549"/>
      <c r="AT30" s="549"/>
      <c r="AX30" s="527"/>
      <c r="AY30" s="527"/>
      <c r="AZ30" s="527"/>
      <c r="BA30" s="527"/>
    </row>
    <row r="31" spans="3:53">
      <c r="C31" s="552"/>
      <c r="D31" s="552"/>
      <c r="E31" s="534" t="s">
        <v>984</v>
      </c>
      <c r="F31" s="531"/>
      <c r="G31" s="531"/>
      <c r="H31" s="1237"/>
      <c r="I31" s="1237"/>
      <c r="J31" s="1237"/>
      <c r="K31" s="1239"/>
      <c r="L31" s="1239"/>
      <c r="M31" s="1265"/>
      <c r="N31" s="1265"/>
      <c r="O31" s="1237"/>
      <c r="P31" s="1265"/>
      <c r="Q31" s="1239"/>
      <c r="R31" s="1239"/>
      <c r="S31" s="1237"/>
      <c r="T31" s="1237"/>
      <c r="U31" s="552"/>
      <c r="V31" s="552"/>
      <c r="W31" s="1240"/>
      <c r="Z31" s="1530"/>
      <c r="AA31" s="1530"/>
      <c r="AB31" s="1530"/>
      <c r="AC31" s="1530"/>
      <c r="AD31" s="1295"/>
      <c r="AE31" s="526" t="s">
        <v>1483</v>
      </c>
      <c r="AF31" s="1265"/>
      <c r="AH31" s="526" t="s">
        <v>496</v>
      </c>
      <c r="AI31" s="526" t="s">
        <v>1257</v>
      </c>
      <c r="AJ31" s="549" t="s">
        <v>1144</v>
      </c>
      <c r="AQ31" s="549"/>
      <c r="AR31" s="549"/>
      <c r="AS31" s="549"/>
      <c r="AT31" s="549"/>
      <c r="AX31" s="527"/>
      <c r="AY31" s="527"/>
      <c r="AZ31" s="527"/>
      <c r="BA31" s="527"/>
    </row>
    <row r="32" spans="3:53">
      <c r="C32" s="552"/>
      <c r="D32" s="552"/>
      <c r="E32" s="534" t="s">
        <v>1343</v>
      </c>
      <c r="F32" s="531" t="s">
        <v>1130</v>
      </c>
      <c r="G32" s="531">
        <v>2030</v>
      </c>
      <c r="H32" s="1237" t="s">
        <v>986</v>
      </c>
      <c r="I32" s="1237">
        <f>(I28+I8)/2</f>
        <v>30152.337878787883</v>
      </c>
      <c r="J32" s="1237">
        <f>I32</f>
        <v>30152.337878787883</v>
      </c>
      <c r="K32" s="1239">
        <f t="array" ref="K32">INDEX(TRA_Ship_Freight_INT!$AO$10:$AX$13,MATCH($F32,TRA_Ship_Freight_INT!$AN$10:$AN$13,0),MATCH($G32&amp;K$1,TRA_Ship_Freight_INT!$AO$8:$AX$8,0))*1.852*8760*ShipData!$E$18</f>
        <v>166453.31520000004</v>
      </c>
      <c r="L32" s="1239">
        <f t="array" ref="L32">INDEX(TRA_Ship_Freight_INT!$AO$10:$AX$13,MATCH($F32,TRA_Ship_Freight_INT!$AN$10:$AN$13,0),MATCH($G32&amp;L$1,TRA_Ship_Freight_INT!$AO$8:$AX$8,0))*1.852*8760*ShipData!$E$18</f>
        <v>166453.31520000004</v>
      </c>
      <c r="M32" s="1241">
        <f t="array" ref="M32">1/(INDEX(TRA_Ship_Freight_INT!$AO$10:$AX$13,MATCH($F32,TRA_Ship_Freight_INT!$AN$10:$AN$13,0),MATCH($G32&amp;M$1,TRA_Ship_Freight_INT!$AO$8:$AX$8,0))/1.852)</f>
        <v>0.67094968292886403</v>
      </c>
      <c r="N32" s="1241">
        <f t="array" ref="N32">1/(INDEX(TRA_Ship_Freight_INT!$AO$10:$AX$13,MATCH($F32,TRA_Ship_Freight_INT!$AN$10:$AN$13,0),MATCH($G32&amp;N$1,TRA_Ship_Freight_INT!$AO$8:$AX$8,0))/1.852)</f>
        <v>0.67094968292886403</v>
      </c>
      <c r="O32" s="1237">
        <v>30</v>
      </c>
      <c r="P32" s="1265"/>
      <c r="Q32" s="1239">
        <v>7669.3821750000016</v>
      </c>
      <c r="R32" s="1239">
        <f>(AG32*(ShipData!$Q$21+ShipData!$Q$32)+(K32*0.1*(1/M32)*ShipData!$Q$43))*6.5/1000</f>
        <v>256110.33908108238</v>
      </c>
      <c r="S32" s="1237">
        <v>0.95</v>
      </c>
      <c r="T32" s="1237">
        <v>1E-3</v>
      </c>
      <c r="U32" s="1278"/>
      <c r="V32" s="552"/>
      <c r="W32" s="1240"/>
      <c r="Z32" s="1530">
        <f t="array" ref="Z32">INDEX(EMIS_factors!$G$6:$O$152,MATCH($G32&amp;$AE32,EMIS_factors!$E$6:$E$152&amp;EMIS_factors!$D$6:$D$152,0),MATCH(RIGHT(Z$4,6),EMIS_factors!$G$4:$O$4,0))</f>
        <v>0</v>
      </c>
      <c r="AA32" s="1530">
        <f t="array" ref="AA32">INDEX(EMIS_factors!$G$6:$O$152,MATCH($G32&amp;$AE32,EMIS_factors!$E$6:$E$152&amp;EMIS_factors!$D$6:$D$152,0),MATCH(RIGHT(AA$4,6),EMIS_factors!$G$4:$O$4,0))</f>
        <v>411.41501253398201</v>
      </c>
      <c r="AB32" s="1530">
        <f t="array" ref="AB32">INDEX(EMIS_factors!$G$6:$O$152,MATCH($G32&amp;$AE32,EMIS_factors!$E$6:$E$152&amp;EMIS_factors!$D$6:$D$152,0),MATCH(RIGHT(AB$4,6),EMIS_factors!$G$4:$O$4,0))</f>
        <v>0.11686473412375831</v>
      </c>
      <c r="AC32" s="1530">
        <f t="array" ref="AC32">INDEX(EMIS_factors!$G$6:$O$152,MATCH($G32&amp;$AE32,EMIS_factors!$E$6:$E$152&amp;EMIS_factors!$D$6:$D$152,0),MATCH(RIGHT(AC$4,6),EMIS_factors!$G$4:$O$4,0))</f>
        <v>0</v>
      </c>
      <c r="AD32" s="1295"/>
      <c r="AE32" s="526" t="s">
        <v>1483</v>
      </c>
      <c r="AF32" s="1265">
        <f>INDEX(TRA_Ship_Freight_INT!$AO$10:$AX$13,MATCH($F32,TRA_Ship_Freight_INT!$AN$10:$AN$13,0),MATCH(AF$1,TRA_Ship_Freight_INT!$AO$8:$AX$8,0))/1000</f>
        <v>61.43090909090909</v>
      </c>
      <c r="AG32" s="549">
        <f>(AF32^ShipData!$X$39)*0.756*ShipData!$W$39</f>
        <v>12492.539122598679</v>
      </c>
      <c r="AH32" s="526" t="s">
        <v>496</v>
      </c>
      <c r="AI32" s="526" t="s">
        <v>1257</v>
      </c>
      <c r="AJ32" s="549" t="s">
        <v>1144</v>
      </c>
      <c r="AQ32" s="549"/>
      <c r="AR32" s="549"/>
      <c r="AS32" s="549"/>
      <c r="AT32" s="549"/>
    </row>
    <row r="33" spans="3:67">
      <c r="C33" s="1231"/>
      <c r="D33" s="1231"/>
      <c r="E33" s="1429" t="s">
        <v>987</v>
      </c>
      <c r="F33" s="1430"/>
      <c r="G33" s="1430"/>
      <c r="H33" s="1431"/>
      <c r="I33" s="1431"/>
      <c r="J33" s="1431"/>
      <c r="K33" s="1434"/>
      <c r="L33" s="1434"/>
      <c r="M33" s="1448"/>
      <c r="N33" s="1448"/>
      <c r="O33" s="1431"/>
      <c r="P33" s="1448"/>
      <c r="Q33" s="1434"/>
      <c r="R33" s="1434"/>
      <c r="S33" s="1431"/>
      <c r="T33" s="1431"/>
      <c r="U33" s="1428"/>
      <c r="V33" s="1428"/>
      <c r="W33" s="1447"/>
      <c r="X33" s="1428"/>
      <c r="Y33" s="1428"/>
      <c r="Z33" s="1530"/>
      <c r="AA33" s="1530"/>
      <c r="AB33" s="1530"/>
      <c r="AC33" s="1530"/>
      <c r="AD33" s="1295"/>
      <c r="AE33" s="526" t="s">
        <v>1483</v>
      </c>
      <c r="AF33" s="1265"/>
      <c r="AH33" s="526" t="s">
        <v>496</v>
      </c>
      <c r="AI33" s="526" t="s">
        <v>1257</v>
      </c>
      <c r="AJ33" s="549" t="s">
        <v>1144</v>
      </c>
      <c r="AQ33" s="549"/>
      <c r="AR33" s="549"/>
      <c r="AS33" s="549"/>
      <c r="AT33" s="549"/>
      <c r="AX33" s="527"/>
      <c r="AY33" s="527"/>
      <c r="AZ33" s="527"/>
      <c r="BA33" s="527"/>
    </row>
    <row r="34" spans="3:67">
      <c r="C34" s="552" t="str">
        <f>"TFS"&amp;LEFT(AH34,1)&amp;AI34&amp;RIGHT(F34,2)&amp;MID(G34,3,1)&amp;"N"</f>
        <v>TFSINGDUDI2N</v>
      </c>
      <c r="D34" s="552"/>
      <c r="E34" s="534" t="s">
        <v>1344</v>
      </c>
      <c r="F34" s="531" t="s">
        <v>1131</v>
      </c>
      <c r="G34" s="531">
        <v>2020</v>
      </c>
      <c r="H34" s="1237" t="s">
        <v>986</v>
      </c>
      <c r="I34" s="1237">
        <f>(I26+I10)/2</f>
        <v>23608.639999999999</v>
      </c>
      <c r="J34" s="1237">
        <f>I34</f>
        <v>23608.639999999999</v>
      </c>
      <c r="K34" s="1239">
        <f t="array" ref="K34">INDEX(TRA_Ship_Freight_INT!$AO$10:$AX$13,MATCH($F34,TRA_Ship_Freight_INT!$AN$10:$AN$13,0),MATCH($G34&amp;K$1,TRA_Ship_Freight_INT!$AO$8:$AX$8,0))*1.852*8760*ShipData!$E$18</f>
        <v>176445.93273067346</v>
      </c>
      <c r="L34" s="1239">
        <f t="array" ref="L34">INDEX(TRA_Ship_Freight_INT!$AO$10:$AX$13,MATCH($F34,TRA_Ship_Freight_INT!$AN$10:$AN$13,0),MATCH($G34&amp;L$1,TRA_Ship_Freight_INT!$AO$8:$AX$8,0))*1.852*8760*ShipData!$E$18</f>
        <v>176445.93273067346</v>
      </c>
      <c r="M34" s="1241">
        <f t="array" ref="M34">1/(INDEX(TRA_Ship_Freight_INT!$AO$10:$AX$13,MATCH($F34,TRA_Ship_Freight_INT!$AN$10:$AN$13,0),MATCH($G34&amp;M$1,TRA_Ship_Freight_INT!$AO$8:$AX$8,0))/1.852)</f>
        <v>0.61003457107532311</v>
      </c>
      <c r="N34" s="1241">
        <f t="array" ref="N34">1/(INDEX(TRA_Ship_Freight_INT!$AO$10:$AX$13,MATCH($F34,TRA_Ship_Freight_INT!$AN$10:$AN$13,0),MATCH($G34&amp;N$1,TRA_Ship_Freight_INT!$AO$8:$AX$8,0))/1.852)</f>
        <v>0.61003457107532311</v>
      </c>
      <c r="O34" s="1237">
        <v>30</v>
      </c>
      <c r="P34" s="1265"/>
      <c r="Q34" s="1239">
        <f>0.035*R34</f>
        <v>7359.7891341068171</v>
      </c>
      <c r="R34" s="1239">
        <f>(AG34*(ShipData!$Q$21+ShipData!$Q$32)+(K34*0.1*(1/M34)*ShipData!$Q$43))*6.5/1000</f>
        <v>210279.68954590903</v>
      </c>
      <c r="S34" s="1237">
        <v>0.95</v>
      </c>
      <c r="T34" s="1237">
        <v>1E-3</v>
      </c>
      <c r="U34" s="1278"/>
      <c r="V34" s="552"/>
      <c r="W34" s="1240">
        <v>5</v>
      </c>
      <c r="Z34" s="1530">
        <f t="array" ref="Z34">INDEX(EMIS_factors!$G$6:$O$152,MATCH($G34&amp;$AE34,EMIS_factors!$E$6:$E$152&amp;EMIS_factors!$D$6:$D$152,0),MATCH(RIGHT(Z$4,6),EMIS_factors!$G$4:$O$4,0))</f>
        <v>0</v>
      </c>
      <c r="AA34" s="1530">
        <f t="array" ref="AA34">INDEX(EMIS_factors!$G$6:$O$152,MATCH($G34&amp;$AE34,EMIS_factors!$E$6:$E$152&amp;EMIS_factors!$D$6:$D$152,0),MATCH(RIGHT(AA$4,6),EMIS_factors!$G$4:$O$4,0))</f>
        <v>411.41501253398201</v>
      </c>
      <c r="AB34" s="1530">
        <f t="array" ref="AB34">INDEX(EMIS_factors!$G$6:$O$152,MATCH($G34&amp;$AE34,EMIS_factors!$E$6:$E$152&amp;EMIS_factors!$D$6:$D$152,0),MATCH(RIGHT(AB$4,6),EMIS_factors!$G$4:$O$4,0))</f>
        <v>0.11686473412375831</v>
      </c>
      <c r="AC34" s="1530">
        <f t="array" ref="AC34">INDEX(EMIS_factors!$G$6:$O$152,MATCH($G34&amp;$AE34,EMIS_factors!$E$6:$E$152&amp;EMIS_factors!$D$6:$D$152,0),MATCH(RIGHT(AC$4,6),EMIS_factors!$G$4:$O$4,0))</f>
        <v>0</v>
      </c>
      <c r="AD34" s="1295"/>
      <c r="AE34" s="526" t="s">
        <v>1483</v>
      </c>
      <c r="AF34" s="1265">
        <f>INDEX(TRA_Ship_Freight_INT!$AO$10:$AX$13,MATCH($F34,TRA_Ship_Freight_INT!$AN$10:$AN$13,0),MATCH(AF$1,TRA_Ship_Freight_INT!$AO$8:$AX$8,0))/1000</f>
        <v>45.183999999999997</v>
      </c>
      <c r="AG34" s="549">
        <f>(AF34^ShipData!$X$38)*ShipData!$W$38*0.746</f>
        <v>10028.515953319025</v>
      </c>
      <c r="AH34" s="526" t="s">
        <v>496</v>
      </c>
      <c r="AI34" s="526" t="s">
        <v>1257</v>
      </c>
      <c r="AJ34" s="549" t="s">
        <v>1144</v>
      </c>
      <c r="AQ34" s="549"/>
      <c r="AR34" s="549"/>
      <c r="AS34" s="549"/>
      <c r="AT34" s="549"/>
    </row>
    <row r="35" spans="3:67">
      <c r="C35" s="552"/>
      <c r="D35" s="552"/>
      <c r="E35" s="534" t="s">
        <v>984</v>
      </c>
      <c r="F35" s="531"/>
      <c r="G35" s="531"/>
      <c r="H35" s="1237"/>
      <c r="I35" s="1237"/>
      <c r="J35" s="1237"/>
      <c r="K35" s="1239"/>
      <c r="L35" s="1239"/>
      <c r="M35" s="1237"/>
      <c r="N35" s="1237"/>
      <c r="O35" s="1239"/>
      <c r="P35" s="1265"/>
      <c r="Q35" s="1239"/>
      <c r="R35" s="1239"/>
      <c r="S35" s="1237"/>
      <c r="T35" s="552"/>
      <c r="U35" s="552"/>
      <c r="V35" s="552"/>
      <c r="W35" s="1240"/>
      <c r="Z35" s="1530"/>
      <c r="AA35" s="1530"/>
      <c r="AB35" s="1530"/>
      <c r="AC35" s="1530"/>
      <c r="AD35" s="1295"/>
      <c r="AE35" s="526" t="s">
        <v>1483</v>
      </c>
      <c r="AF35" s="1265"/>
      <c r="AH35" s="526" t="s">
        <v>496</v>
      </c>
      <c r="AI35" s="526" t="s">
        <v>1257</v>
      </c>
      <c r="AJ35" s="549" t="s">
        <v>1144</v>
      </c>
      <c r="AQ35" s="549"/>
      <c r="AR35" s="549"/>
      <c r="AS35" s="549"/>
      <c r="AT35" s="549"/>
    </row>
    <row r="36" spans="3:67">
      <c r="C36" s="552"/>
      <c r="D36" s="552"/>
      <c r="E36" s="534" t="s">
        <v>1343</v>
      </c>
      <c r="F36" s="531" t="s">
        <v>1131</v>
      </c>
      <c r="G36" s="531">
        <v>2030</v>
      </c>
      <c r="H36" s="1237" t="s">
        <v>986</v>
      </c>
      <c r="I36" s="1237">
        <f>I34</f>
        <v>23608.639999999999</v>
      </c>
      <c r="J36" s="1237">
        <f>I36</f>
        <v>23608.639999999999</v>
      </c>
      <c r="K36" s="1239">
        <f t="array" ref="K36">INDEX(TRA_Ship_Freight_INT!$AO$10:$AX$13,MATCH($F36,TRA_Ship_Freight_INT!$AN$10:$AN$13,0),MATCH($G36&amp;K$1,TRA_Ship_Freight_INT!$AO$8:$AX$8,0))*1.852*8760*ShipData!$E$18</f>
        <v>167159.30469221697</v>
      </c>
      <c r="L36" s="1239">
        <f t="array" ref="L36">INDEX(TRA_Ship_Freight_INT!$AO$10:$AX$13,MATCH($F36,TRA_Ship_Freight_INT!$AN$10:$AN$13,0),MATCH($G36&amp;L$1,TRA_Ship_Freight_INT!$AO$8:$AX$8,0))*1.852*8760*ShipData!$E$18</f>
        <v>167159.30469221697</v>
      </c>
      <c r="M36" s="1241">
        <f t="array" ref="M36">1/(INDEX(TRA_Ship_Freight_INT!$AO$10:$AX$13,MATCH($F36,TRA_Ship_Freight_INT!$AN$10:$AN$13,0),MATCH($G36&amp;M$1,TRA_Ship_Freight_INT!$AO$8:$AX$8,0))/1.852)</f>
        <v>0.67616238190178735</v>
      </c>
      <c r="N36" s="1241">
        <f t="array" ref="N36">1/(INDEX(TRA_Ship_Freight_INT!$AO$10:$AX$13,MATCH($F36,TRA_Ship_Freight_INT!$AN$10:$AN$13,0),MATCH($G36&amp;N$1,TRA_Ship_Freight_INT!$AO$8:$AX$8,0))/1.852)</f>
        <v>0.67616238190178735</v>
      </c>
      <c r="O36" s="1237">
        <v>30</v>
      </c>
      <c r="P36" s="1265"/>
      <c r="Q36" s="1239">
        <v>7266.0193200000003</v>
      </c>
      <c r="R36" s="1239">
        <f>(AG36*(ShipData!$Q$21+ShipData!$Q$32)+(K36*0.1*(1/M36)*ShipData!$Q$43))*6.5/1000</f>
        <v>208094.56939792092</v>
      </c>
      <c r="S36" s="1237">
        <v>0.95</v>
      </c>
      <c r="T36" s="1237">
        <v>1E-3</v>
      </c>
      <c r="U36" s="1278"/>
      <c r="V36" s="552"/>
      <c r="W36" s="1240">
        <v>5</v>
      </c>
      <c r="Z36" s="1530">
        <f t="array" ref="Z36">INDEX(EMIS_factors!$G$6:$O$152,MATCH($G36&amp;$AE36,EMIS_factors!$E$6:$E$152&amp;EMIS_factors!$D$6:$D$152,0),MATCH(RIGHT(Z$4,6),EMIS_factors!$G$4:$O$4,0))</f>
        <v>0</v>
      </c>
      <c r="AA36" s="1530">
        <f t="array" ref="AA36">INDEX(EMIS_factors!$G$6:$O$152,MATCH($G36&amp;$AE36,EMIS_factors!$E$6:$E$152&amp;EMIS_factors!$D$6:$D$152,0),MATCH(RIGHT(AA$4,6),EMIS_factors!$G$4:$O$4,0))</f>
        <v>411.41501253398201</v>
      </c>
      <c r="AB36" s="1530">
        <f t="array" ref="AB36">INDEX(EMIS_factors!$G$6:$O$152,MATCH($G36&amp;$AE36,EMIS_factors!$E$6:$E$152&amp;EMIS_factors!$D$6:$D$152,0),MATCH(RIGHT(AB$4,6),EMIS_factors!$G$4:$O$4,0))</f>
        <v>0.11686473412375831</v>
      </c>
      <c r="AC36" s="1530">
        <f t="array" ref="AC36">INDEX(EMIS_factors!$G$6:$O$152,MATCH($G36&amp;$AE36,EMIS_factors!$E$6:$E$152&amp;EMIS_factors!$D$6:$D$152,0),MATCH(RIGHT(AC$4,6),EMIS_factors!$G$4:$O$4,0))</f>
        <v>0</v>
      </c>
      <c r="AD36" s="1295"/>
      <c r="AE36" s="526" t="s">
        <v>1483</v>
      </c>
      <c r="AF36" s="1265">
        <f>INDEX(TRA_Ship_Freight_INT!$AO$10:$AX$13,MATCH($F36,TRA_Ship_Freight_INT!$AN$10:$AN$13,0),MATCH(AF$1,TRA_Ship_Freight_INT!$AO$8:$AX$8,0))/1000</f>
        <v>45.183999999999997</v>
      </c>
      <c r="AG36" s="549">
        <f>(AF36^ShipData!$X$38)*ShipData!$W$38*0.746</f>
        <v>10028.515953319025</v>
      </c>
      <c r="AH36" s="526" t="s">
        <v>496</v>
      </c>
      <c r="AI36" s="526" t="s">
        <v>1257</v>
      </c>
      <c r="AJ36" s="549" t="s">
        <v>1144</v>
      </c>
      <c r="AQ36" s="549"/>
      <c r="AR36" s="549"/>
      <c r="AS36" s="549"/>
      <c r="AT36" s="549"/>
    </row>
    <row r="37" spans="3:67">
      <c r="C37" s="552"/>
      <c r="D37" s="552"/>
      <c r="E37" s="1429" t="s">
        <v>987</v>
      </c>
      <c r="F37" s="1430"/>
      <c r="G37" s="1430"/>
      <c r="H37" s="1431"/>
      <c r="I37" s="1431"/>
      <c r="J37" s="1431"/>
      <c r="K37" s="1434"/>
      <c r="L37" s="1434"/>
      <c r="M37" s="1431"/>
      <c r="N37" s="1431"/>
      <c r="O37" s="1434"/>
      <c r="P37" s="1448"/>
      <c r="Q37" s="1434"/>
      <c r="R37" s="1434"/>
      <c r="S37" s="1431"/>
      <c r="T37" s="1428"/>
      <c r="U37" s="1428"/>
      <c r="V37" s="1428"/>
      <c r="W37" s="1447"/>
      <c r="X37" s="1428"/>
      <c r="Y37" s="1428"/>
      <c r="Z37" s="1530"/>
      <c r="AA37" s="1530"/>
      <c r="AB37" s="1530"/>
      <c r="AC37" s="1530"/>
      <c r="AD37" s="1295"/>
      <c r="AE37" s="526" t="s">
        <v>1483</v>
      </c>
      <c r="AF37" s="1265"/>
      <c r="AH37" s="526" t="s">
        <v>496</v>
      </c>
      <c r="AI37" s="526" t="s">
        <v>1257</v>
      </c>
      <c r="AJ37" s="549" t="s">
        <v>1144</v>
      </c>
      <c r="AQ37" s="549"/>
      <c r="AR37" s="549"/>
      <c r="AS37" s="549"/>
      <c r="AT37" s="549"/>
    </row>
    <row r="38" spans="3:67">
      <c r="C38" s="552" t="str">
        <f>"TFS"&amp;LEFT(AH38,1)&amp;AI38&amp;RIGHT(F38,2)&amp;MID(G38,3,1)&amp;"N"</f>
        <v>TFSINGDUCI2N</v>
      </c>
      <c r="D38" s="552"/>
      <c r="E38" s="534" t="s">
        <v>1344</v>
      </c>
      <c r="F38" s="531" t="s">
        <v>1132</v>
      </c>
      <c r="G38" s="531">
        <v>2020</v>
      </c>
      <c r="H38" s="1237" t="s">
        <v>986</v>
      </c>
      <c r="I38" s="1237">
        <f>(I27+I11)/2</f>
        <v>17643.114999999998</v>
      </c>
      <c r="J38" s="1237">
        <f>I38</f>
        <v>17643.114999999998</v>
      </c>
      <c r="K38" s="1239">
        <f t="array" ref="K38">INDEX(TRA_Ship_Freight_INT!$AO$10:$AX$13,MATCH($F38,TRA_Ship_Freight_INT!$AN$10:$AN$13,0),MATCH($G38&amp;K$1,TRA_Ship_Freight_INT!$AO$8:$AX$8,0))*1.852*8760*ShipData!$E$18</f>
        <v>240108.09600000002</v>
      </c>
      <c r="L38" s="1239">
        <f t="array" ref="L38">INDEX(TRA_Ship_Freight_INT!$AO$10:$AX$13,MATCH($F38,TRA_Ship_Freight_INT!$AN$10:$AN$13,0),MATCH($G38&amp;L$1,TRA_Ship_Freight_INT!$AO$8:$AX$8,0))*1.852*8760*ShipData!$E$18</f>
        <v>240108.09600000002</v>
      </c>
      <c r="M38" s="1241">
        <f t="array" ref="M38">1/(INDEX(TRA_Ship_Freight_INT!$AO$10:$AX$13,MATCH($F38,TRA_Ship_Freight_INT!$AN$10:$AN$13,0),MATCH($G38&amp;M$1,TRA_Ship_Freight_INT!$AO$8:$AX$8,0))/1.852)</f>
        <v>0.35855970078637039</v>
      </c>
      <c r="N38" s="1241">
        <f t="array" ref="N38">1/(INDEX(TRA_Ship_Freight_INT!$AO$10:$AX$13,MATCH($F38,TRA_Ship_Freight_INT!$AN$10:$AN$13,0),MATCH($G38&amp;N$1,TRA_Ship_Freight_INT!$AO$8:$AX$8,0))/1.852)</f>
        <v>0.35855970078637039</v>
      </c>
      <c r="O38" s="1237">
        <v>30</v>
      </c>
      <c r="P38" s="1265"/>
      <c r="Q38" s="1239">
        <f>0.035*R38</f>
        <v>14826.762561088031</v>
      </c>
      <c r="R38" s="1239">
        <f>(AG38*(ShipData!$R$21+ShipData!$R$32)+(K38*0.1*(1/M38)*ShipData!$R$43))*6.5/1000</f>
        <v>423621.78745965799</v>
      </c>
      <c r="S38" s="1237">
        <v>0.95</v>
      </c>
      <c r="T38" s="1237">
        <v>1E-3</v>
      </c>
      <c r="U38" s="1278"/>
      <c r="V38" s="552"/>
      <c r="W38" s="1240">
        <v>5</v>
      </c>
      <c r="Z38" s="1530">
        <f t="array" ref="Z38">INDEX(EMIS_factors!$G$6:$O$152,MATCH($G38&amp;$AE38,EMIS_factors!$E$6:$E$152&amp;EMIS_factors!$D$6:$D$152,0),MATCH(RIGHT(Z$4,6),EMIS_factors!$G$4:$O$4,0))</f>
        <v>0</v>
      </c>
      <c r="AA38" s="1530">
        <f t="array" ref="AA38">INDEX(EMIS_factors!$G$6:$O$152,MATCH($G38&amp;$AE38,EMIS_factors!$E$6:$E$152&amp;EMIS_factors!$D$6:$D$152,0),MATCH(RIGHT(AA$4,6),EMIS_factors!$G$4:$O$4,0))</f>
        <v>411.41501253398201</v>
      </c>
      <c r="AB38" s="1530">
        <f t="array" ref="AB38">INDEX(EMIS_factors!$G$6:$O$152,MATCH($G38&amp;$AE38,EMIS_factors!$E$6:$E$152&amp;EMIS_factors!$D$6:$D$152,0),MATCH(RIGHT(AB$4,6),EMIS_factors!$G$4:$O$4,0))</f>
        <v>0.11686473412375831</v>
      </c>
      <c r="AC38" s="1530">
        <f t="array" ref="AC38">INDEX(EMIS_factors!$G$6:$O$152,MATCH($G38&amp;$AE38,EMIS_factors!$E$6:$E$152&amp;EMIS_factors!$D$6:$D$152,0),MATCH(RIGHT(AC$4,6),EMIS_factors!$G$4:$O$4,0))</f>
        <v>0</v>
      </c>
      <c r="AD38" s="1295"/>
      <c r="AE38" s="526" t="s">
        <v>1483</v>
      </c>
      <c r="AF38" s="1265">
        <f>INDEX(TRA_Ship_Freight_INT!$AO$10:$AX$13,MATCH($F38,TRA_Ship_Freight_INT!$AN$10:$AN$13,0),MATCH(AF$1,TRA_Ship_Freight_INT!$AO$8:$AX$8,0))/1000</f>
        <v>26.530999999999999</v>
      </c>
      <c r="AG38" s="549">
        <f>(AF38^ShipData!$X$36)*ShipData!$W$36*0.746</f>
        <v>25382.523802637832</v>
      </c>
      <c r="AH38" s="526" t="s">
        <v>496</v>
      </c>
      <c r="AI38" s="526" t="s">
        <v>1257</v>
      </c>
      <c r="AJ38" s="549" t="s">
        <v>1145</v>
      </c>
      <c r="AQ38" s="549"/>
      <c r="AR38" s="549"/>
      <c r="AS38" s="549"/>
      <c r="AT38" s="549"/>
    </row>
    <row r="39" spans="3:67">
      <c r="C39" s="552"/>
      <c r="D39" s="552"/>
      <c r="E39" s="534" t="s">
        <v>984</v>
      </c>
      <c r="F39" s="531"/>
      <c r="G39" s="531"/>
      <c r="H39" s="1237"/>
      <c r="I39" s="1237"/>
      <c r="J39" s="1237"/>
      <c r="K39" s="1239"/>
      <c r="L39" s="1239"/>
      <c r="M39" s="1237"/>
      <c r="N39" s="1237"/>
      <c r="O39" s="1239"/>
      <c r="P39" s="1265"/>
      <c r="Q39" s="1239"/>
      <c r="R39" s="1239"/>
      <c r="S39" s="1237"/>
      <c r="T39" s="552"/>
      <c r="U39" s="552"/>
      <c r="V39" s="552"/>
      <c r="W39" s="1240"/>
      <c r="Z39" s="1530"/>
      <c r="AA39" s="1530"/>
      <c r="AB39" s="1530"/>
      <c r="AC39" s="1530"/>
      <c r="AD39" s="1295"/>
      <c r="AE39" s="526" t="s">
        <v>1483</v>
      </c>
      <c r="AF39" s="1265"/>
      <c r="AH39" s="526" t="s">
        <v>496</v>
      </c>
      <c r="AI39" s="526" t="s">
        <v>1257</v>
      </c>
      <c r="AJ39" s="549" t="s">
        <v>1145</v>
      </c>
      <c r="AQ39" s="549"/>
      <c r="AR39" s="549"/>
      <c r="AS39" s="549"/>
      <c r="AT39" s="549"/>
    </row>
    <row r="40" spans="3:67">
      <c r="C40" s="552"/>
      <c r="D40" s="552"/>
      <c r="E40" s="534" t="s">
        <v>1343</v>
      </c>
      <c r="F40" s="531" t="s">
        <v>1132</v>
      </c>
      <c r="G40" s="531">
        <v>2030</v>
      </c>
      <c r="H40" s="1237" t="s">
        <v>986</v>
      </c>
      <c r="I40" s="1237">
        <f>I38</f>
        <v>17643.114999999998</v>
      </c>
      <c r="J40" s="1237">
        <f>I40</f>
        <v>17643.114999999998</v>
      </c>
      <c r="K40" s="1239">
        <f t="array" ref="K40">INDEX(TRA_Ship_Freight_INT!$AO$10:$AX$13,MATCH($F40,TRA_Ship_Freight_INT!$AN$10:$AN$13,0),MATCH($G40&amp;K$1,TRA_Ship_Freight_INT!$AO$8:$AX$8,0))*1.852*8760*ShipData!$E$18</f>
        <v>240108.09600000002</v>
      </c>
      <c r="L40" s="1239">
        <f t="array" ref="L40">INDEX(TRA_Ship_Freight_INT!$AO$10:$AX$13,MATCH($F40,TRA_Ship_Freight_INT!$AN$10:$AN$13,0),MATCH($G40&amp;L$1,TRA_Ship_Freight_INT!$AO$8:$AX$8,0))*1.852*8760*ShipData!$E$18</f>
        <v>240108.09600000002</v>
      </c>
      <c r="M40" s="1241">
        <f t="array" ref="M40">1/(INDEX(TRA_Ship_Freight_INT!$AO$10:$AX$13,MATCH($F40,TRA_Ship_Freight_INT!$AN$10:$AN$13,0),MATCH($G40&amp;M$1,TRA_Ship_Freight_INT!$AO$8:$AX$8,0))/1.852)</f>
        <v>0.35855970078637039</v>
      </c>
      <c r="N40" s="1241">
        <f t="array" ref="N40">1/(INDEX(TRA_Ship_Freight_INT!$AO$10:$AX$13,MATCH($F40,TRA_Ship_Freight_INT!$AN$10:$AN$13,0),MATCH($G40&amp;N$1,TRA_Ship_Freight_INT!$AO$8:$AX$8,0))/1.852)</f>
        <v>0.35855970078637039</v>
      </c>
      <c r="O40" s="1237">
        <v>30</v>
      </c>
      <c r="P40" s="1265"/>
      <c r="Q40" s="1239">
        <v>15736.727790000001</v>
      </c>
      <c r="R40" s="1239">
        <f>(AG40*(ShipData!$R$21+ShipData!$R$32)+(K40*0.1*(1/M40)*ShipData!$R$43))*6.5/1000</f>
        <v>423621.78745965799</v>
      </c>
      <c r="S40" s="1237">
        <v>0.95</v>
      </c>
      <c r="T40" s="1237">
        <v>1E-3</v>
      </c>
      <c r="U40" s="1278"/>
      <c r="V40" s="552"/>
      <c r="W40" s="1240">
        <v>5</v>
      </c>
      <c r="Z40" s="1530">
        <f t="array" ref="Z40">INDEX(EMIS_factors!$G$6:$O$152,MATCH($G40&amp;$AE40,EMIS_factors!$E$6:$E$152&amp;EMIS_factors!$D$6:$D$152,0),MATCH(RIGHT(Z$4,6),EMIS_factors!$G$4:$O$4,0))</f>
        <v>0</v>
      </c>
      <c r="AA40" s="1530">
        <f t="array" ref="AA40">INDEX(EMIS_factors!$G$6:$O$152,MATCH($G40&amp;$AE40,EMIS_factors!$E$6:$E$152&amp;EMIS_factors!$D$6:$D$152,0),MATCH(RIGHT(AA$4,6),EMIS_factors!$G$4:$O$4,0))</f>
        <v>411.41501253398201</v>
      </c>
      <c r="AB40" s="1530">
        <f t="array" ref="AB40">INDEX(EMIS_factors!$G$6:$O$152,MATCH($G40&amp;$AE40,EMIS_factors!$E$6:$E$152&amp;EMIS_factors!$D$6:$D$152,0),MATCH(RIGHT(AB$4,6),EMIS_factors!$G$4:$O$4,0))</f>
        <v>0.11686473412375831</v>
      </c>
      <c r="AC40" s="1530">
        <f t="array" ref="AC40">INDEX(EMIS_factors!$G$6:$O$152,MATCH($G40&amp;$AE40,EMIS_factors!$E$6:$E$152&amp;EMIS_factors!$D$6:$D$152,0),MATCH(RIGHT(AC$4,6),EMIS_factors!$G$4:$O$4,0))</f>
        <v>0</v>
      </c>
      <c r="AD40" s="1295"/>
      <c r="AE40" s="526" t="s">
        <v>1483</v>
      </c>
      <c r="AF40" s="1265">
        <f>INDEX(TRA_Ship_Freight_INT!$AO$10:$AX$13,MATCH($F40,TRA_Ship_Freight_INT!$AN$10:$AN$13,0),MATCH(AF$1,TRA_Ship_Freight_INT!$AO$8:$AX$8,0))/1000</f>
        <v>26.530999999999999</v>
      </c>
      <c r="AG40" s="549">
        <f>(AF40^ShipData!$X$36)*ShipData!$W$36*0.746</f>
        <v>25382.523802637832</v>
      </c>
      <c r="AH40" s="526" t="s">
        <v>496</v>
      </c>
      <c r="AI40" s="526" t="s">
        <v>1257</v>
      </c>
      <c r="AJ40" s="549" t="s">
        <v>1145</v>
      </c>
      <c r="AQ40" s="549"/>
      <c r="AR40" s="549"/>
      <c r="AS40" s="549"/>
      <c r="AT40" s="549"/>
    </row>
    <row r="41" spans="3:67">
      <c r="C41" s="1231"/>
      <c r="D41" s="1231"/>
      <c r="E41" s="1429" t="s">
        <v>987</v>
      </c>
      <c r="F41" s="1430"/>
      <c r="G41" s="1430"/>
      <c r="H41" s="1431"/>
      <c r="I41" s="1431"/>
      <c r="J41" s="1431"/>
      <c r="K41" s="1434"/>
      <c r="L41" s="1434"/>
      <c r="M41" s="1431"/>
      <c r="N41" s="1431"/>
      <c r="O41" s="1434"/>
      <c r="P41" s="1448"/>
      <c r="Q41" s="1434"/>
      <c r="R41" s="1434"/>
      <c r="S41" s="1431"/>
      <c r="T41" s="1428"/>
      <c r="U41" s="1428"/>
      <c r="V41" s="1428"/>
      <c r="W41" s="1447"/>
      <c r="X41" s="1428"/>
      <c r="Y41" s="1428"/>
      <c r="Z41" s="1530"/>
      <c r="AA41" s="1530"/>
      <c r="AB41" s="1530"/>
      <c r="AC41" s="1530"/>
      <c r="AD41" s="1295"/>
      <c r="AE41" s="526" t="s">
        <v>1483</v>
      </c>
      <c r="AF41" s="1265"/>
      <c r="AH41" s="526" t="s">
        <v>496</v>
      </c>
      <c r="AI41" s="526" t="s">
        <v>1257</v>
      </c>
      <c r="AJ41" s="549" t="s">
        <v>1145</v>
      </c>
      <c r="AQ41" s="549"/>
      <c r="AR41" s="549"/>
      <c r="AS41" s="549"/>
      <c r="AT41" s="549"/>
    </row>
    <row r="42" spans="3:67">
      <c r="C42" s="552" t="str">
        <f>"TFS"&amp;LEFT(AH42,1)&amp;AI42&amp;RIGHT(F42,2)&amp;MID(G42,3,1)&amp;"N"</f>
        <v>TFSINGDURI2N</v>
      </c>
      <c r="D42" s="552"/>
      <c r="E42" s="534" t="s">
        <v>1344</v>
      </c>
      <c r="F42" s="531" t="s">
        <v>1129</v>
      </c>
      <c r="G42" s="531">
        <v>2020</v>
      </c>
      <c r="H42" s="1237" t="s">
        <v>986</v>
      </c>
      <c r="I42" s="1237">
        <f>(I29+I13)/2</f>
        <v>8034.8097222222232</v>
      </c>
      <c r="J42" s="1237">
        <f>I42</f>
        <v>8034.8097222222232</v>
      </c>
      <c r="K42" s="1239">
        <f t="array" ref="K42">INDEX(TRA_Ship_Freight_INT!$AO$10:$AX$13,MATCH($F42,TRA_Ship_Freight_INT!$AN$10:$AN$13,0),MATCH($G42&amp;K$1,TRA_Ship_Freight_INT!$AO$8:$AX$8,0))*1.852*8760*ShipData!$E$18</f>
        <v>240108.09600000002</v>
      </c>
      <c r="L42" s="1239">
        <f t="array" ref="L42">INDEX(TRA_Ship_Freight_INT!$AO$10:$AX$13,MATCH($F42,TRA_Ship_Freight_INT!$AN$10:$AN$13,0),MATCH($G42&amp;L$1,TRA_Ship_Freight_INT!$AO$8:$AX$8,0))*1.852*8760*ShipData!$E$18</f>
        <v>240108.09600000002</v>
      </c>
      <c r="M42" s="1241">
        <f t="array" ref="M42">1/(INDEX(TRA_Ship_Freight_INT!$AO$10:$AX$13,MATCH($F42,TRA_Ship_Freight_INT!$AN$10:$AN$13,0),MATCH($G42&amp;M$1,TRA_Ship_Freight_INT!$AO$8:$AX$8,0))/1.852)</f>
        <v>0.35855970078637039</v>
      </c>
      <c r="N42" s="1241">
        <f t="array" ref="N42">1/(INDEX(TRA_Ship_Freight_INT!$AO$10:$AX$13,MATCH($F42,TRA_Ship_Freight_INT!$AN$10:$AN$13,0),MATCH($G42&amp;N$1,TRA_Ship_Freight_INT!$AO$8:$AX$8,0))/1.852)</f>
        <v>0.35855970078637039</v>
      </c>
      <c r="O42" s="1237">
        <v>30</v>
      </c>
      <c r="P42" s="1265"/>
      <c r="Q42" s="1239">
        <f>0.035*R42</f>
        <v>9168.0854681490018</v>
      </c>
      <c r="R42" s="1239">
        <f>(AG42*(ShipData!$Q$21+ShipData!$Q$32)+(K42*0.1*(1/M42)*ShipData!$Q$43))*6.5/1000</f>
        <v>261945.29908997146</v>
      </c>
      <c r="S42" s="1237">
        <v>0.95</v>
      </c>
      <c r="T42" s="1237">
        <v>1E-3</v>
      </c>
      <c r="U42" s="1278"/>
      <c r="V42" s="552"/>
      <c r="W42" s="1240">
        <v>5</v>
      </c>
      <c r="Z42" s="1530">
        <f t="array" ref="Z42">INDEX(EMIS_factors!$G$6:$O$152,MATCH($G42&amp;$AE42,EMIS_factors!$E$6:$E$152&amp;EMIS_factors!$D$6:$D$152,0),MATCH(RIGHT(Z$4,6),EMIS_factors!$G$4:$O$4,0))</f>
        <v>0</v>
      </c>
      <c r="AA42" s="1530">
        <f t="array" ref="AA42">INDEX(EMIS_factors!$G$6:$O$152,MATCH($G42&amp;$AE42,EMIS_factors!$E$6:$E$152&amp;EMIS_factors!$D$6:$D$152,0),MATCH(RIGHT(AA$4,6),EMIS_factors!$G$4:$O$4,0))</f>
        <v>411.41501253398201</v>
      </c>
      <c r="AB42" s="1530">
        <f t="array" ref="AB42">INDEX(EMIS_factors!$G$6:$O$152,MATCH($G42&amp;$AE42,EMIS_factors!$E$6:$E$152&amp;EMIS_factors!$D$6:$D$152,0),MATCH(RIGHT(AB$4,6),EMIS_factors!$G$4:$O$4,0))</f>
        <v>0.11686473412375831</v>
      </c>
      <c r="AC42" s="1530">
        <f t="array" ref="AC42">INDEX(EMIS_factors!$G$6:$O$152,MATCH($G42&amp;$AE42,EMIS_factors!$E$6:$E$152&amp;EMIS_factors!$D$6:$D$152,0),MATCH(RIGHT(AC$4,6),EMIS_factors!$G$4:$O$4,0))</f>
        <v>0</v>
      </c>
      <c r="AD42" s="1295"/>
      <c r="AE42" s="526" t="s">
        <v>1483</v>
      </c>
      <c r="AF42" s="1265">
        <f>INDEX(TRA_Ship_Freight_INT!$AO$10:$AX$13,MATCH($F42,TRA_Ship_Freight_INT!$AN$10:$AN$13,0),MATCH(AF$1,TRA_Ship_Freight_INT!$AO$8:$AX$8,0))/1000</f>
        <v>12.082420634920636</v>
      </c>
      <c r="AG42" s="549">
        <f>(AF42^ShipData!$X$37)*ShipData!$W$37*0.746</f>
        <v>11666.269406201467</v>
      </c>
      <c r="AH42" s="526" t="s">
        <v>496</v>
      </c>
      <c r="AI42" s="526" t="s">
        <v>1257</v>
      </c>
      <c r="AJ42" s="549" t="s">
        <v>1145</v>
      </c>
      <c r="AQ42" s="549"/>
      <c r="AR42" s="549"/>
      <c r="AS42" s="549"/>
      <c r="AT42" s="549"/>
    </row>
    <row r="43" spans="3:67">
      <c r="C43" s="552"/>
      <c r="D43" s="552"/>
      <c r="E43" s="534" t="s">
        <v>984</v>
      </c>
      <c r="F43" s="531"/>
      <c r="G43" s="531"/>
      <c r="H43" s="1237"/>
      <c r="I43" s="1237"/>
      <c r="J43" s="1237"/>
      <c r="K43" s="1239"/>
      <c r="L43" s="1239"/>
      <c r="M43" s="1237"/>
      <c r="N43" s="1237"/>
      <c r="O43" s="1239"/>
      <c r="P43" s="1265"/>
      <c r="Q43" s="1239"/>
      <c r="R43" s="1239"/>
      <c r="S43" s="1237"/>
      <c r="T43" s="1237"/>
      <c r="U43" s="1278"/>
      <c r="V43" s="552"/>
      <c r="W43" s="1240"/>
      <c r="Z43" s="1530"/>
      <c r="AA43" s="1530"/>
      <c r="AB43" s="1530"/>
      <c r="AC43" s="1530"/>
      <c r="AD43" s="1295"/>
      <c r="AE43" s="526" t="s">
        <v>1483</v>
      </c>
      <c r="AF43" s="1265"/>
      <c r="AH43" s="526" t="s">
        <v>496</v>
      </c>
      <c r="AI43" s="526" t="s">
        <v>1257</v>
      </c>
      <c r="AJ43" s="549" t="s">
        <v>1145</v>
      </c>
      <c r="AQ43" s="549"/>
      <c r="AR43" s="549"/>
      <c r="AS43" s="549"/>
      <c r="AT43" s="549"/>
    </row>
    <row r="44" spans="3:67">
      <c r="C44" s="552"/>
      <c r="D44" s="552"/>
      <c r="E44" s="534" t="s">
        <v>1343</v>
      </c>
      <c r="F44" s="531" t="s">
        <v>1129</v>
      </c>
      <c r="G44" s="531">
        <v>2030</v>
      </c>
      <c r="H44" s="1237" t="s">
        <v>986</v>
      </c>
      <c r="I44" s="1237">
        <f>I42</f>
        <v>8034.8097222222232</v>
      </c>
      <c r="J44" s="1237">
        <f>I44</f>
        <v>8034.8097222222232</v>
      </c>
      <c r="K44" s="1239">
        <f t="array" ref="K44">INDEX(TRA_Ship_Freight_INT!$AO$10:$AX$13,MATCH($F44,TRA_Ship_Freight_INT!$AN$10:$AN$13,0),MATCH($G44&amp;K$1,TRA_Ship_Freight_INT!$AO$8:$AX$8,0))*1.852*8760*ShipData!$E$18</f>
        <v>240108.09600000002</v>
      </c>
      <c r="L44" s="1239">
        <f t="array" ref="L44">INDEX(TRA_Ship_Freight_INT!$AO$10:$AX$13,MATCH($F44,TRA_Ship_Freight_INT!$AN$10:$AN$13,0),MATCH($G44&amp;L$1,TRA_Ship_Freight_INT!$AO$8:$AX$8,0))*1.852*8760*ShipData!$E$18</f>
        <v>240108.09600000002</v>
      </c>
      <c r="M44" s="1241">
        <f t="array" ref="M44">1/(INDEX(TRA_Ship_Freight_INT!$AO$10:$AX$13,MATCH($F44,TRA_Ship_Freight_INT!$AN$10:$AN$13,0),MATCH($G44&amp;M$1,TRA_Ship_Freight_INT!$AO$8:$AX$8,0))/1.852)</f>
        <v>0.35855970078637039</v>
      </c>
      <c r="N44" s="1241">
        <f t="array" ref="N44">1/(INDEX(TRA_Ship_Freight_INT!$AO$10:$AX$13,MATCH($F44,TRA_Ship_Freight_INT!$AN$10:$AN$13,0),MATCH($G44&amp;N$1,TRA_Ship_Freight_INT!$AO$8:$AX$8,0))/1.852)</f>
        <v>0.35855970078637039</v>
      </c>
      <c r="O44" s="1237">
        <v>30</v>
      </c>
      <c r="P44" s="1265"/>
      <c r="Q44" s="1239">
        <v>7403.2175700000007</v>
      </c>
      <c r="R44" s="1239">
        <f>(AG44*(ShipData!$Q$21+ShipData!$Q$32)+(K44*0.1*(1/M44)*ShipData!$Q$43))*6.5/1000</f>
        <v>261945.29908997146</v>
      </c>
      <c r="S44" s="1237">
        <v>0.95</v>
      </c>
      <c r="T44" s="1237">
        <v>1E-3</v>
      </c>
      <c r="U44" s="1278"/>
      <c r="V44" s="552"/>
      <c r="W44" s="1240">
        <v>5</v>
      </c>
      <c r="Z44" s="1530">
        <f t="array" ref="Z44">INDEX(EMIS_factors!$G$6:$O$152,MATCH($G44&amp;$AE44,EMIS_factors!$E$6:$E$152&amp;EMIS_factors!$D$6:$D$152,0),MATCH(RIGHT(Z$4,6),EMIS_factors!$G$4:$O$4,0))</f>
        <v>0</v>
      </c>
      <c r="AA44" s="1530">
        <f t="array" ref="AA44">INDEX(EMIS_factors!$G$6:$O$152,MATCH($G44&amp;$AE44,EMIS_factors!$E$6:$E$152&amp;EMIS_factors!$D$6:$D$152,0),MATCH(RIGHT(AA$4,6),EMIS_factors!$G$4:$O$4,0))</f>
        <v>411.41501253398201</v>
      </c>
      <c r="AB44" s="1530">
        <f t="array" ref="AB44">INDEX(EMIS_factors!$G$6:$O$152,MATCH($G44&amp;$AE44,EMIS_factors!$E$6:$E$152&amp;EMIS_factors!$D$6:$D$152,0),MATCH(RIGHT(AB$4,6),EMIS_factors!$G$4:$O$4,0))</f>
        <v>0.11686473412375831</v>
      </c>
      <c r="AC44" s="1530">
        <f t="array" ref="AC44">INDEX(EMIS_factors!$G$6:$O$152,MATCH($G44&amp;$AE44,EMIS_factors!$E$6:$E$152&amp;EMIS_factors!$D$6:$D$152,0),MATCH(RIGHT(AC$4,6),EMIS_factors!$G$4:$O$4,0))</f>
        <v>0</v>
      </c>
      <c r="AD44" s="1295"/>
      <c r="AE44" s="526" t="s">
        <v>1483</v>
      </c>
      <c r="AF44" s="1265">
        <f>INDEX(TRA_Ship_Freight_INT!$AO$10:$AX$13,MATCH($F44,TRA_Ship_Freight_INT!$AN$10:$AN$13,0),MATCH(AF$1,TRA_Ship_Freight_INT!$AO$8:$AX$8,0))/1000</f>
        <v>12.082420634920636</v>
      </c>
      <c r="AG44" s="549">
        <f>(AF44^ShipData!$X$37)*ShipData!$W$37*0.746</f>
        <v>11666.269406201467</v>
      </c>
      <c r="AH44" s="526" t="s">
        <v>496</v>
      </c>
      <c r="AI44" s="526" t="s">
        <v>1257</v>
      </c>
      <c r="AJ44" s="549" t="s">
        <v>1145</v>
      </c>
      <c r="AQ44" s="549"/>
      <c r="AR44" s="549"/>
      <c r="AS44" s="549"/>
      <c r="AT44" s="549"/>
    </row>
    <row r="45" spans="3:67">
      <c r="C45" s="552"/>
      <c r="D45" s="552"/>
      <c r="E45" s="1429" t="s">
        <v>987</v>
      </c>
      <c r="F45" s="1430"/>
      <c r="G45" s="1430"/>
      <c r="H45" s="1431"/>
      <c r="I45" s="1431"/>
      <c r="J45" s="1431"/>
      <c r="K45" s="1431"/>
      <c r="L45" s="1451"/>
      <c r="M45" s="1452"/>
      <c r="N45" s="1434"/>
      <c r="O45" s="1434"/>
      <c r="P45" s="1448"/>
      <c r="Q45" s="1434"/>
      <c r="R45" s="1434"/>
      <c r="S45" s="1431"/>
      <c r="T45" s="1431"/>
      <c r="U45" s="1446"/>
      <c r="V45" s="1428"/>
      <c r="W45" s="1447"/>
      <c r="X45" s="1428"/>
      <c r="Y45" s="1428"/>
      <c r="Z45" s="1530"/>
      <c r="AA45" s="1530"/>
      <c r="AB45" s="1530"/>
      <c r="AC45" s="1530"/>
      <c r="AD45" s="1295"/>
      <c r="AE45" s="526" t="s">
        <v>1483</v>
      </c>
      <c r="AF45" s="1237"/>
      <c r="AH45" s="526" t="s">
        <v>496</v>
      </c>
      <c r="AI45" s="526" t="s">
        <v>1257</v>
      </c>
      <c r="AJ45" s="549" t="s">
        <v>1145</v>
      </c>
      <c r="AQ45" s="549"/>
      <c r="AR45" s="549"/>
      <c r="AS45" s="549"/>
      <c r="AT45" s="549"/>
    </row>
    <row r="46" spans="3:67">
      <c r="C46" s="552" t="str">
        <f>"TFS"&amp;LEFT(AH46,1)&amp;AI46&amp;RIGHT(F46,2)&amp;MID(G46,3,1)&amp;"N"</f>
        <v>TFSIAMDULI3N</v>
      </c>
      <c r="D46" s="552"/>
      <c r="E46" s="534" t="s">
        <v>1312</v>
      </c>
      <c r="F46" s="531" t="str">
        <f>F32</f>
        <v>TFSLI</v>
      </c>
      <c r="G46" s="531">
        <v>2030</v>
      </c>
      <c r="H46" s="531" t="str">
        <f t="shared" ref="H46" si="3">H32</f>
        <v>MKr10</v>
      </c>
      <c r="I46" s="531">
        <f>I32</f>
        <v>30152.337878787883</v>
      </c>
      <c r="J46" s="531">
        <f t="shared" ref="J46:T46" si="4">J32</f>
        <v>30152.337878787883</v>
      </c>
      <c r="K46" s="531">
        <f t="shared" si="4"/>
        <v>166453.31520000004</v>
      </c>
      <c r="L46" s="531">
        <f t="shared" si="4"/>
        <v>166453.31520000004</v>
      </c>
      <c r="M46" s="531">
        <f t="shared" si="4"/>
        <v>0.67094968292886403</v>
      </c>
      <c r="N46" s="531">
        <f t="shared" si="4"/>
        <v>0.67094968292886403</v>
      </c>
      <c r="O46" s="531">
        <f t="shared" si="4"/>
        <v>30</v>
      </c>
      <c r="P46" s="531"/>
      <c r="Q46" s="1331">
        <f>Q32</f>
        <v>7669.3821750000016</v>
      </c>
      <c r="R46" s="1331">
        <f>R32</f>
        <v>256110.33908108238</v>
      </c>
      <c r="S46" s="531">
        <f t="shared" si="4"/>
        <v>0.95</v>
      </c>
      <c r="T46" s="531">
        <f t="shared" si="4"/>
        <v>1E-3</v>
      </c>
      <c r="U46" s="531"/>
      <c r="V46" s="552"/>
      <c r="W46" s="1240">
        <v>5</v>
      </c>
      <c r="Z46" s="1530">
        <f t="array" ref="Z46">INDEX(EMIS_factors!$G$6:$O$152,MATCH($G46&amp;$AE46,EMIS_factors!$E$6:$E$152&amp;EMIS_factors!$D$6:$D$152,0),MATCH(RIGHT(Z$4,6),EMIS_factors!$G$4:$O$4,0))</f>
        <v>46.838407494145208</v>
      </c>
      <c r="AA46" s="1530">
        <f t="array" ref="AA46">INDEX(EMIS_factors!$G$6:$O$152,MATCH($G46&amp;$AE46,EMIS_factors!$E$6:$E$152&amp;EMIS_factors!$D$6:$D$152,0),MATCH(RIGHT(AA$4,6),EMIS_factors!$G$4:$O$4,0))</f>
        <v>938.56734047344298</v>
      </c>
      <c r="AB46" s="1530">
        <f t="array" ref="AB46">INDEX(EMIS_factors!$G$6:$O$152,MATCH($G46&amp;$AE46,EMIS_factors!$E$6:$E$152&amp;EMIS_factors!$D$6:$D$152,0),MATCH(RIGHT(AB$4,6),EMIS_factors!$G$4:$O$4,0))</f>
        <v>1.9042584079204421</v>
      </c>
      <c r="AC46" s="1530">
        <f t="array" ref="AC46">INDEX(EMIS_factors!$G$6:$O$152,MATCH($G46&amp;$AE46,EMIS_factors!$E$6:$E$152&amp;EMIS_factors!$D$6:$D$152,0),MATCH(RIGHT(AC$4,6),EMIS_factors!$G$4:$O$4,0))</f>
        <v>21.22370326738832</v>
      </c>
      <c r="AD46" s="1295"/>
      <c r="AE46" s="526" t="s">
        <v>1462</v>
      </c>
      <c r="AF46" s="1237"/>
      <c r="AH46" s="526" t="s">
        <v>496</v>
      </c>
      <c r="AI46" s="526" t="s">
        <v>1314</v>
      </c>
      <c r="AJ46" s="549" t="str">
        <f>AJ7</f>
        <v>Deep sea ships</v>
      </c>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row>
    <row r="47" spans="3:67">
      <c r="C47" s="552"/>
      <c r="D47" s="552"/>
      <c r="E47" s="1429" t="str">
        <f>E37</f>
        <v>TRAMFO3</v>
      </c>
      <c r="F47" s="1429"/>
      <c r="G47" s="1429"/>
      <c r="H47" s="1429"/>
      <c r="I47" s="1429"/>
      <c r="J47" s="1429"/>
      <c r="K47" s="1429"/>
      <c r="L47" s="1429"/>
      <c r="M47" s="1429"/>
      <c r="N47" s="1429"/>
      <c r="O47" s="1429"/>
      <c r="P47" s="1429"/>
      <c r="Q47" s="1453"/>
      <c r="R47" s="1453"/>
      <c r="S47" s="1429"/>
      <c r="T47" s="1429"/>
      <c r="U47" s="1429"/>
      <c r="V47" s="1429"/>
      <c r="W47" s="1429"/>
      <c r="X47" s="1428"/>
      <c r="Y47" s="1428"/>
      <c r="Z47" s="1530"/>
      <c r="AA47" s="1530"/>
      <c r="AB47" s="1530"/>
      <c r="AC47" s="1530"/>
      <c r="AD47" s="1295"/>
      <c r="AE47" s="526" t="s">
        <v>1462</v>
      </c>
      <c r="AF47" s="1237"/>
      <c r="AH47" s="526" t="s">
        <v>496</v>
      </c>
      <c r="AI47" s="526" t="s">
        <v>1314</v>
      </c>
      <c r="AJ47" s="549" t="str">
        <f>AJ8</f>
        <v>Deep sea ships</v>
      </c>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row>
    <row r="48" spans="3:67">
      <c r="C48" s="552" t="str">
        <f>"TFS"&amp;LEFT(AH48,1)&amp;AI48&amp;RIGHT(F48,2)&amp;MID(G48,3,1)&amp;"N"</f>
        <v>TFSIAMDUDI3N</v>
      </c>
      <c r="D48" s="552"/>
      <c r="E48" s="534" t="s">
        <v>1312</v>
      </c>
      <c r="F48" s="531" t="str">
        <f t="shared" ref="F48:H48" si="5">F36</f>
        <v>TFSDI</v>
      </c>
      <c r="G48" s="531">
        <v>2030</v>
      </c>
      <c r="H48" s="531" t="str">
        <f t="shared" si="5"/>
        <v>MKr10</v>
      </c>
      <c r="I48" s="531">
        <f>I36</f>
        <v>23608.639999999999</v>
      </c>
      <c r="J48" s="531">
        <f t="shared" ref="J48:T48" si="6">J36</f>
        <v>23608.639999999999</v>
      </c>
      <c r="K48" s="531">
        <f t="shared" si="6"/>
        <v>167159.30469221697</v>
      </c>
      <c r="L48" s="531">
        <f t="shared" si="6"/>
        <v>167159.30469221697</v>
      </c>
      <c r="M48" s="531">
        <f t="shared" si="6"/>
        <v>0.67616238190178735</v>
      </c>
      <c r="N48" s="531">
        <f t="shared" si="6"/>
        <v>0.67616238190178735</v>
      </c>
      <c r="O48" s="531">
        <f t="shared" si="6"/>
        <v>30</v>
      </c>
      <c r="P48" s="531"/>
      <c r="Q48" s="1331">
        <f>Q36</f>
        <v>7266.0193200000003</v>
      </c>
      <c r="R48" s="1331">
        <f>R36</f>
        <v>208094.56939792092</v>
      </c>
      <c r="S48" s="531">
        <f t="shared" si="6"/>
        <v>0.95</v>
      </c>
      <c r="T48" s="531">
        <f t="shared" si="6"/>
        <v>1E-3</v>
      </c>
      <c r="U48" s="531"/>
      <c r="V48" s="552"/>
      <c r="W48" s="1240">
        <v>5</v>
      </c>
      <c r="Z48" s="1530">
        <f t="array" ref="Z48">INDEX(EMIS_factors!$G$6:$O$152,MATCH($G48&amp;$AE48,EMIS_factors!$E$6:$E$152&amp;EMIS_factors!$D$6:$D$152,0),MATCH(RIGHT(Z$4,6),EMIS_factors!$G$4:$O$4,0))</f>
        <v>46.838407494145208</v>
      </c>
      <c r="AA48" s="1530">
        <f t="array" ref="AA48">INDEX(EMIS_factors!$G$6:$O$152,MATCH($G48&amp;$AE48,EMIS_factors!$E$6:$E$152&amp;EMIS_factors!$D$6:$D$152,0),MATCH(RIGHT(AA$4,6),EMIS_factors!$G$4:$O$4,0))</f>
        <v>938.56734047344298</v>
      </c>
      <c r="AB48" s="1530">
        <f t="array" ref="AB48">INDEX(EMIS_factors!$G$6:$O$152,MATCH($G48&amp;$AE48,EMIS_factors!$E$6:$E$152&amp;EMIS_factors!$D$6:$D$152,0),MATCH(RIGHT(AB$4,6),EMIS_factors!$G$4:$O$4,0))</f>
        <v>1.9042584079204421</v>
      </c>
      <c r="AC48" s="1530">
        <f t="array" ref="AC48">INDEX(EMIS_factors!$G$6:$O$152,MATCH($G48&amp;$AE48,EMIS_factors!$E$6:$E$152&amp;EMIS_factors!$D$6:$D$152,0),MATCH(RIGHT(AC$4,6),EMIS_factors!$G$4:$O$4,0))</f>
        <v>21.22370326738832</v>
      </c>
      <c r="AD48" s="1295"/>
      <c r="AE48" s="526" t="s">
        <v>1462</v>
      </c>
      <c r="AF48" s="1237"/>
      <c r="AH48" s="526" t="s">
        <v>496</v>
      </c>
      <c r="AI48" s="526" t="s">
        <v>1314</v>
      </c>
      <c r="AJ48" s="549" t="str">
        <f>AJ9</f>
        <v>Deep sea ships</v>
      </c>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row>
    <row r="49" spans="2:67">
      <c r="C49" s="552"/>
      <c r="D49" s="552"/>
      <c r="E49" s="1429" t="str">
        <f>E41</f>
        <v>TRAMFO3</v>
      </c>
      <c r="F49" s="1430"/>
      <c r="G49" s="1430"/>
      <c r="H49" s="1430"/>
      <c r="I49" s="1430"/>
      <c r="J49" s="1430"/>
      <c r="K49" s="1430"/>
      <c r="L49" s="1430"/>
      <c r="M49" s="1430"/>
      <c r="N49" s="1430"/>
      <c r="O49" s="1430"/>
      <c r="P49" s="1430"/>
      <c r="Q49" s="1454"/>
      <c r="R49" s="1454"/>
      <c r="S49" s="1430"/>
      <c r="T49" s="1430"/>
      <c r="U49" s="1430"/>
      <c r="V49" s="1428"/>
      <c r="W49" s="1447"/>
      <c r="X49" s="1428"/>
      <c r="Y49" s="1428"/>
      <c r="Z49" s="1530"/>
      <c r="AA49" s="1530"/>
      <c r="AB49" s="1530"/>
      <c r="AC49" s="1530"/>
      <c r="AD49" s="1295"/>
      <c r="AE49" s="526" t="s">
        <v>1462</v>
      </c>
      <c r="AF49" s="1237"/>
      <c r="AH49" s="526" t="s">
        <v>496</v>
      </c>
      <c r="AI49" s="526" t="s">
        <v>1314</v>
      </c>
      <c r="AJ49" s="549" t="str">
        <f>AJ10</f>
        <v>Deep sea ships</v>
      </c>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row>
    <row r="50" spans="2:67">
      <c r="C50" s="552" t="str">
        <f>"TFS"&amp;LEFT(AH50,1)&amp;AI50&amp;RIGHT(F50,2)&amp;MID(G50,3,1)&amp;"N"</f>
        <v>TFSIAMDUCI3N</v>
      </c>
      <c r="D50" s="552"/>
      <c r="E50" s="534" t="s">
        <v>1312</v>
      </c>
      <c r="F50" s="531" t="str">
        <f t="shared" ref="F50:H50" si="7">F40</f>
        <v>TFSCI</v>
      </c>
      <c r="G50" s="531">
        <v>2030</v>
      </c>
      <c r="H50" s="531" t="str">
        <f t="shared" si="7"/>
        <v>MKr10</v>
      </c>
      <c r="I50" s="531">
        <f>I40</f>
        <v>17643.114999999998</v>
      </c>
      <c r="J50" s="531">
        <f t="shared" ref="J50:T50" si="8">J40</f>
        <v>17643.114999999998</v>
      </c>
      <c r="K50" s="531">
        <f t="shared" si="8"/>
        <v>240108.09600000002</v>
      </c>
      <c r="L50" s="531">
        <f t="shared" si="8"/>
        <v>240108.09600000002</v>
      </c>
      <c r="M50" s="531">
        <f t="shared" si="8"/>
        <v>0.35855970078637039</v>
      </c>
      <c r="N50" s="531">
        <f t="shared" si="8"/>
        <v>0.35855970078637039</v>
      </c>
      <c r="O50" s="531">
        <f t="shared" si="8"/>
        <v>30</v>
      </c>
      <c r="P50" s="531"/>
      <c r="Q50" s="1331">
        <f t="shared" si="8"/>
        <v>15736.727790000001</v>
      </c>
      <c r="R50" s="1331">
        <f t="shared" si="8"/>
        <v>423621.78745965799</v>
      </c>
      <c r="S50" s="531">
        <f t="shared" si="8"/>
        <v>0.95</v>
      </c>
      <c r="T50" s="531">
        <f t="shared" si="8"/>
        <v>1E-3</v>
      </c>
      <c r="U50" s="531"/>
      <c r="V50" s="552"/>
      <c r="W50" s="1240">
        <v>5</v>
      </c>
      <c r="Z50" s="1530">
        <f t="array" ref="Z50">INDEX(EMIS_factors!$G$6:$O$152,MATCH($G50&amp;$AE50,EMIS_factors!$E$6:$E$152&amp;EMIS_factors!$D$6:$D$152,0),MATCH(RIGHT(Z$4,6),EMIS_factors!$G$4:$O$4,0))</f>
        <v>46.838407494145208</v>
      </c>
      <c r="AA50" s="1530">
        <f t="array" ref="AA50">INDEX(EMIS_factors!$G$6:$O$152,MATCH($G50&amp;$AE50,EMIS_factors!$E$6:$E$152&amp;EMIS_factors!$D$6:$D$152,0),MATCH(RIGHT(AA$4,6),EMIS_factors!$G$4:$O$4,0))</f>
        <v>938.56734047344298</v>
      </c>
      <c r="AB50" s="1530">
        <f t="array" ref="AB50">INDEX(EMIS_factors!$G$6:$O$152,MATCH($G50&amp;$AE50,EMIS_factors!$E$6:$E$152&amp;EMIS_factors!$D$6:$D$152,0),MATCH(RIGHT(AB$4,6),EMIS_factors!$G$4:$O$4,0))</f>
        <v>1.9042584079204421</v>
      </c>
      <c r="AC50" s="1530">
        <f t="array" ref="AC50">INDEX(EMIS_factors!$G$6:$O$152,MATCH($G50&amp;$AE50,EMIS_factors!$E$6:$E$152&amp;EMIS_factors!$D$6:$D$152,0),MATCH(RIGHT(AC$4,6),EMIS_factors!$G$4:$O$4,0))</f>
        <v>21.22370326738832</v>
      </c>
      <c r="AD50" s="1295"/>
      <c r="AE50" s="526" t="s">
        <v>1462</v>
      </c>
      <c r="AF50" s="1237"/>
      <c r="AH50" s="526" t="s">
        <v>496</v>
      </c>
      <c r="AI50" s="526" t="s">
        <v>1314</v>
      </c>
      <c r="AJ50" s="549" t="s">
        <v>1145</v>
      </c>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row>
    <row r="51" spans="2:67">
      <c r="C51" s="552"/>
      <c r="D51" s="552"/>
      <c r="E51" s="1429" t="str">
        <f>E45</f>
        <v>TRAMFO3</v>
      </c>
      <c r="F51" s="1430"/>
      <c r="G51" s="1430"/>
      <c r="H51" s="1430"/>
      <c r="I51" s="1430"/>
      <c r="J51" s="1430"/>
      <c r="K51" s="1430"/>
      <c r="L51" s="1430"/>
      <c r="M51" s="1430"/>
      <c r="N51" s="1430"/>
      <c r="O51" s="1430"/>
      <c r="P51" s="1430"/>
      <c r="Q51" s="1454"/>
      <c r="R51" s="1454"/>
      <c r="S51" s="1430"/>
      <c r="T51" s="1430"/>
      <c r="U51" s="1430"/>
      <c r="V51" s="1428"/>
      <c r="W51" s="1447"/>
      <c r="X51" s="1428"/>
      <c r="Y51" s="1428"/>
      <c r="Z51" s="1530"/>
      <c r="AA51" s="1530"/>
      <c r="AB51" s="1530"/>
      <c r="AC51" s="1530"/>
      <c r="AD51" s="1295"/>
      <c r="AE51" s="526" t="s">
        <v>1462</v>
      </c>
      <c r="AF51" s="1237"/>
      <c r="AH51" s="526" t="s">
        <v>496</v>
      </c>
      <c r="AI51" s="526" t="s">
        <v>1314</v>
      </c>
      <c r="AJ51" s="549" t="s">
        <v>1145</v>
      </c>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row>
    <row r="52" spans="2:67">
      <c r="C52" s="552" t="str">
        <f>"TFS"&amp;LEFT(AH52,1)&amp;AI52&amp;RIGHT(F52,2)&amp;MID(G52,3,1)&amp;"N"</f>
        <v>TFSIAMDURI3N</v>
      </c>
      <c r="D52" s="552"/>
      <c r="E52" s="534" t="s">
        <v>1312</v>
      </c>
      <c r="F52" s="531" t="str">
        <f t="shared" ref="F52:H52" si="9">F44</f>
        <v>TFSRI</v>
      </c>
      <c r="G52" s="531">
        <v>2030</v>
      </c>
      <c r="H52" s="531" t="str">
        <f t="shared" si="9"/>
        <v>MKr10</v>
      </c>
      <c r="I52" s="531">
        <f>I44</f>
        <v>8034.8097222222232</v>
      </c>
      <c r="J52" s="531">
        <f t="shared" ref="J52:T52" si="10">J44</f>
        <v>8034.8097222222232</v>
      </c>
      <c r="K52" s="531">
        <f t="shared" si="10"/>
        <v>240108.09600000002</v>
      </c>
      <c r="L52" s="531">
        <f t="shared" si="10"/>
        <v>240108.09600000002</v>
      </c>
      <c r="M52" s="531">
        <f t="shared" si="10"/>
        <v>0.35855970078637039</v>
      </c>
      <c r="N52" s="531">
        <f t="shared" si="10"/>
        <v>0.35855970078637039</v>
      </c>
      <c r="O52" s="531">
        <f t="shared" si="10"/>
        <v>30</v>
      </c>
      <c r="P52" s="531"/>
      <c r="Q52" s="1331">
        <f t="shared" si="10"/>
        <v>7403.2175700000007</v>
      </c>
      <c r="R52" s="1331">
        <f t="shared" si="10"/>
        <v>261945.29908997146</v>
      </c>
      <c r="S52" s="531">
        <f t="shared" si="10"/>
        <v>0.95</v>
      </c>
      <c r="T52" s="531">
        <f t="shared" si="10"/>
        <v>1E-3</v>
      </c>
      <c r="U52" s="531"/>
      <c r="V52" s="552"/>
      <c r="W52" s="1240">
        <v>5</v>
      </c>
      <c r="Z52" s="1530">
        <f t="array" ref="Z52">INDEX(EMIS_factors!$G$6:$O$152,MATCH($G52&amp;$AE52,EMIS_factors!$E$6:$E$152&amp;EMIS_factors!$D$6:$D$152,0),MATCH(RIGHT(Z$4,6),EMIS_factors!$G$4:$O$4,0))</f>
        <v>46.838407494145208</v>
      </c>
      <c r="AA52" s="1530">
        <f t="array" ref="AA52">INDEX(EMIS_factors!$G$6:$O$152,MATCH($G52&amp;$AE52,EMIS_factors!$E$6:$E$152&amp;EMIS_factors!$D$6:$D$152,0),MATCH(RIGHT(AA$4,6),EMIS_factors!$G$4:$O$4,0))</f>
        <v>938.56734047344298</v>
      </c>
      <c r="AB52" s="1530">
        <f t="array" ref="AB52">INDEX(EMIS_factors!$G$6:$O$152,MATCH($G52&amp;$AE52,EMIS_factors!$E$6:$E$152&amp;EMIS_factors!$D$6:$D$152,0),MATCH(RIGHT(AB$4,6),EMIS_factors!$G$4:$O$4,0))</f>
        <v>1.9042584079204421</v>
      </c>
      <c r="AC52" s="1530">
        <f t="array" ref="AC52">INDEX(EMIS_factors!$G$6:$O$152,MATCH($G52&amp;$AE52,EMIS_factors!$E$6:$E$152&amp;EMIS_factors!$D$6:$D$152,0),MATCH(RIGHT(AC$4,6),EMIS_factors!$G$4:$O$4,0))</f>
        <v>21.22370326738832</v>
      </c>
      <c r="AD52" s="1295"/>
      <c r="AE52" s="526" t="s">
        <v>1462</v>
      </c>
      <c r="AF52" s="1237"/>
      <c r="AH52" s="526" t="s">
        <v>496</v>
      </c>
      <c r="AI52" s="526" t="s">
        <v>1314</v>
      </c>
      <c r="AJ52" s="549" t="s">
        <v>1145</v>
      </c>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row>
    <row r="53" spans="2:67">
      <c r="C53" s="552"/>
      <c r="D53" s="552"/>
      <c r="E53" s="1429" t="str">
        <f>E45</f>
        <v>TRAMFO3</v>
      </c>
      <c r="F53" s="1430"/>
      <c r="G53" s="1430"/>
      <c r="H53" s="1431"/>
      <c r="I53" s="1431"/>
      <c r="J53" s="1431"/>
      <c r="K53" s="1431"/>
      <c r="L53" s="1451"/>
      <c r="M53" s="1452"/>
      <c r="N53" s="1434"/>
      <c r="O53" s="1434"/>
      <c r="P53" s="1448"/>
      <c r="Q53" s="1434"/>
      <c r="R53" s="1434"/>
      <c r="S53" s="1431"/>
      <c r="T53" s="1431"/>
      <c r="U53" s="1446"/>
      <c r="V53" s="1428"/>
      <c r="W53" s="1447"/>
      <c r="X53" s="1428"/>
      <c r="Y53" s="1428"/>
      <c r="Z53" s="1530"/>
      <c r="AA53" s="1530"/>
      <c r="AB53" s="1530"/>
      <c r="AC53" s="1530"/>
      <c r="AD53" s="1295"/>
      <c r="AE53" s="526" t="s">
        <v>1462</v>
      </c>
      <c r="AF53" s="1237"/>
      <c r="AH53" s="526" t="s">
        <v>496</v>
      </c>
      <c r="AI53" s="526" t="s">
        <v>1314</v>
      </c>
      <c r="AJ53" s="549" t="s">
        <v>1145</v>
      </c>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row>
    <row r="54" spans="2:67">
      <c r="C54" s="552" t="str">
        <f>"TFS"&amp;LEFT(AH54,1)&amp;AI54&amp;RIGHT(F54,2)&amp;MID(G54,3,1)&amp;"N"</f>
        <v>TFSIAMICLI3N</v>
      </c>
      <c r="D54" s="552"/>
      <c r="E54" s="534" t="s">
        <v>1312</v>
      </c>
      <c r="F54" s="531" t="str">
        <f>F46</f>
        <v>TFSLI</v>
      </c>
      <c r="G54" s="531">
        <v>2030</v>
      </c>
      <c r="H54" s="531" t="str">
        <f t="shared" ref="H54" si="11">H40</f>
        <v>MKr10</v>
      </c>
      <c r="I54" s="531">
        <f>I26</f>
        <v>22366.079999999998</v>
      </c>
      <c r="J54" s="531">
        <f t="shared" ref="J54:T54" si="12">J26</f>
        <v>22366.079999999998</v>
      </c>
      <c r="K54" s="531">
        <f t="shared" si="12"/>
        <v>184948.12800000003</v>
      </c>
      <c r="L54" s="531">
        <f t="shared" si="12"/>
        <v>184948.12800000003</v>
      </c>
      <c r="M54" s="531">
        <f t="shared" si="12"/>
        <v>0.52591417214154956</v>
      </c>
      <c r="N54" s="531">
        <f t="shared" si="12"/>
        <v>0.52591417214154956</v>
      </c>
      <c r="O54" s="531">
        <f t="shared" si="12"/>
        <v>30</v>
      </c>
      <c r="P54" s="531"/>
      <c r="Q54" s="1331">
        <f t="shared" si="12"/>
        <v>9152.3841209220172</v>
      </c>
      <c r="R54" s="1331">
        <f t="shared" si="12"/>
        <v>261496.68916920046</v>
      </c>
      <c r="S54" s="531"/>
      <c r="T54" s="531">
        <f t="shared" si="12"/>
        <v>1E-3</v>
      </c>
      <c r="U54" s="531"/>
      <c r="V54" s="552"/>
      <c r="W54" s="1240"/>
      <c r="Z54" s="1530">
        <f t="array" ref="Z54">INDEX(EMIS_factors!$G$6:$O$152,MATCH($G54&amp;$AE54,EMIS_factors!$E$6:$E$152&amp;EMIS_factors!$D$6:$D$152,0),MATCH(RIGHT(Z$4,6),EMIS_factors!$G$4:$O$4,0))</f>
        <v>46.838407494145208</v>
      </c>
      <c r="AA54" s="1530">
        <f t="array" ref="AA54">INDEX(EMIS_factors!$G$6:$O$152,MATCH($G54&amp;$AE54,EMIS_factors!$E$6:$E$152&amp;EMIS_factors!$D$6:$D$152,0),MATCH(RIGHT(AA$4,6),EMIS_factors!$G$4:$O$4,0))</f>
        <v>938.56734047344298</v>
      </c>
      <c r="AB54" s="1530">
        <f t="array" ref="AB54">INDEX(EMIS_factors!$G$6:$O$152,MATCH($G54&amp;$AE54,EMIS_factors!$E$6:$E$152&amp;EMIS_factors!$D$6:$D$152,0),MATCH(RIGHT(AB$4,6),EMIS_factors!$G$4:$O$4,0))</f>
        <v>1.9042584079204421</v>
      </c>
      <c r="AC54" s="1530">
        <f t="array" ref="AC54">INDEX(EMIS_factors!$G$6:$O$152,MATCH($G54&amp;$AE54,EMIS_factors!$E$6:$E$152&amp;EMIS_factors!$D$6:$D$152,0),MATCH(RIGHT(AC$4,6),EMIS_factors!$G$4:$O$4,0))</f>
        <v>21.22370326738832</v>
      </c>
      <c r="AD54" s="1295"/>
      <c r="AE54" s="526" t="s">
        <v>1462</v>
      </c>
      <c r="AF54" s="1237"/>
      <c r="AH54" s="526" t="s">
        <v>496</v>
      </c>
      <c r="AI54" s="526" t="s">
        <v>1319</v>
      </c>
      <c r="AJ54" s="549" t="str">
        <f>AJ15</f>
        <v>Deep sea ships</v>
      </c>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row>
    <row r="55" spans="2:67">
      <c r="C55" s="552" t="str">
        <f>"TFS"&amp;LEFT(AH55,1)&amp;AI55&amp;RIGHT(F55,2)&amp;MID(G55,3,1)&amp;"N"</f>
        <v>TFSIAMICDI3N</v>
      </c>
      <c r="D55" s="552"/>
      <c r="E55" s="534" t="s">
        <v>1312</v>
      </c>
      <c r="F55" s="531" t="str">
        <f>F48</f>
        <v>TFSDI</v>
      </c>
      <c r="G55" s="531">
        <v>2030</v>
      </c>
      <c r="H55" s="531" t="str">
        <f>H44</f>
        <v>MKr10</v>
      </c>
      <c r="I55" s="531">
        <f>I27</f>
        <v>16714.53</v>
      </c>
      <c r="J55" s="531">
        <f t="shared" ref="J55:T55" si="13">J27</f>
        <v>16714.53</v>
      </c>
      <c r="K55" s="531">
        <f t="shared" si="13"/>
        <v>176445.93273067346</v>
      </c>
      <c r="L55" s="531">
        <f t="shared" si="13"/>
        <v>176445.93273067346</v>
      </c>
      <c r="M55" s="531">
        <f t="shared" si="13"/>
        <v>0.61003457107532311</v>
      </c>
      <c r="N55" s="531">
        <f t="shared" si="13"/>
        <v>0.61003457107532311</v>
      </c>
      <c r="O55" s="531">
        <f t="shared" si="13"/>
        <v>30</v>
      </c>
      <c r="P55" s="531"/>
      <c r="Q55" s="1331">
        <f t="shared" si="13"/>
        <v>7359.7891341068171</v>
      </c>
      <c r="R55" s="1331">
        <f t="shared" si="13"/>
        <v>210279.68954590903</v>
      </c>
      <c r="S55" s="531"/>
      <c r="T55" s="531">
        <f t="shared" si="13"/>
        <v>1E-3</v>
      </c>
      <c r="U55" s="531"/>
      <c r="V55" s="552"/>
      <c r="W55" s="1240"/>
      <c r="Z55" s="1530">
        <f t="array" ref="Z55">INDEX(EMIS_factors!$G$6:$O$152,MATCH($G55&amp;$AE55,EMIS_factors!$E$6:$E$152&amp;EMIS_factors!$D$6:$D$152,0),MATCH(RIGHT(Z$4,6),EMIS_factors!$G$4:$O$4,0))</f>
        <v>46.838407494145208</v>
      </c>
      <c r="AA55" s="1530">
        <f t="array" ref="AA55">INDEX(EMIS_factors!$G$6:$O$152,MATCH($G55&amp;$AE55,EMIS_factors!$E$6:$E$152&amp;EMIS_factors!$D$6:$D$152,0),MATCH(RIGHT(AA$4,6),EMIS_factors!$G$4:$O$4,0))</f>
        <v>938.56734047344298</v>
      </c>
      <c r="AB55" s="1530">
        <f t="array" ref="AB55">INDEX(EMIS_factors!$G$6:$O$152,MATCH($G55&amp;$AE55,EMIS_factors!$E$6:$E$152&amp;EMIS_factors!$D$6:$D$152,0),MATCH(RIGHT(AB$4,6),EMIS_factors!$G$4:$O$4,0))</f>
        <v>1.9042584079204421</v>
      </c>
      <c r="AC55" s="1530">
        <f t="array" ref="AC55">INDEX(EMIS_factors!$G$6:$O$152,MATCH($G55&amp;$AE55,EMIS_factors!$E$6:$E$152&amp;EMIS_factors!$D$6:$D$152,0),MATCH(RIGHT(AC$4,6),EMIS_factors!$G$4:$O$4,0))</f>
        <v>21.22370326738832</v>
      </c>
      <c r="AD55" s="1295"/>
      <c r="AE55" s="526" t="s">
        <v>1462</v>
      </c>
      <c r="AF55" s="1237"/>
      <c r="AH55" s="526" t="s">
        <v>496</v>
      </c>
      <c r="AI55" s="526" t="s">
        <v>1319</v>
      </c>
      <c r="AJ55" s="549" t="str">
        <f>AJ16</f>
        <v>Deep sea ships</v>
      </c>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row>
    <row r="56" spans="2:67">
      <c r="C56" s="552" t="str">
        <f>"TFS"&amp;LEFT(AH56,1)&amp;AI56&amp;RIGHT(F56,2)&amp;MID(G56,3,1)&amp;"N"</f>
        <v>TFSIAMICCI3N</v>
      </c>
      <c r="D56" s="552"/>
      <c r="E56" s="534" t="s">
        <v>1312</v>
      </c>
      <c r="F56" s="531" t="str">
        <f>F28</f>
        <v>TFSCI</v>
      </c>
      <c r="G56" s="531">
        <v>2030</v>
      </c>
      <c r="H56" s="531" t="str">
        <f>H48</f>
        <v>MKr10</v>
      </c>
      <c r="I56" s="531">
        <f t="shared" ref="I56:T56" si="14">I28</f>
        <v>28565.37272727273</v>
      </c>
      <c r="J56" s="531">
        <f t="shared" si="14"/>
        <v>28565.37272727273</v>
      </c>
      <c r="K56" s="531">
        <f t="shared" si="14"/>
        <v>240108.09600000002</v>
      </c>
      <c r="L56" s="531">
        <f t="shared" si="14"/>
        <v>240108.09600000002</v>
      </c>
      <c r="M56" s="531">
        <f t="shared" si="14"/>
        <v>0.35855970078637039</v>
      </c>
      <c r="N56" s="531">
        <f t="shared" si="14"/>
        <v>0.35855970078637039</v>
      </c>
      <c r="O56" s="531">
        <f t="shared" si="14"/>
        <v>30</v>
      </c>
      <c r="P56" s="531"/>
      <c r="Q56" s="1331">
        <f t="shared" si="14"/>
        <v>14826.762561088031</v>
      </c>
      <c r="R56" s="1331">
        <f t="shared" si="14"/>
        <v>423621.78745965799</v>
      </c>
      <c r="S56" s="531"/>
      <c r="T56" s="531">
        <f t="shared" si="14"/>
        <v>1E-3</v>
      </c>
      <c r="U56" s="531"/>
      <c r="V56" s="552"/>
      <c r="W56" s="1240"/>
      <c r="Z56" s="1530">
        <f t="array" ref="Z56">INDEX(EMIS_factors!$G$6:$O$152,MATCH($G56&amp;$AE56,EMIS_factors!$E$6:$E$152&amp;EMIS_factors!$D$6:$D$152,0),MATCH(RIGHT(Z$4,6),EMIS_factors!$G$4:$O$4,0))</f>
        <v>46.838407494145208</v>
      </c>
      <c r="AA56" s="1530">
        <f t="array" ref="AA56">INDEX(EMIS_factors!$G$6:$O$152,MATCH($G56&amp;$AE56,EMIS_factors!$E$6:$E$152&amp;EMIS_factors!$D$6:$D$152,0),MATCH(RIGHT(AA$4,6),EMIS_factors!$G$4:$O$4,0))</f>
        <v>938.56734047344298</v>
      </c>
      <c r="AB56" s="1530">
        <f t="array" ref="AB56">INDEX(EMIS_factors!$G$6:$O$152,MATCH($G56&amp;$AE56,EMIS_factors!$E$6:$E$152&amp;EMIS_factors!$D$6:$D$152,0),MATCH(RIGHT(AB$4,6),EMIS_factors!$G$4:$O$4,0))</f>
        <v>1.9042584079204421</v>
      </c>
      <c r="AC56" s="1530">
        <f t="array" ref="AC56">INDEX(EMIS_factors!$G$6:$O$152,MATCH($G56&amp;$AE56,EMIS_factors!$E$6:$E$152&amp;EMIS_factors!$D$6:$D$152,0),MATCH(RIGHT(AC$4,6),EMIS_factors!$G$4:$O$4,0))</f>
        <v>21.22370326738832</v>
      </c>
      <c r="AD56" s="1295"/>
      <c r="AE56" s="526" t="s">
        <v>1462</v>
      </c>
      <c r="AF56" s="1237"/>
      <c r="AH56" s="526" t="s">
        <v>496</v>
      </c>
      <c r="AI56" s="526" t="s">
        <v>1319</v>
      </c>
      <c r="AJ56" s="549" t="s">
        <v>1145</v>
      </c>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row>
    <row r="57" spans="2:67">
      <c r="C57" s="552" t="str">
        <f>"TFS"&amp;LEFT(AH57,1)&amp;AI57&amp;RIGHT(F57,2)&amp;MID(G57,3,1)&amp;"N"</f>
        <v>TFSIAMICRI3N</v>
      </c>
      <c r="D57" s="552"/>
      <c r="E57" s="1429" t="s">
        <v>1312</v>
      </c>
      <c r="F57" s="1430" t="str">
        <f>F52</f>
        <v>TFSRI</v>
      </c>
      <c r="G57" s="1430">
        <v>2030</v>
      </c>
      <c r="H57" s="1430" t="str">
        <f>H52</f>
        <v>MKr10</v>
      </c>
      <c r="I57" s="1430">
        <f>I29</f>
        <v>7611.9250000000011</v>
      </c>
      <c r="J57" s="1430">
        <f t="shared" ref="J57:T57" si="15">J29</f>
        <v>7611.9250000000011</v>
      </c>
      <c r="K57" s="1430">
        <f t="shared" si="15"/>
        <v>240108.09600000002</v>
      </c>
      <c r="L57" s="1430">
        <f t="shared" si="15"/>
        <v>240108.09600000002</v>
      </c>
      <c r="M57" s="1430">
        <f t="shared" si="15"/>
        <v>0.35855970078637039</v>
      </c>
      <c r="N57" s="1430">
        <f t="shared" si="15"/>
        <v>0.35855970078637039</v>
      </c>
      <c r="O57" s="1430">
        <f t="shared" si="15"/>
        <v>30</v>
      </c>
      <c r="P57" s="1430"/>
      <c r="Q57" s="1454">
        <f t="shared" si="15"/>
        <v>9168.0854681490018</v>
      </c>
      <c r="R57" s="1454">
        <f t="shared" si="15"/>
        <v>261945.29908997146</v>
      </c>
      <c r="S57" s="1430"/>
      <c r="T57" s="1430">
        <f t="shared" si="15"/>
        <v>1E-3</v>
      </c>
      <c r="U57" s="1430"/>
      <c r="V57" s="1428"/>
      <c r="W57" s="1447"/>
      <c r="X57" s="1428"/>
      <c r="Y57" s="1428"/>
      <c r="Z57" s="1530">
        <f t="array" ref="Z57">INDEX(EMIS_factors!$G$6:$O$152,MATCH($G57&amp;$AE57,EMIS_factors!$E$6:$E$152&amp;EMIS_factors!$D$6:$D$152,0),MATCH(RIGHT(Z$4,6),EMIS_factors!$G$4:$O$4,0))</f>
        <v>46.838407494145208</v>
      </c>
      <c r="AA57" s="1530">
        <f t="array" ref="AA57">INDEX(EMIS_factors!$G$6:$O$152,MATCH($G57&amp;$AE57,EMIS_factors!$E$6:$E$152&amp;EMIS_factors!$D$6:$D$152,0),MATCH(RIGHT(AA$4,6),EMIS_factors!$G$4:$O$4,0))</f>
        <v>938.56734047344298</v>
      </c>
      <c r="AB57" s="1530">
        <f t="array" ref="AB57">INDEX(EMIS_factors!$G$6:$O$152,MATCH($G57&amp;$AE57,EMIS_factors!$E$6:$E$152&amp;EMIS_factors!$D$6:$D$152,0),MATCH(RIGHT(AB$4,6),EMIS_factors!$G$4:$O$4,0))</f>
        <v>1.9042584079204421</v>
      </c>
      <c r="AC57" s="1530">
        <f t="array" ref="AC57">INDEX(EMIS_factors!$G$6:$O$152,MATCH($G57&amp;$AE57,EMIS_factors!$E$6:$E$152&amp;EMIS_factors!$D$6:$D$152,0),MATCH(RIGHT(AC$4,6),EMIS_factors!$G$4:$O$4,0))</f>
        <v>21.22370326738832</v>
      </c>
      <c r="AD57" s="1295"/>
      <c r="AE57" s="526" t="s">
        <v>1462</v>
      </c>
      <c r="AF57" s="1237"/>
      <c r="AH57" s="526" t="s">
        <v>496</v>
      </c>
      <c r="AI57" s="526" t="s">
        <v>1319</v>
      </c>
      <c r="AJ57" s="549" t="s">
        <v>1145</v>
      </c>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row>
    <row r="58" spans="2:67">
      <c r="C58" s="552"/>
      <c r="D58" s="552"/>
      <c r="E58" s="534"/>
      <c r="F58" s="531"/>
      <c r="G58" s="531"/>
      <c r="H58" s="1237"/>
      <c r="I58" s="1237"/>
      <c r="J58" s="1237"/>
      <c r="K58" s="1237"/>
      <c r="L58" s="1281"/>
      <c r="M58" s="1286"/>
      <c r="N58" s="1239"/>
      <c r="O58" s="1239"/>
      <c r="P58" s="1265"/>
      <c r="Q58" s="1265"/>
      <c r="R58" s="1237"/>
      <c r="S58" s="1237"/>
      <c r="T58" s="1237"/>
      <c r="U58" s="1278"/>
      <c r="V58" s="552"/>
    </row>
    <row r="59" spans="2:67">
      <c r="C59" s="552"/>
      <c r="D59" s="552"/>
      <c r="E59" s="534"/>
      <c r="F59" s="531"/>
      <c r="G59" s="531"/>
      <c r="H59" s="1237"/>
      <c r="I59" s="1237"/>
      <c r="J59" s="1237"/>
      <c r="K59" s="1237"/>
      <c r="L59" s="1281"/>
      <c r="N59" s="1239"/>
      <c r="O59" s="1239"/>
      <c r="P59" s="1265"/>
      <c r="Q59" s="1265"/>
      <c r="R59" s="1237"/>
      <c r="S59" s="1237"/>
      <c r="T59" s="1237"/>
      <c r="U59" s="1278"/>
      <c r="V59" s="552"/>
    </row>
    <row r="60" spans="2:67">
      <c r="C60" s="552"/>
      <c r="D60" s="552"/>
      <c r="E60" s="534"/>
      <c r="F60" s="531"/>
      <c r="G60" s="531"/>
      <c r="H60" s="1237"/>
      <c r="I60" s="1237"/>
      <c r="J60" s="1237"/>
      <c r="K60" s="1237"/>
      <c r="L60" s="1281"/>
      <c r="M60" s="1286"/>
      <c r="N60" s="1239"/>
      <c r="O60" s="1239"/>
      <c r="P60" s="1265"/>
      <c r="Q60" s="1265"/>
      <c r="R60" s="1237"/>
      <c r="S60" s="1237"/>
      <c r="T60" s="1237"/>
      <c r="U60" s="1278"/>
      <c r="V60" s="552"/>
    </row>
    <row r="61" spans="2:67">
      <c r="C61" s="552"/>
      <c r="D61" s="552"/>
      <c r="E61" s="534"/>
      <c r="F61" s="531"/>
      <c r="G61" s="531"/>
      <c r="H61" s="1237"/>
      <c r="I61" s="1237"/>
      <c r="J61" s="1237"/>
      <c r="K61" s="1237"/>
      <c r="L61" s="1281"/>
      <c r="V61" s="552"/>
    </row>
    <row r="62" spans="2:67">
      <c r="B62" s="18" t="s">
        <v>62</v>
      </c>
      <c r="C62" s="18"/>
      <c r="D62" s="18"/>
      <c r="E62" s="553"/>
      <c r="F62" s="553"/>
      <c r="G62" s="526"/>
    </row>
    <row r="63" spans="2:67" ht="13.8">
      <c r="B63" s="1267" t="s">
        <v>63</v>
      </c>
      <c r="C63" s="1267" t="s">
        <v>1</v>
      </c>
      <c r="D63" s="1267" t="s">
        <v>64</v>
      </c>
      <c r="E63" s="1267" t="s">
        <v>65</v>
      </c>
      <c r="F63" s="1267" t="s">
        <v>66</v>
      </c>
      <c r="G63" s="1267" t="s">
        <v>67</v>
      </c>
      <c r="H63" s="1267" t="s">
        <v>68</v>
      </c>
      <c r="I63" s="1267" t="s">
        <v>69</v>
      </c>
      <c r="K63" s="519"/>
      <c r="L63" s="535"/>
    </row>
    <row r="64" spans="2:67" ht="41.4" thickBot="1">
      <c r="B64" s="20" t="s">
        <v>70</v>
      </c>
      <c r="C64" s="20" t="s">
        <v>71</v>
      </c>
      <c r="D64" s="20" t="s">
        <v>72</v>
      </c>
      <c r="E64" s="20" t="s">
        <v>73</v>
      </c>
      <c r="F64" s="20" t="s">
        <v>74</v>
      </c>
      <c r="G64" s="20" t="s">
        <v>75</v>
      </c>
      <c r="H64" s="20" t="s">
        <v>76</v>
      </c>
      <c r="I64" s="20" t="s">
        <v>77</v>
      </c>
      <c r="K64" s="519"/>
      <c r="L64" s="535"/>
    </row>
    <row r="65" spans="2:12">
      <c r="B65" s="545" t="s">
        <v>78</v>
      </c>
      <c r="C65" s="553" t="str">
        <f>C7</f>
        <v>TFSIFOICLI1N</v>
      </c>
      <c r="D65" s="553" t="s">
        <v>1033</v>
      </c>
      <c r="E65" s="547" t="s">
        <v>86</v>
      </c>
      <c r="F65" s="547" t="s">
        <v>82</v>
      </c>
      <c r="G65" s="553"/>
      <c r="H65" s="553"/>
      <c r="I65" s="548"/>
      <c r="K65" s="519"/>
      <c r="L65" s="535"/>
    </row>
    <row r="66" spans="2:12">
      <c r="B66" s="550" t="s">
        <v>953</v>
      </c>
      <c r="C66" s="553" t="str">
        <f>C15</f>
        <v>*="TFS"&amp;LEFT(AD15,1)&amp;AE15&amp;RIGHT(F15,2)&amp;MID(G15,3,1)&amp;"N"</v>
      </c>
      <c r="D66" s="553" t="s">
        <v>1034</v>
      </c>
      <c r="E66" s="547" t="s">
        <v>86</v>
      </c>
      <c r="F66" s="547" t="s">
        <v>82</v>
      </c>
      <c r="K66" s="1266"/>
      <c r="L66" s="1242"/>
    </row>
    <row r="67" spans="2:12">
      <c r="C67" s="553" t="str">
        <f>C9</f>
        <v>TFSIFOICDI1N</v>
      </c>
      <c r="D67" s="553" t="s">
        <v>1037</v>
      </c>
      <c r="E67" s="547" t="s">
        <v>86</v>
      </c>
      <c r="F67" s="547" t="s">
        <v>82</v>
      </c>
      <c r="L67" s="1268"/>
    </row>
    <row r="68" spans="2:12">
      <c r="B68" s="550" t="s">
        <v>953</v>
      </c>
      <c r="C68" s="553" t="str">
        <f>C16</f>
        <v>*="TFS"&amp;LEFT(AD16,1)&amp;AE16&amp;RIGHT(F16,2)&amp;MID(G16,3,1)&amp;"N"</v>
      </c>
      <c r="D68" s="553" t="s">
        <v>1038</v>
      </c>
      <c r="E68" s="547" t="s">
        <v>86</v>
      </c>
      <c r="F68" s="547" t="s">
        <v>82</v>
      </c>
    </row>
    <row r="69" spans="2:12">
      <c r="C69" s="553" t="str">
        <f>C11</f>
        <v>TFSIFOICCI1N</v>
      </c>
      <c r="D69" s="553" t="s">
        <v>1041</v>
      </c>
      <c r="E69" s="547" t="s">
        <v>86</v>
      </c>
      <c r="F69" s="547" t="s">
        <v>82</v>
      </c>
    </row>
    <row r="70" spans="2:12">
      <c r="B70" s="550" t="s">
        <v>953</v>
      </c>
      <c r="C70" s="553" t="str">
        <f>C17</f>
        <v>*="TFS"&amp;LEFT(AD17,1)&amp;AE17&amp;RIGHT(F17,2)&amp;MID(G17,3,1)&amp;"N"</v>
      </c>
      <c r="D70" s="553" t="s">
        <v>1042</v>
      </c>
      <c r="E70" s="547" t="s">
        <v>86</v>
      </c>
      <c r="F70" s="547" t="s">
        <v>82</v>
      </c>
    </row>
    <row r="71" spans="2:12">
      <c r="C71" s="553" t="str">
        <f>C18</f>
        <v>TFSIMOICLI2N</v>
      </c>
      <c r="D71" s="553" t="s">
        <v>1047</v>
      </c>
      <c r="E71" s="547" t="s">
        <v>86</v>
      </c>
      <c r="F71" s="547" t="s">
        <v>82</v>
      </c>
    </row>
    <row r="72" spans="2:12">
      <c r="C72" s="553" t="str">
        <f>C23</f>
        <v>TFSIH2ICDI2N</v>
      </c>
      <c r="D72" s="553" t="s">
        <v>1050</v>
      </c>
      <c r="E72" s="547" t="s">
        <v>86</v>
      </c>
      <c r="F72" s="547" t="s">
        <v>82</v>
      </c>
    </row>
    <row r="73" spans="2:12">
      <c r="C73" s="553" t="str">
        <f>C19</f>
        <v>TFSIMOICDI2N</v>
      </c>
      <c r="D73" s="553" t="s">
        <v>1053</v>
      </c>
      <c r="E73" s="547" t="s">
        <v>86</v>
      </c>
      <c r="F73" s="547" t="s">
        <v>82</v>
      </c>
    </row>
    <row r="74" spans="2:12">
      <c r="C74" s="553" t="str">
        <f>C24</f>
        <v>TFSIH2ICCI2N</v>
      </c>
      <c r="D74" s="553" t="s">
        <v>1056</v>
      </c>
      <c r="E74" s="547" t="s">
        <v>86</v>
      </c>
      <c r="F74" s="547" t="s">
        <v>82</v>
      </c>
    </row>
    <row r="75" spans="2:12">
      <c r="C75" s="553" t="str">
        <f>C20</f>
        <v>TFSIMOICCI2N</v>
      </c>
      <c r="D75" s="553" t="s">
        <v>1059</v>
      </c>
      <c r="E75" s="547" t="s">
        <v>86</v>
      </c>
      <c r="F75" s="547" t="s">
        <v>82</v>
      </c>
    </row>
    <row r="76" spans="2:12">
      <c r="C76" s="553" t="str">
        <f>C22</f>
        <v>TFSIH2ICLI2N</v>
      </c>
      <c r="D76" s="553" t="s">
        <v>1062</v>
      </c>
      <c r="E76" s="547" t="s">
        <v>86</v>
      </c>
      <c r="F76" s="547" t="s">
        <v>82</v>
      </c>
    </row>
    <row r="77" spans="2:12">
      <c r="C77" s="553" t="str">
        <f>C26</f>
        <v>TFSINGICLI2N</v>
      </c>
      <c r="D77" s="553" t="s">
        <v>1069</v>
      </c>
      <c r="E77" s="547" t="s">
        <v>86</v>
      </c>
      <c r="F77" s="547" t="s">
        <v>82</v>
      </c>
    </row>
    <row r="78" spans="2:12">
      <c r="C78" s="553" t="str">
        <f>C27</f>
        <v>TFSINGICDI2N</v>
      </c>
      <c r="D78" s="553" t="s">
        <v>1072</v>
      </c>
      <c r="E78" s="547" t="s">
        <v>86</v>
      </c>
      <c r="F78" s="547" t="s">
        <v>82</v>
      </c>
    </row>
    <row r="79" spans="2:12">
      <c r="C79" s="553" t="str">
        <f>C28</f>
        <v>TFSINGICCI2N</v>
      </c>
      <c r="D79" s="553" t="s">
        <v>1075</v>
      </c>
      <c r="E79" s="547" t="s">
        <v>86</v>
      </c>
      <c r="F79" s="547" t="s">
        <v>82</v>
      </c>
    </row>
    <row r="80" spans="2:12">
      <c r="C80" s="553" t="str">
        <f>C30</f>
        <v>TFSINGDULI2N</v>
      </c>
      <c r="D80" s="553" t="s">
        <v>1080</v>
      </c>
      <c r="E80" s="547" t="s">
        <v>86</v>
      </c>
      <c r="F80" s="547" t="s">
        <v>82</v>
      </c>
    </row>
    <row r="81" spans="3:6">
      <c r="C81" s="553" t="str">
        <f>C34</f>
        <v>TFSINGDUDI2N</v>
      </c>
      <c r="D81" s="553" t="s">
        <v>1083</v>
      </c>
      <c r="E81" s="547" t="s">
        <v>86</v>
      </c>
      <c r="F81" s="547" t="s">
        <v>82</v>
      </c>
    </row>
    <row r="82" spans="3:6">
      <c r="C82" s="553" t="str">
        <f>C38</f>
        <v>TFSINGDUCI2N</v>
      </c>
      <c r="D82" s="553" t="s">
        <v>1086</v>
      </c>
      <c r="E82" s="547" t="s">
        <v>86</v>
      </c>
      <c r="F82" s="547" t="s">
        <v>82</v>
      </c>
    </row>
    <row r="83" spans="3:6">
      <c r="C83" s="550" t="str">
        <f>C13</f>
        <v>TFSIFOICRI1N</v>
      </c>
      <c r="D83" s="553" t="s">
        <v>1137</v>
      </c>
      <c r="E83" s="547" t="s">
        <v>86</v>
      </c>
      <c r="F83" s="547" t="s">
        <v>82</v>
      </c>
    </row>
    <row r="84" spans="3:6">
      <c r="C84" s="550" t="str">
        <f>C21</f>
        <v>TFSIMOICRI2N</v>
      </c>
      <c r="D84" s="553" t="s">
        <v>1138</v>
      </c>
      <c r="E84" s="547" t="s">
        <v>86</v>
      </c>
      <c r="F84" s="547" t="s">
        <v>82</v>
      </c>
    </row>
    <row r="85" spans="3:6">
      <c r="C85" s="550" t="str">
        <f>C25</f>
        <v>TFSIH2ICRI2N</v>
      </c>
      <c r="D85" s="553" t="s">
        <v>1139</v>
      </c>
      <c r="E85" s="547" t="s">
        <v>86</v>
      </c>
      <c r="F85" s="547" t="s">
        <v>82</v>
      </c>
    </row>
    <row r="86" spans="3:6">
      <c r="C86" s="550" t="str">
        <f>C29</f>
        <v>TFSINGICRI2N</v>
      </c>
      <c r="D86" s="553" t="s">
        <v>1140</v>
      </c>
      <c r="E86" s="547" t="s">
        <v>86</v>
      </c>
      <c r="F86" s="547" t="s">
        <v>82</v>
      </c>
    </row>
    <row r="87" spans="3:6">
      <c r="C87" s="550" t="str">
        <f>C42</f>
        <v>TFSINGDURI2N</v>
      </c>
      <c r="D87" s="553" t="s">
        <v>1141</v>
      </c>
      <c r="E87" s="547" t="s">
        <v>86</v>
      </c>
      <c r="F87" s="547" t="s">
        <v>82</v>
      </c>
    </row>
    <row r="88" spans="3:6">
      <c r="C88" s="549" t="str">
        <f>C46</f>
        <v>TFSIAMDULI3N</v>
      </c>
      <c r="D88" s="553" t="s">
        <v>1316</v>
      </c>
      <c r="E88" s="547" t="s">
        <v>86</v>
      </c>
      <c r="F88" s="547" t="s">
        <v>82</v>
      </c>
    </row>
    <row r="89" spans="3:6">
      <c r="C89" s="549" t="str">
        <f>C48</f>
        <v>TFSIAMDUDI3N</v>
      </c>
      <c r="D89" s="553" t="s">
        <v>1317</v>
      </c>
      <c r="E89" s="547" t="s">
        <v>86</v>
      </c>
      <c r="F89" s="547" t="s">
        <v>82</v>
      </c>
    </row>
    <row r="90" spans="3:6">
      <c r="C90" s="549" t="str">
        <f>C50</f>
        <v>TFSIAMDUCI3N</v>
      </c>
      <c r="D90" s="553" t="s">
        <v>1318</v>
      </c>
      <c r="E90" s="547" t="s">
        <v>86</v>
      </c>
      <c r="F90" s="547" t="s">
        <v>82</v>
      </c>
    </row>
    <row r="91" spans="3:6">
      <c r="C91" s="549" t="str">
        <f>C52</f>
        <v>TFSIAMDURI3N</v>
      </c>
      <c r="D91" s="553" t="s">
        <v>1315</v>
      </c>
      <c r="E91" s="547" t="s">
        <v>86</v>
      </c>
      <c r="F91" s="547" t="s">
        <v>82</v>
      </c>
    </row>
    <row r="92" spans="3:6">
      <c r="C92" s="550" t="str">
        <f>C54</f>
        <v>TFSIAMICLI3N</v>
      </c>
      <c r="D92" s="553" t="s">
        <v>1320</v>
      </c>
      <c r="E92" s="547" t="s">
        <v>86</v>
      </c>
      <c r="F92" s="547" t="s">
        <v>82</v>
      </c>
    </row>
    <row r="93" spans="3:6">
      <c r="C93" s="550" t="str">
        <f t="shared" ref="C93:C95" si="16">C55</f>
        <v>TFSIAMICDI3N</v>
      </c>
      <c r="D93" s="553" t="s">
        <v>1321</v>
      </c>
      <c r="E93" s="547" t="s">
        <v>86</v>
      </c>
      <c r="F93" s="547" t="s">
        <v>82</v>
      </c>
    </row>
    <row r="94" spans="3:6">
      <c r="C94" s="550" t="str">
        <f t="shared" si="16"/>
        <v>TFSIAMICCI3N</v>
      </c>
      <c r="D94" s="553" t="s">
        <v>1322</v>
      </c>
      <c r="E94" s="547" t="s">
        <v>86</v>
      </c>
      <c r="F94" s="547" t="s">
        <v>82</v>
      </c>
    </row>
    <row r="95" spans="3:6">
      <c r="C95" s="550" t="str">
        <f t="shared" si="16"/>
        <v>TFSIAMICRI3N</v>
      </c>
      <c r="D95" s="553" t="s">
        <v>1323</v>
      </c>
      <c r="E95" s="547" t="s">
        <v>86</v>
      </c>
      <c r="F95" s="547" t="s">
        <v>82</v>
      </c>
    </row>
    <row r="178" spans="2:4">
      <c r="C178" s="549"/>
    </row>
    <row r="179" spans="2:4">
      <c r="C179" s="549"/>
    </row>
    <row r="180" spans="2:4">
      <c r="C180" s="549"/>
    </row>
    <row r="181" spans="2:4">
      <c r="B181" s="549"/>
      <c r="D181" s="549"/>
    </row>
    <row r="182" spans="2:4">
      <c r="B182" s="549"/>
      <c r="D182" s="549"/>
    </row>
    <row r="183" spans="2:4">
      <c r="B183" s="549"/>
      <c r="D183" s="549"/>
    </row>
  </sheetData>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B3:AJ105"/>
  <sheetViews>
    <sheetView topLeftCell="A29" workbookViewId="0">
      <selection activeCell="R62" sqref="R62"/>
    </sheetView>
  </sheetViews>
  <sheetFormatPr defaultRowHeight="13.2"/>
  <cols>
    <col min="2" max="2" width="9.33203125" style="549"/>
    <col min="3" max="3" width="12.6640625" style="549" customWidth="1"/>
    <col min="4" max="4" width="14" style="549" customWidth="1"/>
    <col min="5" max="5" width="15.88671875" style="549" customWidth="1"/>
    <col min="6" max="6" width="12.33203125" style="549" customWidth="1"/>
    <col min="7" max="7" width="13.6640625" style="549" customWidth="1"/>
    <col min="8" max="14" width="9.33203125" style="549"/>
    <col min="15" max="15" width="16.44140625" style="549" customWidth="1"/>
    <col min="16" max="16" width="9.5546875" style="549" customWidth="1"/>
    <col min="17" max="17" width="13.33203125" style="549" customWidth="1"/>
    <col min="18" max="18" width="12.6640625" style="549" customWidth="1"/>
    <col min="19" max="19" width="10" style="549" bestFit="1" customWidth="1"/>
    <col min="20" max="21" width="9.33203125" style="549"/>
    <col min="22" max="22" width="14.44140625" style="549" customWidth="1"/>
    <col min="23" max="26" width="9.109375" style="549"/>
  </cols>
  <sheetData>
    <row r="3" spans="3:36">
      <c r="O3" s="549" t="s">
        <v>1326</v>
      </c>
      <c r="R3" s="549" t="s">
        <v>1325</v>
      </c>
    </row>
    <row r="4" spans="3:36">
      <c r="C4" s="550"/>
      <c r="D4" s="550"/>
      <c r="E4" s="550"/>
    </row>
    <row r="5" spans="3:36">
      <c r="C5" s="550"/>
      <c r="D5" s="550"/>
      <c r="E5" s="550"/>
      <c r="O5" s="549" t="s">
        <v>1327</v>
      </c>
      <c r="Q5" s="549">
        <f>80000+30000</f>
        <v>110000</v>
      </c>
      <c r="R5" s="549" t="s">
        <v>1324</v>
      </c>
    </row>
    <row r="6" spans="3:36">
      <c r="C6" s="550"/>
      <c r="D6" s="550"/>
      <c r="E6" s="550"/>
      <c r="O6" s="549" t="s">
        <v>1332</v>
      </c>
      <c r="Q6" s="549">
        <v>190</v>
      </c>
      <c r="R6" s="549" t="s">
        <v>1333</v>
      </c>
      <c r="T6" s="527"/>
    </row>
    <row r="7" spans="3:36" s="549" customFormat="1">
      <c r="C7" s="550"/>
      <c r="D7" s="550"/>
      <c r="E7" s="550"/>
      <c r="O7" s="549" t="s">
        <v>1336</v>
      </c>
      <c r="Q7" s="527">
        <f>O13+S11+V11</f>
        <v>692.89558165690426</v>
      </c>
      <c r="R7" s="549" t="s">
        <v>1333</v>
      </c>
    </row>
    <row r="8" spans="3:36" s="549" customFormat="1">
      <c r="C8" s="550"/>
      <c r="D8" s="550"/>
      <c r="E8" s="550"/>
      <c r="Q8" s="549">
        <f>Q6/Q7</f>
        <v>0.27421159122657074</v>
      </c>
      <c r="R8" s="549" t="s">
        <v>1337</v>
      </c>
    </row>
    <row r="9" spans="3:36" s="549" customFormat="1">
      <c r="C9" s="550"/>
      <c r="D9" s="550"/>
      <c r="E9" s="550"/>
    </row>
    <row r="10" spans="3:36" s="549" customFormat="1">
      <c r="C10" s="550"/>
      <c r="D10" s="550"/>
      <c r="E10" s="550"/>
      <c r="O10" s="549" t="s">
        <v>1328</v>
      </c>
      <c r="S10" s="549" t="s">
        <v>1334</v>
      </c>
      <c r="V10" s="549" t="s">
        <v>1335</v>
      </c>
    </row>
    <row r="11" spans="3:36" s="549" customFormat="1">
      <c r="C11" s="550"/>
      <c r="D11" s="550"/>
      <c r="E11" s="550"/>
      <c r="O11" s="519">
        <f>4.5/6.5</f>
        <v>0.69230769230769229</v>
      </c>
      <c r="P11" s="549" t="s">
        <v>1330</v>
      </c>
      <c r="S11" s="527">
        <f>Q5*AJ18/1000000</f>
        <v>605</v>
      </c>
      <c r="T11" s="549" t="s">
        <v>1333</v>
      </c>
      <c r="V11" s="527">
        <v>8.1455816569042536</v>
      </c>
      <c r="W11" s="549" t="s">
        <v>1333</v>
      </c>
    </row>
    <row r="12" spans="3:36" s="549" customFormat="1">
      <c r="C12" s="550"/>
      <c r="D12" s="550"/>
      <c r="E12" s="550"/>
      <c r="O12" s="527">
        <f>Q5/1000*O11</f>
        <v>76.153846153846146</v>
      </c>
      <c r="P12" s="549" t="s">
        <v>1329</v>
      </c>
    </row>
    <row r="13" spans="3:36">
      <c r="C13" s="1286"/>
      <c r="O13" s="527">
        <f>Q5*AJ31/1000000</f>
        <v>79.75</v>
      </c>
      <c r="P13" s="549" t="s">
        <v>1331</v>
      </c>
    </row>
    <row r="15" spans="3:36">
      <c r="C15" s="1293" t="s">
        <v>1226</v>
      </c>
      <c r="E15" s="1239"/>
      <c r="F15" s="1265"/>
      <c r="G15" s="1265"/>
      <c r="H15" s="1237"/>
      <c r="I15" s="1237"/>
      <c r="J15" s="1237"/>
      <c r="K15" s="1278"/>
      <c r="R15" s="526"/>
      <c r="S15" s="526"/>
      <c r="T15" s="526"/>
      <c r="V15" s="654" t="s">
        <v>1156</v>
      </c>
      <c r="AF15" s="549"/>
      <c r="AG15" s="654" t="s">
        <v>1338</v>
      </c>
      <c r="AH15" s="549"/>
      <c r="AI15" s="549"/>
      <c r="AJ15" s="549"/>
    </row>
    <row r="16" spans="3:36">
      <c r="C16" s="1287"/>
      <c r="D16" s="535"/>
      <c r="E16" s="520"/>
      <c r="H16" s="476"/>
      <c r="I16" s="476"/>
      <c r="J16" s="476"/>
      <c r="O16" s="654" t="s">
        <v>1339</v>
      </c>
      <c r="T16" s="526"/>
      <c r="W16" s="549">
        <v>2020</v>
      </c>
      <c r="X16" s="549">
        <v>2030</v>
      </c>
      <c r="AF16" s="549"/>
      <c r="AG16" s="654" t="s">
        <v>1154</v>
      </c>
      <c r="AH16" s="549"/>
      <c r="AI16" s="549"/>
      <c r="AJ16" s="549"/>
    </row>
    <row r="17" spans="3:36">
      <c r="C17" s="1288" t="s">
        <v>1133</v>
      </c>
      <c r="E17" s="549">
        <v>17.8</v>
      </c>
      <c r="F17" s="552"/>
      <c r="G17" s="1285" t="s">
        <v>1134</v>
      </c>
      <c r="K17" s="1285"/>
      <c r="O17" s="654" t="s">
        <v>1154</v>
      </c>
      <c r="V17" s="549" t="s">
        <v>1147</v>
      </c>
      <c r="W17" s="1284">
        <v>0.4</v>
      </c>
      <c r="X17" s="549">
        <f t="shared" ref="X17:X24" si="0">W17/0.993^10</f>
        <v>0.42910888438440442</v>
      </c>
      <c r="AF17" s="549"/>
      <c r="AG17" s="549"/>
      <c r="AH17" s="549" t="s">
        <v>1143</v>
      </c>
      <c r="AI17" s="549" t="s">
        <v>1144</v>
      </c>
      <c r="AJ17" s="549" t="s">
        <v>1145</v>
      </c>
    </row>
    <row r="18" spans="3:36">
      <c r="C18" s="1288" t="s">
        <v>1173</v>
      </c>
      <c r="E18" s="1284">
        <v>0.8</v>
      </c>
      <c r="F18" s="552"/>
      <c r="G18" s="1285" t="s">
        <v>1135</v>
      </c>
      <c r="P18" s="549" t="s">
        <v>1143</v>
      </c>
      <c r="Q18" s="549" t="s">
        <v>1144</v>
      </c>
      <c r="R18" s="549" t="s">
        <v>1145</v>
      </c>
      <c r="V18" s="549" t="s">
        <v>1148</v>
      </c>
      <c r="W18" s="1284">
        <v>0.4</v>
      </c>
      <c r="X18" s="549">
        <f t="shared" si="0"/>
        <v>0.42910888438440442</v>
      </c>
      <c r="AF18" s="549" t="s">
        <v>1249</v>
      </c>
      <c r="AG18" s="549" t="s">
        <v>1147</v>
      </c>
      <c r="AH18" s="549">
        <f>7300</f>
        <v>7300</v>
      </c>
      <c r="AI18" s="549">
        <v>7000</v>
      </c>
      <c r="AJ18" s="549">
        <v>5500</v>
      </c>
    </row>
    <row r="19" spans="3:36">
      <c r="C19" s="1288"/>
      <c r="F19" s="552"/>
      <c r="N19" s="549" t="s">
        <v>1249</v>
      </c>
      <c r="O19" s="549" t="s">
        <v>1147</v>
      </c>
      <c r="P19" s="527">
        <f>AH18*$Q$8</f>
        <v>2001.7446159539663</v>
      </c>
      <c r="Q19" s="527">
        <f t="shared" ref="Q19" si="1">AI18*$Q$8</f>
        <v>1919.4811385859953</v>
      </c>
      <c r="R19" s="527">
        <f>AJ18*$Q$8</f>
        <v>1508.163751746139</v>
      </c>
      <c r="V19" s="549" t="s">
        <v>1149</v>
      </c>
      <c r="W19" s="1284">
        <v>0.4</v>
      </c>
      <c r="X19" s="549">
        <f t="shared" si="0"/>
        <v>0.42910888438440442</v>
      </c>
      <c r="AF19" s="549" t="s">
        <v>1250</v>
      </c>
      <c r="AG19" s="549" t="s">
        <v>1148</v>
      </c>
      <c r="AH19" s="549">
        <v>7350</v>
      </c>
      <c r="AI19" s="549">
        <v>7150</v>
      </c>
      <c r="AJ19" s="549">
        <v>5600</v>
      </c>
    </row>
    <row r="20" spans="3:36">
      <c r="C20" s="549" t="s">
        <v>1254</v>
      </c>
      <c r="E20" s="1284"/>
      <c r="G20" s="1285" t="s">
        <v>1142</v>
      </c>
      <c r="N20" s="549" t="s">
        <v>1250</v>
      </c>
      <c r="O20" s="549" t="s">
        <v>1148</v>
      </c>
      <c r="P20" s="527">
        <f t="shared" ref="P20:P26" si="2">AH19*$Q$8</f>
        <v>2015.4551955152949</v>
      </c>
      <c r="Q20" s="527">
        <f t="shared" ref="Q20:Q26" si="3">AI19*$Q$8</f>
        <v>1960.6128772699808</v>
      </c>
      <c r="R20" s="527">
        <f t="shared" ref="R20:R26" si="4">AJ19*$Q$8</f>
        <v>1535.5849108687962</v>
      </c>
      <c r="V20" s="549" t="s">
        <v>1146</v>
      </c>
      <c r="W20" s="1284">
        <v>0.4</v>
      </c>
      <c r="X20" s="549">
        <f t="shared" si="0"/>
        <v>0.42910888438440442</v>
      </c>
      <c r="AF20" s="549" t="s">
        <v>1252</v>
      </c>
      <c r="AG20" s="549" t="s">
        <v>1149</v>
      </c>
      <c r="AH20" s="549">
        <v>7750</v>
      </c>
      <c r="AI20" s="549">
        <v>7750</v>
      </c>
      <c r="AJ20" s="549">
        <v>5950</v>
      </c>
    </row>
    <row r="21" spans="3:36">
      <c r="C21" s="519" t="s">
        <v>1255</v>
      </c>
      <c r="G21" s="549" t="s">
        <v>1256</v>
      </c>
      <c r="N21" s="549" t="s">
        <v>1252</v>
      </c>
      <c r="O21" s="549" t="s">
        <v>1149</v>
      </c>
      <c r="P21" s="527">
        <f t="shared" si="2"/>
        <v>2125.1398320059234</v>
      </c>
      <c r="Q21" s="527">
        <f t="shared" si="3"/>
        <v>2125.1398320059234</v>
      </c>
      <c r="R21" s="527">
        <f t="shared" si="4"/>
        <v>1631.5589677980959</v>
      </c>
      <c r="V21" s="549" t="s">
        <v>1150</v>
      </c>
      <c r="W21" s="1284">
        <v>0.45</v>
      </c>
      <c r="X21" s="549">
        <f t="shared" si="0"/>
        <v>0.48274749493245495</v>
      </c>
      <c r="AF21" s="549" t="s">
        <v>1251</v>
      </c>
      <c r="AG21" s="549" t="s">
        <v>1146</v>
      </c>
      <c r="AH21" s="549">
        <v>8100</v>
      </c>
      <c r="AI21" s="549">
        <v>8900</v>
      </c>
      <c r="AJ21" s="549">
        <v>6500</v>
      </c>
    </row>
    <row r="22" spans="3:36">
      <c r="C22" s="519"/>
      <c r="E22" s="1284"/>
      <c r="G22" s="1285"/>
      <c r="N22" s="549" t="s">
        <v>1251</v>
      </c>
      <c r="O22" s="549" t="s">
        <v>1146</v>
      </c>
      <c r="P22" s="527">
        <f t="shared" si="2"/>
        <v>2221.1138889352228</v>
      </c>
      <c r="Q22" s="527">
        <f t="shared" si="3"/>
        <v>2440.4831619164797</v>
      </c>
      <c r="R22" s="527">
        <f t="shared" si="4"/>
        <v>1782.3753429727099</v>
      </c>
      <c r="V22" s="549" t="s">
        <v>1151</v>
      </c>
      <c r="W22" s="1284">
        <v>0.45</v>
      </c>
      <c r="X22" s="549">
        <f t="shared" si="0"/>
        <v>0.48274749493245495</v>
      </c>
      <c r="AF22" s="549" t="s">
        <v>1245</v>
      </c>
      <c r="AG22" s="549" t="s">
        <v>1150</v>
      </c>
      <c r="AH22" s="549">
        <v>10600</v>
      </c>
      <c r="AI22" s="549">
        <v>10400</v>
      </c>
      <c r="AJ22" s="549">
        <v>9000</v>
      </c>
    </row>
    <row r="23" spans="3:36">
      <c r="E23" s="1284"/>
      <c r="N23" s="549" t="s">
        <v>1245</v>
      </c>
      <c r="O23" s="549" t="s">
        <v>1150</v>
      </c>
      <c r="P23" s="527">
        <f t="shared" si="2"/>
        <v>2906.6428670016498</v>
      </c>
      <c r="Q23" s="527">
        <f t="shared" si="3"/>
        <v>2851.8005487563355</v>
      </c>
      <c r="R23" s="527">
        <f t="shared" si="4"/>
        <v>2467.9043210391364</v>
      </c>
      <c r="V23" s="549" t="s">
        <v>1152</v>
      </c>
      <c r="W23" s="1284">
        <v>0.45</v>
      </c>
      <c r="X23" s="549">
        <f t="shared" si="0"/>
        <v>0.48274749493245495</v>
      </c>
      <c r="AF23" s="549" t="s">
        <v>1246</v>
      </c>
      <c r="AG23" s="549" t="s">
        <v>1151</v>
      </c>
      <c r="AH23" s="549">
        <v>10650</v>
      </c>
      <c r="AI23" s="549">
        <v>10500</v>
      </c>
      <c r="AJ23" s="549">
        <v>9050</v>
      </c>
    </row>
    <row r="24" spans="3:36">
      <c r="C24" s="1294" t="s">
        <v>1241</v>
      </c>
      <c r="F24" s="526" t="s">
        <v>1234</v>
      </c>
      <c r="G24" s="526" t="s">
        <v>1235</v>
      </c>
      <c r="N24" s="549" t="s">
        <v>1246</v>
      </c>
      <c r="O24" s="549" t="s">
        <v>1151</v>
      </c>
      <c r="P24" s="527">
        <f t="shared" si="2"/>
        <v>2920.3534465629782</v>
      </c>
      <c r="Q24" s="527">
        <f t="shared" si="3"/>
        <v>2879.2217078789927</v>
      </c>
      <c r="R24" s="527">
        <f t="shared" si="4"/>
        <v>2481.6149006004653</v>
      </c>
      <c r="V24" s="549" t="s">
        <v>1153</v>
      </c>
      <c r="W24" s="1284">
        <v>0.45</v>
      </c>
      <c r="X24" s="549">
        <f t="shared" si="0"/>
        <v>0.48274749493245495</v>
      </c>
      <c r="AF24" s="552" t="s">
        <v>1248</v>
      </c>
      <c r="AG24" s="549" t="s">
        <v>1152</v>
      </c>
      <c r="AH24" s="549">
        <v>10750</v>
      </c>
      <c r="AI24" s="549">
        <v>10750</v>
      </c>
      <c r="AJ24" s="549">
        <v>9200</v>
      </c>
    </row>
    <row r="25" spans="3:36">
      <c r="C25" s="1290" t="s">
        <v>1026</v>
      </c>
      <c r="D25" s="1290" t="s">
        <v>1229</v>
      </c>
      <c r="E25" s="1290" t="s">
        <v>86</v>
      </c>
      <c r="F25" s="959">
        <v>298.85000000000002</v>
      </c>
      <c r="G25" s="1290">
        <v>539.22</v>
      </c>
      <c r="N25" s="552" t="s">
        <v>1248</v>
      </c>
      <c r="O25" s="549" t="s">
        <v>1152</v>
      </c>
      <c r="P25" s="527">
        <f t="shared" si="2"/>
        <v>2947.7746056856354</v>
      </c>
      <c r="Q25" s="527">
        <f t="shared" si="3"/>
        <v>2947.7746056856354</v>
      </c>
      <c r="R25" s="527">
        <f t="shared" si="4"/>
        <v>2522.7466392844508</v>
      </c>
      <c r="AF25" s="536" t="s">
        <v>1247</v>
      </c>
      <c r="AG25" s="549" t="s">
        <v>1153</v>
      </c>
      <c r="AH25" s="549">
        <v>11100</v>
      </c>
      <c r="AI25" s="549">
        <v>12000</v>
      </c>
      <c r="AJ25" s="549">
        <v>9700</v>
      </c>
    </row>
    <row r="26" spans="3:36">
      <c r="C26" s="1290" t="s">
        <v>1027</v>
      </c>
      <c r="D26" s="1290" t="s">
        <v>1230</v>
      </c>
      <c r="E26" s="1290" t="s">
        <v>86</v>
      </c>
      <c r="F26" s="527">
        <v>298.85000000000002</v>
      </c>
      <c r="G26" s="1291">
        <v>539.22</v>
      </c>
      <c r="N26" s="536" t="s">
        <v>1247</v>
      </c>
      <c r="O26" s="549" t="s">
        <v>1153</v>
      </c>
      <c r="P26" s="527">
        <f t="shared" si="2"/>
        <v>3043.7486626149353</v>
      </c>
      <c r="Q26" s="527">
        <f t="shared" si="3"/>
        <v>3290.5390947188489</v>
      </c>
      <c r="R26" s="527">
        <f t="shared" si="4"/>
        <v>2659.8524348977362</v>
      </c>
      <c r="AF26" s="552"/>
      <c r="AG26" s="654" t="s">
        <v>1338</v>
      </c>
      <c r="AH26" s="549"/>
      <c r="AI26" s="549"/>
      <c r="AJ26" s="549"/>
    </row>
    <row r="27" spans="3:36">
      <c r="C27" s="1290" t="s">
        <v>1028</v>
      </c>
      <c r="D27" s="1290" t="s">
        <v>1231</v>
      </c>
      <c r="E27" s="1290" t="s">
        <v>86</v>
      </c>
      <c r="F27" s="527">
        <v>13.9</v>
      </c>
      <c r="G27" s="1291">
        <v>25.08</v>
      </c>
      <c r="N27" s="552"/>
      <c r="O27" s="654"/>
      <c r="AF27" s="552"/>
      <c r="AG27" s="654" t="s">
        <v>1155</v>
      </c>
      <c r="AH27" s="549"/>
      <c r="AI27" s="549"/>
      <c r="AJ27" s="549"/>
    </row>
    <row r="28" spans="3:36">
      <c r="C28" s="1290" t="s">
        <v>1029</v>
      </c>
      <c r="D28" s="1290" t="s">
        <v>1232</v>
      </c>
      <c r="E28" s="1290" t="s">
        <v>86</v>
      </c>
      <c r="F28" s="1299">
        <v>83.4</v>
      </c>
      <c r="G28" s="1291">
        <v>150.47999999999999</v>
      </c>
      <c r="N28" s="552"/>
      <c r="O28" s="654" t="s">
        <v>1155</v>
      </c>
      <c r="AF28" s="552"/>
      <c r="AG28" s="549"/>
      <c r="AH28" s="549" t="s">
        <v>1143</v>
      </c>
      <c r="AI28" s="549" t="s">
        <v>1144</v>
      </c>
      <c r="AJ28" s="549" t="s">
        <v>1145</v>
      </c>
    </row>
    <row r="29" spans="3:36">
      <c r="C29" s="1290"/>
      <c r="D29" s="1290"/>
      <c r="E29" s="1290"/>
      <c r="F29" s="1299"/>
      <c r="G29" s="1291"/>
      <c r="N29" s="552"/>
      <c r="P29" s="549" t="s">
        <v>1143</v>
      </c>
      <c r="Q29" s="549" t="s">
        <v>1144</v>
      </c>
      <c r="R29" s="549" t="s">
        <v>1145</v>
      </c>
      <c r="AF29" s="549" t="s">
        <v>1249</v>
      </c>
      <c r="AG29" s="549" t="s">
        <v>1147</v>
      </c>
      <c r="AH29" s="549">
        <v>700</v>
      </c>
      <c r="AI29" s="549">
        <v>600</v>
      </c>
      <c r="AJ29" s="549">
        <v>500</v>
      </c>
    </row>
    <row r="30" spans="3:36">
      <c r="N30" s="549" t="s">
        <v>1249</v>
      </c>
      <c r="O30" s="549" t="s">
        <v>1147</v>
      </c>
      <c r="P30" s="527">
        <f>AH29</f>
        <v>700</v>
      </c>
      <c r="Q30" s="527">
        <f t="shared" ref="Q30:R30" si="5">AI29</f>
        <v>600</v>
      </c>
      <c r="R30" s="527">
        <f t="shared" si="5"/>
        <v>500</v>
      </c>
      <c r="V30" s="654" t="s">
        <v>1169</v>
      </c>
      <c r="AF30" s="549" t="s">
        <v>1250</v>
      </c>
      <c r="AG30" s="549" t="s">
        <v>1148</v>
      </c>
      <c r="AH30" s="549">
        <v>720</v>
      </c>
      <c r="AI30" s="549">
        <v>620</v>
      </c>
      <c r="AJ30" s="549">
        <v>520</v>
      </c>
    </row>
    <row r="31" spans="3:36">
      <c r="C31" s="654" t="s">
        <v>1238</v>
      </c>
      <c r="D31" s="848"/>
      <c r="H31" s="526" t="s">
        <v>1207</v>
      </c>
      <c r="I31" s="526" t="s">
        <v>1207</v>
      </c>
      <c r="J31" s="526" t="s">
        <v>1207</v>
      </c>
      <c r="K31" s="526" t="s">
        <v>1207</v>
      </c>
      <c r="N31" s="549" t="s">
        <v>1250</v>
      </c>
      <c r="O31" s="549" t="s">
        <v>1148</v>
      </c>
      <c r="P31" s="527">
        <f t="shared" ref="P31:P37" si="6">AH30</f>
        <v>720</v>
      </c>
      <c r="Q31" s="527">
        <f t="shared" ref="Q31:Q37" si="7">AI30</f>
        <v>620</v>
      </c>
      <c r="R31" s="527">
        <f t="shared" ref="R31:R37" si="8">AJ30</f>
        <v>520</v>
      </c>
      <c r="V31" s="549" t="s">
        <v>1158</v>
      </c>
      <c r="AF31" s="549" t="s">
        <v>1252</v>
      </c>
      <c r="AG31" s="549" t="s">
        <v>1149</v>
      </c>
      <c r="AH31" s="549">
        <v>1015</v>
      </c>
      <c r="AI31" s="549">
        <v>870</v>
      </c>
      <c r="AJ31" s="549">
        <v>725</v>
      </c>
    </row>
    <row r="32" spans="3:36">
      <c r="C32" s="848"/>
      <c r="D32" s="526" t="s">
        <v>1026</v>
      </c>
      <c r="E32" s="526" t="s">
        <v>1027</v>
      </c>
      <c r="F32" s="526" t="s">
        <v>1028</v>
      </c>
      <c r="G32" s="526" t="s">
        <v>1029</v>
      </c>
      <c r="H32" s="526" t="s">
        <v>1026</v>
      </c>
      <c r="I32" s="526" t="s">
        <v>1027</v>
      </c>
      <c r="J32" s="526" t="s">
        <v>1028</v>
      </c>
      <c r="K32" s="526" t="s">
        <v>1029</v>
      </c>
      <c r="N32" s="549" t="s">
        <v>1252</v>
      </c>
      <c r="O32" s="549" t="s">
        <v>1149</v>
      </c>
      <c r="P32" s="527">
        <f t="shared" si="6"/>
        <v>1015</v>
      </c>
      <c r="Q32" s="527">
        <f t="shared" si="7"/>
        <v>870</v>
      </c>
      <c r="R32" s="527">
        <f t="shared" si="8"/>
        <v>725</v>
      </c>
      <c r="T32" s="550"/>
      <c r="V32" s="549" t="s">
        <v>1159</v>
      </c>
      <c r="AF32" s="549" t="s">
        <v>1251</v>
      </c>
      <c r="AG32" s="549" t="s">
        <v>1146</v>
      </c>
      <c r="AH32" s="549">
        <v>1015</v>
      </c>
      <c r="AI32" s="549">
        <v>870</v>
      </c>
      <c r="AJ32" s="549">
        <v>725</v>
      </c>
    </row>
    <row r="33" spans="3:36">
      <c r="C33" s="526" t="s">
        <v>1239</v>
      </c>
      <c r="D33" s="1272">
        <v>810</v>
      </c>
      <c r="E33" s="1237">
        <v>1527</v>
      </c>
      <c r="F33" s="1272">
        <v>2450</v>
      </c>
      <c r="G33" s="1282">
        <v>1002</v>
      </c>
      <c r="H33" s="549">
        <f>ShipData!D33/AVERAGE(ShipData!$E$57:$E$59,ShipData!E54)</f>
        <v>1580.487804878049</v>
      </c>
      <c r="I33" s="549">
        <f>E33/AVERAGE($E$62)</f>
        <v>2545</v>
      </c>
      <c r="J33" s="549">
        <f>F33/AVERAGE($E$65)</f>
        <v>3500</v>
      </c>
      <c r="K33" s="549">
        <f>G33/AVERAGE($E$66:$E$67)</f>
        <v>1431.4285714285716</v>
      </c>
      <c r="N33" s="549" t="s">
        <v>1251</v>
      </c>
      <c r="O33" s="549" t="s">
        <v>1146</v>
      </c>
      <c r="P33" s="527">
        <f t="shared" si="6"/>
        <v>1015</v>
      </c>
      <c r="Q33" s="527">
        <f t="shared" si="7"/>
        <v>870</v>
      </c>
      <c r="R33" s="527">
        <f t="shared" si="8"/>
        <v>725</v>
      </c>
      <c r="V33" s="549" t="s">
        <v>1160</v>
      </c>
      <c r="AF33" s="549" t="s">
        <v>1245</v>
      </c>
      <c r="AG33" s="549" t="s">
        <v>1150</v>
      </c>
      <c r="AH33" s="549">
        <v>4000</v>
      </c>
      <c r="AI33" s="549">
        <v>4000</v>
      </c>
      <c r="AJ33" s="549">
        <v>4000</v>
      </c>
    </row>
    <row r="34" spans="3:36">
      <c r="C34" s="526" t="s">
        <v>1236</v>
      </c>
      <c r="D34" s="1237">
        <v>3150</v>
      </c>
      <c r="E34" s="1237">
        <v>4174</v>
      </c>
      <c r="F34" s="1237">
        <v>4900</v>
      </c>
      <c r="G34" s="1249">
        <v>3608</v>
      </c>
      <c r="H34" s="549">
        <f>D34/AVERAGE($E$57:$E$59,E55)</f>
        <v>5943.3962264150941</v>
      </c>
      <c r="I34" s="549">
        <f>E34/AVERAGE($E$62)</f>
        <v>6956.666666666667</v>
      </c>
      <c r="J34" s="549">
        <f>F34/AVERAGE($E$65)</f>
        <v>7000</v>
      </c>
      <c r="K34" s="549">
        <f>G34/AVERAGE($E$66:$E$67)</f>
        <v>5154.2857142857147</v>
      </c>
      <c r="N34" s="549" t="s">
        <v>1245</v>
      </c>
      <c r="O34" s="549" t="s">
        <v>1150</v>
      </c>
      <c r="P34" s="527">
        <f t="shared" si="6"/>
        <v>4000</v>
      </c>
      <c r="Q34" s="527">
        <f t="shared" si="7"/>
        <v>4000</v>
      </c>
      <c r="R34" s="527">
        <f t="shared" si="8"/>
        <v>4000</v>
      </c>
      <c r="V34" s="549" t="s">
        <v>1161</v>
      </c>
      <c r="AF34" s="549" t="s">
        <v>1246</v>
      </c>
      <c r="AG34" s="549" t="s">
        <v>1151</v>
      </c>
      <c r="AH34" s="549">
        <v>4000</v>
      </c>
      <c r="AI34" s="549">
        <v>4000</v>
      </c>
      <c r="AJ34" s="549">
        <v>4000</v>
      </c>
    </row>
    <row r="35" spans="3:36">
      <c r="C35" s="526" t="s">
        <v>1240</v>
      </c>
      <c r="D35" s="1249">
        <v>7500</v>
      </c>
      <c r="E35" s="1249">
        <v>9000</v>
      </c>
      <c r="F35" s="1249">
        <v>11760</v>
      </c>
      <c r="H35" s="549">
        <f>D35/AVERAGE($E$57:$E$59,E56)</f>
        <v>14492.753623188404</v>
      </c>
      <c r="I35" s="549">
        <f>E35/AVERAGE($E$62)</f>
        <v>15000</v>
      </c>
      <c r="J35" s="549">
        <f>F35/AVERAGE($E$65)</f>
        <v>16800</v>
      </c>
      <c r="N35" s="549" t="s">
        <v>1246</v>
      </c>
      <c r="O35" s="549" t="s">
        <v>1151</v>
      </c>
      <c r="P35" s="527">
        <f t="shared" si="6"/>
        <v>4000</v>
      </c>
      <c r="Q35" s="527">
        <f t="shared" si="7"/>
        <v>4000</v>
      </c>
      <c r="R35" s="527">
        <f t="shared" si="8"/>
        <v>4000</v>
      </c>
      <c r="V35" s="549" t="s">
        <v>1162</v>
      </c>
      <c r="W35" s="549" t="s">
        <v>1163</v>
      </c>
      <c r="X35" s="549" t="s">
        <v>1164</v>
      </c>
      <c r="AF35" s="552" t="s">
        <v>1248</v>
      </c>
      <c r="AG35" s="549" t="s">
        <v>1152</v>
      </c>
      <c r="AH35" s="549">
        <v>4000</v>
      </c>
      <c r="AI35" s="549">
        <v>4000</v>
      </c>
      <c r="AJ35" s="549">
        <v>4000</v>
      </c>
    </row>
    <row r="36" spans="3:36">
      <c r="N36" s="552" t="s">
        <v>1248</v>
      </c>
      <c r="O36" s="549" t="s">
        <v>1152</v>
      </c>
      <c r="P36" s="527">
        <f t="shared" si="6"/>
        <v>4000</v>
      </c>
      <c r="Q36" s="527">
        <f t="shared" si="7"/>
        <v>4000</v>
      </c>
      <c r="R36" s="527">
        <f t="shared" si="8"/>
        <v>4000</v>
      </c>
      <c r="U36" s="549" t="s">
        <v>1028</v>
      </c>
      <c r="V36" s="549" t="s">
        <v>1165</v>
      </c>
      <c r="W36" s="549">
        <v>759</v>
      </c>
      <c r="X36" s="549">
        <v>1.1599999999999999</v>
      </c>
      <c r="AF36" s="536" t="s">
        <v>1247</v>
      </c>
      <c r="AG36" s="549" t="s">
        <v>1153</v>
      </c>
      <c r="AH36" s="549">
        <v>4000</v>
      </c>
      <c r="AI36" s="549">
        <v>4000</v>
      </c>
      <c r="AJ36" s="549">
        <v>4000</v>
      </c>
    </row>
    <row r="37" spans="3:36">
      <c r="N37" s="536" t="s">
        <v>1247</v>
      </c>
      <c r="O37" s="549" t="s">
        <v>1153</v>
      </c>
      <c r="P37" s="527">
        <f t="shared" si="6"/>
        <v>4000</v>
      </c>
      <c r="Q37" s="527">
        <f t="shared" si="7"/>
        <v>4000</v>
      </c>
      <c r="R37" s="527">
        <f t="shared" si="8"/>
        <v>4000</v>
      </c>
      <c r="U37" s="549" t="s">
        <v>1029</v>
      </c>
      <c r="V37" s="549" t="s">
        <v>1166</v>
      </c>
      <c r="W37" s="549">
        <v>1640</v>
      </c>
      <c r="X37" s="549">
        <v>0.90500000000000003</v>
      </c>
      <c r="AF37" s="552"/>
      <c r="AG37" s="654" t="s">
        <v>1338</v>
      </c>
      <c r="AH37" s="549"/>
      <c r="AI37" s="549"/>
      <c r="AJ37" s="549"/>
    </row>
    <row r="38" spans="3:36">
      <c r="N38" s="552"/>
      <c r="O38" s="654"/>
      <c r="U38" s="549" t="s">
        <v>1027</v>
      </c>
      <c r="V38" s="549" t="s">
        <v>1167</v>
      </c>
      <c r="W38" s="549">
        <v>1480</v>
      </c>
      <c r="X38" s="549">
        <v>0.57899999999999996</v>
      </c>
      <c r="AF38" s="552"/>
      <c r="AG38" s="654" t="s">
        <v>1157</v>
      </c>
      <c r="AH38" s="549"/>
      <c r="AI38" s="549"/>
      <c r="AJ38" s="549"/>
    </row>
    <row r="39" spans="3:36">
      <c r="C39" s="1294" t="s">
        <v>1233</v>
      </c>
      <c r="D39" s="1290"/>
      <c r="E39" s="1290"/>
      <c r="F39" s="1290"/>
      <c r="G39" s="1290"/>
      <c r="H39" s="1290"/>
      <c r="N39" s="552"/>
      <c r="O39" s="654" t="s">
        <v>1157</v>
      </c>
      <c r="U39" s="549" t="s">
        <v>1026</v>
      </c>
      <c r="V39" s="549" t="s">
        <v>1168</v>
      </c>
      <c r="W39" s="549">
        <v>1640</v>
      </c>
      <c r="X39" s="549">
        <v>0.56100000000000005</v>
      </c>
      <c r="AF39" s="552"/>
      <c r="AG39" s="549"/>
      <c r="AH39" s="549" t="s">
        <v>1143</v>
      </c>
      <c r="AI39" s="549" t="s">
        <v>1144</v>
      </c>
      <c r="AJ39" s="549" t="s">
        <v>1145</v>
      </c>
    </row>
    <row r="40" spans="3:36">
      <c r="C40" s="1290" t="s">
        <v>1175</v>
      </c>
      <c r="D40" s="1290" t="s">
        <v>1176</v>
      </c>
      <c r="E40" s="1290" t="s">
        <v>1177</v>
      </c>
      <c r="F40" s="959" t="s">
        <v>1207</v>
      </c>
      <c r="G40" s="1290" t="s">
        <v>1178</v>
      </c>
      <c r="H40" s="1290" t="s">
        <v>1179</v>
      </c>
      <c r="N40" s="552"/>
      <c r="P40" s="549" t="s">
        <v>1143</v>
      </c>
      <c r="Q40" s="549" t="s">
        <v>1144</v>
      </c>
      <c r="R40" s="549" t="s">
        <v>1145</v>
      </c>
      <c r="AF40" s="549" t="s">
        <v>1249</v>
      </c>
      <c r="AG40" s="549" t="s">
        <v>1147</v>
      </c>
      <c r="AH40" s="549">
        <v>30</v>
      </c>
      <c r="AI40" s="549">
        <v>25</v>
      </c>
      <c r="AJ40" s="549">
        <v>25</v>
      </c>
    </row>
    <row r="41" spans="3:36">
      <c r="C41" s="1290" t="s">
        <v>1180</v>
      </c>
      <c r="D41" s="1290">
        <v>2903.23</v>
      </c>
      <c r="E41" s="1290">
        <v>22592</v>
      </c>
      <c r="F41" s="527">
        <f>E41/E60</f>
        <v>45184</v>
      </c>
      <c r="G41" s="1291">
        <v>50131758.829999998</v>
      </c>
      <c r="H41" s="1292">
        <v>0.25997998</v>
      </c>
      <c r="N41" s="549" t="s">
        <v>1249</v>
      </c>
      <c r="O41" s="549" t="s">
        <v>1147</v>
      </c>
      <c r="P41" s="527">
        <f>AH40</f>
        <v>30</v>
      </c>
      <c r="Q41" s="527">
        <f t="shared" ref="Q41:R41" si="9">AI40</f>
        <v>25</v>
      </c>
      <c r="R41" s="527">
        <f t="shared" si="9"/>
        <v>25</v>
      </c>
      <c r="AF41" s="549" t="s">
        <v>1250</v>
      </c>
      <c r="AG41" s="549" t="s">
        <v>1148</v>
      </c>
      <c r="AH41" s="549">
        <v>50</v>
      </c>
      <c r="AI41" s="549">
        <v>40</v>
      </c>
      <c r="AJ41" s="549">
        <v>40</v>
      </c>
    </row>
    <row r="42" spans="3:36">
      <c r="C42" s="1290" t="s">
        <v>1181</v>
      </c>
      <c r="D42" s="1290">
        <v>2863.52</v>
      </c>
      <c r="E42" s="1290">
        <v>33787</v>
      </c>
      <c r="F42" s="527">
        <f>E42/E55</f>
        <v>61430.909090909088</v>
      </c>
      <c r="G42" s="1291">
        <v>68611997.780000001</v>
      </c>
      <c r="H42" s="1292">
        <v>0.38880769999999998</v>
      </c>
      <c r="N42" s="549" t="s">
        <v>1250</v>
      </c>
      <c r="O42" s="549" t="s">
        <v>1148</v>
      </c>
      <c r="P42" s="527">
        <f t="shared" ref="P42:P48" si="10">AH41</f>
        <v>50</v>
      </c>
      <c r="Q42" s="527">
        <f t="shared" ref="Q42:Q48" si="11">AI41</f>
        <v>40</v>
      </c>
      <c r="R42" s="527">
        <f t="shared" ref="R42:R48" si="12">AJ41</f>
        <v>40</v>
      </c>
      <c r="AF42" s="549" t="s">
        <v>1252</v>
      </c>
      <c r="AG42" s="549" t="s">
        <v>1149</v>
      </c>
      <c r="AH42" s="549">
        <v>110</v>
      </c>
      <c r="AI42" s="549">
        <v>80</v>
      </c>
      <c r="AJ42" s="549">
        <v>80</v>
      </c>
    </row>
    <row r="43" spans="3:36">
      <c r="C43" s="1290" t="s">
        <v>1182</v>
      </c>
      <c r="D43" s="1290">
        <v>3893.5</v>
      </c>
      <c r="E43" s="1290">
        <v>5666.5</v>
      </c>
      <c r="F43" s="1299">
        <v>26531</v>
      </c>
      <c r="G43" s="1291">
        <v>20996695.34</v>
      </c>
      <c r="H43" s="1292">
        <v>6.5207890000000004E-2</v>
      </c>
      <c r="N43" s="549" t="s">
        <v>1252</v>
      </c>
      <c r="O43" s="549" t="s">
        <v>1149</v>
      </c>
      <c r="P43" s="527">
        <f t="shared" si="10"/>
        <v>110</v>
      </c>
      <c r="Q43" s="527">
        <f t="shared" si="11"/>
        <v>80</v>
      </c>
      <c r="R43" s="527">
        <f t="shared" si="12"/>
        <v>80</v>
      </c>
      <c r="V43" s="549" t="s">
        <v>1171</v>
      </c>
      <c r="W43" s="549">
        <v>6260</v>
      </c>
      <c r="X43" s="549">
        <v>0.63800000000000001</v>
      </c>
      <c r="AF43" s="549" t="s">
        <v>1251</v>
      </c>
      <c r="AG43" s="549" t="s">
        <v>1146</v>
      </c>
      <c r="AH43" s="549">
        <v>300</v>
      </c>
      <c r="AI43" s="549">
        <v>225</v>
      </c>
      <c r="AJ43" s="549">
        <v>225</v>
      </c>
    </row>
    <row r="44" spans="3:36">
      <c r="C44" s="1290" t="s">
        <v>1183</v>
      </c>
      <c r="D44" s="1290">
        <v>3158.95</v>
      </c>
      <c r="E44" s="1290">
        <v>3117.5</v>
      </c>
      <c r="F44" s="527">
        <f>E44/E63</f>
        <v>5195.8333333333339</v>
      </c>
      <c r="G44" s="1291">
        <v>5339308.59</v>
      </c>
      <c r="H44" s="1292">
        <v>3.5874980000000001E-2</v>
      </c>
      <c r="N44" s="549" t="s">
        <v>1251</v>
      </c>
      <c r="O44" s="549" t="s">
        <v>1146</v>
      </c>
      <c r="P44" s="527">
        <f t="shared" si="10"/>
        <v>300</v>
      </c>
      <c r="Q44" s="527">
        <f t="shared" si="11"/>
        <v>225</v>
      </c>
      <c r="R44" s="527">
        <f t="shared" si="12"/>
        <v>225</v>
      </c>
      <c r="AF44" s="549" t="s">
        <v>1245</v>
      </c>
      <c r="AG44" s="549" t="s">
        <v>1150</v>
      </c>
      <c r="AH44" s="549">
        <v>30</v>
      </c>
      <c r="AI44" s="549">
        <v>25</v>
      </c>
      <c r="AJ44" s="549">
        <v>25</v>
      </c>
    </row>
    <row r="45" spans="3:36">
      <c r="C45" s="1290" t="s">
        <v>1184</v>
      </c>
      <c r="D45" s="1290">
        <v>661.94</v>
      </c>
      <c r="E45" s="1290">
        <v>3741</v>
      </c>
      <c r="F45" s="527">
        <f>E45/E66</f>
        <v>5344.2857142857147</v>
      </c>
      <c r="G45" s="1291">
        <v>2342681.84</v>
      </c>
      <c r="H45" s="1292">
        <v>4.3049980000000002E-2</v>
      </c>
      <c r="N45" s="549" t="s">
        <v>1245</v>
      </c>
      <c r="O45" s="549" t="s">
        <v>1150</v>
      </c>
      <c r="P45" s="527">
        <f t="shared" si="10"/>
        <v>30</v>
      </c>
      <c r="Q45" s="527">
        <f t="shared" si="11"/>
        <v>25</v>
      </c>
      <c r="R45" s="527">
        <f t="shared" si="12"/>
        <v>25</v>
      </c>
      <c r="AF45" s="549" t="s">
        <v>1246</v>
      </c>
      <c r="AG45" s="549" t="s">
        <v>1151</v>
      </c>
      <c r="AH45" s="549">
        <v>50</v>
      </c>
      <c r="AI45" s="549">
        <v>40</v>
      </c>
      <c r="AJ45" s="549">
        <v>40</v>
      </c>
    </row>
    <row r="46" spans="3:36">
      <c r="C46" s="1290" t="s">
        <v>1185</v>
      </c>
      <c r="D46" s="1290">
        <v>599.58000000000004</v>
      </c>
      <c r="E46" s="1290">
        <v>17995</v>
      </c>
      <c r="F46" s="527">
        <f>E46/E67</f>
        <v>25707.142857142859</v>
      </c>
      <c r="G46" s="1291">
        <v>5084521.54</v>
      </c>
      <c r="H46" s="1292">
        <v>0.20787948000000001</v>
      </c>
      <c r="N46" s="549" t="s">
        <v>1246</v>
      </c>
      <c r="O46" s="549" t="s">
        <v>1151</v>
      </c>
      <c r="P46" s="527">
        <f t="shared" si="10"/>
        <v>50</v>
      </c>
      <c r="Q46" s="527">
        <f t="shared" si="11"/>
        <v>40</v>
      </c>
      <c r="R46" s="527">
        <f t="shared" si="12"/>
        <v>40</v>
      </c>
      <c r="AF46" s="552" t="s">
        <v>1248</v>
      </c>
      <c r="AG46" s="549" t="s">
        <v>1152</v>
      </c>
      <c r="AH46" s="549">
        <v>110</v>
      </c>
      <c r="AI46" s="549">
        <v>80</v>
      </c>
      <c r="AJ46" s="549">
        <v>80</v>
      </c>
    </row>
    <row r="47" spans="3:36">
      <c r="C47" s="1290"/>
      <c r="D47" s="1290"/>
      <c r="E47" s="1290"/>
      <c r="F47" s="1290"/>
      <c r="G47" s="1290"/>
      <c r="H47" s="1290"/>
      <c r="N47" s="552" t="s">
        <v>1248</v>
      </c>
      <c r="O47" s="549" t="s">
        <v>1152</v>
      </c>
      <c r="P47" s="527">
        <f t="shared" si="10"/>
        <v>110</v>
      </c>
      <c r="Q47" s="527">
        <f t="shared" si="11"/>
        <v>80</v>
      </c>
      <c r="R47" s="527">
        <f t="shared" si="12"/>
        <v>80</v>
      </c>
      <c r="AF47" s="536" t="s">
        <v>1247</v>
      </c>
      <c r="AG47" s="549" t="s">
        <v>1153</v>
      </c>
      <c r="AH47" s="549">
        <v>300</v>
      </c>
      <c r="AI47" s="549">
        <v>225</v>
      </c>
      <c r="AJ47" s="549">
        <v>225</v>
      </c>
    </row>
    <row r="48" spans="3:36">
      <c r="C48" s="1290"/>
      <c r="D48" s="1290"/>
      <c r="E48" s="1290"/>
      <c r="F48" s="1290"/>
      <c r="G48" s="1290"/>
      <c r="H48" s="1290"/>
      <c r="N48" s="536" t="s">
        <v>1247</v>
      </c>
      <c r="O48" s="549" t="s">
        <v>1153</v>
      </c>
      <c r="P48" s="527">
        <f t="shared" si="10"/>
        <v>300</v>
      </c>
      <c r="Q48" s="527">
        <f t="shared" si="11"/>
        <v>225</v>
      </c>
      <c r="R48" s="527">
        <f t="shared" si="12"/>
        <v>225</v>
      </c>
    </row>
    <row r="49" spans="3:19">
      <c r="C49" s="1290"/>
      <c r="D49" s="1290"/>
      <c r="E49" s="1290"/>
      <c r="F49" s="1290"/>
      <c r="G49" s="1290"/>
      <c r="H49" s="1290"/>
      <c r="O49" s="552"/>
      <c r="P49" s="553"/>
      <c r="Q49" s="553"/>
    </row>
    <row r="50" spans="3:19">
      <c r="O50" s="552"/>
      <c r="P50" s="553"/>
      <c r="Q50" s="553"/>
    </row>
    <row r="51" spans="3:19">
      <c r="C51" s="654" t="s">
        <v>1186</v>
      </c>
      <c r="F51" s="1285" t="s">
        <v>1187</v>
      </c>
      <c r="N51" s="549" t="s">
        <v>1227</v>
      </c>
      <c r="O51" s="654" t="s">
        <v>1242</v>
      </c>
    </row>
    <row r="53" spans="3:19">
      <c r="C53" s="549" t="s">
        <v>1188</v>
      </c>
      <c r="D53" s="549" t="s">
        <v>1189</v>
      </c>
      <c r="E53" s="549" t="s">
        <v>1190</v>
      </c>
      <c r="O53" s="526" t="s">
        <v>1203</v>
      </c>
      <c r="P53" s="549">
        <v>2010</v>
      </c>
      <c r="Q53" s="549">
        <v>2020</v>
      </c>
      <c r="R53" s="549">
        <v>2030</v>
      </c>
    </row>
    <row r="54" spans="3:19">
      <c r="C54" s="549" t="s">
        <v>1191</v>
      </c>
      <c r="D54" s="549" t="s">
        <v>784</v>
      </c>
      <c r="E54" s="549">
        <v>0.48</v>
      </c>
      <c r="N54" s="549" t="s">
        <v>1209</v>
      </c>
      <c r="O54" s="526" t="s">
        <v>1205</v>
      </c>
      <c r="P54" s="1296">
        <v>3.7609869211385849</v>
      </c>
      <c r="Q54" s="1296">
        <v>3.035893517863149</v>
      </c>
      <c r="R54" s="1297">
        <v>2.7389870385735291</v>
      </c>
    </row>
    <row r="55" spans="3:19">
      <c r="C55" s="549" t="s">
        <v>1192</v>
      </c>
      <c r="D55" s="549" t="s">
        <v>1199</v>
      </c>
      <c r="E55" s="549">
        <v>0.55000000000000004</v>
      </c>
      <c r="N55" s="549" t="s">
        <v>1210</v>
      </c>
      <c r="O55" s="526" t="s">
        <v>1204</v>
      </c>
      <c r="P55" s="1296">
        <v>4.5795124644179204</v>
      </c>
      <c r="Q55" s="1296">
        <v>3.521487151522388</v>
      </c>
      <c r="R55" s="1297">
        <v>2.760266599896962</v>
      </c>
    </row>
    <row r="56" spans="3:19">
      <c r="C56" s="549" t="s">
        <v>1192</v>
      </c>
      <c r="D56" s="549" t="s">
        <v>1200</v>
      </c>
      <c r="E56" s="549">
        <v>0.5</v>
      </c>
      <c r="N56" s="549" t="s">
        <v>1182</v>
      </c>
      <c r="O56" s="526" t="s">
        <v>1165</v>
      </c>
      <c r="P56" s="1298">
        <v>7.0641443156294805</v>
      </c>
      <c r="Q56" s="1298">
        <v>5.1651091741160853</v>
      </c>
      <c r="R56" s="1298">
        <v>5.1651091741160853</v>
      </c>
      <c r="S56" s="526" t="s">
        <v>1208</v>
      </c>
    </row>
    <row r="57" spans="3:19">
      <c r="C57" s="549" t="s">
        <v>1192</v>
      </c>
      <c r="D57" s="549" t="s">
        <v>1201</v>
      </c>
      <c r="E57" s="549">
        <v>0.45</v>
      </c>
      <c r="N57" s="549" t="s">
        <v>1211</v>
      </c>
      <c r="O57" s="501" t="s">
        <v>1206</v>
      </c>
      <c r="P57" s="1303">
        <f>P56</f>
        <v>7.0641443156294805</v>
      </c>
      <c r="Q57" s="1303">
        <f>Q56</f>
        <v>5.1651091741160853</v>
      </c>
      <c r="R57" s="1303">
        <f>R56</f>
        <v>5.1651091741160853</v>
      </c>
    </row>
    <row r="58" spans="3:19">
      <c r="C58" s="549" t="s">
        <v>1193</v>
      </c>
      <c r="D58" s="549" t="s">
        <v>1202</v>
      </c>
      <c r="E58" s="549">
        <v>0.64</v>
      </c>
    </row>
    <row r="59" spans="3:19">
      <c r="C59" s="549" t="s">
        <v>1194</v>
      </c>
      <c r="D59" s="549" t="s">
        <v>1202</v>
      </c>
      <c r="E59" s="549">
        <v>0.48</v>
      </c>
      <c r="O59" s="654" t="s">
        <v>1243</v>
      </c>
    </row>
    <row r="60" spans="3:19">
      <c r="C60" s="549" t="s">
        <v>1167</v>
      </c>
      <c r="D60" s="549" t="s">
        <v>1199</v>
      </c>
      <c r="E60" s="549">
        <v>0.5</v>
      </c>
    </row>
    <row r="61" spans="3:19">
      <c r="C61" s="549" t="s">
        <v>1167</v>
      </c>
      <c r="D61" s="549" t="s">
        <v>1200</v>
      </c>
      <c r="E61" s="549">
        <v>0.55000000000000004</v>
      </c>
      <c r="O61" s="526" t="s">
        <v>1203</v>
      </c>
      <c r="P61" s="549">
        <v>2010</v>
      </c>
      <c r="Q61" s="549">
        <v>2020</v>
      </c>
      <c r="R61" s="549">
        <v>2030</v>
      </c>
    </row>
    <row r="62" spans="3:19">
      <c r="C62" s="549" t="s">
        <v>1167</v>
      </c>
      <c r="D62" s="549" t="s">
        <v>1201</v>
      </c>
      <c r="E62" s="549">
        <v>0.6</v>
      </c>
      <c r="N62" s="549" t="s">
        <v>1209</v>
      </c>
      <c r="O62" s="526" t="s">
        <v>1205</v>
      </c>
      <c r="P62" s="1296">
        <v>14.310439470682837</v>
      </c>
      <c r="Q62" s="1296">
        <v>13.594917497148694</v>
      </c>
      <c r="R62" s="1297">
        <v>12.879395523614553</v>
      </c>
    </row>
    <row r="63" spans="3:19" ht="13.8" thickBot="1">
      <c r="C63" s="549" t="s">
        <v>1195</v>
      </c>
      <c r="D63" s="549" t="s">
        <v>1202</v>
      </c>
      <c r="E63" s="549">
        <v>0.6</v>
      </c>
      <c r="N63" s="549" t="s">
        <v>1210</v>
      </c>
      <c r="O63" s="526" t="s">
        <v>1204</v>
      </c>
      <c r="P63" s="1300">
        <v>15</v>
      </c>
      <c r="Q63" s="1300">
        <v>14.25</v>
      </c>
      <c r="R63" s="1301">
        <v>12.825000000000001</v>
      </c>
    </row>
    <row r="64" spans="3:19" ht="13.8" thickBot="1">
      <c r="C64" s="549" t="s">
        <v>1196</v>
      </c>
      <c r="D64" s="549" t="s">
        <v>1202</v>
      </c>
      <c r="E64" s="549">
        <v>0.5</v>
      </c>
      <c r="N64" s="549" t="s">
        <v>1182</v>
      </c>
      <c r="O64" s="526" t="s">
        <v>1165</v>
      </c>
      <c r="P64" s="1302">
        <v>21.74245036976534</v>
      </c>
      <c r="Q64" s="1302">
        <v>18.5</v>
      </c>
      <c r="R64" s="1302">
        <v>18.5</v>
      </c>
      <c r="S64" s="526" t="s">
        <v>1208</v>
      </c>
    </row>
    <row r="65" spans="3:24">
      <c r="C65" s="549" t="s">
        <v>1145</v>
      </c>
      <c r="D65" s="549" t="s">
        <v>1202</v>
      </c>
      <c r="E65" s="549">
        <v>0.7</v>
      </c>
      <c r="N65" s="549" t="s">
        <v>1211</v>
      </c>
      <c r="O65" s="501" t="s">
        <v>1206</v>
      </c>
      <c r="P65" s="1303">
        <f>P64</f>
        <v>21.74245036976534</v>
      </c>
      <c r="Q65" s="1303">
        <f>Q64</f>
        <v>18.5</v>
      </c>
      <c r="R65" s="1303">
        <f>R64</f>
        <v>18.5</v>
      </c>
      <c r="S65" s="501" t="s">
        <v>1208</v>
      </c>
      <c r="U65" s="526"/>
    </row>
    <row r="66" spans="3:24">
      <c r="C66" s="549" t="s">
        <v>1197</v>
      </c>
      <c r="D66" s="549" t="s">
        <v>1202</v>
      </c>
      <c r="E66" s="549">
        <v>0.7</v>
      </c>
    </row>
    <row r="67" spans="3:24">
      <c r="C67" s="549" t="s">
        <v>1198</v>
      </c>
      <c r="D67" s="549" t="s">
        <v>1202</v>
      </c>
      <c r="E67" s="549">
        <v>0.7</v>
      </c>
    </row>
    <row r="69" spans="3:24">
      <c r="N69" s="549" t="s">
        <v>1228</v>
      </c>
      <c r="O69" s="654" t="s">
        <v>1242</v>
      </c>
    </row>
    <row r="70" spans="3:24">
      <c r="O70" s="526" t="s">
        <v>1237</v>
      </c>
      <c r="P70" s="526" t="s">
        <v>1239</v>
      </c>
      <c r="Q70" s="526" t="s">
        <v>1239</v>
      </c>
      <c r="R70" s="526" t="s">
        <v>1239</v>
      </c>
      <c r="S70" s="526" t="s">
        <v>1236</v>
      </c>
      <c r="T70" s="526" t="s">
        <v>1236</v>
      </c>
      <c r="U70" s="526" t="s">
        <v>1236</v>
      </c>
      <c r="V70" s="526" t="s">
        <v>1240</v>
      </c>
      <c r="W70" s="526" t="s">
        <v>1240</v>
      </c>
      <c r="X70" s="526" t="s">
        <v>1240</v>
      </c>
    </row>
    <row r="71" spans="3:24">
      <c r="O71" s="526" t="s">
        <v>28</v>
      </c>
      <c r="P71" s="549">
        <v>2010</v>
      </c>
      <c r="Q71" s="549">
        <v>2020</v>
      </c>
      <c r="R71" s="549">
        <v>2030</v>
      </c>
      <c r="S71" s="549">
        <v>2010</v>
      </c>
      <c r="T71" s="549">
        <v>2020</v>
      </c>
      <c r="U71" s="549">
        <v>2030</v>
      </c>
      <c r="V71" s="549">
        <v>2010</v>
      </c>
      <c r="W71" s="549">
        <v>2020</v>
      </c>
      <c r="X71" s="549">
        <v>2030</v>
      </c>
    </row>
    <row r="72" spans="3:24">
      <c r="N72" s="549" t="s">
        <v>1209</v>
      </c>
      <c r="O72" s="526" t="s">
        <v>1205</v>
      </c>
      <c r="P72" s="1321">
        <v>0.69481239852860355</v>
      </c>
      <c r="Q72" s="1321">
        <v>0.54167868253407836</v>
      </c>
      <c r="R72" s="1322">
        <v>0.47593108632638464</v>
      </c>
      <c r="S72" s="1321">
        <v>1.1978009817472215</v>
      </c>
      <c r="T72" s="1321">
        <v>0.95272109162558627</v>
      </c>
      <c r="U72" s="1322">
        <v>0.84976407647311891</v>
      </c>
      <c r="V72" s="1321">
        <v>1.9819564083868411</v>
      </c>
      <c r="W72" s="1321">
        <v>1.5778116017068144</v>
      </c>
      <c r="X72" s="1322">
        <v>1.4128760984357018</v>
      </c>
    </row>
    <row r="73" spans="3:24">
      <c r="N73" s="549" t="s">
        <v>1210</v>
      </c>
      <c r="O73" s="526" t="s">
        <v>1204</v>
      </c>
      <c r="P73" s="1321">
        <v>0.77646857355479448</v>
      </c>
      <c r="Q73" s="1321">
        <v>0.77972251382944091</v>
      </c>
      <c r="R73" s="1322">
        <v>0.48162297598757475</v>
      </c>
      <c r="S73" s="1321">
        <v>1.288909160511386</v>
      </c>
      <c r="T73" s="1321">
        <v>1.3151655040251187</v>
      </c>
      <c r="U73" s="1322">
        <v>0.93177119249854268</v>
      </c>
      <c r="V73" s="1321">
        <v>2.2094448717413786</v>
      </c>
      <c r="W73" s="1321">
        <v>2.1848428928948538</v>
      </c>
      <c r="X73" s="1322">
        <v>1.6033597963693558</v>
      </c>
    </row>
    <row r="74" spans="3:24">
      <c r="N74" s="549" t="s">
        <v>1182</v>
      </c>
      <c r="O74" s="526" t="s">
        <v>1165</v>
      </c>
      <c r="P74" s="1325">
        <v>1.0641630087729568</v>
      </c>
      <c r="Q74" s="1325">
        <v>1.0641630087729568</v>
      </c>
      <c r="R74" s="1326">
        <v>1.0641630087729568</v>
      </c>
      <c r="S74" s="1325">
        <v>2.1067816326238282</v>
      </c>
      <c r="T74" s="1325">
        <v>2.1067816326238282</v>
      </c>
      <c r="U74" s="1326">
        <v>2.1067816326238282</v>
      </c>
      <c r="V74" s="1325">
        <v>4.539955425015366</v>
      </c>
      <c r="W74" s="1325">
        <v>4.539955425015366</v>
      </c>
      <c r="X74" s="1326">
        <v>4.539955425015366</v>
      </c>
    </row>
    <row r="75" spans="3:24">
      <c r="N75" s="549" t="s">
        <v>1211</v>
      </c>
      <c r="O75" s="501" t="s">
        <v>1206</v>
      </c>
      <c r="P75" s="1327">
        <f t="shared" ref="P75:X75" si="13">P74</f>
        <v>1.0641630087729568</v>
      </c>
      <c r="Q75" s="1327">
        <f t="shared" si="13"/>
        <v>1.0641630087729568</v>
      </c>
      <c r="R75" s="1328">
        <f t="shared" si="13"/>
        <v>1.0641630087729568</v>
      </c>
      <c r="S75" s="1327">
        <f t="shared" si="13"/>
        <v>2.1067816326238282</v>
      </c>
      <c r="T75" s="1327">
        <f t="shared" si="13"/>
        <v>2.1067816326238282</v>
      </c>
      <c r="U75" s="1328">
        <f t="shared" si="13"/>
        <v>2.1067816326238282</v>
      </c>
      <c r="V75" s="1327">
        <f t="shared" si="13"/>
        <v>4.539955425015366</v>
      </c>
      <c r="W75" s="1327">
        <f t="shared" si="13"/>
        <v>4.539955425015366</v>
      </c>
      <c r="X75" s="1328">
        <f t="shared" si="13"/>
        <v>4.539955425015366</v>
      </c>
    </row>
    <row r="78" spans="3:24">
      <c r="O78" s="654" t="s">
        <v>1243</v>
      </c>
    </row>
    <row r="79" spans="3:24">
      <c r="O79" s="526" t="s">
        <v>1237</v>
      </c>
      <c r="P79" s="526" t="s">
        <v>1239</v>
      </c>
      <c r="Q79" s="526" t="s">
        <v>1239</v>
      </c>
      <c r="R79" s="526" t="s">
        <v>1239</v>
      </c>
      <c r="S79" s="526" t="s">
        <v>1236</v>
      </c>
      <c r="T79" s="526" t="s">
        <v>1236</v>
      </c>
      <c r="U79" s="526" t="s">
        <v>1236</v>
      </c>
      <c r="V79" s="526" t="s">
        <v>1240</v>
      </c>
      <c r="W79" s="526" t="s">
        <v>1240</v>
      </c>
      <c r="X79" s="526" t="s">
        <v>1240</v>
      </c>
    </row>
    <row r="80" spans="3:24">
      <c r="K80" s="848"/>
      <c r="O80" s="526" t="s">
        <v>28</v>
      </c>
      <c r="P80" s="549">
        <v>2010</v>
      </c>
      <c r="Q80" s="549">
        <v>2020</v>
      </c>
      <c r="R80" s="549">
        <v>2030</v>
      </c>
      <c r="S80" s="549">
        <v>2010</v>
      </c>
      <c r="T80" s="549">
        <v>2020</v>
      </c>
      <c r="U80" s="549">
        <v>2030</v>
      </c>
      <c r="V80" s="549">
        <v>2010</v>
      </c>
      <c r="W80" s="549">
        <v>2020</v>
      </c>
      <c r="X80" s="549">
        <v>2030</v>
      </c>
    </row>
    <row r="81" spans="14:24">
      <c r="N81" s="549" t="s">
        <v>1209</v>
      </c>
      <c r="O81" s="526" t="s">
        <v>1205</v>
      </c>
      <c r="P81" s="1321">
        <v>12.547076074467574</v>
      </c>
      <c r="Q81" s="1321">
        <v>11.919722270744195</v>
      </c>
      <c r="R81" s="1322">
        <v>11.292368467020816</v>
      </c>
      <c r="S81" s="1321">
        <v>13.163431603665668</v>
      </c>
      <c r="T81" s="1321">
        <v>12.505260023482384</v>
      </c>
      <c r="U81" s="1322">
        <v>11.847088443299102</v>
      </c>
      <c r="V81" s="1321">
        <v>13.634488759291706</v>
      </c>
      <c r="W81" s="1321">
        <v>12.95276432132712</v>
      </c>
      <c r="X81" s="1322">
        <v>12.271039883362535</v>
      </c>
    </row>
    <row r="82" spans="14:24" ht="13.8" thickBot="1">
      <c r="N82" s="549" t="s">
        <v>1210</v>
      </c>
      <c r="O82" s="526" t="s">
        <v>1204</v>
      </c>
      <c r="P82" s="1323">
        <v>13.039647762108098</v>
      </c>
      <c r="Q82" s="1323">
        <v>12.387665374002692</v>
      </c>
      <c r="R82" s="1324">
        <v>11.148898836602424</v>
      </c>
      <c r="S82" s="1323">
        <v>13.804028640451641</v>
      </c>
      <c r="T82" s="1323">
        <v>13.113827208429058</v>
      </c>
      <c r="U82" s="1324">
        <v>11.802444487586152</v>
      </c>
      <c r="V82" s="1323">
        <v>14.34340044108087</v>
      </c>
      <c r="W82" s="1323">
        <v>13.626230419026827</v>
      </c>
      <c r="X82" s="1324">
        <v>12.263607377124144</v>
      </c>
    </row>
    <row r="83" spans="14:24">
      <c r="N83" s="549" t="s">
        <v>1182</v>
      </c>
      <c r="O83" s="526" t="s">
        <v>1165</v>
      </c>
      <c r="P83" s="1325">
        <v>13.673050526458095</v>
      </c>
      <c r="Q83" s="1325">
        <v>13.673050526458095</v>
      </c>
      <c r="R83" s="1326">
        <v>13.673050526458095</v>
      </c>
      <c r="S83" s="1325">
        <v>16.195501023810248</v>
      </c>
      <c r="T83" s="1325">
        <v>16.195501023810248</v>
      </c>
      <c r="U83" s="1326">
        <v>16.195501023810248</v>
      </c>
      <c r="V83" s="1325">
        <v>19.628115523844482</v>
      </c>
      <c r="W83" s="1325">
        <v>19.628115523844482</v>
      </c>
      <c r="X83" s="1326">
        <v>19.628115523844482</v>
      </c>
    </row>
    <row r="84" spans="14:24">
      <c r="N84" s="549" t="s">
        <v>1211</v>
      </c>
      <c r="O84" s="501" t="s">
        <v>1206</v>
      </c>
      <c r="P84" s="1327">
        <f t="shared" ref="P84:X84" si="14">P83</f>
        <v>13.673050526458095</v>
      </c>
      <c r="Q84" s="1327">
        <f t="shared" si="14"/>
        <v>13.673050526458095</v>
      </c>
      <c r="R84" s="1328">
        <f t="shared" si="14"/>
        <v>13.673050526458095</v>
      </c>
      <c r="S84" s="1327">
        <f t="shared" si="14"/>
        <v>16.195501023810248</v>
      </c>
      <c r="T84" s="1327">
        <f t="shared" si="14"/>
        <v>16.195501023810248</v>
      </c>
      <c r="U84" s="1328">
        <f t="shared" si="14"/>
        <v>16.195501023810248</v>
      </c>
      <c r="V84" s="1327">
        <f t="shared" si="14"/>
        <v>19.628115523844482</v>
      </c>
      <c r="W84" s="1327">
        <f t="shared" si="14"/>
        <v>19.628115523844482</v>
      </c>
      <c r="X84" s="1328">
        <f t="shared" si="14"/>
        <v>19.628115523844482</v>
      </c>
    </row>
    <row r="98" spans="6:36">
      <c r="AC98" s="549"/>
      <c r="AD98" s="549"/>
      <c r="AE98" s="549"/>
      <c r="AF98" s="549"/>
      <c r="AG98" s="549"/>
      <c r="AH98" s="549"/>
      <c r="AI98" s="549"/>
      <c r="AJ98" s="549"/>
    </row>
    <row r="99" spans="6:36">
      <c r="AC99" s="549"/>
      <c r="AD99" s="549"/>
      <c r="AE99" s="549"/>
      <c r="AF99" s="549"/>
      <c r="AG99" s="549"/>
      <c r="AH99" s="549"/>
      <c r="AI99" s="549"/>
      <c r="AJ99" s="549"/>
    </row>
    <row r="100" spans="6:36">
      <c r="AC100" s="549"/>
      <c r="AD100" s="549"/>
      <c r="AE100" s="549"/>
      <c r="AF100" s="549"/>
      <c r="AG100" s="549"/>
      <c r="AH100" s="549"/>
      <c r="AI100" s="549"/>
      <c r="AJ100" s="549"/>
    </row>
    <row r="101" spans="6:36">
      <c r="AC101" s="549"/>
      <c r="AD101" s="549"/>
      <c r="AE101" s="549"/>
      <c r="AF101" s="549"/>
      <c r="AG101" s="549"/>
      <c r="AH101" s="549"/>
      <c r="AI101" s="549"/>
      <c r="AJ101" s="549"/>
    </row>
    <row r="102" spans="6:36">
      <c r="AC102" s="549"/>
      <c r="AD102" s="549"/>
      <c r="AE102" s="549"/>
      <c r="AF102" s="549"/>
      <c r="AG102" s="549"/>
      <c r="AH102" s="549"/>
      <c r="AI102" s="549"/>
      <c r="AJ102" s="549"/>
    </row>
    <row r="103" spans="6:36">
      <c r="AC103" s="549"/>
      <c r="AD103" s="549"/>
      <c r="AE103" s="549"/>
      <c r="AF103" s="549"/>
      <c r="AG103" s="549"/>
      <c r="AH103" s="549"/>
      <c r="AI103" s="549"/>
      <c r="AJ103" s="549"/>
    </row>
    <row r="104" spans="6:36">
      <c r="AC104" s="549"/>
      <c r="AD104" s="549"/>
      <c r="AE104" s="549"/>
      <c r="AF104" s="549"/>
      <c r="AG104" s="549"/>
      <c r="AH104" s="549"/>
      <c r="AI104" s="549"/>
      <c r="AJ104" s="549"/>
    </row>
    <row r="105" spans="6:36">
      <c r="F105" s="531"/>
    </row>
  </sheetData>
  <hyperlinks>
    <hyperlink ref="G17" r:id="rId1" xr:uid="{00000000-0004-0000-2400-000000000000}"/>
    <hyperlink ref="G18" r:id="rId2" xr:uid="{00000000-0004-0000-2400-000001000000}"/>
    <hyperlink ref="F51" r:id="rId3" xr:uid="{00000000-0004-0000-2400-000002000000}"/>
    <hyperlink ref="G20" r:id="rId4" xr:uid="{00000000-0004-0000-2400-000003000000}"/>
  </hyperlinks>
  <pageMargins left="0.7" right="0.7" top="0.75" bottom="0.75" header="0.3" footer="0.3"/>
  <pageSetup paperSize="0" orientation="portrait" horizontalDpi="0" verticalDpi="0" copies="0"/>
  <legacyDrawing r:id="rId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5">
    <tabColor rgb="FF7030A0"/>
    <pageSetUpPr fitToPage="1"/>
  </sheetPr>
  <dimension ref="B1:S103"/>
  <sheetViews>
    <sheetView zoomScale="80" zoomScaleNormal="80" workbookViewId="0">
      <selection activeCell="D31" sqref="D31:G31"/>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340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937</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232</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0.32200000000000001</v>
      </c>
      <c r="E23" s="256">
        <f>E76</f>
        <v>0.317</v>
      </c>
      <c r="F23" s="256">
        <f>F76</f>
        <v>0.309</v>
      </c>
      <c r="G23" s="256">
        <f>G76</f>
        <v>0.309</v>
      </c>
      <c r="H23" s="145"/>
      <c r="I23" s="184"/>
      <c r="J23" s="1202"/>
    </row>
    <row r="24" spans="2:14">
      <c r="B24" s="1204" t="s">
        <v>103</v>
      </c>
      <c r="C24" s="1143" t="s">
        <v>198</v>
      </c>
      <c r="D24" s="1203">
        <f>D23</f>
        <v>0.32200000000000001</v>
      </c>
      <c r="E24" s="141">
        <f>E23</f>
        <v>0.317</v>
      </c>
      <c r="F24" s="141">
        <f>F23</f>
        <v>0.309</v>
      </c>
      <c r="G24" s="141">
        <f>G23</f>
        <v>0.309</v>
      </c>
      <c r="H24" s="145"/>
      <c r="I24" s="184"/>
      <c r="J24" s="1202"/>
    </row>
    <row r="25" spans="2:14">
      <c r="B25" s="1204" t="s">
        <v>338</v>
      </c>
      <c r="C25" s="1143" t="s">
        <v>105</v>
      </c>
      <c r="D25" s="1203">
        <f>D79</f>
        <v>6549.6760259179264</v>
      </c>
      <c r="E25" s="141">
        <f>E79</f>
        <v>5411.8901781008326</v>
      </c>
      <c r="F25" s="141">
        <f>F79</f>
        <v>4455.0358156426773</v>
      </c>
      <c r="G25" s="141">
        <f>G79</f>
        <v>4455.0358156426773</v>
      </c>
      <c r="H25" s="140"/>
      <c r="I25" s="184"/>
      <c r="J25" s="1202"/>
    </row>
    <row r="26" spans="2:14">
      <c r="B26" s="1204" t="s">
        <v>337</v>
      </c>
      <c r="C26" s="1143" t="s">
        <v>105</v>
      </c>
      <c r="D26" s="1203"/>
      <c r="E26" s="141"/>
      <c r="F26" s="141"/>
      <c r="G26" s="141"/>
      <c r="H26" s="140"/>
      <c r="I26" s="184"/>
      <c r="J26" s="1202"/>
    </row>
    <row r="27" spans="2:14">
      <c r="B27" s="1148" t="s">
        <v>107</v>
      </c>
      <c r="C27" s="1143" t="s">
        <v>108</v>
      </c>
      <c r="D27" s="1196">
        <v>20</v>
      </c>
      <c r="E27" s="123">
        <v>20</v>
      </c>
      <c r="F27" s="123">
        <v>20</v>
      </c>
      <c r="G27" s="1195">
        <v>20</v>
      </c>
      <c r="H27" s="123"/>
      <c r="I27" s="346"/>
      <c r="J27" s="1144"/>
    </row>
    <row r="28" spans="2:14">
      <c r="B28" s="1148" t="s">
        <v>109</v>
      </c>
      <c r="C28" s="1143" t="s">
        <v>110</v>
      </c>
      <c r="D28" s="1201"/>
      <c r="E28" s="137"/>
      <c r="F28" s="137"/>
      <c r="G28" s="137"/>
      <c r="H28" s="136"/>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467820712.70515579</v>
      </c>
      <c r="E31" s="134">
        <f>HLOOKUP($H38,'[2]General ass. and conv.'!$C$12:$AF$14,3,FALSE)*E38</f>
        <v>467820712.70515579</v>
      </c>
      <c r="F31" s="134">
        <f>HLOOKUP($H38,'[2]General ass. and conv.'!$C$12:$AF$14,3,FALSE)*F38</f>
        <v>467820712.70515579</v>
      </c>
      <c r="G31" s="134">
        <f>HLOOKUP($H38,'[2]General ass. and conv.'!$C$12:$AF$14,3,FALSE)*G38</f>
        <v>467820712.70515579</v>
      </c>
      <c r="H31" s="133">
        <v>2011</v>
      </c>
      <c r="I31" s="77"/>
      <c r="J31" s="1144"/>
    </row>
    <row r="32" spans="2:14">
      <c r="B32" s="1165" t="s">
        <v>16</v>
      </c>
      <c r="C32" s="1143" t="s">
        <v>17</v>
      </c>
      <c r="D32" s="134">
        <f>HLOOKUP($H39,'[2]General ass. and conv.'!$C$12:$AF$14,3,FALSE)*D39</f>
        <v>163.28709598412345</v>
      </c>
      <c r="E32" s="134">
        <f>HLOOKUP($H39,'[2]General ass. and conv.'!$C$12:$AF$14,3,FALSE)*E39</f>
        <v>220.80657608304438</v>
      </c>
      <c r="F32" s="134">
        <f>HLOOKUP($H39,'[2]General ass. and conv.'!$C$12:$AF$14,3,FALSE)*F39</f>
        <v>305.75111675568763</v>
      </c>
      <c r="G32" s="134">
        <f>HLOOKUP($H39,'[2]General ass. and conv.'!$C$12:$AF$14,3,FALSE)*G39</f>
        <v>305.75111675568763</v>
      </c>
      <c r="H32" s="133">
        <v>2011</v>
      </c>
      <c r="I32" s="77"/>
      <c r="J32" s="1144"/>
    </row>
    <row r="33" spans="2:11">
      <c r="B33" s="1142" t="s">
        <v>18</v>
      </c>
      <c r="C33" s="1143" t="s">
        <v>17</v>
      </c>
      <c r="D33" s="134">
        <f>HLOOKUP($H40,'[2]General ass. and conv.'!$C$12:$AF$14,3,FALSE)*D40</f>
        <v>107.84710997186711</v>
      </c>
      <c r="E33" s="134">
        <f>HLOOKUP($H40,'[2]General ass. and conv.'!$C$12:$AF$14,3,FALSE)*E40</f>
        <v>145.83731157577168</v>
      </c>
      <c r="F33" s="134">
        <f>HLOOKUP($H40,'[2]General ass. and conv.'!$C$12:$AF$14,3,FALSE)*F40</f>
        <v>201.94109102153388</v>
      </c>
      <c r="G33" s="134">
        <f>HLOOKUP($H40,'[2]General ass. and conv.'!$C$12:$AF$14,3,FALSE)*G40</f>
        <v>201.94109102153388</v>
      </c>
      <c r="H33" s="133">
        <v>2011</v>
      </c>
      <c r="I33" s="77"/>
      <c r="J33" s="1144"/>
    </row>
    <row r="34" spans="2:11">
      <c r="B34" s="1142" t="s">
        <v>19</v>
      </c>
      <c r="C34" s="1143" t="s">
        <v>17</v>
      </c>
      <c r="D34" s="134">
        <f>HLOOKUP($H41,'[2]General ass. and conv.'!$C$12:$AF$14,3,FALSE)*D41</f>
        <v>53.598831432445884</v>
      </c>
      <c r="E34" s="134">
        <f>HLOOKUP($H41,'[2]General ass. and conv.'!$C$12:$AF$14,3,FALSE)*E41</f>
        <v>72.479545179744918</v>
      </c>
      <c r="F34" s="134">
        <f>HLOOKUP($H41,'[2]General ass. and conv.'!$C$12:$AF$14,3,FALSE)*F41</f>
        <v>100.36250855281065</v>
      </c>
      <c r="G34" s="134">
        <f>HLOOKUP($H41,'[2]General ass. and conv.'!$C$12:$AF$14,3,FALSE)*G41</f>
        <v>100.36250855281065</v>
      </c>
      <c r="H34" s="133">
        <v>2011</v>
      </c>
      <c r="I34" s="77"/>
      <c r="J34" s="1144"/>
    </row>
    <row r="35" spans="2:11">
      <c r="B35" s="1142"/>
      <c r="C35" s="1143"/>
      <c r="D35" s="134"/>
      <c r="E35" s="134"/>
      <c r="F35" s="134"/>
      <c r="G35" s="134"/>
      <c r="H35" s="133"/>
      <c r="I35" s="77"/>
      <c r="J35" s="1144"/>
    </row>
    <row r="36" spans="2:11">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133">
        <v>2011</v>
      </c>
      <c r="I36" s="77"/>
      <c r="J36" s="1144"/>
    </row>
    <row r="37" spans="2:11">
      <c r="B37" s="1151"/>
      <c r="C37" s="1143"/>
      <c r="D37" s="1174"/>
      <c r="E37" s="96"/>
      <c r="F37" s="96"/>
      <c r="G37" s="96"/>
      <c r="H37" s="96"/>
      <c r="I37" s="77"/>
      <c r="J37" s="1144"/>
    </row>
    <row r="38" spans="2:11">
      <c r="B38" s="1148" t="s">
        <v>112</v>
      </c>
      <c r="C38" s="1143" t="s">
        <v>15</v>
      </c>
      <c r="D38" s="1199">
        <v>450500000</v>
      </c>
      <c r="E38" s="130">
        <v>450500000</v>
      </c>
      <c r="F38" s="130">
        <v>450500000</v>
      </c>
      <c r="G38" s="130">
        <v>450500000</v>
      </c>
      <c r="H38" s="128">
        <v>2013</v>
      </c>
      <c r="I38" s="184"/>
      <c r="J38" s="1144"/>
    </row>
    <row r="39" spans="2:11">
      <c r="B39" s="1165" t="s">
        <v>16</v>
      </c>
      <c r="C39" s="1143" t="s">
        <v>17</v>
      </c>
      <c r="D39" s="1198">
        <f>SUM(D40:D43)</f>
        <v>154.20713236392513</v>
      </c>
      <c r="E39" s="361">
        <f>SUM(E40:E43)</f>
        <v>208.52810627591685</v>
      </c>
      <c r="F39" s="361">
        <f>SUM(F40:F43)</f>
        <v>288.74910566445857</v>
      </c>
      <c r="G39" s="361">
        <f>SUM(G40:G43)</f>
        <v>288.74910566445857</v>
      </c>
      <c r="H39" s="128">
        <v>2012</v>
      </c>
      <c r="I39" s="184"/>
      <c r="J39" s="1144"/>
    </row>
    <row r="40" spans="2:11">
      <c r="B40" s="1142" t="s">
        <v>18</v>
      </c>
      <c r="C40" s="1143" t="s">
        <v>17</v>
      </c>
      <c r="D40" s="1209">
        <f>64.653599858769*3387.71478761865/D67</f>
        <v>103.85415122255806</v>
      </c>
      <c r="E40" s="124">
        <f>86.0708792960318*2799.21332181477/E67</f>
        <v>140.43779396807599</v>
      </c>
      <c r="F40" s="124">
        <f>116.174685496639*2304.29576246227/F67</f>
        <v>194.46437285588445</v>
      </c>
      <c r="G40" s="124">
        <f>116.174685496639*2304.29576246227/G67</f>
        <v>194.46437285588445</v>
      </c>
      <c r="H40" s="128">
        <v>2013</v>
      </c>
      <c r="I40" s="184"/>
      <c r="J40" s="1144"/>
    </row>
    <row r="41" spans="2:11">
      <c r="B41" s="1142" t="s">
        <v>19</v>
      </c>
      <c r="C41" s="1143" t="s">
        <v>17</v>
      </c>
      <c r="D41" s="1198">
        <f>31.3468595726481*3387.71478761865/D67</f>
        <v>50.35298114136706</v>
      </c>
      <c r="E41" s="361">
        <f>41.7308823094266*2799.21332181477/E67</f>
        <v>68.090312307840861</v>
      </c>
      <c r="F41" s="361">
        <f>56.3265086571321*2304.29576246227/F67</f>
        <v>94.284732808574134</v>
      </c>
      <c r="G41" s="361">
        <f>56.3265086571321*2304.29576246227/G67</f>
        <v>94.284732808574134</v>
      </c>
      <c r="H41" s="128">
        <v>2011</v>
      </c>
      <c r="I41" s="346"/>
      <c r="J41" s="1144"/>
      <c r="K41" s="241"/>
    </row>
    <row r="42" spans="2:11">
      <c r="B42" s="1142"/>
      <c r="C42" s="1143"/>
      <c r="D42" s="1174"/>
      <c r="E42" s="96"/>
      <c r="F42" s="96"/>
      <c r="G42" s="96"/>
      <c r="H42" s="128"/>
      <c r="I42" s="184"/>
      <c r="J42" s="1144"/>
    </row>
    <row r="43" spans="2:11">
      <c r="B43" s="1142" t="s">
        <v>113</v>
      </c>
      <c r="C43" s="1143" t="s">
        <v>17</v>
      </c>
      <c r="D43" s="1196"/>
      <c r="E43" s="123"/>
      <c r="F43" s="123"/>
      <c r="G43" s="1195"/>
      <c r="H43" s="128">
        <v>2011</v>
      </c>
      <c r="I43" s="184"/>
      <c r="J43" s="1144"/>
    </row>
    <row r="44" spans="2:11">
      <c r="B44" s="1142"/>
      <c r="C44" s="1143"/>
      <c r="D44" s="1174"/>
      <c r="E44" s="96"/>
      <c r="F44" s="96"/>
      <c r="G44" s="96"/>
      <c r="H44" s="96"/>
      <c r="I44" s="184"/>
      <c r="J44" s="1144"/>
    </row>
    <row r="45" spans="2:11">
      <c r="B45" s="1151" t="s">
        <v>114</v>
      </c>
      <c r="C45" s="1143"/>
      <c r="D45" s="1174"/>
      <c r="E45" s="96"/>
      <c r="F45" s="96"/>
      <c r="G45" s="96"/>
      <c r="H45" s="125"/>
      <c r="I45" s="184"/>
      <c r="J45" s="1144"/>
    </row>
    <row r="46" spans="2:11">
      <c r="B46" s="1192" t="s">
        <v>30</v>
      </c>
      <c r="C46" s="1143"/>
      <c r="D46" s="1174"/>
      <c r="E46" s="96"/>
      <c r="F46" s="96"/>
      <c r="G46" s="96"/>
      <c r="H46" s="124"/>
      <c r="I46" s="184"/>
      <c r="J46" s="1144"/>
    </row>
    <row r="47" spans="2:11">
      <c r="B47" s="1165" t="s">
        <v>20</v>
      </c>
      <c r="C47" s="1143" t="s">
        <v>336</v>
      </c>
      <c r="D47" s="1191"/>
      <c r="E47" s="357"/>
      <c r="F47" s="357"/>
      <c r="G47" s="357"/>
      <c r="H47" s="124"/>
      <c r="I47" s="184"/>
      <c r="J47" s="1190" t="s">
        <v>115</v>
      </c>
    </row>
    <row r="48" spans="2:11">
      <c r="B48" s="1165" t="s">
        <v>21</v>
      </c>
      <c r="C48" s="1143" t="s">
        <v>336</v>
      </c>
      <c r="D48" s="1194">
        <f t="shared" ref="D48:G52" si="0">D82/D$79</f>
        <v>0</v>
      </c>
      <c r="E48" s="122">
        <f t="shared" si="0"/>
        <v>0</v>
      </c>
      <c r="F48" s="122">
        <f t="shared" si="0"/>
        <v>0</v>
      </c>
      <c r="G48" s="122">
        <f t="shared" si="0"/>
        <v>0</v>
      </c>
      <c r="H48" s="118"/>
      <c r="I48" s="184"/>
      <c r="J48" s="1144"/>
    </row>
    <row r="49" spans="2:10">
      <c r="B49" s="1165" t="s">
        <v>22</v>
      </c>
      <c r="C49" s="1143" t="s">
        <v>336</v>
      </c>
      <c r="D49" s="1194">
        <f t="shared" si="0"/>
        <v>0</v>
      </c>
      <c r="E49" s="122">
        <f t="shared" si="0"/>
        <v>0</v>
      </c>
      <c r="F49" s="122">
        <f t="shared" si="0"/>
        <v>0</v>
      </c>
      <c r="G49" s="122">
        <f t="shared" si="0"/>
        <v>0</v>
      </c>
      <c r="H49" s="96"/>
      <c r="I49" s="184"/>
      <c r="J49" s="1144"/>
    </row>
    <row r="50" spans="2:10">
      <c r="B50" s="1165" t="s">
        <v>23</v>
      </c>
      <c r="C50" s="1143" t="s">
        <v>336</v>
      </c>
      <c r="D50" s="1194">
        <f t="shared" si="0"/>
        <v>0.18082431888384828</v>
      </c>
      <c r="E50" s="122">
        <f t="shared" si="0"/>
        <v>0.18068932302752397</v>
      </c>
      <c r="F50" s="122">
        <f t="shared" si="0"/>
        <v>0.18041226085768039</v>
      </c>
      <c r="G50" s="122">
        <f t="shared" si="0"/>
        <v>0.18041226085768039</v>
      </c>
      <c r="H50" s="123"/>
      <c r="I50" s="184"/>
      <c r="J50" s="1144"/>
    </row>
    <row r="51" spans="2:10">
      <c r="B51" s="1165" t="s">
        <v>116</v>
      </c>
      <c r="C51" s="1143" t="s">
        <v>336</v>
      </c>
      <c r="D51" s="1194">
        <f t="shared" si="0"/>
        <v>0.46916621568366396</v>
      </c>
      <c r="E51" s="122">
        <f t="shared" si="0"/>
        <v>0.46533915375514712</v>
      </c>
      <c r="F51" s="122">
        <f t="shared" si="0"/>
        <v>0.45972829172410162</v>
      </c>
      <c r="G51" s="122">
        <f t="shared" si="0"/>
        <v>0.45972829172410162</v>
      </c>
      <c r="H51" s="96"/>
      <c r="I51" s="184"/>
      <c r="J51" s="1144"/>
    </row>
    <row r="52" spans="2:10">
      <c r="B52" s="1165" t="s">
        <v>24</v>
      </c>
      <c r="C52" s="1143" t="s">
        <v>336</v>
      </c>
      <c r="D52" s="1194">
        <f t="shared" si="0"/>
        <v>9.2415311823227084E-2</v>
      </c>
      <c r="E52" s="122">
        <f t="shared" si="0"/>
        <v>9.2170766907945456E-2</v>
      </c>
      <c r="F52" s="122">
        <f t="shared" si="0"/>
        <v>9.1782158663924182E-2</v>
      </c>
      <c r="G52" s="122">
        <f t="shared" si="0"/>
        <v>9.1782158663924182E-2</v>
      </c>
      <c r="H52" s="96"/>
      <c r="I52" s="184"/>
      <c r="J52" s="1144"/>
    </row>
    <row r="53" spans="2:10">
      <c r="B53" s="1165"/>
      <c r="C53" s="1143"/>
      <c r="D53" s="1193"/>
      <c r="E53" s="75"/>
      <c r="F53" s="75"/>
      <c r="G53" s="75"/>
      <c r="H53" s="96"/>
      <c r="I53" s="184"/>
      <c r="J53" s="1144"/>
    </row>
    <row r="54" spans="2:10">
      <c r="B54" s="1192" t="s">
        <v>31</v>
      </c>
      <c r="C54" s="1143"/>
      <c r="D54" s="1174"/>
      <c r="E54" s="96"/>
      <c r="F54" s="96"/>
      <c r="G54" s="96"/>
      <c r="H54" s="118"/>
      <c r="I54" s="184"/>
      <c r="J54" s="1144"/>
    </row>
    <row r="55" spans="2:10">
      <c r="B55" s="1165" t="s">
        <v>20</v>
      </c>
      <c r="C55" s="1143" t="s">
        <v>336</v>
      </c>
      <c r="D55" s="1191"/>
      <c r="E55" s="357"/>
      <c r="F55" s="357"/>
      <c r="G55" s="357"/>
      <c r="H55" s="194"/>
      <c r="I55" s="184"/>
      <c r="J55" s="1190" t="s">
        <v>115</v>
      </c>
    </row>
    <row r="56" spans="2:10">
      <c r="B56" s="1165" t="s">
        <v>21</v>
      </c>
      <c r="C56" s="1143" t="s">
        <v>336</v>
      </c>
      <c r="D56" s="1189">
        <f t="shared" ref="D56:G60" si="1">D48</f>
        <v>0</v>
      </c>
      <c r="E56" s="115">
        <f t="shared" si="1"/>
        <v>0</v>
      </c>
      <c r="F56" s="115">
        <f t="shared" si="1"/>
        <v>0</v>
      </c>
      <c r="G56" s="115">
        <f t="shared" si="1"/>
        <v>0</v>
      </c>
      <c r="H56" s="194"/>
      <c r="I56" s="184"/>
      <c r="J56" s="1144"/>
    </row>
    <row r="57" spans="2:10">
      <c r="B57" s="1165" t="s">
        <v>22</v>
      </c>
      <c r="C57" s="1143" t="s">
        <v>336</v>
      </c>
      <c r="D57" s="1189">
        <f t="shared" si="1"/>
        <v>0</v>
      </c>
      <c r="E57" s="115">
        <f t="shared" si="1"/>
        <v>0</v>
      </c>
      <c r="F57" s="115">
        <f t="shared" si="1"/>
        <v>0</v>
      </c>
      <c r="G57" s="115">
        <f t="shared" si="1"/>
        <v>0</v>
      </c>
      <c r="H57" s="194"/>
      <c r="I57" s="184"/>
      <c r="J57" s="1144"/>
    </row>
    <row r="58" spans="2:10">
      <c r="B58" s="1165" t="s">
        <v>23</v>
      </c>
      <c r="C58" s="1143" t="s">
        <v>336</v>
      </c>
      <c r="D58" s="1189">
        <f t="shared" si="1"/>
        <v>0.18082431888384828</v>
      </c>
      <c r="E58" s="115">
        <f t="shared" si="1"/>
        <v>0.18068932302752397</v>
      </c>
      <c r="F58" s="115">
        <f t="shared" si="1"/>
        <v>0.18041226085768039</v>
      </c>
      <c r="G58" s="115">
        <f t="shared" si="1"/>
        <v>0.18041226085768039</v>
      </c>
      <c r="H58" s="194"/>
      <c r="I58" s="184"/>
      <c r="J58" s="1144"/>
    </row>
    <row r="59" spans="2:10">
      <c r="B59" s="1165" t="s">
        <v>116</v>
      </c>
      <c r="C59" s="1143" t="s">
        <v>336</v>
      </c>
      <c r="D59" s="1189">
        <f t="shared" si="1"/>
        <v>0.46916621568366396</v>
      </c>
      <c r="E59" s="115">
        <f t="shared" si="1"/>
        <v>0.46533915375514712</v>
      </c>
      <c r="F59" s="115">
        <f t="shared" si="1"/>
        <v>0.45972829172410162</v>
      </c>
      <c r="G59" s="115">
        <f t="shared" si="1"/>
        <v>0.45972829172410162</v>
      </c>
      <c r="H59" s="194"/>
      <c r="I59" s="184"/>
      <c r="J59" s="1144"/>
    </row>
    <row r="60" spans="2:10">
      <c r="B60" s="1165" t="s">
        <v>24</v>
      </c>
      <c r="C60" s="1143" t="s">
        <v>336</v>
      </c>
      <c r="D60" s="1189">
        <f t="shared" si="1"/>
        <v>9.2415311823227084E-2</v>
      </c>
      <c r="E60" s="115">
        <f t="shared" si="1"/>
        <v>9.2170766907945456E-2</v>
      </c>
      <c r="F60" s="115">
        <f t="shared" si="1"/>
        <v>9.1782158663924182E-2</v>
      </c>
      <c r="G60" s="115">
        <f t="shared" si="1"/>
        <v>9.1782158663924182E-2</v>
      </c>
      <c r="H60" s="133"/>
      <c r="I60" s="184"/>
      <c r="J60" s="1144"/>
    </row>
    <row r="61" spans="2:10" ht="14.4" thickBot="1">
      <c r="B61" s="1188"/>
      <c r="C61" s="1187"/>
      <c r="D61" s="167"/>
      <c r="E61" s="1154"/>
      <c r="F61" s="1154"/>
      <c r="G61" s="1154"/>
      <c r="H61" s="1154"/>
      <c r="I61" s="1186"/>
      <c r="J61" s="1155"/>
    </row>
    <row r="64" spans="2:10" ht="16.2" thickBot="1">
      <c r="B64" s="87" t="s">
        <v>117</v>
      </c>
    </row>
    <row r="65" spans="2:12">
      <c r="B65" s="1168"/>
      <c r="C65" s="1185"/>
      <c r="D65" s="1184"/>
      <c r="E65" s="1146"/>
      <c r="F65" s="1146"/>
      <c r="G65" s="1146"/>
      <c r="H65" s="1146"/>
      <c r="I65" s="1146" t="s">
        <v>97</v>
      </c>
      <c r="J65" s="1147" t="s">
        <v>98</v>
      </c>
    </row>
    <row r="66" spans="2:12">
      <c r="B66" s="1183"/>
      <c r="C66" s="1182" t="s">
        <v>99</v>
      </c>
      <c r="D66" s="1181">
        <v>2015</v>
      </c>
      <c r="E66" s="1180">
        <v>2020</v>
      </c>
      <c r="F66" s="1180">
        <v>2035</v>
      </c>
      <c r="G66" s="1180">
        <v>2050</v>
      </c>
      <c r="H66" s="1180"/>
      <c r="I66" s="1179"/>
      <c r="J66" s="1178"/>
    </row>
    <row r="67" spans="2:12">
      <c r="B67" s="1165" t="s">
        <v>335</v>
      </c>
      <c r="C67" s="1173" t="s">
        <v>152</v>
      </c>
      <c r="D67" s="1176">
        <f>D23*D79</f>
        <v>2108.9956803455725</v>
      </c>
      <c r="E67" s="355">
        <f>E23*E79</f>
        <v>1715.569186457964</v>
      </c>
      <c r="F67" s="355">
        <f>F23*F79</f>
        <v>1376.6060670335874</v>
      </c>
      <c r="G67" s="355">
        <f>G23*G79</f>
        <v>1376.6060670335874</v>
      </c>
      <c r="H67" s="355"/>
      <c r="I67" s="75"/>
      <c r="J67" s="1144"/>
    </row>
    <row r="68" spans="2:12">
      <c r="B68" s="1165" t="s">
        <v>332</v>
      </c>
      <c r="C68" s="1173" t="s">
        <v>333</v>
      </c>
      <c r="D68" s="1174">
        <v>11500</v>
      </c>
      <c r="E68" s="96">
        <v>11500</v>
      </c>
      <c r="F68" s="96">
        <v>11500</v>
      </c>
      <c r="G68" s="96">
        <v>11500</v>
      </c>
      <c r="H68" s="96">
        <v>2011</v>
      </c>
      <c r="I68" s="346"/>
      <c r="J68" s="1144" t="s">
        <v>934</v>
      </c>
    </row>
    <row r="69" spans="2:12">
      <c r="B69" s="1165" t="s">
        <v>332</v>
      </c>
      <c r="C69" s="1173" t="s">
        <v>331</v>
      </c>
      <c r="D69" s="1175">
        <f>D68/(D74*24)/D72</f>
        <v>34.761967330398598</v>
      </c>
      <c r="E69" s="352">
        <f>E68/(E74*24)/E72</f>
        <v>38.238164063438454</v>
      </c>
      <c r="F69" s="352">
        <f>F68/(F74*24)/F72</f>
        <v>42.486848959376061</v>
      </c>
      <c r="G69" s="352">
        <f>G68/(G74*24)/G72</f>
        <v>42.486848959376061</v>
      </c>
      <c r="H69" s="176"/>
      <c r="I69" s="75"/>
      <c r="J69" s="1144"/>
    </row>
    <row r="70" spans="2:12">
      <c r="B70" s="1165" t="s">
        <v>330</v>
      </c>
      <c r="C70" s="1173" t="s">
        <v>329</v>
      </c>
      <c r="D70" s="1175">
        <v>85000000</v>
      </c>
      <c r="E70" s="352">
        <v>85000000</v>
      </c>
      <c r="F70" s="352">
        <v>85000000</v>
      </c>
      <c r="G70" s="352">
        <v>85000000</v>
      </c>
      <c r="H70" s="176"/>
      <c r="I70" s="75"/>
      <c r="J70" s="1144"/>
    </row>
    <row r="71" spans="2:12">
      <c r="B71" s="1165" t="s">
        <v>328</v>
      </c>
      <c r="C71" s="1173" t="s">
        <v>26</v>
      </c>
      <c r="D71" s="1175">
        <v>0.08</v>
      </c>
      <c r="E71" s="352">
        <v>0.08</v>
      </c>
      <c r="F71" s="352">
        <v>0.08</v>
      </c>
      <c r="G71" s="352">
        <v>0.08</v>
      </c>
      <c r="H71" s="176"/>
      <c r="I71" s="75" t="str">
        <f>CONCATENATE([2]Referencer!$B$58)</f>
        <v>52, Maritime Economics, Martin Stopford, 3rd edition, 2009, chapter 13, Routledge</v>
      </c>
      <c r="J71" s="1144"/>
    </row>
    <row r="72" spans="2:12">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2">
      <c r="B73" s="1165" t="s">
        <v>325</v>
      </c>
      <c r="C73" s="1173" t="s">
        <v>324</v>
      </c>
      <c r="D73" s="1175">
        <f>((D70*D71)/(1-(1+D71)^-D27))/(365*24*D74*D72)</f>
        <v>71.697336087990521</v>
      </c>
      <c r="E73" s="352">
        <f>((E70*E71)/(1-(1+E71)^-E27))/(365*24*E74*E72)</f>
        <v>78.867069696789571</v>
      </c>
      <c r="F73" s="352">
        <f>((F70*F71)/(1-(1+F71)^-F27))/(365*24*F74*F72)</f>
        <v>87.630077440877301</v>
      </c>
      <c r="G73" s="352">
        <f>((G70*G71)/(1-(1+G71)^-G27))/(365*24*G74*G72)</f>
        <v>87.630077440877301</v>
      </c>
      <c r="H73" s="176"/>
      <c r="I73" s="75"/>
      <c r="J73" s="1144"/>
    </row>
    <row r="74" spans="2:12">
      <c r="B74" s="1165" t="s">
        <v>323</v>
      </c>
      <c r="C74" s="1173" t="s">
        <v>322</v>
      </c>
      <c r="D74" s="1174">
        <v>22</v>
      </c>
      <c r="E74" s="96">
        <v>20</v>
      </c>
      <c r="F74" s="96">
        <v>18</v>
      </c>
      <c r="G74" s="96">
        <v>18</v>
      </c>
      <c r="H74" s="96"/>
      <c r="I74" s="75"/>
      <c r="J74" s="1144" t="s">
        <v>933</v>
      </c>
    </row>
    <row r="75" spans="2:12">
      <c r="B75" s="1165" t="s">
        <v>321</v>
      </c>
      <c r="C75" s="1173" t="s">
        <v>320</v>
      </c>
      <c r="D75" s="1172">
        <v>1.8520000000000001</v>
      </c>
      <c r="E75" s="90">
        <v>1.8520000000000001</v>
      </c>
      <c r="F75" s="90">
        <v>1.8520000000000001</v>
      </c>
      <c r="G75" s="90">
        <v>1.8520000000000001</v>
      </c>
      <c r="H75" s="90"/>
      <c r="I75" s="346"/>
      <c r="J75" s="1144"/>
    </row>
    <row r="76" spans="2:12" ht="14.4" thickBot="1">
      <c r="B76" s="1153" t="s">
        <v>319</v>
      </c>
      <c r="C76" s="1154" t="s">
        <v>318</v>
      </c>
      <c r="D76" s="1171">
        <v>0.32200000000000001</v>
      </c>
      <c r="E76" s="1170">
        <v>0.317</v>
      </c>
      <c r="F76" s="1170">
        <v>0.309</v>
      </c>
      <c r="G76" s="1170">
        <v>0.309</v>
      </c>
      <c r="H76" s="1170"/>
      <c r="I76" s="1154" t="str">
        <f>([2]Referencer!$B$78)</f>
        <v>72, 9000 TEU container ship - overall efficiency - propulsion and auxiliary power included, Notat fra Hans Otto Kristensen, 2015</v>
      </c>
      <c r="J76" s="1155"/>
      <c r="L76" s="185"/>
    </row>
    <row r="78" spans="2:12" ht="16.2" thickBot="1">
      <c r="B78" s="87" t="s">
        <v>126</v>
      </c>
      <c r="D78" s="65"/>
    </row>
    <row r="79" spans="2:12">
      <c r="B79" s="1168" t="s">
        <v>317</v>
      </c>
      <c r="C79" s="1146" t="s">
        <v>152</v>
      </c>
      <c r="D79" s="1169">
        <f>D89/D$75*1000</f>
        <v>6549.6760259179264</v>
      </c>
      <c r="E79" s="1169">
        <f>E89/E$75*1000</f>
        <v>5411.8901781008326</v>
      </c>
      <c r="F79" s="1169">
        <f>F89/F$75*1000</f>
        <v>4455.0358156426773</v>
      </c>
      <c r="G79" s="1169">
        <f>G89/G$75*1000</f>
        <v>4455.0358156426773</v>
      </c>
      <c r="H79" s="1169"/>
      <c r="I79" s="1166"/>
      <c r="J79" s="1147"/>
    </row>
    <row r="80" spans="2:12">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0</v>
      </c>
      <c r="E82" s="78">
        <f t="shared" si="2"/>
        <v>0</v>
      </c>
      <c r="F82" s="78">
        <f t="shared" si="2"/>
        <v>0</v>
      </c>
      <c r="G82" s="78">
        <f t="shared" si="2"/>
        <v>0</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1184.3407062964793</v>
      </c>
      <c r="E84" s="78">
        <f t="shared" si="2"/>
        <v>977.87077258034549</v>
      </c>
      <c r="F84" s="78">
        <f t="shared" si="2"/>
        <v>803.74308370203562</v>
      </c>
      <c r="G84" s="78">
        <f t="shared" si="2"/>
        <v>803.74308370203562</v>
      </c>
      <c r="H84" s="78"/>
      <c r="I84" s="346"/>
      <c r="J84" s="1144"/>
    </row>
    <row r="85" spans="2:10">
      <c r="B85" s="1165" t="s">
        <v>116</v>
      </c>
      <c r="C85" s="75" t="s">
        <v>27</v>
      </c>
      <c r="D85" s="78">
        <f t="shared" si="2"/>
        <v>3072.8867150339329</v>
      </c>
      <c r="E85" s="78">
        <f t="shared" si="2"/>
        <v>2518.3643956932337</v>
      </c>
      <c r="F85" s="78">
        <f t="shared" si="2"/>
        <v>2048.1060050950978</v>
      </c>
      <c r="G85" s="78">
        <f t="shared" si="2"/>
        <v>2048.1060050950978</v>
      </c>
      <c r="H85" s="78"/>
      <c r="I85" s="346"/>
      <c r="J85" s="1144"/>
    </row>
    <row r="86" spans="2:10">
      <c r="B86" s="1165" t="s">
        <v>24</v>
      </c>
      <c r="C86" s="75" t="s">
        <v>27</v>
      </c>
      <c r="D86" s="78">
        <f t="shared" si="2"/>
        <v>605.29035227631994</v>
      </c>
      <c r="E86" s="78">
        <f t="shared" si="2"/>
        <v>498.81806813713126</v>
      </c>
      <c r="F86" s="78">
        <f t="shared" si="2"/>
        <v>408.89280408478106</v>
      </c>
      <c r="G86" s="78">
        <f t="shared" si="2"/>
        <v>408.89280408478106</v>
      </c>
      <c r="H86" s="78"/>
      <c r="I86" s="346"/>
      <c r="J86" s="1144"/>
    </row>
    <row r="87" spans="2:10" ht="14.4" thickBot="1">
      <c r="B87" s="1153"/>
      <c r="C87" s="1154"/>
      <c r="D87" s="1154"/>
      <c r="E87" s="1154"/>
      <c r="F87" s="1154"/>
      <c r="G87" s="1154"/>
      <c r="H87" s="1154"/>
      <c r="I87" s="1154"/>
      <c r="J87" s="1155"/>
    </row>
    <row r="88" spans="2:10" ht="14.4" thickBot="1"/>
    <row r="89" spans="2:10">
      <c r="B89" s="1168" t="s">
        <v>317</v>
      </c>
      <c r="C89" s="1146" t="s">
        <v>316</v>
      </c>
      <c r="D89" s="1167">
        <v>12.13</v>
      </c>
      <c r="E89" s="1167">
        <v>10.022820609842743</v>
      </c>
      <c r="F89" s="1167">
        <v>8.2507263305702399</v>
      </c>
      <c r="G89" s="1167">
        <v>8.2507263305702399</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c r="E92" s="1164"/>
      <c r="F92" s="1164"/>
      <c r="G92" s="1164"/>
      <c r="H92" s="1164"/>
      <c r="I92" s="346"/>
      <c r="J92" s="1144" t="s">
        <v>341</v>
      </c>
    </row>
    <row r="93" spans="2:10">
      <c r="B93" s="1165" t="s">
        <v>22</v>
      </c>
      <c r="C93" s="75" t="s">
        <v>313</v>
      </c>
      <c r="D93" s="1164"/>
      <c r="E93" s="1164"/>
      <c r="F93" s="1164"/>
      <c r="G93" s="1164"/>
      <c r="H93" s="1164"/>
      <c r="I93" s="346"/>
      <c r="J93" s="1144"/>
    </row>
    <row r="94" spans="2:10">
      <c r="B94" s="1165" t="s">
        <v>23</v>
      </c>
      <c r="C94" s="75" t="s">
        <v>313</v>
      </c>
      <c r="D94" s="1164">
        <f>21.9339898806108/10</f>
        <v>2.1933989880610798</v>
      </c>
      <c r="E94" s="1164">
        <f>18.110166708188/10</f>
        <v>1.8110166708188</v>
      </c>
      <c r="F94" s="1164">
        <f>14.8853219101617/10</f>
        <v>1.48853219101617</v>
      </c>
      <c r="G94" s="1164">
        <f>14.8853219101617/10</f>
        <v>1.48853219101617</v>
      </c>
      <c r="H94" s="1164"/>
      <c r="I94" s="346" t="str">
        <f>CONCATENATE([2]Referencer!$B$59)</f>
        <v>53, Fast Ferry International, http://www.fastferryinfo.com/</v>
      </c>
      <c r="J94" s="1144" t="s">
        <v>938</v>
      </c>
    </row>
    <row r="95" spans="2:10">
      <c r="B95" s="1165" t="s">
        <v>116</v>
      </c>
      <c r="C95" s="75" t="s">
        <v>313</v>
      </c>
      <c r="D95" s="1164">
        <v>5.6909861962428439</v>
      </c>
      <c r="E95" s="1164">
        <v>4.6640108608238693</v>
      </c>
      <c r="F95" s="1164">
        <v>3.7930923214361218</v>
      </c>
      <c r="G95" s="1164">
        <v>3.7930923214361218</v>
      </c>
      <c r="H95" s="1164"/>
      <c r="I95" s="346" t="str">
        <f>CONCATENATE([2]Referencer!$B$30)</f>
        <v>24, SHIP-DESMO-Container Ship - 1 January 2014.xls - https://www.shipowners.dk/services/beregningsvaerktoejer/</v>
      </c>
      <c r="J95" s="1144" t="s">
        <v>930</v>
      </c>
    </row>
    <row r="96" spans="2:10">
      <c r="B96" s="1165" t="s">
        <v>24</v>
      </c>
      <c r="C96" s="75" t="s">
        <v>313</v>
      </c>
      <c r="D96" s="1164">
        <f>3.07153378681914/2.74</f>
        <v>1.1209977324157445</v>
      </c>
      <c r="E96" s="1164">
        <f>2.53124231040051/2.74</f>
        <v>0.92381106218996711</v>
      </c>
      <c r="F96" s="1164">
        <f>2.07491835647214/2.74</f>
        <v>0.75726947316501458</v>
      </c>
      <c r="G96" s="1164">
        <f>2.07491835647214/2.74</f>
        <v>0.75726947316501458</v>
      </c>
      <c r="H96" s="1164"/>
      <c r="I96" s="346" t="str">
        <f>CONCATENATE([2]Referencer!$B$59)</f>
        <v>53, Fast Ferry International, http://www.fastferryinfo.com/</v>
      </c>
      <c r="J96" s="1144" t="s">
        <v>939</v>
      </c>
    </row>
    <row r="97" spans="2:10" ht="14.4" thickBot="1">
      <c r="B97" s="1153"/>
      <c r="C97" s="1154"/>
      <c r="D97" s="1154"/>
      <c r="E97" s="1154"/>
      <c r="F97" s="1154"/>
      <c r="G97" s="1154"/>
      <c r="H97" s="1154"/>
      <c r="I97" s="1154"/>
      <c r="J97" s="1155"/>
    </row>
    <row r="98" spans="2:10">
      <c r="H98" s="66"/>
    </row>
    <row r="99" spans="2:10">
      <c r="D99" s="185"/>
      <c r="E99" s="185"/>
      <c r="F99" s="185"/>
      <c r="G99" s="185"/>
      <c r="H99" s="66"/>
    </row>
    <row r="100" spans="2:10">
      <c r="D100" s="185"/>
      <c r="E100" s="185"/>
      <c r="F100" s="185"/>
      <c r="G100" s="185"/>
      <c r="H100" s="66"/>
    </row>
    <row r="101" spans="2:10">
      <c r="D101" s="185"/>
      <c r="E101" s="185"/>
      <c r="F101" s="185"/>
      <c r="G101" s="185"/>
    </row>
    <row r="103" spans="2:10">
      <c r="H103" s="1210"/>
      <c r="I103" s="1210"/>
      <c r="J103" s="1210"/>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500-000000000000}">
          <x14:formula1>
            <xm:f>'C:\Users\mibsi\Downloads\[alternativ_drivmiddelmodel_3.0_2.xlsm]General ass. and conv.'!#REF!</xm:f>
          </x14:formula1>
          <xm:sqref>C9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7030A0"/>
    <pageSetUpPr fitToPage="1"/>
  </sheetPr>
  <dimension ref="B1:S100"/>
  <sheetViews>
    <sheetView zoomScale="80" zoomScaleNormal="80" workbookViewId="0">
      <selection activeCell="H80" sqref="H80"/>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9.664062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340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937</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232</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0.32200000000000001</v>
      </c>
      <c r="E23" s="256">
        <f>E76</f>
        <v>0.317</v>
      </c>
      <c r="F23" s="256">
        <f>F76</f>
        <v>0.309</v>
      </c>
      <c r="G23" s="256">
        <f>G76</f>
        <v>0.309</v>
      </c>
      <c r="H23" s="145"/>
      <c r="I23" s="184"/>
      <c r="J23" s="1202"/>
    </row>
    <row r="24" spans="2:14">
      <c r="B24" s="1204" t="s">
        <v>103</v>
      </c>
      <c r="C24" s="1143" t="s">
        <v>198</v>
      </c>
      <c r="D24" s="1203">
        <f>D23</f>
        <v>0.32200000000000001</v>
      </c>
      <c r="E24" s="141">
        <f>E23</f>
        <v>0.317</v>
      </c>
      <c r="F24" s="141">
        <f>F23</f>
        <v>0.309</v>
      </c>
      <c r="G24" s="141">
        <f>G23</f>
        <v>0.309</v>
      </c>
      <c r="H24" s="145"/>
      <c r="I24" s="184"/>
      <c r="J24" s="1202"/>
    </row>
    <row r="25" spans="2:14">
      <c r="B25" s="1204" t="s">
        <v>338</v>
      </c>
      <c r="C25" s="1143" t="s">
        <v>105</v>
      </c>
      <c r="D25" s="1203">
        <f>D79</f>
        <v>6549.6760259179264</v>
      </c>
      <c r="E25" s="141">
        <f>E79</f>
        <v>5411.8901781008326</v>
      </c>
      <c r="F25" s="141">
        <f>F79</f>
        <v>4455.0358156426773</v>
      </c>
      <c r="G25" s="141">
        <f>G79</f>
        <v>4455.0358156426773</v>
      </c>
      <c r="H25" s="140"/>
      <c r="I25" s="184"/>
      <c r="J25" s="1202"/>
    </row>
    <row r="26" spans="2:14">
      <c r="B26" s="1204" t="s">
        <v>337</v>
      </c>
      <c r="C26" s="1143" t="s">
        <v>105</v>
      </c>
      <c r="D26" s="1203"/>
      <c r="E26" s="141"/>
      <c r="F26" s="141"/>
      <c r="G26" s="141"/>
      <c r="H26" s="140"/>
      <c r="I26" s="184"/>
      <c r="J26" s="1202"/>
    </row>
    <row r="27" spans="2:14">
      <c r="B27" s="1148" t="s">
        <v>107</v>
      </c>
      <c r="C27" s="1143" t="s">
        <v>108</v>
      </c>
      <c r="D27" s="1196">
        <v>20</v>
      </c>
      <c r="E27" s="123">
        <v>20</v>
      </c>
      <c r="F27" s="123">
        <v>20</v>
      </c>
      <c r="G27" s="1195">
        <v>20</v>
      </c>
      <c r="H27" s="123"/>
      <c r="I27" s="346"/>
      <c r="J27" s="1144"/>
    </row>
    <row r="28" spans="2:14">
      <c r="B28" s="1148" t="s">
        <v>109</v>
      </c>
      <c r="C28" s="1143" t="s">
        <v>110</v>
      </c>
      <c r="D28" s="1201"/>
      <c r="E28" s="137"/>
      <c r="F28" s="137"/>
      <c r="G28" s="137"/>
      <c r="H28" s="136"/>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467820712.70515579</v>
      </c>
      <c r="E31" s="134">
        <f>HLOOKUP($H38,'[2]General ass. and conv.'!$C$12:$AF$14,3,FALSE)*E38</f>
        <v>467820712.70515579</v>
      </c>
      <c r="F31" s="134">
        <f>HLOOKUP($H38,'[2]General ass. and conv.'!$C$12:$AF$14,3,FALSE)*F38</f>
        <v>467820712.70515579</v>
      </c>
      <c r="G31" s="134">
        <f>HLOOKUP($H38,'[2]General ass. and conv.'!$C$12:$AF$14,3,FALSE)*G38</f>
        <v>467820712.70515579</v>
      </c>
      <c r="H31" s="133">
        <v>2011</v>
      </c>
      <c r="I31" s="77"/>
      <c r="J31" s="1144"/>
    </row>
    <row r="32" spans="2:14">
      <c r="B32" s="1165" t="s">
        <v>16</v>
      </c>
      <c r="C32" s="1143" t="s">
        <v>17</v>
      </c>
      <c r="D32" s="134">
        <f>HLOOKUP($H39,'[2]General ass. and conv.'!$C$12:$AF$14,3,FALSE)*D39</f>
        <v>154.74299059856017</v>
      </c>
      <c r="E32" s="134">
        <f>HLOOKUP($H39,'[2]General ass. and conv.'!$C$12:$AF$14,3,FALSE)*E39</f>
        <v>209.25274361358299</v>
      </c>
      <c r="F32" s="134">
        <f>HLOOKUP($H39,'[2]General ass. and conv.'!$C$12:$AF$14,3,FALSE)*F39</f>
        <v>289.75251180917053</v>
      </c>
      <c r="G32" s="134">
        <f>HLOOKUP($H39,'[2]General ass. and conv.'!$C$12:$AF$14,3,FALSE)*G39</f>
        <v>289.75251180917053</v>
      </c>
      <c r="H32" s="133">
        <v>2011</v>
      </c>
      <c r="I32" s="77"/>
      <c r="J32" s="1144"/>
    </row>
    <row r="33" spans="2:13">
      <c r="B33" s="1142" t="s">
        <v>18</v>
      </c>
      <c r="C33" s="1143" t="s">
        <v>17</v>
      </c>
      <c r="D33" s="134">
        <f>HLOOKUP($H40,'[2]General ass. and conv.'!$C$12:$AF$14,3,FALSE)*D40</f>
        <v>102.20393855299609</v>
      </c>
      <c r="E33" s="134">
        <f>HLOOKUP($H40,'[2]General ass. and conv.'!$C$12:$AF$14,3,FALSE)*E40</f>
        <v>138.20628945843492</v>
      </c>
      <c r="F33" s="134">
        <f>HLOOKUP($H40,'[2]General ass. and conv.'!$C$12:$AF$14,3,FALSE)*F40</f>
        <v>191.37440602622237</v>
      </c>
      <c r="G33" s="134">
        <f>HLOOKUP($H40,'[2]General ass. and conv.'!$C$12:$AF$14,3,FALSE)*G40</f>
        <v>191.37440602622237</v>
      </c>
      <c r="H33" s="133">
        <v>2011</v>
      </c>
      <c r="I33" s="77"/>
      <c r="J33" s="1144"/>
    </row>
    <row r="34" spans="2:13">
      <c r="B34" s="1142" t="s">
        <v>19</v>
      </c>
      <c r="C34" s="1143" t="s">
        <v>17</v>
      </c>
      <c r="D34" s="134">
        <f>HLOOKUP($H41,'[2]General ass. and conv.'!$C$12:$AF$14,3,FALSE)*D41</f>
        <v>50.794237097897891</v>
      </c>
      <c r="E34" s="134">
        <f>HLOOKUP($H41,'[2]General ass. and conv.'!$C$12:$AF$14,3,FALSE)*E41</f>
        <v>68.687010838944417</v>
      </c>
      <c r="F34" s="134">
        <f>HLOOKUP($H41,'[2]General ass. and conv.'!$C$12:$AF$14,3,FALSE)*F41</f>
        <v>95.110981942489232</v>
      </c>
      <c r="G34" s="134">
        <f>HLOOKUP($H41,'[2]General ass. and conv.'!$C$12:$AF$14,3,FALSE)*G41</f>
        <v>95.110981942489232</v>
      </c>
      <c r="H34" s="133">
        <v>2011</v>
      </c>
      <c r="I34" s="77"/>
      <c r="J34" s="1144"/>
    </row>
    <row r="35" spans="2:13">
      <c r="B35" s="1142"/>
      <c r="C35" s="1143"/>
      <c r="D35" s="134"/>
      <c r="E35" s="134"/>
      <c r="F35" s="134"/>
      <c r="G35" s="134"/>
      <c r="H35" s="133"/>
      <c r="I35" s="77"/>
      <c r="J35" s="1144"/>
    </row>
    <row r="36" spans="2:13">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133">
        <v>2011</v>
      </c>
      <c r="I36" s="77"/>
      <c r="J36" s="1144"/>
    </row>
    <row r="37" spans="2:13">
      <c r="B37" s="1151"/>
      <c r="C37" s="1143"/>
      <c r="D37" s="1174"/>
      <c r="E37" s="96"/>
      <c r="F37" s="96"/>
      <c r="G37" s="96"/>
      <c r="H37" s="96"/>
      <c r="I37" s="77"/>
      <c r="J37" s="1144"/>
    </row>
    <row r="38" spans="2:13">
      <c r="B38" s="1148" t="s">
        <v>112</v>
      </c>
      <c r="C38" s="149" t="s">
        <v>15</v>
      </c>
      <c r="D38" s="1199">
        <v>450500000</v>
      </c>
      <c r="E38" s="130">
        <v>450500000</v>
      </c>
      <c r="F38" s="130">
        <v>450500000</v>
      </c>
      <c r="G38" s="130">
        <v>450500000</v>
      </c>
      <c r="H38" s="128">
        <v>2013</v>
      </c>
      <c r="I38" s="184"/>
      <c r="J38" s="1144"/>
    </row>
    <row r="39" spans="2:13">
      <c r="B39" s="1165" t="s">
        <v>16</v>
      </c>
      <c r="C39" s="1143" t="s">
        <v>17</v>
      </c>
      <c r="D39" s="1198">
        <f>SUM(D40:D43)</f>
        <v>146.13814208528737</v>
      </c>
      <c r="E39" s="361">
        <f>SUM(E40:E43)</f>
        <v>197.61675187775865</v>
      </c>
      <c r="F39" s="361">
        <f>SUM(F40:F43)</f>
        <v>273.64014083318011</v>
      </c>
      <c r="G39" s="361">
        <f>SUM(G40:G43)</f>
        <v>273.64014083318011</v>
      </c>
      <c r="H39" s="128">
        <v>2012</v>
      </c>
      <c r="I39" s="184"/>
      <c r="J39" s="1144"/>
    </row>
    <row r="40" spans="2:13">
      <c r="B40" s="1142" t="s">
        <v>18</v>
      </c>
      <c r="C40" s="1143" t="s">
        <v>17</v>
      </c>
      <c r="D40" s="1197">
        <f>61.5496214112169*3372.355/D67</f>
        <v>98.419914013391022</v>
      </c>
      <c r="E40" s="124">
        <f>81.9386708052387*2786.52201738651/E67</f>
        <v>133.08930474881635</v>
      </c>
      <c r="F40" s="124">
        <f>110.597212305349*2293.84835611912/F67</f>
        <v>184.28891148551966</v>
      </c>
      <c r="G40" s="124">
        <f>110.597212305349*2293.84835611912/G67</f>
        <v>184.28891148551966</v>
      </c>
      <c r="H40" s="128">
        <v>2013</v>
      </c>
      <c r="I40" s="184"/>
      <c r="J40" s="1144"/>
    </row>
    <row r="41" spans="2:13">
      <c r="B41" s="1142" t="s">
        <v>19</v>
      </c>
      <c r="C41" s="1143" t="s">
        <v>17</v>
      </c>
      <c r="D41" s="1189">
        <f>29.8419166657645*3372.355/D67</f>
        <v>47.718228071896348</v>
      </c>
      <c r="E41" s="361">
        <f>39.72740903696*2786.52201738651/E67</f>
        <v>64.527447128942313</v>
      </c>
      <c r="F41" s="361">
        <f>53.6223085927967*2293.84835611912/F67</f>
        <v>89.351229347660436</v>
      </c>
      <c r="G41" s="361">
        <f>53.6223085927967*2293.84835611912/G67</f>
        <v>89.351229347660436</v>
      </c>
      <c r="H41" s="128">
        <v>2011</v>
      </c>
      <c r="I41" s="346"/>
      <c r="J41" s="1144"/>
      <c r="K41" s="241"/>
    </row>
    <row r="42" spans="2:13">
      <c r="B42" s="1142"/>
      <c r="C42" s="1143"/>
      <c r="D42" s="1174"/>
      <c r="E42" s="96"/>
      <c r="F42" s="96"/>
      <c r="G42" s="96"/>
      <c r="H42" s="128"/>
      <c r="I42" s="184"/>
      <c r="J42" s="1144"/>
    </row>
    <row r="43" spans="2:13">
      <c r="B43" s="1142" t="s">
        <v>113</v>
      </c>
      <c r="C43" s="1143" t="s">
        <v>17</v>
      </c>
      <c r="D43" s="1196"/>
      <c r="E43" s="123"/>
      <c r="F43" s="123"/>
      <c r="G43" s="1195"/>
      <c r="H43" s="128">
        <v>2011</v>
      </c>
      <c r="I43" s="184"/>
      <c r="J43" s="1144"/>
      <c r="M43" s="185"/>
    </row>
    <row r="44" spans="2:13">
      <c r="B44" s="1142"/>
      <c r="C44" s="1143"/>
      <c r="D44" s="1174"/>
      <c r="E44" s="96"/>
      <c r="F44" s="96"/>
      <c r="G44" s="96"/>
      <c r="H44" s="96"/>
      <c r="I44" s="184"/>
      <c r="J44" s="1144"/>
      <c r="M44" s="359"/>
    </row>
    <row r="45" spans="2:13">
      <c r="B45" s="1151" t="s">
        <v>114</v>
      </c>
      <c r="C45" s="1143"/>
      <c r="D45" s="1174"/>
      <c r="E45" s="96"/>
      <c r="F45" s="96"/>
      <c r="G45" s="96"/>
      <c r="H45" s="125"/>
      <c r="I45" s="184"/>
      <c r="J45" s="1144"/>
    </row>
    <row r="46" spans="2:13">
      <c r="B46" s="1192" t="s">
        <v>30</v>
      </c>
      <c r="C46" s="1143"/>
      <c r="D46" s="1174"/>
      <c r="E46" s="96"/>
      <c r="F46" s="96"/>
      <c r="G46" s="96"/>
      <c r="H46" s="124"/>
      <c r="I46" s="184"/>
      <c r="J46" s="1144"/>
    </row>
    <row r="47" spans="2:13">
      <c r="B47" s="1165" t="s">
        <v>20</v>
      </c>
      <c r="C47" s="1143" t="s">
        <v>336</v>
      </c>
      <c r="D47" s="1191"/>
      <c r="E47" s="357"/>
      <c r="F47" s="357"/>
      <c r="G47" s="357"/>
      <c r="H47" s="124"/>
      <c r="I47" s="184"/>
      <c r="J47" s="1190" t="s">
        <v>115</v>
      </c>
    </row>
    <row r="48" spans="2:13">
      <c r="B48" s="1165" t="s">
        <v>21</v>
      </c>
      <c r="C48" s="1143" t="s">
        <v>336</v>
      </c>
      <c r="D48" s="1194">
        <f t="shared" ref="D48:G52" si="0">D82/D$79</f>
        <v>0</v>
      </c>
      <c r="E48" s="122">
        <f t="shared" si="0"/>
        <v>0</v>
      </c>
      <c r="F48" s="122">
        <f t="shared" si="0"/>
        <v>0</v>
      </c>
      <c r="G48" s="122">
        <f t="shared" si="0"/>
        <v>0</v>
      </c>
      <c r="H48" s="118"/>
      <c r="I48" s="184"/>
      <c r="J48" s="1144"/>
    </row>
    <row r="49" spans="2:10">
      <c r="B49" s="1165" t="s">
        <v>22</v>
      </c>
      <c r="C49" s="1143" t="s">
        <v>336</v>
      </c>
      <c r="D49" s="1194">
        <f t="shared" si="0"/>
        <v>0</v>
      </c>
      <c r="E49" s="122">
        <f t="shared" si="0"/>
        <v>0</v>
      </c>
      <c r="F49" s="122">
        <f t="shared" si="0"/>
        <v>0</v>
      </c>
      <c r="G49" s="122">
        <f t="shared" si="0"/>
        <v>0</v>
      </c>
      <c r="H49" s="96"/>
      <c r="I49" s="184"/>
      <c r="J49" s="1144"/>
    </row>
    <row r="50" spans="2:10">
      <c r="B50" s="1165" t="s">
        <v>23</v>
      </c>
      <c r="C50" s="1143" t="s">
        <v>336</v>
      </c>
      <c r="D50" s="1194">
        <f t="shared" si="0"/>
        <v>1.8082431888384853</v>
      </c>
      <c r="E50" s="122">
        <f t="shared" si="0"/>
        <v>1.8068932302752385</v>
      </c>
      <c r="F50" s="122">
        <f t="shared" si="0"/>
        <v>1.8041226085768023</v>
      </c>
      <c r="G50" s="122">
        <f t="shared" si="0"/>
        <v>1.8041226085768023</v>
      </c>
      <c r="H50" s="123"/>
      <c r="I50" s="184"/>
      <c r="J50" s="1144"/>
    </row>
    <row r="51" spans="2:10">
      <c r="B51" s="1165" t="s">
        <v>116</v>
      </c>
      <c r="C51" s="1143" t="s">
        <v>336</v>
      </c>
      <c r="D51" s="1194">
        <f t="shared" si="0"/>
        <v>0.46916621568366396</v>
      </c>
      <c r="E51" s="122">
        <f t="shared" si="0"/>
        <v>0.46533915375514695</v>
      </c>
      <c r="F51" s="122">
        <f t="shared" si="0"/>
        <v>0.45972829172410162</v>
      </c>
      <c r="G51" s="122">
        <f t="shared" si="0"/>
        <v>0.45972829172410162</v>
      </c>
      <c r="H51" s="96"/>
      <c r="I51" s="184"/>
      <c r="J51" s="1144"/>
    </row>
    <row r="52" spans="2:10">
      <c r="B52" s="1165" t="s">
        <v>24</v>
      </c>
      <c r="C52" s="1143" t="s">
        <v>336</v>
      </c>
      <c r="D52" s="1194">
        <f t="shared" si="0"/>
        <v>0.2532179543956421</v>
      </c>
      <c r="E52" s="122">
        <f t="shared" si="0"/>
        <v>0.25254790132777061</v>
      </c>
      <c r="F52" s="122">
        <f t="shared" si="0"/>
        <v>0.2514831147391523</v>
      </c>
      <c r="G52" s="122">
        <f t="shared" si="0"/>
        <v>0.2514831147391523</v>
      </c>
      <c r="H52" s="96"/>
      <c r="I52" s="184"/>
      <c r="J52" s="1144"/>
    </row>
    <row r="53" spans="2:10">
      <c r="B53" s="1165"/>
      <c r="C53" s="1143"/>
      <c r="D53" s="1193"/>
      <c r="E53" s="75"/>
      <c r="F53" s="75"/>
      <c r="G53" s="75"/>
      <c r="H53" s="96"/>
      <c r="I53" s="184"/>
      <c r="J53" s="1144"/>
    </row>
    <row r="54" spans="2:10">
      <c r="B54" s="1192" t="s">
        <v>31</v>
      </c>
      <c r="C54" s="1143"/>
      <c r="D54" s="1174"/>
      <c r="E54" s="96"/>
      <c r="F54" s="96"/>
      <c r="G54" s="96"/>
      <c r="H54" s="118"/>
      <c r="I54" s="184"/>
      <c r="J54" s="1144"/>
    </row>
    <row r="55" spans="2:10">
      <c r="B55" s="1165" t="s">
        <v>20</v>
      </c>
      <c r="C55" s="1143" t="s">
        <v>336</v>
      </c>
      <c r="D55" s="1191"/>
      <c r="E55" s="357"/>
      <c r="F55" s="357"/>
      <c r="G55" s="357"/>
      <c r="H55" s="194"/>
      <c r="I55" s="184"/>
      <c r="J55" s="1190" t="s">
        <v>115</v>
      </c>
    </row>
    <row r="56" spans="2:10">
      <c r="B56" s="1165" t="s">
        <v>21</v>
      </c>
      <c r="C56" s="1143" t="s">
        <v>336</v>
      </c>
      <c r="D56" s="1189">
        <f t="shared" ref="D56:G60" si="1">D48</f>
        <v>0</v>
      </c>
      <c r="E56" s="115">
        <f t="shared" si="1"/>
        <v>0</v>
      </c>
      <c r="F56" s="115">
        <f t="shared" si="1"/>
        <v>0</v>
      </c>
      <c r="G56" s="115">
        <f t="shared" si="1"/>
        <v>0</v>
      </c>
      <c r="H56" s="194"/>
      <c r="I56" s="184"/>
      <c r="J56" s="1144"/>
    </row>
    <row r="57" spans="2:10">
      <c r="B57" s="1165" t="s">
        <v>22</v>
      </c>
      <c r="C57" s="1143" t="s">
        <v>336</v>
      </c>
      <c r="D57" s="1189">
        <f t="shared" si="1"/>
        <v>0</v>
      </c>
      <c r="E57" s="115">
        <f t="shared" si="1"/>
        <v>0</v>
      </c>
      <c r="F57" s="115">
        <f t="shared" si="1"/>
        <v>0</v>
      </c>
      <c r="G57" s="115">
        <f t="shared" si="1"/>
        <v>0</v>
      </c>
      <c r="H57" s="194"/>
      <c r="I57" s="184"/>
      <c r="J57" s="1144"/>
    </row>
    <row r="58" spans="2:10">
      <c r="B58" s="1165" t="s">
        <v>23</v>
      </c>
      <c r="C58" s="1143" t="s">
        <v>336</v>
      </c>
      <c r="D58" s="1189">
        <f t="shared" si="1"/>
        <v>1.8082431888384853</v>
      </c>
      <c r="E58" s="115">
        <f t="shared" si="1"/>
        <v>1.8068932302752385</v>
      </c>
      <c r="F58" s="115">
        <f t="shared" si="1"/>
        <v>1.8041226085768023</v>
      </c>
      <c r="G58" s="115">
        <f t="shared" si="1"/>
        <v>1.8041226085768023</v>
      </c>
      <c r="H58" s="194"/>
      <c r="I58" s="184"/>
      <c r="J58" s="1144"/>
    </row>
    <row r="59" spans="2:10">
      <c r="B59" s="1165" t="s">
        <v>116</v>
      </c>
      <c r="C59" s="1143" t="s">
        <v>336</v>
      </c>
      <c r="D59" s="1189">
        <f t="shared" si="1"/>
        <v>0.46916621568366396</v>
      </c>
      <c r="E59" s="115">
        <f t="shared" si="1"/>
        <v>0.46533915375514695</v>
      </c>
      <c r="F59" s="115">
        <f t="shared" si="1"/>
        <v>0.45972829172410162</v>
      </c>
      <c r="G59" s="115">
        <f t="shared" si="1"/>
        <v>0.45972829172410162</v>
      </c>
      <c r="H59" s="194"/>
      <c r="I59" s="1230"/>
      <c r="J59" s="1144"/>
    </row>
    <row r="60" spans="2:10">
      <c r="B60" s="1165" t="s">
        <v>24</v>
      </c>
      <c r="C60" s="1143" t="s">
        <v>336</v>
      </c>
      <c r="D60" s="1189">
        <f t="shared" si="1"/>
        <v>0.2532179543956421</v>
      </c>
      <c r="E60" s="115">
        <f t="shared" si="1"/>
        <v>0.25254790132777061</v>
      </c>
      <c r="F60" s="115">
        <f t="shared" si="1"/>
        <v>0.2514831147391523</v>
      </c>
      <c r="G60" s="115">
        <f t="shared" si="1"/>
        <v>0.2514831147391523</v>
      </c>
      <c r="H60" s="133"/>
      <c r="I60" s="184"/>
      <c r="J60" s="1144"/>
    </row>
    <row r="61" spans="2:10" ht="14.4" thickBot="1">
      <c r="B61" s="1188"/>
      <c r="C61" s="1187"/>
      <c r="D61" s="167"/>
      <c r="E61" s="1154"/>
      <c r="F61" s="1154"/>
      <c r="G61" s="1154"/>
      <c r="H61" s="1154"/>
      <c r="I61" s="1186"/>
      <c r="J61" s="1155"/>
    </row>
    <row r="64" spans="2:10" ht="16.2" thickBot="1">
      <c r="B64" s="87" t="s">
        <v>117</v>
      </c>
    </row>
    <row r="65" spans="2:16">
      <c r="B65" s="1168"/>
      <c r="C65" s="1185"/>
      <c r="D65" s="1184"/>
      <c r="E65" s="1146"/>
      <c r="F65" s="1146"/>
      <c r="G65" s="1146"/>
      <c r="H65" s="1146"/>
      <c r="I65" s="1146" t="s">
        <v>97</v>
      </c>
      <c r="J65" s="1147" t="s">
        <v>98</v>
      </c>
    </row>
    <row r="66" spans="2:16">
      <c r="B66" s="1183"/>
      <c r="C66" s="1182" t="s">
        <v>99</v>
      </c>
      <c r="D66" s="1181">
        <v>2015</v>
      </c>
      <c r="E66" s="1180">
        <v>2020</v>
      </c>
      <c r="F66" s="1180">
        <v>2035</v>
      </c>
      <c r="G66" s="1180"/>
      <c r="H66" s="1180"/>
      <c r="I66" s="1179"/>
      <c r="J66" s="1178"/>
      <c r="O66" s="1177">
        <v>30</v>
      </c>
      <c r="P66" s="63" t="s">
        <v>237</v>
      </c>
    </row>
    <row r="67" spans="2:16">
      <c r="B67" s="1165" t="s">
        <v>335</v>
      </c>
      <c r="C67" s="1173" t="s">
        <v>152</v>
      </c>
      <c r="D67" s="1176">
        <f>D23*D79</f>
        <v>2108.9956803455725</v>
      </c>
      <c r="E67" s="355">
        <f>E23*E79</f>
        <v>1715.569186457964</v>
      </c>
      <c r="F67" s="355">
        <f>F23*F79</f>
        <v>1376.6060670335874</v>
      </c>
      <c r="G67" s="355">
        <f>G23*G79</f>
        <v>1376.6060670335874</v>
      </c>
      <c r="H67" s="355"/>
      <c r="I67" s="75"/>
      <c r="J67" s="1144"/>
      <c r="O67" s="63">
        <f>D74*D75*24*365</f>
        <v>356917.44</v>
      </c>
      <c r="P67" s="63" t="s">
        <v>334</v>
      </c>
    </row>
    <row r="68" spans="2:16">
      <c r="B68" s="1165" t="s">
        <v>332</v>
      </c>
      <c r="C68" s="1173" t="s">
        <v>333</v>
      </c>
      <c r="D68" s="1174">
        <v>11500</v>
      </c>
      <c r="E68" s="96">
        <v>11500</v>
      </c>
      <c r="F68" s="96">
        <v>11500</v>
      </c>
      <c r="G68" s="96">
        <v>11500</v>
      </c>
      <c r="H68" s="96">
        <v>2011</v>
      </c>
      <c r="I68" s="346"/>
      <c r="J68" s="1144" t="s">
        <v>934</v>
      </c>
      <c r="O68" s="63">
        <f>D67*O67</f>
        <v>752737339.20000005</v>
      </c>
      <c r="P68" s="63" t="s">
        <v>936</v>
      </c>
    </row>
    <row r="69" spans="2:16">
      <c r="B69" s="1165" t="s">
        <v>332</v>
      </c>
      <c r="C69" s="1173" t="s">
        <v>331</v>
      </c>
      <c r="D69" s="1175">
        <f>D68/(D74*24)/D72</f>
        <v>34.761967330398598</v>
      </c>
      <c r="E69" s="352">
        <f>E68/(E74*24)/E72</f>
        <v>38.238164063438454</v>
      </c>
      <c r="F69" s="352">
        <f>F68/(F74*24)/F72</f>
        <v>42.486848959376061</v>
      </c>
      <c r="G69" s="352">
        <f>G68/(G74*24)/G72</f>
        <v>42.486848959376061</v>
      </c>
      <c r="H69" s="176"/>
      <c r="I69" s="75"/>
      <c r="J69" s="1144"/>
      <c r="O69" s="63">
        <v>500000000</v>
      </c>
      <c r="P69" s="63" t="s">
        <v>935</v>
      </c>
    </row>
    <row r="70" spans="2:16">
      <c r="B70" s="1165" t="s">
        <v>330</v>
      </c>
      <c r="C70" s="1173" t="s">
        <v>329</v>
      </c>
      <c r="D70" s="1175">
        <v>85000000</v>
      </c>
      <c r="E70" s="352">
        <v>85000000</v>
      </c>
      <c r="F70" s="352">
        <v>85000000</v>
      </c>
      <c r="G70" s="352">
        <v>85000000</v>
      </c>
      <c r="H70" s="354">
        <v>2013</v>
      </c>
      <c r="I70" s="1425">
        <f>G70*6.5</f>
        <v>552500000</v>
      </c>
      <c r="J70" s="1144" t="s">
        <v>934</v>
      </c>
    </row>
    <row r="71" spans="2:16">
      <c r="B71" s="1165" t="s">
        <v>328</v>
      </c>
      <c r="C71" s="1173" t="s">
        <v>26</v>
      </c>
      <c r="D71" s="1175">
        <v>0.08</v>
      </c>
      <c r="E71" s="352">
        <v>0.08</v>
      </c>
      <c r="F71" s="352">
        <v>0.08</v>
      </c>
      <c r="G71" s="352">
        <v>0.08</v>
      </c>
      <c r="H71" s="353"/>
      <c r="I71" s="75" t="str">
        <f>CONCATENATE([2]Referencer!$B$58)</f>
        <v>52, Maritime Economics, Martin Stopford, 3rd edition, 2009, chapter 13, Routledge</v>
      </c>
      <c r="J71" s="1144"/>
    </row>
    <row r="72" spans="2:16">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6">
      <c r="B73" s="1165" t="s">
        <v>325</v>
      </c>
      <c r="C73" s="1173" t="s">
        <v>324</v>
      </c>
      <c r="D73" s="1175">
        <f>((D70*D71)/(1-(1+D71)^-D27))/(365*24*D74*D72)</f>
        <v>71.697336087990521</v>
      </c>
      <c r="E73" s="352">
        <f>((E70*E71)/(1-(1+E71)^-E27))/(365*24*E74*E72)</f>
        <v>78.867069696789571</v>
      </c>
      <c r="F73" s="352">
        <f>((F70*F71)/(1-(1+F71)^-F27))/(365*24*F74*F72)</f>
        <v>87.630077440877301</v>
      </c>
      <c r="G73" s="352">
        <f>((G70*G71)/(1-(1+G71)^-G27))/(365*24*G74*G72)</f>
        <v>87.630077440877301</v>
      </c>
      <c r="H73" s="176"/>
      <c r="I73" s="75"/>
      <c r="J73" s="1144"/>
    </row>
    <row r="74" spans="2:16">
      <c r="B74" s="1165" t="s">
        <v>323</v>
      </c>
      <c r="C74" s="1173" t="s">
        <v>322</v>
      </c>
      <c r="D74" s="1174">
        <v>22</v>
      </c>
      <c r="E74" s="96">
        <v>20</v>
      </c>
      <c r="F74" s="96">
        <v>18</v>
      </c>
      <c r="G74" s="96">
        <v>18</v>
      </c>
      <c r="H74" s="96"/>
      <c r="I74" s="75"/>
      <c r="J74" s="1144" t="s">
        <v>933</v>
      </c>
      <c r="O74" s="63">
        <v>32525717.540138301</v>
      </c>
      <c r="P74" s="63" t="s">
        <v>932</v>
      </c>
    </row>
    <row r="75" spans="2:16">
      <c r="B75" s="1165" t="s">
        <v>321</v>
      </c>
      <c r="C75" s="1173" t="s">
        <v>320</v>
      </c>
      <c r="D75" s="1172">
        <v>1.8520000000000001</v>
      </c>
      <c r="E75" s="90">
        <v>1.8520000000000001</v>
      </c>
      <c r="F75" s="90">
        <v>1.8520000000000001</v>
      </c>
      <c r="G75" s="90">
        <v>1.8520000000000001</v>
      </c>
      <c r="H75" s="90"/>
      <c r="I75" s="346"/>
      <c r="J75" s="1144"/>
      <c r="O75" s="185">
        <f>O74/365</f>
        <v>89111.554904488497</v>
      </c>
      <c r="P75" s="63" t="s">
        <v>931</v>
      </c>
    </row>
    <row r="76" spans="2:16" ht="14.4" thickBot="1">
      <c r="B76" s="1153" t="s">
        <v>319</v>
      </c>
      <c r="C76" s="1154" t="s">
        <v>318</v>
      </c>
      <c r="D76" s="1171">
        <v>0.32200000000000001</v>
      </c>
      <c r="E76" s="1170">
        <v>0.317</v>
      </c>
      <c r="F76" s="1170">
        <v>0.309</v>
      </c>
      <c r="G76" s="1170">
        <v>0.309</v>
      </c>
      <c r="H76" s="1170"/>
      <c r="I76" s="1154" t="str">
        <f>([2]Referencer!$B$78)</f>
        <v>72, 9000 TEU container ship - overall efficiency - propulsion and auxiliary power included, Notat fra Hans Otto Kristensen, 2015</v>
      </c>
      <c r="J76" s="1155"/>
      <c r="L76" s="185"/>
    </row>
    <row r="78" spans="2:16" ht="16.2" thickBot="1">
      <c r="B78" s="87" t="s">
        <v>126</v>
      </c>
    </row>
    <row r="79" spans="2:16">
      <c r="B79" s="1168" t="s">
        <v>317</v>
      </c>
      <c r="C79" s="1146" t="s">
        <v>152</v>
      </c>
      <c r="D79" s="1169">
        <f>D89/D$75*1000</f>
        <v>6549.6760259179264</v>
      </c>
      <c r="E79" s="1169">
        <f>E89/E$75*1000</f>
        <v>5411.8901781008326</v>
      </c>
      <c r="F79" s="1169">
        <f>F89/F$75*1000</f>
        <v>4455.0358156426773</v>
      </c>
      <c r="G79" s="1169">
        <f>G89/G$75*1000</f>
        <v>4455.0358156426773</v>
      </c>
      <c r="H79" s="1169"/>
      <c r="I79" s="1166"/>
      <c r="J79" s="1147"/>
    </row>
    <row r="80" spans="2:16">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0</v>
      </c>
      <c r="E82" s="78">
        <f t="shared" si="2"/>
        <v>0</v>
      </c>
      <c r="F82" s="78">
        <f t="shared" si="2"/>
        <v>0</v>
      </c>
      <c r="G82" s="78">
        <f t="shared" si="2"/>
        <v>0</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11843.407062964809</v>
      </c>
      <c r="E84" s="78">
        <f t="shared" si="2"/>
        <v>9778.7077258034496</v>
      </c>
      <c r="F84" s="78">
        <f t="shared" si="2"/>
        <v>8037.4308370203489</v>
      </c>
      <c r="G84" s="78">
        <f t="shared" si="2"/>
        <v>8037.4308370203489</v>
      </c>
      <c r="H84" s="78"/>
      <c r="I84" s="346"/>
      <c r="J84" s="1144"/>
    </row>
    <row r="85" spans="2:10">
      <c r="B85" s="1165" t="s">
        <v>116</v>
      </c>
      <c r="C85" s="75" t="s">
        <v>27</v>
      </c>
      <c r="D85" s="78">
        <f t="shared" si="2"/>
        <v>3072.8867150339329</v>
      </c>
      <c r="E85" s="78">
        <f t="shared" si="2"/>
        <v>2518.3643956932328</v>
      </c>
      <c r="F85" s="78">
        <f t="shared" si="2"/>
        <v>2048.1060050950978</v>
      </c>
      <c r="G85" s="78">
        <f t="shared" si="2"/>
        <v>2048.1060050950978</v>
      </c>
      <c r="H85" s="78"/>
      <c r="I85" s="346"/>
      <c r="J85" s="1144"/>
    </row>
    <row r="86" spans="2:10">
      <c r="B86" s="1165" t="s">
        <v>24</v>
      </c>
      <c r="C86" s="75" t="s">
        <v>27</v>
      </c>
      <c r="D86" s="78">
        <f t="shared" si="2"/>
        <v>1658.4955652371159</v>
      </c>
      <c r="E86" s="78">
        <f t="shared" si="2"/>
        <v>1366.7615066957399</v>
      </c>
      <c r="F86" s="78">
        <f t="shared" si="2"/>
        <v>1120.3662831923004</v>
      </c>
      <c r="G86" s="78">
        <f t="shared" si="2"/>
        <v>1120.3662831923004</v>
      </c>
      <c r="H86" s="78"/>
      <c r="I86" s="346"/>
      <c r="J86" s="1144"/>
    </row>
    <row r="87" spans="2:10" ht="14.4" thickBot="1">
      <c r="B87" s="1153"/>
      <c r="C87" s="1154"/>
      <c r="D87" s="1154"/>
      <c r="E87" s="1154"/>
      <c r="F87" s="1154"/>
      <c r="G87" s="1154"/>
      <c r="H87" s="1154"/>
      <c r="I87" s="1154"/>
      <c r="J87" s="1155"/>
    </row>
    <row r="88" spans="2:10" ht="14.4" thickBot="1">
      <c r="E88" s="185"/>
      <c r="F88" s="185"/>
      <c r="G88" s="185"/>
      <c r="H88" s="185"/>
    </row>
    <row r="89" spans="2:10">
      <c r="B89" s="1168" t="s">
        <v>317</v>
      </c>
      <c r="C89" s="1146" t="s">
        <v>316</v>
      </c>
      <c r="D89" s="1167">
        <v>12.13</v>
      </c>
      <c r="E89" s="1167">
        <v>10.022820609842743</v>
      </c>
      <c r="F89" s="1167">
        <v>8.2507263305702399</v>
      </c>
      <c r="G89" s="1167">
        <v>8.2507263305702399</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c r="E92" s="1164"/>
      <c r="F92" s="1164"/>
      <c r="G92" s="1164"/>
      <c r="H92" s="1164"/>
      <c r="I92" s="346"/>
      <c r="J92" s="1144"/>
    </row>
    <row r="93" spans="2:10">
      <c r="B93" s="1165" t="s">
        <v>22</v>
      </c>
      <c r="C93" s="75" t="s">
        <v>313</v>
      </c>
      <c r="D93" s="1164"/>
      <c r="E93" s="1164"/>
      <c r="F93" s="1164"/>
      <c r="G93" s="1164"/>
      <c r="H93" s="1164"/>
      <c r="I93" s="346"/>
      <c r="J93" s="1144"/>
    </row>
    <row r="94" spans="2:10">
      <c r="B94" s="1165" t="s">
        <v>23</v>
      </c>
      <c r="C94" s="75" t="s">
        <v>313</v>
      </c>
      <c r="D94" s="1164">
        <v>21.933989880610827</v>
      </c>
      <c r="E94" s="1164">
        <v>18.11016670818799</v>
      </c>
      <c r="F94" s="1164">
        <v>14.885321910161686</v>
      </c>
      <c r="G94" s="1164">
        <v>14.885321910161686</v>
      </c>
      <c r="H94" s="1164"/>
      <c r="I94" s="346" t="str">
        <f>CONCATENATE([2]Referencer!$B$30)</f>
        <v>24, SHIP-DESMO-Container Ship - 1 January 2014.xls - https://www.shipowners.dk/services/beregningsvaerktoejer/</v>
      </c>
      <c r="J94" s="1144" t="s">
        <v>314</v>
      </c>
    </row>
    <row r="95" spans="2:10">
      <c r="B95" s="1165" t="s">
        <v>116</v>
      </c>
      <c r="C95" s="75" t="s">
        <v>313</v>
      </c>
      <c r="D95" s="1164">
        <v>5.6909861962428439</v>
      </c>
      <c r="E95" s="1164">
        <v>4.6640108608238675</v>
      </c>
      <c r="F95" s="1164">
        <v>3.7930923214361218</v>
      </c>
      <c r="G95" s="1164">
        <v>3.7930923214361218</v>
      </c>
      <c r="H95" s="1164"/>
      <c r="I95" s="346" t="str">
        <f>CONCATENATE([2]Referencer!$B$30)</f>
        <v>24, SHIP-DESMO-Container Ship - 1 January 2014.xls - https://www.shipowners.dk/services/beregningsvaerktoejer/</v>
      </c>
      <c r="J95" s="1144" t="s">
        <v>930</v>
      </c>
    </row>
    <row r="96" spans="2:10">
      <c r="B96" s="1165" t="s">
        <v>24</v>
      </c>
      <c r="C96" s="75" t="s">
        <v>313</v>
      </c>
      <c r="D96" s="1164">
        <v>3.0715337868191388</v>
      </c>
      <c r="E96" s="1164">
        <v>2.5312423104005104</v>
      </c>
      <c r="F96" s="1164">
        <v>2.0749183564721405</v>
      </c>
      <c r="G96" s="1164">
        <v>2.0749183564721405</v>
      </c>
      <c r="H96" s="1164"/>
      <c r="I96" s="346" t="str">
        <f>CONCATENATE([2]Referencer!$B$30)</f>
        <v>24, SHIP-DESMO-Container Ship - 1 January 2014.xls - https://www.shipowners.dk/services/beregningsvaerktoejer/</v>
      </c>
      <c r="J96" s="1144" t="s">
        <v>312</v>
      </c>
    </row>
    <row r="97" spans="2:10" ht="14.4" thickBot="1">
      <c r="B97" s="1153"/>
      <c r="C97" s="1154"/>
      <c r="D97" s="1154"/>
      <c r="E97" s="1154"/>
      <c r="F97" s="1154"/>
      <c r="G97" s="1154"/>
      <c r="H97" s="1154"/>
      <c r="I97" s="1154"/>
      <c r="J97" s="1155"/>
    </row>
    <row r="99" spans="2:10">
      <c r="H99" s="66"/>
    </row>
    <row r="100" spans="2:10">
      <c r="H100"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600-000000000000}">
          <x14:formula1>
            <xm:f>'C:\Users\mibsi\Downloads\[alternativ_drivmiddelmodel_3.0_2.xlsm]General ass. and conv.'!#REF!</xm:f>
          </x14:formula1>
          <xm:sqref>C9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7030A0"/>
    <pageSetUpPr fitToPage="1"/>
  </sheetPr>
  <dimension ref="B1:S97"/>
  <sheetViews>
    <sheetView zoomScale="80" zoomScaleNormal="80" workbookViewId="0">
      <selection activeCell="E74" sqref="E74"/>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940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937</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236</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0.315</v>
      </c>
      <c r="E23" s="256">
        <f>E76</f>
        <v>0.31</v>
      </c>
      <c r="F23" s="256">
        <f>F76</f>
        <v>0.30199999999999999</v>
      </c>
      <c r="G23" s="256">
        <f>G76</f>
        <v>0.30199999999999999</v>
      </c>
      <c r="H23" s="256"/>
      <c r="I23" s="184"/>
      <c r="J23" s="1202"/>
    </row>
    <row r="24" spans="2:14">
      <c r="B24" s="1204" t="s">
        <v>103</v>
      </c>
      <c r="C24" s="1143" t="s">
        <v>198</v>
      </c>
      <c r="D24" s="1203">
        <f>D23</f>
        <v>0.315</v>
      </c>
      <c r="E24" s="141">
        <f>E23</f>
        <v>0.31</v>
      </c>
      <c r="F24" s="141">
        <f>F23</f>
        <v>0.30199999999999999</v>
      </c>
      <c r="G24" s="141">
        <f>G23</f>
        <v>0.30199999999999999</v>
      </c>
      <c r="H24" s="141"/>
      <c r="I24" s="184"/>
      <c r="J24" s="1202"/>
    </row>
    <row r="25" spans="2:14">
      <c r="B25" s="1204" t="s">
        <v>338</v>
      </c>
      <c r="C25" s="1143" t="s">
        <v>105</v>
      </c>
      <c r="D25" s="1203">
        <f>D79</f>
        <v>6857.4514038876878</v>
      </c>
      <c r="E25" s="141">
        <f>E79</f>
        <v>5656.1860408671937</v>
      </c>
      <c r="F25" s="141">
        <f>F79</f>
        <v>4644.5644242996386</v>
      </c>
      <c r="G25" s="141">
        <f>G79</f>
        <v>4644.5644242996386</v>
      </c>
      <c r="H25" s="141"/>
      <c r="I25" s="184"/>
      <c r="J25" s="1202"/>
    </row>
    <row r="26" spans="2:14">
      <c r="B26" s="1204" t="s">
        <v>337</v>
      </c>
      <c r="C26" s="1143" t="s">
        <v>105</v>
      </c>
      <c r="D26" s="1203">
        <f>D25</f>
        <v>6857.4514038876878</v>
      </c>
      <c r="E26" s="1203">
        <f>E25</f>
        <v>5656.1860408671937</v>
      </c>
      <c r="F26" s="1203">
        <f>F25</f>
        <v>4644.5644242996386</v>
      </c>
      <c r="G26" s="1203">
        <f>G25</f>
        <v>4644.5644242996386</v>
      </c>
      <c r="H26" s="141"/>
      <c r="I26" s="184"/>
      <c r="J26" s="1202"/>
    </row>
    <row r="27" spans="2:14">
      <c r="B27" s="1148" t="s">
        <v>107</v>
      </c>
      <c r="C27" s="1143" t="s">
        <v>108</v>
      </c>
      <c r="D27" s="1196">
        <v>20</v>
      </c>
      <c r="E27" s="123">
        <v>20</v>
      </c>
      <c r="F27" s="123">
        <v>20</v>
      </c>
      <c r="G27" s="1195">
        <v>20</v>
      </c>
      <c r="H27" s="1195"/>
      <c r="I27" s="346"/>
      <c r="J27" s="1144"/>
    </row>
    <row r="28" spans="2:14">
      <c r="B28" s="1148" t="s">
        <v>109</v>
      </c>
      <c r="C28" s="1143" t="s">
        <v>110</v>
      </c>
      <c r="D28" s="1201"/>
      <c r="E28" s="137"/>
      <c r="F28" s="137"/>
      <c r="G28" s="137"/>
      <c r="H28" s="137"/>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537993819.61092901</v>
      </c>
      <c r="E31" s="134">
        <f>HLOOKUP($H38,'[2]General ass. and conv.'!$C$12:$AF$14,3,FALSE)*E38</f>
        <v>537993819.61092901</v>
      </c>
      <c r="F31" s="134">
        <f>HLOOKUP($H38,'[2]General ass. and conv.'!$C$12:$AF$14,3,FALSE)*F38</f>
        <v>537993819.61092901</v>
      </c>
      <c r="G31" s="134">
        <f>HLOOKUP($H38,'[2]General ass. and conv.'!$C$12:$AF$14,3,FALSE)*G38</f>
        <v>537993819.61092901</v>
      </c>
      <c r="H31" s="96">
        <v>2011</v>
      </c>
      <c r="I31" s="77"/>
      <c r="J31" s="1144"/>
    </row>
    <row r="32" spans="2:14">
      <c r="B32" s="1165" t="s">
        <v>16</v>
      </c>
      <c r="C32" s="1143" t="s">
        <v>17</v>
      </c>
      <c r="D32" s="134">
        <f>HLOOKUP($H39,'[2]General ass. and conv.'!$C$12:$AF$14,3,FALSE)*D39</f>
        <v>164.43267784880112</v>
      </c>
      <c r="E32" s="134">
        <f>HLOOKUP($H39,'[2]General ass. and conv.'!$C$12:$AF$14,3,FALSE)*E39</f>
        <v>222.82746911612955</v>
      </c>
      <c r="F32" s="134">
        <f>HLOOKUP($H39,'[2]General ass. and conv.'!$C$12:$AF$14,3,FALSE)*F39</f>
        <v>309.49929447219432</v>
      </c>
      <c r="G32" s="134">
        <f>HLOOKUP($H39,'[2]General ass. and conv.'!$C$12:$AF$14,3,FALSE)*G39</f>
        <v>309.49929447219432</v>
      </c>
      <c r="H32" s="96">
        <v>2011</v>
      </c>
      <c r="I32" s="77"/>
      <c r="J32" s="1144"/>
    </row>
    <row r="33" spans="2:11">
      <c r="B33" s="1142" t="s">
        <v>18</v>
      </c>
      <c r="C33" s="1143" t="s">
        <v>17</v>
      </c>
      <c r="D33" s="134">
        <f>HLOOKUP($H40,'[2]General ass. and conv.'!$C$12:$AF$14,3,FALSE)*D40</f>
        <v>113.43500797078745</v>
      </c>
      <c r="E33" s="134">
        <f>HLOOKUP($H40,'[2]General ass. and conv.'!$C$12:$AF$14,3,FALSE)*E40</f>
        <v>153.71905430221554</v>
      </c>
      <c r="F33" s="134">
        <f>HLOOKUP($H40,'[2]General ass. and conv.'!$C$12:$AF$14,3,FALSE)*F40</f>
        <v>213.51020608986826</v>
      </c>
      <c r="G33" s="134">
        <f>HLOOKUP($H40,'[2]General ass. and conv.'!$C$12:$AF$14,3,FALSE)*G40</f>
        <v>213.51020608986826</v>
      </c>
      <c r="H33" s="96">
        <v>2011</v>
      </c>
      <c r="I33" s="77"/>
      <c r="J33" s="1144"/>
    </row>
    <row r="34" spans="2:11">
      <c r="B34" s="1142" t="s">
        <v>19</v>
      </c>
      <c r="C34" s="1143" t="s">
        <v>17</v>
      </c>
      <c r="D34" s="134">
        <f>HLOOKUP($H41,'[2]General ass. and conv.'!$C$12:$AF$14,3,FALSE)*D41</f>
        <v>49.02256998538023</v>
      </c>
      <c r="E34" s="134">
        <f>HLOOKUP($H41,'[2]General ass. and conv.'!$C$12:$AF$14,3,FALSE)*E41</f>
        <v>66.43189992596858</v>
      </c>
      <c r="F34" s="134">
        <f>HLOOKUP($H41,'[2]General ass. and conv.'!$C$12:$AF$14,3,FALSE)*F41</f>
        <v>92.271506018045343</v>
      </c>
      <c r="G34" s="134">
        <f>HLOOKUP($H41,'[2]General ass. and conv.'!$C$12:$AF$14,3,FALSE)*G41</f>
        <v>92.271506018045343</v>
      </c>
      <c r="H34" s="96">
        <v>2011</v>
      </c>
      <c r="I34" s="77"/>
      <c r="J34" s="1144"/>
    </row>
    <row r="35" spans="2:11">
      <c r="B35" s="1142"/>
      <c r="C35" s="1143"/>
      <c r="D35" s="134"/>
      <c r="E35" s="134"/>
      <c r="F35" s="134"/>
      <c r="G35" s="134"/>
      <c r="H35" s="96"/>
      <c r="I35" s="77"/>
      <c r="J35" s="1144"/>
    </row>
    <row r="36" spans="2:11">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96">
        <v>2011</v>
      </c>
      <c r="I36" s="77"/>
      <c r="J36" s="1144"/>
    </row>
    <row r="37" spans="2:11">
      <c r="B37" s="1151"/>
      <c r="C37" s="1143"/>
      <c r="D37" s="1174"/>
      <c r="E37" s="96"/>
      <c r="F37" s="96"/>
      <c r="G37" s="96"/>
      <c r="H37" s="96"/>
      <c r="I37" s="77"/>
      <c r="J37" s="1144"/>
    </row>
    <row r="38" spans="2:11">
      <c r="B38" s="1148" t="s">
        <v>112</v>
      </c>
      <c r="C38" s="1143" t="s">
        <v>15</v>
      </c>
      <c r="D38" s="1199">
        <v>518074999.99999988</v>
      </c>
      <c r="E38" s="130">
        <v>518074999.99999988</v>
      </c>
      <c r="F38" s="130">
        <v>518074999.99999988</v>
      </c>
      <c r="G38" s="130">
        <v>518074999.99999988</v>
      </c>
      <c r="H38" s="1211">
        <v>2013</v>
      </c>
      <c r="I38" s="184"/>
      <c r="J38" s="1144"/>
    </row>
    <row r="39" spans="2:11">
      <c r="B39" s="1165" t="s">
        <v>16</v>
      </c>
      <c r="C39" s="1143" t="s">
        <v>17</v>
      </c>
      <c r="D39" s="1198">
        <f>SUM(D40:D43)</f>
        <v>155.28901145042221</v>
      </c>
      <c r="E39" s="361">
        <f>SUM(E40:E43)</f>
        <v>210.43662279137132</v>
      </c>
      <c r="F39" s="361">
        <f>SUM(F40:F43)</f>
        <v>292.28885712962676</v>
      </c>
      <c r="G39" s="361">
        <f>SUM(G40:G43)</f>
        <v>292.28885712962676</v>
      </c>
      <c r="H39" s="1212">
        <v>2012</v>
      </c>
      <c r="I39" s="184"/>
      <c r="J39" s="1144"/>
    </row>
    <row r="40" spans="2:11">
      <c r="B40" s="1142" t="s">
        <v>18</v>
      </c>
      <c r="C40" s="1143" t="s">
        <v>17</v>
      </c>
      <c r="D40" s="1209">
        <f>75.9092887761069*3108.42809075859/D67</f>
        <v>109.23516146889183</v>
      </c>
      <c r="E40" s="124">
        <f>101.234061368785*2563.90407171104/E67</f>
        <v>148.02772105302918</v>
      </c>
      <c r="F40" s="124">
        <f>136.9817926374*2105.34405211331/F67</f>
        <v>205.60515007403518</v>
      </c>
      <c r="G40" s="124">
        <f>136.9817926374*2105.34405211331/G67</f>
        <v>205.60515007403518</v>
      </c>
      <c r="H40" s="128">
        <v>2013</v>
      </c>
      <c r="I40" s="184"/>
      <c r="J40" s="1144"/>
    </row>
    <row r="41" spans="2:11">
      <c r="B41" s="1142" t="s">
        <v>19</v>
      </c>
      <c r="C41" s="1143" t="s">
        <v>17</v>
      </c>
      <c r="D41" s="1198">
        <f>32.0035687272277*3108.42809075859/D67</f>
        <v>46.053849981530377</v>
      </c>
      <c r="E41" s="361">
        <f>42.6805637727442*2563.90407171104/E67</f>
        <v>62.408901738342145</v>
      </c>
      <c r="F41" s="361">
        <f>57.7519073848807*2105.34405211331/F67</f>
        <v>86.683707055591611</v>
      </c>
      <c r="G41" s="361">
        <f>57.7519073848807*2105.34405211331/G67</f>
        <v>86.683707055591611</v>
      </c>
      <c r="H41" s="1212">
        <v>2011</v>
      </c>
      <c r="I41" s="346"/>
      <c r="J41" s="1144"/>
      <c r="K41" s="241"/>
    </row>
    <row r="42" spans="2:11">
      <c r="B42" s="1142"/>
      <c r="C42" s="1143"/>
      <c r="D42" s="1174"/>
      <c r="E42" s="96"/>
      <c r="F42" s="96"/>
      <c r="G42" s="96"/>
      <c r="H42" s="1213"/>
      <c r="I42" s="184"/>
      <c r="J42" s="1144"/>
    </row>
    <row r="43" spans="2:11">
      <c r="B43" s="1142" t="s">
        <v>113</v>
      </c>
      <c r="C43" s="1143" t="s">
        <v>17</v>
      </c>
      <c r="D43" s="1196"/>
      <c r="E43" s="123"/>
      <c r="F43" s="123"/>
      <c r="G43" s="1195"/>
      <c r="H43" s="1211">
        <v>2011</v>
      </c>
      <c r="I43" s="184"/>
      <c r="J43" s="1144"/>
    </row>
    <row r="44" spans="2:11">
      <c r="B44" s="1142"/>
      <c r="C44" s="1143"/>
      <c r="D44" s="1174"/>
      <c r="E44" s="96"/>
      <c r="F44" s="96"/>
      <c r="G44" s="96"/>
      <c r="H44" s="96"/>
      <c r="I44" s="184"/>
      <c r="J44" s="1144"/>
    </row>
    <row r="45" spans="2:11">
      <c r="B45" s="1151" t="s">
        <v>114</v>
      </c>
      <c r="C45" s="1143"/>
      <c r="D45" s="1174"/>
      <c r="E45" s="96"/>
      <c r="F45" s="96"/>
      <c r="G45" s="96"/>
      <c r="H45" s="96"/>
      <c r="I45" s="184"/>
      <c r="J45" s="1144"/>
    </row>
    <row r="46" spans="2:11">
      <c r="B46" s="1192" t="s">
        <v>30</v>
      </c>
      <c r="C46" s="1143"/>
      <c r="D46" s="1174"/>
      <c r="E46" s="96"/>
      <c r="F46" s="96"/>
      <c r="G46" s="96"/>
      <c r="H46" s="96"/>
      <c r="I46" s="184"/>
      <c r="J46" s="1144"/>
    </row>
    <row r="47" spans="2:11">
      <c r="B47" s="1165" t="s">
        <v>20</v>
      </c>
      <c r="C47" s="1143" t="s">
        <v>336</v>
      </c>
      <c r="D47" s="1191"/>
      <c r="E47" s="357"/>
      <c r="F47" s="357"/>
      <c r="G47" s="357"/>
      <c r="H47" s="357"/>
      <c r="I47" s="184"/>
      <c r="J47" s="1190" t="s">
        <v>115</v>
      </c>
    </row>
    <row r="48" spans="2:11">
      <c r="B48" s="1165" t="s">
        <v>21</v>
      </c>
      <c r="C48" s="1143" t="s">
        <v>336</v>
      </c>
      <c r="D48" s="1194">
        <f t="shared" ref="D48:G52" si="0">D82/D$79</f>
        <v>0.14308855291576675</v>
      </c>
      <c r="E48" s="122">
        <f t="shared" si="0"/>
        <v>0.14308855291576675</v>
      </c>
      <c r="F48" s="122">
        <f t="shared" si="0"/>
        <v>0.14308855291576672</v>
      </c>
      <c r="G48" s="122">
        <f t="shared" si="0"/>
        <v>0.14308855291576672</v>
      </c>
      <c r="H48" s="122"/>
      <c r="I48" s="184"/>
      <c r="J48" s="1144"/>
    </row>
    <row r="49" spans="2:10">
      <c r="B49" s="1165" t="s">
        <v>22</v>
      </c>
      <c r="C49" s="1143" t="s">
        <v>336</v>
      </c>
      <c r="D49" s="1194">
        <f t="shared" si="0"/>
        <v>0</v>
      </c>
      <c r="E49" s="122">
        <f t="shared" si="0"/>
        <v>0</v>
      </c>
      <c r="F49" s="122">
        <f t="shared" si="0"/>
        <v>0</v>
      </c>
      <c r="G49" s="122">
        <f t="shared" si="0"/>
        <v>0</v>
      </c>
      <c r="H49" s="122"/>
      <c r="I49" s="184"/>
      <c r="J49" s="1144"/>
    </row>
    <row r="50" spans="2:10">
      <c r="B50" s="1165" t="s">
        <v>23</v>
      </c>
      <c r="C50" s="1143" t="s">
        <v>336</v>
      </c>
      <c r="D50" s="1194">
        <f t="shared" si="0"/>
        <v>0.11023622047244094</v>
      </c>
      <c r="E50" s="122">
        <f t="shared" si="0"/>
        <v>0.11215635587439164</v>
      </c>
      <c r="F50" s="122">
        <f t="shared" si="0"/>
        <v>0.11196180102375106</v>
      </c>
      <c r="G50" s="122">
        <f t="shared" si="0"/>
        <v>0.11196180102375106</v>
      </c>
      <c r="H50" s="122"/>
      <c r="I50" s="184"/>
      <c r="J50" s="1144"/>
    </row>
    <row r="51" spans="2:10">
      <c r="B51" s="1165" t="s">
        <v>116</v>
      </c>
      <c r="C51" s="1143" t="s">
        <v>336</v>
      </c>
      <c r="D51" s="1194">
        <f t="shared" si="0"/>
        <v>7.4684858218409991E-2</v>
      </c>
      <c r="E51" s="122">
        <f t="shared" si="0"/>
        <v>7.4206788151871678E-2</v>
      </c>
      <c r="F51" s="122">
        <f t="shared" si="0"/>
        <v>7.3494728389014802E-2</v>
      </c>
      <c r="G51" s="122">
        <f t="shared" si="0"/>
        <v>7.3494728389014802E-2</v>
      </c>
      <c r="H51" s="122"/>
      <c r="I51" s="184"/>
      <c r="J51" s="1144"/>
    </row>
    <row r="52" spans="2:10">
      <c r="B52" s="1165" t="s">
        <v>24</v>
      </c>
      <c r="C52" s="1143" t="s">
        <v>336</v>
      </c>
      <c r="D52" s="1194">
        <f t="shared" si="0"/>
        <v>1.3385826771653547E-2</v>
      </c>
      <c r="E52" s="122">
        <f t="shared" si="0"/>
        <v>1.3385410654540119E-2</v>
      </c>
      <c r="F52" s="122">
        <f t="shared" si="0"/>
        <v>1.3362191314446959E-2</v>
      </c>
      <c r="G52" s="122">
        <f t="shared" si="0"/>
        <v>1.3362191314446959E-2</v>
      </c>
      <c r="H52" s="122"/>
      <c r="I52" s="184"/>
      <c r="J52" s="1144"/>
    </row>
    <row r="53" spans="2:10">
      <c r="B53" s="1165"/>
      <c r="C53" s="1143"/>
      <c r="D53" s="1193"/>
      <c r="E53" s="75"/>
      <c r="F53" s="75"/>
      <c r="G53" s="75"/>
      <c r="H53" s="75"/>
      <c r="I53" s="184"/>
      <c r="J53" s="1144"/>
    </row>
    <row r="54" spans="2:10">
      <c r="B54" s="1192" t="s">
        <v>31</v>
      </c>
      <c r="C54" s="1143"/>
      <c r="D54" s="1174"/>
      <c r="E54" s="96"/>
      <c r="F54" s="96"/>
      <c r="G54" s="96"/>
      <c r="H54" s="96"/>
      <c r="I54" s="184"/>
      <c r="J54" s="1144"/>
    </row>
    <row r="55" spans="2:10">
      <c r="B55" s="1165" t="s">
        <v>20</v>
      </c>
      <c r="C55" s="1143" t="s">
        <v>336</v>
      </c>
      <c r="D55" s="1191"/>
      <c r="E55" s="357"/>
      <c r="F55" s="357"/>
      <c r="G55" s="357"/>
      <c r="H55" s="357"/>
      <c r="I55" s="184"/>
      <c r="J55" s="1190" t="s">
        <v>115</v>
      </c>
    </row>
    <row r="56" spans="2:10">
      <c r="B56" s="1165" t="s">
        <v>21</v>
      </c>
      <c r="C56" s="1143" t="s">
        <v>336</v>
      </c>
      <c r="D56" s="1189">
        <f t="shared" ref="D56:G60" si="1">D48</f>
        <v>0.14308855291576675</v>
      </c>
      <c r="E56" s="115">
        <f t="shared" si="1"/>
        <v>0.14308855291576675</v>
      </c>
      <c r="F56" s="115">
        <f t="shared" si="1"/>
        <v>0.14308855291576672</v>
      </c>
      <c r="G56" s="115">
        <f t="shared" si="1"/>
        <v>0.14308855291576672</v>
      </c>
      <c r="H56" s="115"/>
      <c r="I56" s="184"/>
      <c r="J56" s="1144"/>
    </row>
    <row r="57" spans="2:10">
      <c r="B57" s="1165" t="s">
        <v>22</v>
      </c>
      <c r="C57" s="1143" t="s">
        <v>336</v>
      </c>
      <c r="D57" s="1189">
        <f t="shared" si="1"/>
        <v>0</v>
      </c>
      <c r="E57" s="115">
        <f t="shared" si="1"/>
        <v>0</v>
      </c>
      <c r="F57" s="115">
        <f t="shared" si="1"/>
        <v>0</v>
      </c>
      <c r="G57" s="115">
        <f t="shared" si="1"/>
        <v>0</v>
      </c>
      <c r="H57" s="115"/>
      <c r="I57" s="184"/>
      <c r="J57" s="1144"/>
    </row>
    <row r="58" spans="2:10">
      <c r="B58" s="1165" t="s">
        <v>23</v>
      </c>
      <c r="C58" s="1143" t="s">
        <v>336</v>
      </c>
      <c r="D58" s="1189">
        <f t="shared" si="1"/>
        <v>0.11023622047244094</v>
      </c>
      <c r="E58" s="115">
        <f t="shared" si="1"/>
        <v>0.11215635587439164</v>
      </c>
      <c r="F58" s="115">
        <f t="shared" si="1"/>
        <v>0.11196180102375106</v>
      </c>
      <c r="G58" s="115">
        <f t="shared" si="1"/>
        <v>0.11196180102375106</v>
      </c>
      <c r="H58" s="115"/>
      <c r="I58" s="184"/>
      <c r="J58" s="1144"/>
    </row>
    <row r="59" spans="2:10">
      <c r="B59" s="1165" t="s">
        <v>116</v>
      </c>
      <c r="C59" s="1143" t="s">
        <v>336</v>
      </c>
      <c r="D59" s="1189">
        <f t="shared" si="1"/>
        <v>7.4684858218409991E-2</v>
      </c>
      <c r="E59" s="115">
        <f t="shared" si="1"/>
        <v>7.4206788151871678E-2</v>
      </c>
      <c r="F59" s="115">
        <f t="shared" si="1"/>
        <v>7.3494728389014802E-2</v>
      </c>
      <c r="G59" s="115">
        <f t="shared" si="1"/>
        <v>7.3494728389014802E-2</v>
      </c>
      <c r="H59" s="115"/>
      <c r="I59" s="184"/>
      <c r="J59" s="1144"/>
    </row>
    <row r="60" spans="2:10">
      <c r="B60" s="1165" t="s">
        <v>24</v>
      </c>
      <c r="C60" s="1143" t="s">
        <v>336</v>
      </c>
      <c r="D60" s="1189">
        <f t="shared" si="1"/>
        <v>1.3385826771653547E-2</v>
      </c>
      <c r="E60" s="115">
        <f t="shared" si="1"/>
        <v>1.3385410654540119E-2</v>
      </c>
      <c r="F60" s="115">
        <f t="shared" si="1"/>
        <v>1.3362191314446959E-2</v>
      </c>
      <c r="G60" s="115">
        <f t="shared" si="1"/>
        <v>1.3362191314446959E-2</v>
      </c>
      <c r="H60" s="115"/>
      <c r="I60" s="184"/>
      <c r="J60" s="1144"/>
    </row>
    <row r="61" spans="2:10" ht="14.4" thickBot="1">
      <c r="B61" s="1188"/>
      <c r="C61" s="1187"/>
      <c r="D61" s="167"/>
      <c r="E61" s="1154"/>
      <c r="F61" s="1154"/>
      <c r="G61" s="1154"/>
      <c r="H61" s="1154"/>
      <c r="I61" s="1186"/>
      <c r="J61" s="1155"/>
    </row>
    <row r="64" spans="2:10" ht="16.2" thickBot="1">
      <c r="B64" s="87" t="s">
        <v>117</v>
      </c>
    </row>
    <row r="65" spans="2:12">
      <c r="B65" s="1168"/>
      <c r="C65" s="1185"/>
      <c r="D65" s="1184"/>
      <c r="E65" s="1146"/>
      <c r="F65" s="1146"/>
      <c r="G65" s="1146"/>
      <c r="H65" s="1146"/>
      <c r="I65" s="1146" t="s">
        <v>97</v>
      </c>
      <c r="J65" s="1147" t="s">
        <v>98</v>
      </c>
    </row>
    <row r="66" spans="2:12">
      <c r="B66" s="1183"/>
      <c r="C66" s="1182" t="s">
        <v>99</v>
      </c>
      <c r="D66" s="1181">
        <v>2015</v>
      </c>
      <c r="E66" s="1180">
        <v>2020</v>
      </c>
      <c r="F66" s="1180">
        <v>2035</v>
      </c>
      <c r="G66" s="1180"/>
      <c r="H66" s="1180"/>
      <c r="I66" s="1179"/>
      <c r="J66" s="1178"/>
    </row>
    <row r="67" spans="2:12">
      <c r="B67" s="1165" t="s">
        <v>335</v>
      </c>
      <c r="C67" s="1173" t="s">
        <v>152</v>
      </c>
      <c r="D67" s="1176">
        <f>D23*D79</f>
        <v>2160.0971922246217</v>
      </c>
      <c r="E67" s="355">
        <f>E23*E79</f>
        <v>1753.4176726688299</v>
      </c>
      <c r="F67" s="355">
        <f>F23*F79</f>
        <v>1402.6584561384909</v>
      </c>
      <c r="G67" s="355">
        <f>G23*G79</f>
        <v>1402.6584561384909</v>
      </c>
      <c r="H67" s="355"/>
      <c r="I67" s="75"/>
      <c r="J67" s="1144"/>
    </row>
    <row r="68" spans="2:12">
      <c r="B68" s="1165" t="s">
        <v>332</v>
      </c>
      <c r="C68" s="1173" t="s">
        <v>333</v>
      </c>
      <c r="D68" s="1174">
        <v>11500</v>
      </c>
      <c r="E68" s="96">
        <v>11500</v>
      </c>
      <c r="F68" s="96">
        <v>11500</v>
      </c>
      <c r="G68" s="96">
        <v>11500</v>
      </c>
      <c r="H68" s="96">
        <v>2011</v>
      </c>
      <c r="I68" s="346"/>
    </row>
    <row r="69" spans="2:12">
      <c r="B69" s="1165" t="s">
        <v>332</v>
      </c>
      <c r="C69" s="1173" t="s">
        <v>331</v>
      </c>
      <c r="D69" s="1175">
        <f>D68/(D74*24)/D72</f>
        <v>34.761967330398598</v>
      </c>
      <c r="E69" s="352">
        <f>E68/(E74*24)/E72</f>
        <v>38.238164063438454</v>
      </c>
      <c r="F69" s="352">
        <f>F68/(F74*24)/F72</f>
        <v>42.486848959376061</v>
      </c>
      <c r="G69" s="352">
        <f>G68/(G74*24)/G72</f>
        <v>42.486848959376061</v>
      </c>
      <c r="H69" s="176"/>
      <c r="I69" s="75"/>
      <c r="J69" s="1144"/>
    </row>
    <row r="70" spans="2:12">
      <c r="B70" s="1165" t="s">
        <v>330</v>
      </c>
      <c r="C70" s="1173" t="s">
        <v>329</v>
      </c>
      <c r="D70" s="1175">
        <f>85000000*1.15</f>
        <v>97749999.999999985</v>
      </c>
      <c r="E70" s="352">
        <f>85000000*1.15</f>
        <v>97749999.999999985</v>
      </c>
      <c r="F70" s="352">
        <f>85000000*1.15</f>
        <v>97749999.999999985</v>
      </c>
      <c r="G70" s="352">
        <f>85000000*1.15</f>
        <v>97749999.999999985</v>
      </c>
      <c r="H70" s="354">
        <v>2013</v>
      </c>
      <c r="I70" s="75"/>
      <c r="J70" s="1144" t="s">
        <v>344</v>
      </c>
    </row>
    <row r="71" spans="2:12">
      <c r="B71" s="1165" t="s">
        <v>328</v>
      </c>
      <c r="C71" s="1173" t="s">
        <v>26</v>
      </c>
      <c r="D71" s="1175">
        <v>0.08</v>
      </c>
      <c r="E71" s="352">
        <v>0.08</v>
      </c>
      <c r="F71" s="352">
        <v>0.08</v>
      </c>
      <c r="G71" s="352">
        <v>0.08</v>
      </c>
      <c r="H71" s="353"/>
      <c r="I71" s="75" t="str">
        <f>CONCATENATE([2]Referencer!$B$58)</f>
        <v>52, Maritime Economics, Martin Stopford, 3rd edition, 2009, chapter 13, Routledge</v>
      </c>
      <c r="J71" s="1144"/>
    </row>
    <row r="72" spans="2:12">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2">
      <c r="B73" s="1165" t="s">
        <v>325</v>
      </c>
      <c r="C73" s="1173" t="s">
        <v>324</v>
      </c>
      <c r="D73" s="1175">
        <f>((D70*D71)/(1-(1+D71)^-D27))/(365*24*D74*D72)</f>
        <v>82.451936501189081</v>
      </c>
      <c r="E73" s="352">
        <f>((E70*E71)/(1-(1+E71)^-E27))/(365*24*E74*E72)</f>
        <v>90.697130151307988</v>
      </c>
      <c r="F73" s="352">
        <f>((F70*F71)/(1-(1+F71)^-F27))/(365*24*F74*F72)</f>
        <v>100.77458905700888</v>
      </c>
      <c r="G73" s="352">
        <f>((G70*G71)/(1-(1+G71)^-G27))/(365*24*G74*G72)</f>
        <v>100.77458905700888</v>
      </c>
      <c r="H73" s="176"/>
      <c r="I73" s="75"/>
      <c r="J73" s="1144"/>
    </row>
    <row r="74" spans="2:12">
      <c r="B74" s="1165" t="s">
        <v>323</v>
      </c>
      <c r="C74" s="1173" t="s">
        <v>322</v>
      </c>
      <c r="D74" s="1174">
        <v>22</v>
      </c>
      <c r="E74" s="96">
        <v>20</v>
      </c>
      <c r="F74" s="96">
        <v>18</v>
      </c>
      <c r="G74" s="96">
        <v>18</v>
      </c>
      <c r="H74" s="96"/>
      <c r="I74" s="75"/>
      <c r="J74" s="1144" t="s">
        <v>343</v>
      </c>
    </row>
    <row r="75" spans="2:12">
      <c r="B75" s="1165" t="s">
        <v>321</v>
      </c>
      <c r="C75" s="1173" t="s">
        <v>320</v>
      </c>
      <c r="D75" s="1172">
        <v>1.8520000000000001</v>
      </c>
      <c r="E75" s="90">
        <v>1.8520000000000001</v>
      </c>
      <c r="F75" s="90">
        <v>1.8520000000000001</v>
      </c>
      <c r="G75" s="90">
        <v>1.8520000000000001</v>
      </c>
      <c r="H75" s="90"/>
      <c r="I75" s="346"/>
      <c r="J75" s="1144"/>
    </row>
    <row r="76" spans="2:12" ht="14.4" thickBot="1">
      <c r="B76" s="1153" t="s">
        <v>319</v>
      </c>
      <c r="C76" s="1154" t="s">
        <v>318</v>
      </c>
      <c r="D76" s="1171">
        <v>0.315</v>
      </c>
      <c r="E76" s="1170">
        <v>0.31</v>
      </c>
      <c r="F76" s="1170">
        <v>0.30199999999999999</v>
      </c>
      <c r="G76" s="1170">
        <v>0.30199999999999999</v>
      </c>
      <c r="H76" s="1170"/>
      <c r="I76" s="1154" t="str">
        <f>([2]Referencer!$B$78)</f>
        <v>72, 9000 TEU container ship - overall efficiency - propulsion and auxiliary power included, Notat fra Hans Otto Kristensen, 2015</v>
      </c>
      <c r="J76" s="1155"/>
      <c r="L76" s="185"/>
    </row>
    <row r="78" spans="2:12" ht="16.2" thickBot="1">
      <c r="B78" s="87" t="s">
        <v>126</v>
      </c>
    </row>
    <row r="79" spans="2:12">
      <c r="B79" s="1168" t="s">
        <v>317</v>
      </c>
      <c r="C79" s="1146" t="s">
        <v>152</v>
      </c>
      <c r="D79" s="1169">
        <f>D89/D$75*1000</f>
        <v>6857.4514038876878</v>
      </c>
      <c r="E79" s="1169">
        <f>E89/E$75*1000</f>
        <v>5656.1860408671937</v>
      </c>
      <c r="F79" s="1169">
        <f>F89/F$75*1000</f>
        <v>4644.5644242996386</v>
      </c>
      <c r="G79" s="1169">
        <f>G89/G$75*1000</f>
        <v>4644.5644242996386</v>
      </c>
      <c r="H79" s="1169"/>
      <c r="I79" s="1166"/>
      <c r="J79" s="1147"/>
    </row>
    <row r="80" spans="2:12">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981.22279807248231</v>
      </c>
      <c r="E82" s="78">
        <f t="shared" si="2"/>
        <v>809.33547561004661</v>
      </c>
      <c r="F82" s="78">
        <f t="shared" si="2"/>
        <v>664.58400239708646</v>
      </c>
      <c r="G82" s="78">
        <f t="shared" si="2"/>
        <v>664.58400239708646</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755.93952483801286</v>
      </c>
      <c r="E84" s="78">
        <f t="shared" si="2"/>
        <v>634.3772144912673</v>
      </c>
      <c r="F84" s="78">
        <f t="shared" si="2"/>
        <v>520.013797915429</v>
      </c>
      <c r="G84" s="78">
        <f t="shared" si="2"/>
        <v>520.013797915429</v>
      </c>
      <c r="H84" s="78"/>
      <c r="I84" s="346"/>
      <c r="J84" s="1144"/>
    </row>
    <row r="85" spans="2:10">
      <c r="B85" s="1165" t="s">
        <v>116</v>
      </c>
      <c r="C85" s="75" t="s">
        <v>27</v>
      </c>
      <c r="D85" s="78">
        <f t="shared" si="2"/>
        <v>512.14778583898851</v>
      </c>
      <c r="E85" s="78">
        <f t="shared" si="2"/>
        <v>419.72739928220568</v>
      </c>
      <c r="F85" s="78">
        <f t="shared" si="2"/>
        <v>341.35100084918287</v>
      </c>
      <c r="G85" s="78">
        <f t="shared" si="2"/>
        <v>341.35100084918287</v>
      </c>
      <c r="H85" s="78"/>
      <c r="I85" s="346"/>
      <c r="J85" s="1144"/>
    </row>
    <row r="86" spans="2:10">
      <c r="B86" s="1165" t="s">
        <v>24</v>
      </c>
      <c r="C86" s="75" t="s">
        <v>27</v>
      </c>
      <c r="D86" s="78">
        <f t="shared" si="2"/>
        <v>91.792656587473004</v>
      </c>
      <c r="E86" s="78">
        <f t="shared" si="2"/>
        <v>75.710372895484824</v>
      </c>
      <c r="F86" s="78">
        <f t="shared" si="2"/>
        <v>62.061558409765972</v>
      </c>
      <c r="G86" s="78">
        <f t="shared" si="2"/>
        <v>62.061558409765972</v>
      </c>
      <c r="H86" s="78"/>
      <c r="I86" s="346"/>
      <c r="J86" s="1144"/>
    </row>
    <row r="87" spans="2:10" ht="14.4" thickBot="1">
      <c r="B87" s="1153"/>
      <c r="C87" s="1154"/>
      <c r="D87" s="1154"/>
      <c r="E87" s="1154"/>
      <c r="F87" s="1154"/>
      <c r="G87" s="1154"/>
      <c r="H87" s="1154"/>
      <c r="I87" s="1154"/>
      <c r="J87" s="1155"/>
    </row>
    <row r="88" spans="2:10" ht="14.4" thickBot="1"/>
    <row r="89" spans="2:10">
      <c r="B89" s="1168" t="s">
        <v>317</v>
      </c>
      <c r="C89" s="1146" t="s">
        <v>316</v>
      </c>
      <c r="D89" s="1167">
        <v>12.7</v>
      </c>
      <c r="E89" s="1167">
        <v>10.475256547686044</v>
      </c>
      <c r="F89" s="1167">
        <v>8.6017333138029315</v>
      </c>
      <c r="G89" s="1167">
        <v>8.6017333138029315</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f>(0.17+0.36)/2/1000*D79</f>
        <v>1.8172246220302373</v>
      </c>
      <c r="E92" s="1164">
        <f>(0.17+0.36)/2/1000*E79</f>
        <v>1.4988893008298063</v>
      </c>
      <c r="F92" s="1164">
        <f>(0.17+0.36)/2/1000*F79</f>
        <v>1.2308095724394041</v>
      </c>
      <c r="G92" s="1164">
        <f>(0.17+0.36)/2/1000*G79</f>
        <v>1.2308095724394041</v>
      </c>
      <c r="H92" s="1164"/>
      <c r="I92" s="346" t="str">
        <f>CONCATENATE([2]Referencer!$B$59)</f>
        <v>53, Fast Ferry International, http://www.fastferryinfo.com/</v>
      </c>
      <c r="J92" s="1144"/>
    </row>
    <row r="93" spans="2:10">
      <c r="B93" s="1165" t="s">
        <v>22</v>
      </c>
      <c r="C93" s="75" t="s">
        <v>313</v>
      </c>
      <c r="D93" s="1164"/>
      <c r="E93" s="1164"/>
      <c r="F93" s="1164"/>
      <c r="G93" s="1164"/>
      <c r="H93" s="1164"/>
      <c r="I93" s="346"/>
      <c r="J93" s="1144"/>
    </row>
    <row r="94" spans="2:10">
      <c r="B94" s="1165" t="s">
        <v>23</v>
      </c>
      <c r="C94" s="75" t="s">
        <v>313</v>
      </c>
      <c r="D94" s="1164">
        <v>1.4</v>
      </c>
      <c r="E94" s="1164">
        <v>1.174866601237827</v>
      </c>
      <c r="F94" s="1164">
        <v>0.96306555373937464</v>
      </c>
      <c r="G94" s="1164">
        <v>0.96306555373937464</v>
      </c>
      <c r="H94" s="1164"/>
      <c r="I94" s="346" t="str">
        <f>CONCATENATE([2]Referencer!$B$30)</f>
        <v>24, SHIP-DESMO-Container Ship - 1 January 2014.xls - https://www.shipowners.dk/services/beregningsvaerktoejer/</v>
      </c>
      <c r="J94" s="1144" t="s">
        <v>314</v>
      </c>
    </row>
    <row r="95" spans="2:10">
      <c r="B95" s="1165" t="s">
        <v>116</v>
      </c>
      <c r="C95" s="75" t="s">
        <v>313</v>
      </c>
      <c r="D95" s="1164">
        <f>5.69098619624284/6</f>
        <v>0.94849769937380668</v>
      </c>
      <c r="E95" s="1164">
        <f>4.66401086082387/6</f>
        <v>0.77733514347064503</v>
      </c>
      <c r="F95" s="1164">
        <f>3.79309232143612/6</f>
        <v>0.63218205357268664</v>
      </c>
      <c r="G95" s="1164">
        <f>3.79309232143612/6</f>
        <v>0.63218205357268664</v>
      </c>
      <c r="H95" s="1164"/>
      <c r="I95" s="346" t="str">
        <f>CONCATENATE([2]Referencer!$B$59)</f>
        <v>53, Fast Ferry International, http://www.fastferryinfo.com/</v>
      </c>
      <c r="J95" s="1144" t="s">
        <v>342</v>
      </c>
    </row>
    <row r="96" spans="2:10">
      <c r="B96" s="1165" t="s">
        <v>24</v>
      </c>
      <c r="C96" s="75" t="s">
        <v>313</v>
      </c>
      <c r="D96" s="1164">
        <v>0.17</v>
      </c>
      <c r="E96" s="1164">
        <v>0.1402156106024379</v>
      </c>
      <c r="F96" s="1164">
        <v>0.11493800617488659</v>
      </c>
      <c r="G96" s="1164">
        <v>0.11493800617488659</v>
      </c>
      <c r="H96" s="1164"/>
      <c r="I96" s="346" t="str">
        <f>CONCATENATE([2]Referencer!$B$30)</f>
        <v>24, SHIP-DESMO-Container Ship - 1 January 2014.xls - https://www.shipowners.dk/services/beregningsvaerktoejer/</v>
      </c>
      <c r="J96" s="1144" t="s">
        <v>312</v>
      </c>
    </row>
    <row r="97" spans="2:10" ht="14.4" thickBot="1">
      <c r="B97" s="1153"/>
      <c r="C97" s="1154"/>
      <c r="D97" s="1154"/>
      <c r="E97" s="1154"/>
      <c r="F97" s="1154"/>
      <c r="G97" s="1154"/>
      <c r="H97" s="1154"/>
      <c r="I97" s="1154"/>
      <c r="J97" s="1155"/>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700-000000000000}">
          <x14:formula1>
            <xm:f>'C:\Users\mibsi\Downloads\[alternativ_drivmiddelmodel_3.0_2.xlsm]General ass. and conv.'!#REF!</xm:f>
          </x14:formula1>
          <xm:sqref>C9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51">
    <tabColor rgb="FF7030A0"/>
    <pageSetUpPr fitToPage="1"/>
  </sheetPr>
  <dimension ref="B1:S101"/>
  <sheetViews>
    <sheetView zoomScale="80" zoomScaleNormal="80" workbookViewId="0">
      <selection activeCell="G29" sqref="G29"/>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9.664062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340</v>
      </c>
      <c r="Q1" s="60">
        <v>0</v>
      </c>
      <c r="R1" s="62">
        <v>0</v>
      </c>
      <c r="S1" s="61"/>
    </row>
    <row r="2" spans="2:19">
      <c r="R2" s="363"/>
      <c r="S2" s="363"/>
    </row>
    <row r="4" spans="2:19" ht="14.4" thickBot="1">
      <c r="B4" s="152" t="s">
        <v>92</v>
      </c>
    </row>
    <row r="5" spans="2:19">
      <c r="B5" s="155" t="s">
        <v>93</v>
      </c>
      <c r="C5" s="83"/>
      <c r="D5" s="83"/>
      <c r="E5" s="83"/>
      <c r="F5" s="83"/>
      <c r="G5" s="83"/>
      <c r="H5" s="83"/>
      <c r="I5" s="83"/>
      <c r="J5" s="83"/>
      <c r="K5" s="83"/>
      <c r="L5" s="83"/>
      <c r="M5" s="83"/>
      <c r="N5" s="81"/>
    </row>
    <row r="6" spans="2:19">
      <c r="B6" s="131" t="s">
        <v>357</v>
      </c>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26"/>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26"/>
      <c r="C12" s="75"/>
      <c r="D12" s="75"/>
      <c r="E12" s="75"/>
      <c r="F12" s="75"/>
      <c r="G12" s="75"/>
      <c r="H12" s="75"/>
      <c r="I12" s="75"/>
      <c r="J12" s="75"/>
      <c r="K12" s="75"/>
      <c r="L12" s="75"/>
      <c r="M12" s="75"/>
      <c r="N12" s="72"/>
    </row>
    <row r="13" spans="2:19">
      <c r="B13" s="126"/>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67"/>
    </row>
    <row r="20" spans="2:14">
      <c r="B20" s="86"/>
      <c r="C20" s="108"/>
      <c r="D20" s="166"/>
      <c r="E20" s="83"/>
      <c r="F20" s="83"/>
      <c r="G20" s="83"/>
      <c r="H20" s="83"/>
      <c r="I20" s="83" t="s">
        <v>97</v>
      </c>
      <c r="J20" s="81" t="s">
        <v>98</v>
      </c>
    </row>
    <row r="21" spans="2:14">
      <c r="B21" s="107"/>
      <c r="C21" s="106" t="s">
        <v>99</v>
      </c>
      <c r="D21" s="105">
        <v>2015</v>
      </c>
      <c r="E21" s="104">
        <v>2020</v>
      </c>
      <c r="F21" s="104">
        <v>2035</v>
      </c>
      <c r="G21" s="104"/>
      <c r="H21" s="104" t="s">
        <v>100</v>
      </c>
      <c r="I21" s="150"/>
      <c r="J21" s="102"/>
    </row>
    <row r="22" spans="2:14">
      <c r="B22" s="126" t="s">
        <v>101</v>
      </c>
      <c r="C22" s="116"/>
      <c r="D22" s="178"/>
      <c r="E22" s="149"/>
      <c r="F22" s="149"/>
      <c r="G22" s="149"/>
      <c r="H22" s="149"/>
      <c r="I22" s="75"/>
      <c r="J22" s="72"/>
    </row>
    <row r="23" spans="2:14">
      <c r="B23" s="143" t="s">
        <v>102</v>
      </c>
      <c r="C23" s="116" t="s">
        <v>198</v>
      </c>
      <c r="D23" s="177">
        <f>D77</f>
        <v>0.40147206423553028</v>
      </c>
      <c r="E23" s="256">
        <f>E77</f>
        <v>0.40147206423553028</v>
      </c>
      <c r="F23" s="256">
        <f>F77</f>
        <v>0.40147206423553028</v>
      </c>
      <c r="G23" s="256">
        <f>G77</f>
        <v>0.40147206423553028</v>
      </c>
      <c r="H23" s="145"/>
      <c r="I23" s="184"/>
      <c r="J23" s="139"/>
    </row>
    <row r="24" spans="2:14">
      <c r="B24" s="143" t="s">
        <v>103</v>
      </c>
      <c r="C24" s="116" t="s">
        <v>198</v>
      </c>
      <c r="D24" s="142">
        <f>D23</f>
        <v>0.40147206423553028</v>
      </c>
      <c r="E24" s="141">
        <f>E23</f>
        <v>0.40147206423553028</v>
      </c>
      <c r="F24" s="141">
        <f>F23</f>
        <v>0.40147206423553028</v>
      </c>
      <c r="G24" s="141">
        <f>G23</f>
        <v>0.40147206423553028</v>
      </c>
      <c r="H24" s="145"/>
      <c r="I24" s="184"/>
      <c r="J24" s="139"/>
    </row>
    <row r="25" spans="2:14">
      <c r="B25" s="143" t="s">
        <v>338</v>
      </c>
      <c r="C25" s="116" t="s">
        <v>105</v>
      </c>
      <c r="D25" s="142">
        <f>D80</f>
        <v>4232.181425485961</v>
      </c>
      <c r="E25" s="141">
        <f>E80</f>
        <v>4232.181425485961</v>
      </c>
      <c r="F25" s="141">
        <f>F80</f>
        <v>4232.181425485961</v>
      </c>
      <c r="G25" s="141">
        <f>G80</f>
        <v>4232.181425485961</v>
      </c>
      <c r="H25" s="140"/>
      <c r="I25" s="184"/>
      <c r="J25" s="139"/>
    </row>
    <row r="26" spans="2:14">
      <c r="B26" s="143" t="s">
        <v>337</v>
      </c>
      <c r="C26" s="116" t="s">
        <v>105</v>
      </c>
      <c r="D26" s="142"/>
      <c r="E26" s="141"/>
      <c r="F26" s="141"/>
      <c r="G26" s="141"/>
      <c r="H26" s="140"/>
      <c r="I26" s="184"/>
      <c r="J26" s="139"/>
    </row>
    <row r="27" spans="2:14">
      <c r="B27" s="131" t="s">
        <v>107</v>
      </c>
      <c r="C27" s="116" t="s">
        <v>108</v>
      </c>
      <c r="D27" s="138"/>
      <c r="E27" s="123"/>
      <c r="F27" s="123"/>
      <c r="G27" s="360"/>
      <c r="H27" s="123"/>
      <c r="I27" s="346"/>
      <c r="J27" s="72"/>
    </row>
    <row r="28" spans="2:14">
      <c r="B28" s="131" t="s">
        <v>109</v>
      </c>
      <c r="C28" s="116" t="s">
        <v>110</v>
      </c>
      <c r="D28" s="175"/>
      <c r="E28" s="137"/>
      <c r="F28" s="137"/>
      <c r="G28" s="137"/>
      <c r="H28" s="136"/>
      <c r="I28" s="184"/>
      <c r="J28" s="72"/>
    </row>
    <row r="29" spans="2:14">
      <c r="B29" s="76"/>
      <c r="C29" s="135"/>
      <c r="D29" s="132"/>
      <c r="E29" s="96"/>
      <c r="F29" s="96"/>
      <c r="G29" s="96"/>
      <c r="H29" s="96"/>
      <c r="I29" s="75"/>
      <c r="J29" s="72"/>
    </row>
    <row r="30" spans="2:14">
      <c r="B30" s="126" t="s">
        <v>111</v>
      </c>
      <c r="C30" s="116"/>
      <c r="D30" s="132"/>
      <c r="E30" s="96"/>
      <c r="F30" s="96"/>
      <c r="G30" s="96"/>
      <c r="H30" s="96"/>
      <c r="I30" s="75"/>
      <c r="J30" s="72"/>
    </row>
    <row r="31" spans="2:14">
      <c r="B31" s="131" t="s">
        <v>112</v>
      </c>
      <c r="C31" s="116" t="s">
        <v>15</v>
      </c>
      <c r="D31" s="134">
        <v>0</v>
      </c>
      <c r="E31" s="134">
        <v>0</v>
      </c>
      <c r="F31" s="134">
        <v>0</v>
      </c>
      <c r="G31" s="134">
        <v>0</v>
      </c>
      <c r="H31" s="133">
        <v>2011</v>
      </c>
      <c r="I31" s="77"/>
      <c r="J31" s="72"/>
    </row>
    <row r="32" spans="2:14">
      <c r="B32" s="76" t="s">
        <v>16</v>
      </c>
      <c r="C32" s="116" t="s">
        <v>17</v>
      </c>
      <c r="D32" s="134">
        <v>0</v>
      </c>
      <c r="E32" s="134">
        <v>0</v>
      </c>
      <c r="F32" s="134">
        <v>0</v>
      </c>
      <c r="G32" s="134">
        <v>0</v>
      </c>
      <c r="H32" s="133">
        <v>2011</v>
      </c>
      <c r="I32" s="77"/>
      <c r="J32" s="72"/>
    </row>
    <row r="33" spans="2:13">
      <c r="B33" s="127" t="s">
        <v>18</v>
      </c>
      <c r="C33" s="116" t="s">
        <v>17</v>
      </c>
      <c r="D33" s="134">
        <v>0</v>
      </c>
      <c r="E33" s="134">
        <v>0</v>
      </c>
      <c r="F33" s="134">
        <v>0</v>
      </c>
      <c r="G33" s="134">
        <v>0</v>
      </c>
      <c r="H33" s="133">
        <v>2011</v>
      </c>
      <c r="I33" s="77"/>
      <c r="J33" s="72"/>
    </row>
    <row r="34" spans="2:13">
      <c r="B34" s="127" t="s">
        <v>19</v>
      </c>
      <c r="C34" s="116" t="s">
        <v>17</v>
      </c>
      <c r="D34" s="134">
        <v>0</v>
      </c>
      <c r="E34" s="134">
        <v>0</v>
      </c>
      <c r="F34" s="134">
        <v>0</v>
      </c>
      <c r="G34" s="134">
        <v>0</v>
      </c>
      <c r="H34" s="133">
        <v>2011</v>
      </c>
      <c r="I34" s="77"/>
      <c r="J34" s="72"/>
    </row>
    <row r="35" spans="2:13">
      <c r="B35" s="127"/>
      <c r="C35" s="116"/>
      <c r="D35" s="134"/>
      <c r="E35" s="134"/>
      <c r="F35" s="134"/>
      <c r="G35" s="134"/>
      <c r="H35" s="133"/>
      <c r="I35" s="77"/>
      <c r="J35" s="72"/>
    </row>
    <row r="36" spans="2:13">
      <c r="B36" s="127" t="s">
        <v>113</v>
      </c>
      <c r="C36" s="116" t="s">
        <v>17</v>
      </c>
      <c r="D36" s="134">
        <v>0</v>
      </c>
      <c r="E36" s="134">
        <v>0</v>
      </c>
      <c r="F36" s="134">
        <v>0</v>
      </c>
      <c r="G36" s="134">
        <v>0</v>
      </c>
      <c r="H36" s="133">
        <v>2011</v>
      </c>
      <c r="I36" s="77"/>
      <c r="J36" s="72"/>
    </row>
    <row r="37" spans="2:13">
      <c r="B37" s="126"/>
      <c r="C37" s="116"/>
      <c r="D37" s="132"/>
      <c r="E37" s="96"/>
      <c r="F37" s="96"/>
      <c r="G37" s="96"/>
      <c r="H37" s="96"/>
      <c r="I37" s="77"/>
      <c r="J37" s="72"/>
    </row>
    <row r="38" spans="2:13">
      <c r="B38" s="131" t="s">
        <v>112</v>
      </c>
      <c r="C38" s="116" t="s">
        <v>15</v>
      </c>
      <c r="D38" s="174"/>
      <c r="E38" s="125"/>
      <c r="F38" s="125"/>
      <c r="G38" s="360"/>
      <c r="H38" s="128">
        <v>2011</v>
      </c>
      <c r="I38" s="184"/>
      <c r="J38" s="72"/>
    </row>
    <row r="39" spans="2:13">
      <c r="B39" s="76" t="s">
        <v>16</v>
      </c>
      <c r="C39" s="116" t="s">
        <v>17</v>
      </c>
      <c r="D39" s="362">
        <f>SUM(D40:D43)</f>
        <v>0</v>
      </c>
      <c r="E39" s="361">
        <f>SUM(E40:E43)</f>
        <v>0</v>
      </c>
      <c r="F39" s="361">
        <f>SUM(F40:F43)</f>
        <v>0</v>
      </c>
      <c r="G39" s="361">
        <f>SUM(G40:G43)</f>
        <v>0</v>
      </c>
      <c r="H39" s="128">
        <v>2011</v>
      </c>
      <c r="I39" s="184"/>
      <c r="J39" s="72"/>
    </row>
    <row r="40" spans="2:13">
      <c r="B40" s="127" t="s">
        <v>18</v>
      </c>
      <c r="C40" s="116" t="s">
        <v>17</v>
      </c>
      <c r="D40" s="173"/>
      <c r="E40" s="124"/>
      <c r="F40" s="124"/>
      <c r="G40" s="360"/>
      <c r="H40" s="128">
        <v>2011</v>
      </c>
      <c r="I40" s="184"/>
      <c r="J40" s="72"/>
    </row>
    <row r="41" spans="2:13">
      <c r="B41" s="127" t="s">
        <v>19</v>
      </c>
      <c r="C41" s="116" t="s">
        <v>17</v>
      </c>
      <c r="D41" s="362">
        <v>0</v>
      </c>
      <c r="E41" s="361">
        <v>0</v>
      </c>
      <c r="F41" s="361">
        <v>0</v>
      </c>
      <c r="G41" s="361">
        <v>0</v>
      </c>
      <c r="H41" s="128">
        <v>2011</v>
      </c>
      <c r="I41" s="346"/>
      <c r="J41" s="72"/>
      <c r="K41" s="241"/>
    </row>
    <row r="42" spans="2:13">
      <c r="B42" s="127"/>
      <c r="C42" s="116"/>
      <c r="D42" s="132"/>
      <c r="E42" s="96"/>
      <c r="F42" s="96"/>
      <c r="G42" s="96"/>
      <c r="H42" s="128"/>
      <c r="I42" s="184"/>
      <c r="J42" s="72"/>
    </row>
    <row r="43" spans="2:13">
      <c r="B43" s="127" t="s">
        <v>113</v>
      </c>
      <c r="C43" s="116" t="s">
        <v>17</v>
      </c>
      <c r="D43" s="138"/>
      <c r="E43" s="123"/>
      <c r="F43" s="123"/>
      <c r="G43" s="360"/>
      <c r="H43" s="128">
        <v>2011</v>
      </c>
      <c r="I43" s="184"/>
      <c r="J43" s="72"/>
      <c r="M43" s="185"/>
    </row>
    <row r="44" spans="2:13">
      <c r="B44" s="127"/>
      <c r="C44" s="116"/>
      <c r="D44" s="132"/>
      <c r="E44" s="96"/>
      <c r="F44" s="96"/>
      <c r="G44" s="96"/>
      <c r="H44" s="96"/>
      <c r="I44" s="184"/>
      <c r="J44" s="72"/>
      <c r="M44" s="359"/>
    </row>
    <row r="45" spans="2:13">
      <c r="B45" s="126" t="s">
        <v>114</v>
      </c>
      <c r="C45" s="116"/>
      <c r="D45" s="132"/>
      <c r="E45" s="96"/>
      <c r="F45" s="96"/>
      <c r="G45" s="96"/>
      <c r="H45" s="125"/>
      <c r="I45" s="184"/>
      <c r="J45" s="72"/>
    </row>
    <row r="46" spans="2:13">
      <c r="B46" s="121" t="s">
        <v>30</v>
      </c>
      <c r="C46" s="116"/>
      <c r="D46" s="132"/>
      <c r="E46" s="96"/>
      <c r="F46" s="96"/>
      <c r="G46" s="96"/>
      <c r="H46" s="124"/>
      <c r="I46" s="184"/>
      <c r="J46" s="72"/>
    </row>
    <row r="47" spans="2:13">
      <c r="B47" s="76" t="s">
        <v>20</v>
      </c>
      <c r="C47" s="116" t="s">
        <v>336</v>
      </c>
      <c r="D47" s="358"/>
      <c r="E47" s="357"/>
      <c r="F47" s="357"/>
      <c r="G47" s="357"/>
      <c r="H47" s="124"/>
      <c r="I47" s="184"/>
      <c r="J47" s="117" t="s">
        <v>115</v>
      </c>
    </row>
    <row r="48" spans="2:13">
      <c r="B48" s="76" t="s">
        <v>21</v>
      </c>
      <c r="C48" s="116" t="s">
        <v>336</v>
      </c>
      <c r="D48" s="171">
        <f t="shared" ref="D48:G52" si="0">D83/D$80</f>
        <v>0</v>
      </c>
      <c r="E48" s="122">
        <f t="shared" si="0"/>
        <v>0</v>
      </c>
      <c r="F48" s="122">
        <f t="shared" si="0"/>
        <v>0</v>
      </c>
      <c r="G48" s="122">
        <f t="shared" si="0"/>
        <v>0</v>
      </c>
      <c r="H48" s="118"/>
      <c r="I48" s="184"/>
      <c r="J48" s="72"/>
    </row>
    <row r="49" spans="2:10">
      <c r="B49" s="76" t="s">
        <v>22</v>
      </c>
      <c r="C49" s="116" t="s">
        <v>336</v>
      </c>
      <c r="D49" s="171">
        <f t="shared" si="0"/>
        <v>0</v>
      </c>
      <c r="E49" s="122">
        <f t="shared" si="0"/>
        <v>0</v>
      </c>
      <c r="F49" s="122">
        <f t="shared" si="0"/>
        <v>0</v>
      </c>
      <c r="G49" s="122">
        <f t="shared" si="0"/>
        <v>0</v>
      </c>
      <c r="H49" s="96"/>
      <c r="I49" s="184"/>
      <c r="J49" s="72"/>
    </row>
    <row r="50" spans="2:10">
      <c r="B50" s="76" t="s">
        <v>23</v>
      </c>
      <c r="C50" s="116" t="s">
        <v>336</v>
      </c>
      <c r="D50" s="171" t="e">
        <f t="shared" si="0"/>
        <v>#REF!</v>
      </c>
      <c r="E50" s="122" t="e">
        <f t="shared" si="0"/>
        <v>#REF!</v>
      </c>
      <c r="F50" s="122" t="e">
        <f t="shared" si="0"/>
        <v>#REF!</v>
      </c>
      <c r="G50" s="122" t="e">
        <f t="shared" si="0"/>
        <v>#REF!</v>
      </c>
      <c r="H50" s="123"/>
      <c r="I50" s="184"/>
      <c r="J50" s="72"/>
    </row>
    <row r="51" spans="2:10">
      <c r="B51" s="76" t="s">
        <v>116</v>
      </c>
      <c r="C51" s="116" t="s">
        <v>336</v>
      </c>
      <c r="D51" s="171" t="e">
        <f t="shared" si="0"/>
        <v>#REF!</v>
      </c>
      <c r="E51" s="122" t="e">
        <f t="shared" si="0"/>
        <v>#REF!</v>
      </c>
      <c r="F51" s="122" t="e">
        <f t="shared" si="0"/>
        <v>#REF!</v>
      </c>
      <c r="G51" s="122" t="e">
        <f t="shared" si="0"/>
        <v>#REF!</v>
      </c>
      <c r="H51" s="96"/>
      <c r="I51" s="184"/>
      <c r="J51" s="72"/>
    </row>
    <row r="52" spans="2:10">
      <c r="B52" s="76" t="s">
        <v>24</v>
      </c>
      <c r="C52" s="116" t="s">
        <v>336</v>
      </c>
      <c r="D52" s="171" t="e">
        <f t="shared" si="0"/>
        <v>#REF!</v>
      </c>
      <c r="E52" s="122" t="e">
        <f t="shared" si="0"/>
        <v>#REF!</v>
      </c>
      <c r="F52" s="122" t="e">
        <f t="shared" si="0"/>
        <v>#REF!</v>
      </c>
      <c r="G52" s="122" t="e">
        <f t="shared" si="0"/>
        <v>#REF!</v>
      </c>
      <c r="H52" s="96"/>
      <c r="I52" s="184"/>
      <c r="J52" s="72"/>
    </row>
    <row r="53" spans="2:10">
      <c r="B53" s="76"/>
      <c r="C53" s="116"/>
      <c r="D53" s="170"/>
      <c r="E53" s="75"/>
      <c r="F53" s="75"/>
      <c r="G53" s="75"/>
      <c r="H53" s="96"/>
      <c r="I53" s="184"/>
      <c r="J53" s="72"/>
    </row>
    <row r="54" spans="2:10">
      <c r="B54" s="121" t="s">
        <v>31</v>
      </c>
      <c r="C54" s="116"/>
      <c r="D54" s="132"/>
      <c r="E54" s="96"/>
      <c r="F54" s="96"/>
      <c r="G54" s="96"/>
      <c r="H54" s="118"/>
      <c r="I54" s="184"/>
      <c r="J54" s="72"/>
    </row>
    <row r="55" spans="2:10">
      <c r="B55" s="76" t="s">
        <v>20</v>
      </c>
      <c r="C55" s="116" t="s">
        <v>336</v>
      </c>
      <c r="D55" s="358"/>
      <c r="E55" s="357"/>
      <c r="F55" s="357"/>
      <c r="G55" s="357"/>
      <c r="H55" s="194"/>
      <c r="I55" s="184"/>
      <c r="J55" s="117" t="s">
        <v>115</v>
      </c>
    </row>
    <row r="56" spans="2:10">
      <c r="B56" s="76" t="s">
        <v>21</v>
      </c>
      <c r="C56" s="116" t="s">
        <v>336</v>
      </c>
      <c r="D56" s="168">
        <f t="shared" ref="D56:G60" si="1">D48</f>
        <v>0</v>
      </c>
      <c r="E56" s="115">
        <f t="shared" si="1"/>
        <v>0</v>
      </c>
      <c r="F56" s="115">
        <f t="shared" si="1"/>
        <v>0</v>
      </c>
      <c r="G56" s="115">
        <f t="shared" si="1"/>
        <v>0</v>
      </c>
      <c r="H56" s="194"/>
      <c r="I56" s="184"/>
      <c r="J56" s="72"/>
    </row>
    <row r="57" spans="2:10">
      <c r="B57" s="76" t="s">
        <v>22</v>
      </c>
      <c r="C57" s="116" t="s">
        <v>336</v>
      </c>
      <c r="D57" s="168">
        <f t="shared" si="1"/>
        <v>0</v>
      </c>
      <c r="E57" s="115">
        <f t="shared" si="1"/>
        <v>0</v>
      </c>
      <c r="F57" s="115">
        <f t="shared" si="1"/>
        <v>0</v>
      </c>
      <c r="G57" s="115">
        <f t="shared" si="1"/>
        <v>0</v>
      </c>
      <c r="H57" s="194"/>
      <c r="I57" s="184"/>
      <c r="J57" s="72"/>
    </row>
    <row r="58" spans="2:10">
      <c r="B58" s="76" t="s">
        <v>23</v>
      </c>
      <c r="C58" s="116" t="s">
        <v>336</v>
      </c>
      <c r="D58" s="168" t="e">
        <f t="shared" si="1"/>
        <v>#REF!</v>
      </c>
      <c r="E58" s="115" t="e">
        <f t="shared" si="1"/>
        <v>#REF!</v>
      </c>
      <c r="F58" s="115" t="e">
        <f t="shared" si="1"/>
        <v>#REF!</v>
      </c>
      <c r="G58" s="115" t="e">
        <f t="shared" si="1"/>
        <v>#REF!</v>
      </c>
      <c r="H58" s="194"/>
      <c r="I58" s="184"/>
      <c r="J58" s="72"/>
    </row>
    <row r="59" spans="2:10">
      <c r="B59" s="76" t="s">
        <v>116</v>
      </c>
      <c r="C59" s="116" t="s">
        <v>336</v>
      </c>
      <c r="D59" s="168" t="e">
        <f t="shared" si="1"/>
        <v>#REF!</v>
      </c>
      <c r="E59" s="115" t="e">
        <f t="shared" si="1"/>
        <v>#REF!</v>
      </c>
      <c r="F59" s="115" t="e">
        <f t="shared" si="1"/>
        <v>#REF!</v>
      </c>
      <c r="G59" s="115" t="e">
        <f t="shared" si="1"/>
        <v>#REF!</v>
      </c>
      <c r="H59" s="194"/>
      <c r="I59" s="356"/>
      <c r="J59" s="72"/>
    </row>
    <row r="60" spans="2:10">
      <c r="B60" s="76" t="s">
        <v>24</v>
      </c>
      <c r="C60" s="116" t="s">
        <v>336</v>
      </c>
      <c r="D60" s="168" t="e">
        <f t="shared" si="1"/>
        <v>#REF!</v>
      </c>
      <c r="E60" s="115" t="e">
        <f t="shared" si="1"/>
        <v>#REF!</v>
      </c>
      <c r="F60" s="115" t="e">
        <f t="shared" si="1"/>
        <v>#REF!</v>
      </c>
      <c r="G60" s="115" t="e">
        <f t="shared" si="1"/>
        <v>#REF!</v>
      </c>
      <c r="H60" s="133"/>
      <c r="I60" s="184"/>
      <c r="J60" s="72"/>
    </row>
    <row r="61" spans="2:10" ht="14.4" thickBot="1">
      <c r="B61" s="113"/>
      <c r="C61" s="112"/>
      <c r="D61" s="167"/>
      <c r="E61" s="70"/>
      <c r="F61" s="70"/>
      <c r="G61" s="70"/>
      <c r="H61" s="70"/>
      <c r="I61" s="190"/>
      <c r="J61" s="88"/>
    </row>
    <row r="64" spans="2:10" ht="16.2" thickBot="1">
      <c r="B64" s="87" t="s">
        <v>117</v>
      </c>
    </row>
    <row r="65" spans="2:12">
      <c r="B65" s="86"/>
      <c r="C65" s="108"/>
      <c r="D65" s="166"/>
      <c r="E65" s="83"/>
      <c r="F65" s="83"/>
      <c r="G65" s="83"/>
      <c r="H65" s="83"/>
      <c r="I65" s="83" t="s">
        <v>97</v>
      </c>
      <c r="J65" s="81" t="s">
        <v>98</v>
      </c>
    </row>
    <row r="66" spans="2:12">
      <c r="B66" s="107"/>
      <c r="C66" s="106" t="s">
        <v>99</v>
      </c>
      <c r="D66" s="105">
        <v>2015</v>
      </c>
      <c r="E66" s="104">
        <v>2020</v>
      </c>
      <c r="F66" s="104">
        <v>2035</v>
      </c>
      <c r="G66" s="104"/>
      <c r="H66" s="104"/>
      <c r="I66" s="150"/>
      <c r="J66" s="102"/>
    </row>
    <row r="67" spans="2:12">
      <c r="B67" s="76" t="s">
        <v>335</v>
      </c>
      <c r="C67" s="93" t="s">
        <v>152</v>
      </c>
      <c r="D67" s="177">
        <f>D23*D80</f>
        <v>1699.1026131091178</v>
      </c>
      <c r="E67" s="355">
        <f>E23*E80</f>
        <v>1699.1026131091178</v>
      </c>
      <c r="F67" s="355">
        <f>F23*F80</f>
        <v>1699.1026131091178</v>
      </c>
      <c r="G67" s="355">
        <f>G23*G80</f>
        <v>1699.1026131091178</v>
      </c>
      <c r="H67" s="355"/>
      <c r="I67" s="75"/>
      <c r="J67" s="72"/>
    </row>
    <row r="68" spans="2:12">
      <c r="B68" s="76" t="s">
        <v>356</v>
      </c>
      <c r="C68" s="93" t="s">
        <v>333</v>
      </c>
      <c r="D68" s="132"/>
      <c r="E68" s="96"/>
      <c r="F68" s="96"/>
      <c r="G68" s="96"/>
      <c r="H68" s="96"/>
      <c r="I68" s="346"/>
      <c r="J68" s="72"/>
    </row>
    <row r="69" spans="2:12">
      <c r="B69" s="76" t="s">
        <v>356</v>
      </c>
      <c r="C69" s="93" t="s">
        <v>331</v>
      </c>
      <c r="D69" s="177">
        <f>D68/(D70*24)</f>
        <v>0</v>
      </c>
      <c r="E69" s="176">
        <f>E68/(E70*24)</f>
        <v>0</v>
      </c>
      <c r="F69" s="176">
        <f>F68/(F70*24)</f>
        <v>0</v>
      </c>
      <c r="G69" s="176">
        <f>G68/(G70*24)</f>
        <v>0</v>
      </c>
      <c r="H69" s="176"/>
      <c r="I69" s="75"/>
      <c r="J69" s="72"/>
    </row>
    <row r="70" spans="2:12">
      <c r="B70" s="76" t="s">
        <v>323</v>
      </c>
      <c r="C70" s="93" t="s">
        <v>322</v>
      </c>
      <c r="D70" s="132">
        <v>38</v>
      </c>
      <c r="E70" s="96">
        <v>38</v>
      </c>
      <c r="F70" s="96">
        <v>38</v>
      </c>
      <c r="G70" s="96">
        <v>38</v>
      </c>
      <c r="H70" s="96"/>
      <c r="I70" s="75" t="s">
        <v>616</v>
      </c>
      <c r="J70" s="72"/>
    </row>
    <row r="71" spans="2:12">
      <c r="B71" s="76" t="s">
        <v>321</v>
      </c>
      <c r="C71" s="93" t="s">
        <v>320</v>
      </c>
      <c r="D71" s="94">
        <v>1.8520000000000001</v>
      </c>
      <c r="E71" s="90">
        <v>1.8520000000000001</v>
      </c>
      <c r="F71" s="90">
        <v>1.8520000000000001</v>
      </c>
      <c r="G71" s="90">
        <v>1.8520000000000001</v>
      </c>
      <c r="H71" s="90"/>
      <c r="I71" s="75"/>
      <c r="J71" s="72"/>
    </row>
    <row r="72" spans="2:12">
      <c r="B72" s="76" t="s">
        <v>355</v>
      </c>
      <c r="C72" s="93" t="s">
        <v>354</v>
      </c>
      <c r="D72" s="92"/>
      <c r="E72" s="368">
        <f>-(E90/$D$90-1)</f>
        <v>0</v>
      </c>
      <c r="F72" s="368">
        <f>-(F90/$D$90-1)</f>
        <v>0</v>
      </c>
      <c r="G72" s="368">
        <f>-(G90/$D$90-1)</f>
        <v>0</v>
      </c>
      <c r="H72" s="368"/>
      <c r="I72" s="346"/>
      <c r="J72" s="72"/>
    </row>
    <row r="73" spans="2:12">
      <c r="B73" s="76" t="s">
        <v>353</v>
      </c>
      <c r="C73" s="75" t="s">
        <v>243</v>
      </c>
      <c r="D73" s="367">
        <v>0.21</v>
      </c>
      <c r="E73" s="367">
        <v>0.21</v>
      </c>
      <c r="F73" s="367">
        <v>0.21</v>
      </c>
      <c r="G73" s="367">
        <v>0.21</v>
      </c>
      <c r="H73" s="367"/>
      <c r="I73" s="75" t="s">
        <v>616</v>
      </c>
      <c r="J73" s="72"/>
      <c r="L73" s="65"/>
    </row>
    <row r="74" spans="2:12">
      <c r="B74" s="76" t="s">
        <v>349</v>
      </c>
      <c r="C74" s="75" t="s">
        <v>194</v>
      </c>
      <c r="D74" s="366">
        <v>42.7</v>
      </c>
      <c r="E74" s="366">
        <v>42.7</v>
      </c>
      <c r="F74" s="366">
        <v>42.7</v>
      </c>
      <c r="G74" s="366">
        <v>42.7</v>
      </c>
      <c r="H74" s="366"/>
      <c r="I74" s="346" t="s">
        <v>615</v>
      </c>
      <c r="J74" s="72" t="s">
        <v>352</v>
      </c>
    </row>
    <row r="75" spans="2:12">
      <c r="B75" s="76" t="s">
        <v>351</v>
      </c>
      <c r="C75" s="75" t="s">
        <v>350</v>
      </c>
      <c r="D75" s="177">
        <f>D73/3600000</f>
        <v>5.8333333333333333E-8</v>
      </c>
      <c r="E75" s="176">
        <f>E73/3600000</f>
        <v>5.8333333333333333E-8</v>
      </c>
      <c r="F75" s="176">
        <f>F73/3600000</f>
        <v>5.8333333333333333E-8</v>
      </c>
      <c r="G75" s="176">
        <f>G73/3600000</f>
        <v>5.8333333333333333E-8</v>
      </c>
      <c r="H75" s="176"/>
      <c r="I75" s="75"/>
      <c r="J75" s="72"/>
    </row>
    <row r="76" spans="2:12">
      <c r="B76" s="76" t="s">
        <v>349</v>
      </c>
      <c r="C76" s="75" t="s">
        <v>348</v>
      </c>
      <c r="D76" s="365">
        <f>D74*1000000</f>
        <v>42700000</v>
      </c>
      <c r="E76" s="354">
        <f>E74*1000000</f>
        <v>42700000</v>
      </c>
      <c r="F76" s="354">
        <f>F74*1000000</f>
        <v>42700000</v>
      </c>
      <c r="G76" s="354">
        <f>G74*1000000</f>
        <v>42700000</v>
      </c>
      <c r="H76" s="354"/>
      <c r="I76" s="75"/>
      <c r="J76" s="72"/>
    </row>
    <row r="77" spans="2:12" ht="14.4" thickBot="1">
      <c r="B77" s="71" t="s">
        <v>347</v>
      </c>
      <c r="C77" s="70" t="s">
        <v>346</v>
      </c>
      <c r="D77" s="351">
        <f>1/(D76*D75)</f>
        <v>0.40147206423553028</v>
      </c>
      <c r="E77" s="350">
        <f>1/(E76*E75)</f>
        <v>0.40147206423553028</v>
      </c>
      <c r="F77" s="350">
        <f>1/(F76*F75)</f>
        <v>0.40147206423553028</v>
      </c>
      <c r="G77" s="350">
        <f>1/(G76*G75)</f>
        <v>0.40147206423553028</v>
      </c>
      <c r="H77" s="350"/>
      <c r="I77" s="70"/>
      <c r="J77" s="88"/>
      <c r="L77" s="185"/>
    </row>
    <row r="79" spans="2:12" ht="16.2" thickBot="1">
      <c r="B79" s="87" t="s">
        <v>126</v>
      </c>
      <c r="E79" s="63">
        <f>E80*(1-E$72)</f>
        <v>4232.181425485961</v>
      </c>
      <c r="F79" s="63">
        <f>F80*(1-F$72)</f>
        <v>4232.181425485961</v>
      </c>
      <c r="G79" s="63">
        <f>G80*(1-G$72)</f>
        <v>4232.181425485961</v>
      </c>
    </row>
    <row r="80" spans="2:12">
      <c r="B80" s="86" t="s">
        <v>317</v>
      </c>
      <c r="C80" s="83" t="s">
        <v>152</v>
      </c>
      <c r="D80" s="349">
        <f>D90/D$71*1000</f>
        <v>4232.181425485961</v>
      </c>
      <c r="E80" s="349">
        <f>E90/E$71*1000</f>
        <v>4232.181425485961</v>
      </c>
      <c r="F80" s="349">
        <f>F90/F$71*1000</f>
        <v>4232.181425485961</v>
      </c>
      <c r="G80" s="349">
        <f>G90/G$71*1000</f>
        <v>4232.181425485961</v>
      </c>
      <c r="H80" s="349"/>
      <c r="I80" s="348"/>
      <c r="J80" s="81"/>
    </row>
    <row r="81" spans="2:10">
      <c r="B81" s="76"/>
      <c r="C81" s="75"/>
      <c r="D81" s="75"/>
      <c r="E81" s="75"/>
      <c r="F81" s="75"/>
      <c r="G81" s="75"/>
      <c r="H81" s="75"/>
      <c r="I81" s="75"/>
      <c r="J81" s="72"/>
    </row>
    <row r="82" spans="2:10">
      <c r="B82" s="76" t="s">
        <v>20</v>
      </c>
      <c r="C82" s="75" t="s">
        <v>27</v>
      </c>
      <c r="D82" s="78">
        <f t="shared" ref="D82:G87" si="2">D92/D$71*1000</f>
        <v>0</v>
      </c>
      <c r="E82" s="78">
        <f t="shared" si="2"/>
        <v>0</v>
      </c>
      <c r="F82" s="78">
        <f t="shared" si="2"/>
        <v>0</v>
      </c>
      <c r="G82" s="78">
        <f t="shared" si="2"/>
        <v>0</v>
      </c>
      <c r="H82" s="78"/>
      <c r="I82" s="75"/>
      <c r="J82" s="72"/>
    </row>
    <row r="83" spans="2:10">
      <c r="B83" s="76" t="s">
        <v>21</v>
      </c>
      <c r="C83" s="75" t="s">
        <v>27</v>
      </c>
      <c r="D83" s="78">
        <f t="shared" si="2"/>
        <v>0</v>
      </c>
      <c r="E83" s="78">
        <f t="shared" si="2"/>
        <v>0</v>
      </c>
      <c r="F83" s="78">
        <f t="shared" si="2"/>
        <v>0</v>
      </c>
      <c r="G83" s="78">
        <f t="shared" si="2"/>
        <v>0</v>
      </c>
      <c r="H83" s="78"/>
      <c r="I83" s="346"/>
      <c r="J83" s="72"/>
    </row>
    <row r="84" spans="2:10">
      <c r="B84" s="76" t="s">
        <v>22</v>
      </c>
      <c r="C84" s="75" t="s">
        <v>27</v>
      </c>
      <c r="D84" s="78">
        <f t="shared" si="2"/>
        <v>0</v>
      </c>
      <c r="E84" s="78">
        <f t="shared" si="2"/>
        <v>0</v>
      </c>
      <c r="F84" s="78">
        <f t="shared" si="2"/>
        <v>0</v>
      </c>
      <c r="G84" s="78">
        <f t="shared" si="2"/>
        <v>0</v>
      </c>
      <c r="H84" s="78"/>
      <c r="I84" s="346"/>
      <c r="J84" s="72"/>
    </row>
    <row r="85" spans="2:10">
      <c r="B85" s="76" t="s">
        <v>23</v>
      </c>
      <c r="C85" s="75" t="s">
        <v>27</v>
      </c>
      <c r="D85" s="78" t="e">
        <f t="shared" si="2"/>
        <v>#REF!</v>
      </c>
      <c r="E85" s="78" t="e">
        <f t="shared" si="2"/>
        <v>#REF!</v>
      </c>
      <c r="F85" s="78" t="e">
        <f t="shared" si="2"/>
        <v>#REF!</v>
      </c>
      <c r="G85" s="78" t="e">
        <f t="shared" si="2"/>
        <v>#REF!</v>
      </c>
      <c r="H85" s="78"/>
      <c r="I85" s="346"/>
      <c r="J85" s="72"/>
    </row>
    <row r="86" spans="2:10">
      <c r="B86" s="76" t="s">
        <v>116</v>
      </c>
      <c r="C86" s="75" t="s">
        <v>27</v>
      </c>
      <c r="D86" s="78" t="e">
        <f t="shared" si="2"/>
        <v>#REF!</v>
      </c>
      <c r="E86" s="78" t="e">
        <f t="shared" si="2"/>
        <v>#REF!</v>
      </c>
      <c r="F86" s="78" t="e">
        <f t="shared" si="2"/>
        <v>#REF!</v>
      </c>
      <c r="G86" s="78" t="e">
        <f t="shared" si="2"/>
        <v>#REF!</v>
      </c>
      <c r="H86" s="78"/>
      <c r="I86" s="346"/>
      <c r="J86" s="72"/>
    </row>
    <row r="87" spans="2:10">
      <c r="B87" s="76" t="s">
        <v>24</v>
      </c>
      <c r="C87" s="75" t="s">
        <v>27</v>
      </c>
      <c r="D87" s="78" t="e">
        <f t="shared" si="2"/>
        <v>#REF!</v>
      </c>
      <c r="E87" s="78" t="e">
        <f t="shared" si="2"/>
        <v>#REF!</v>
      </c>
      <c r="F87" s="78" t="e">
        <f t="shared" si="2"/>
        <v>#REF!</v>
      </c>
      <c r="G87" s="78" t="e">
        <f t="shared" si="2"/>
        <v>#REF!</v>
      </c>
      <c r="H87" s="78"/>
      <c r="I87" s="346"/>
      <c r="J87" s="72"/>
    </row>
    <row r="88" spans="2:10" ht="14.4" thickBot="1">
      <c r="B88" s="71"/>
      <c r="C88" s="70"/>
      <c r="D88" s="70"/>
      <c r="E88" s="70"/>
      <c r="F88" s="70"/>
      <c r="G88" s="70"/>
      <c r="H88" s="70"/>
      <c r="I88" s="70"/>
      <c r="J88" s="88"/>
    </row>
    <row r="89" spans="2:10" ht="14.4" thickBot="1">
      <c r="E89" s="185"/>
      <c r="F89" s="185"/>
      <c r="G89" s="185"/>
      <c r="H89" s="185"/>
    </row>
    <row r="90" spans="2:10">
      <c r="B90" s="86" t="s">
        <v>317</v>
      </c>
      <c r="C90" s="83" t="s">
        <v>316</v>
      </c>
      <c r="D90" s="165">
        <v>7.8380000000000001</v>
      </c>
      <c r="E90" s="165">
        <v>7.8380000000000001</v>
      </c>
      <c r="F90" s="165">
        <v>7.8380000000000001</v>
      </c>
      <c r="G90" s="165">
        <v>7.8380000000000001</v>
      </c>
      <c r="H90" s="165"/>
      <c r="I90" s="75" t="s">
        <v>616</v>
      </c>
      <c r="J90" s="81"/>
    </row>
    <row r="91" spans="2:10">
      <c r="B91" s="76"/>
      <c r="C91" s="75"/>
      <c r="D91" s="75"/>
      <c r="E91" s="75"/>
      <c r="F91" s="75"/>
      <c r="G91" s="75"/>
      <c r="H91" s="75"/>
      <c r="I91" s="75"/>
      <c r="J91" s="72"/>
    </row>
    <row r="92" spans="2:10">
      <c r="B92" s="76" t="s">
        <v>20</v>
      </c>
      <c r="C92" s="75" t="s">
        <v>313</v>
      </c>
      <c r="D92" s="78"/>
      <c r="E92" s="78"/>
      <c r="F92" s="78"/>
      <c r="G92" s="78"/>
      <c r="H92" s="78"/>
      <c r="I92" s="75"/>
      <c r="J92" s="72"/>
    </row>
    <row r="93" spans="2:10">
      <c r="B93" s="76" t="s">
        <v>21</v>
      </c>
      <c r="C93" s="75" t="s">
        <v>313</v>
      </c>
      <c r="D93" s="347"/>
      <c r="E93" s="347"/>
      <c r="F93" s="347"/>
      <c r="G93" s="347"/>
      <c r="H93" s="347"/>
      <c r="I93" s="346"/>
      <c r="J93" s="72" t="s">
        <v>341</v>
      </c>
    </row>
    <row r="94" spans="2:10">
      <c r="B94" s="76" t="s">
        <v>22</v>
      </c>
      <c r="C94" s="75" t="s">
        <v>313</v>
      </c>
      <c r="D94" s="347"/>
      <c r="E94" s="347"/>
      <c r="F94" s="347"/>
      <c r="G94" s="347"/>
      <c r="H94" s="347"/>
      <c r="I94" s="346"/>
      <c r="J94" s="72"/>
    </row>
    <row r="95" spans="2:10">
      <c r="B95" s="76" t="s">
        <v>23</v>
      </c>
      <c r="C95" s="75" t="s">
        <v>313</v>
      </c>
      <c r="D95" s="364" t="e">
        <f>#REF!/#REF!*D$90</f>
        <v>#REF!</v>
      </c>
      <c r="E95" s="364" t="e">
        <f>#REF!/#REF!*E$90</f>
        <v>#REF!</v>
      </c>
      <c r="F95" s="364" t="e">
        <f>#REF!/#REF!*F$90</f>
        <v>#REF!</v>
      </c>
      <c r="G95" s="364" t="e">
        <f>#REF!/#REF!*G$90</f>
        <v>#REF!</v>
      </c>
      <c r="H95" s="347"/>
      <c r="I95" s="346"/>
      <c r="J95" s="72" t="s">
        <v>345</v>
      </c>
    </row>
    <row r="96" spans="2:10">
      <c r="B96" s="76" t="s">
        <v>116</v>
      </c>
      <c r="C96" s="75" t="s">
        <v>313</v>
      </c>
      <c r="D96" s="364" t="e">
        <f>#REF!/#REF!*D$90</f>
        <v>#REF!</v>
      </c>
      <c r="E96" s="364" t="e">
        <f>#REF!/#REF!*E$90</f>
        <v>#REF!</v>
      </c>
      <c r="F96" s="364" t="e">
        <f>#REF!/#REF!*F$90</f>
        <v>#REF!</v>
      </c>
      <c r="G96" s="364" t="e">
        <f>#REF!/#REF!*G$90</f>
        <v>#REF!</v>
      </c>
      <c r="H96" s="347"/>
      <c r="I96" s="346"/>
      <c r="J96" s="72" t="s">
        <v>345</v>
      </c>
    </row>
    <row r="97" spans="2:10">
      <c r="B97" s="76" t="s">
        <v>24</v>
      </c>
      <c r="C97" s="75" t="s">
        <v>313</v>
      </c>
      <c r="D97" s="364" t="e">
        <f>#REF!/#REF!*D$90</f>
        <v>#REF!</v>
      </c>
      <c r="E97" s="364" t="e">
        <f>#REF!/#REF!*E$90</f>
        <v>#REF!</v>
      </c>
      <c r="F97" s="364" t="e">
        <f>#REF!/#REF!*F$90</f>
        <v>#REF!</v>
      </c>
      <c r="G97" s="364" t="e">
        <f>#REF!/#REF!*G$90</f>
        <v>#REF!</v>
      </c>
      <c r="H97" s="347"/>
      <c r="I97" s="346"/>
      <c r="J97" s="72" t="s">
        <v>345</v>
      </c>
    </row>
    <row r="98" spans="2:10" ht="14.4" thickBot="1">
      <c r="B98" s="71"/>
      <c r="C98" s="70"/>
      <c r="D98" s="70"/>
      <c r="E98" s="70"/>
      <c r="F98" s="70"/>
      <c r="G98" s="70"/>
      <c r="H98" s="70"/>
      <c r="I98" s="70"/>
      <c r="J98" s="88"/>
    </row>
    <row r="100" spans="2:10">
      <c r="H100" s="66"/>
    </row>
    <row r="101" spans="2:10">
      <c r="H101"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2800-000000000000}">
          <x14:formula1>
            <xm:f>'C:\Users\B003920\Desktop\[Kopi af alternativ_drivmiddelmodel_3.0_2.xlsm]Sheet1'!#REF!</xm:f>
          </x14:formula1>
          <xm:sqref>C9</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576A1-A1BF-4115-BD86-5C8075C7098A}">
  <dimension ref="B2:BE47"/>
  <sheetViews>
    <sheetView zoomScale="80" zoomScaleNormal="80" workbookViewId="0">
      <selection activeCell="D19" sqref="D19"/>
    </sheetView>
  </sheetViews>
  <sheetFormatPr defaultRowHeight="13.2"/>
  <cols>
    <col min="1" max="2" width="8.88671875" style="476"/>
    <col min="3" max="3" width="15.44140625" style="476" bestFit="1" customWidth="1"/>
    <col min="4" max="4" width="52.33203125" style="476" bestFit="1" customWidth="1"/>
    <col min="5" max="5" width="22.6640625" style="476" customWidth="1"/>
    <col min="6" max="6" width="13" style="476" customWidth="1"/>
    <col min="7" max="10" width="8.88671875" style="476"/>
    <col min="11" max="11" width="11.77734375" style="476" customWidth="1"/>
    <col min="12" max="12" width="8.109375" style="476" customWidth="1"/>
    <col min="13" max="13" width="5.109375" style="476" bestFit="1" customWidth="1"/>
    <col min="14" max="14" width="9.6640625" style="476" customWidth="1"/>
    <col min="15" max="15" width="8.77734375" style="476" customWidth="1"/>
    <col min="16" max="16" width="8.21875" style="476" customWidth="1"/>
    <col min="17" max="18" width="10.44140625" style="476" customWidth="1"/>
    <col min="19" max="19" width="11.44140625" style="476" bestFit="1" customWidth="1"/>
    <col min="20" max="20" width="12" style="476" bestFit="1" customWidth="1"/>
    <col min="21" max="21" width="8.88671875" style="476"/>
    <col min="22" max="22" width="14.44140625" style="476" bestFit="1" customWidth="1"/>
    <col min="23" max="16384" width="8.88671875" style="476"/>
  </cols>
  <sheetData>
    <row r="2" spans="3:24">
      <c r="H2" s="561" t="s">
        <v>0</v>
      </c>
      <c r="K2" s="1545"/>
    </row>
    <row r="3" spans="3:24" ht="27.6">
      <c r="C3" s="1546" t="s">
        <v>1</v>
      </c>
      <c r="D3" s="1547" t="s">
        <v>8</v>
      </c>
      <c r="E3" s="1546" t="s">
        <v>2</v>
      </c>
      <c r="F3" s="1546" t="s">
        <v>3</v>
      </c>
      <c r="G3" s="1546" t="s">
        <v>28</v>
      </c>
      <c r="H3" s="1546" t="s">
        <v>219</v>
      </c>
      <c r="I3" s="1546" t="s">
        <v>87</v>
      </c>
      <c r="J3" s="1546" t="s">
        <v>231</v>
      </c>
      <c r="K3" s="1546" t="s">
        <v>497</v>
      </c>
      <c r="L3" s="1546" t="s">
        <v>89</v>
      </c>
      <c r="M3" s="1546" t="s">
        <v>10</v>
      </c>
      <c r="N3" s="1548" t="s">
        <v>6</v>
      </c>
      <c r="O3" s="1546" t="s">
        <v>7</v>
      </c>
      <c r="P3" s="1549" t="s">
        <v>1524</v>
      </c>
      <c r="Q3" s="1549" t="s">
        <v>634</v>
      </c>
      <c r="R3" s="1549" t="s">
        <v>543</v>
      </c>
      <c r="T3" s="1549" t="s">
        <v>506</v>
      </c>
    </row>
    <row r="4" spans="3:24" ht="33" customHeight="1" thickBot="1">
      <c r="C4" s="616" t="s">
        <v>11</v>
      </c>
      <c r="D4" s="598" t="s">
        <v>72</v>
      </c>
      <c r="E4" s="616"/>
      <c r="F4" s="616"/>
      <c r="G4" s="616"/>
      <c r="H4" s="616" t="s">
        <v>218</v>
      </c>
      <c r="I4" s="616" t="s">
        <v>13</v>
      </c>
      <c r="J4" s="616"/>
      <c r="K4" s="616" t="s">
        <v>498</v>
      </c>
      <c r="L4" s="616" t="s">
        <v>602</v>
      </c>
      <c r="M4" s="616" t="s">
        <v>14</v>
      </c>
      <c r="N4" s="616" t="s">
        <v>83</v>
      </c>
      <c r="O4" s="616" t="s">
        <v>12</v>
      </c>
      <c r="P4" s="616" t="s">
        <v>12</v>
      </c>
      <c r="Q4" s="1550" t="s">
        <v>1525</v>
      </c>
    </row>
    <row r="5" spans="3:24">
      <c r="C5" s="476" t="str">
        <f>LEFT(F5,5)&amp;RIGHT(E5,5)&amp;"N"</f>
        <v>TPANVKENA2N</v>
      </c>
      <c r="D5" s="596" t="s">
        <v>564</v>
      </c>
      <c r="E5" s="476" t="s">
        <v>1518</v>
      </c>
      <c r="F5" s="476" t="s">
        <v>1519</v>
      </c>
      <c r="G5" s="1551" t="str">
        <f>'[10]EU Diesel IC-reg.tog'!$D$21</f>
        <v>2015</v>
      </c>
      <c r="H5" s="476" t="s">
        <v>499</v>
      </c>
      <c r="I5" s="476">
        <v>2012</v>
      </c>
      <c r="J5" s="476">
        <v>2019</v>
      </c>
      <c r="K5" s="476">
        <f>'EU SAS avg. airplane adjusted'!$D$72</f>
        <v>168</v>
      </c>
      <c r="L5" s="637">
        <f>'EU SAS avg. airplane adjusted'!$D$30</f>
        <v>3.1328320802005014</v>
      </c>
      <c r="M5" s="1552">
        <v>30</v>
      </c>
      <c r="N5" s="634">
        <f>'EU SAS avg. airplane adjusted'!D93*TRA_Airplane!W6</f>
        <v>4.0971295478940781E-2</v>
      </c>
      <c r="O5" s="1553">
        <f>80*6.6/$W$6</f>
        <v>528000</v>
      </c>
      <c r="Q5" s="580">
        <f>$AM$38</f>
        <v>1750000</v>
      </c>
      <c r="R5" s="1554">
        <f t="shared" ref="R5:R13" si="0">$AM$42</f>
        <v>1E-3</v>
      </c>
      <c r="T5" s="476">
        <v>24</v>
      </c>
      <c r="V5" s="1762" t="s">
        <v>84</v>
      </c>
      <c r="W5" s="1763"/>
      <c r="X5" s="1764"/>
    </row>
    <row r="6" spans="3:24">
      <c r="C6" s="476" t="str">
        <f>LEFT(F6,5)&amp;RIGHT(E6,5)&amp;"N"</f>
        <v>TPANVKENA3N</v>
      </c>
      <c r="D6" s="596" t="s">
        <v>1520</v>
      </c>
      <c r="E6" s="476" t="s">
        <v>1521</v>
      </c>
      <c r="F6" s="476" t="s">
        <v>1519</v>
      </c>
      <c r="G6" s="580">
        <f>'[10]EU Diesel IC-reg.tog'!$E$21</f>
        <v>2020</v>
      </c>
      <c r="H6" s="476" t="s">
        <v>499</v>
      </c>
      <c r="I6" s="476">
        <v>2020</v>
      </c>
      <c r="J6" s="476">
        <v>2034</v>
      </c>
      <c r="K6" s="476">
        <f>'EU SAS avg. airplane adjusted'!$E$72</f>
        <v>168</v>
      </c>
      <c r="L6" s="637">
        <f>'EU SAS avg. airplane adjusted'!$E$30</f>
        <v>3.2526671870934165</v>
      </c>
      <c r="M6" s="1552">
        <v>30</v>
      </c>
      <c r="N6" s="634">
        <f>'EU SAS avg. airplane adjusted'!E93*TRA_Airplane!W6</f>
        <v>4.1834458405846153E-2</v>
      </c>
      <c r="O6" s="1553">
        <f>80*6.6/$W$6</f>
        <v>528000</v>
      </c>
      <c r="Q6" s="580">
        <f>$AM$38</f>
        <v>1750000</v>
      </c>
      <c r="R6" s="1554">
        <f t="shared" si="0"/>
        <v>1E-3</v>
      </c>
      <c r="V6" s="1555" t="s">
        <v>85</v>
      </c>
      <c r="W6" s="1556">
        <f>10^-3</f>
        <v>1E-3</v>
      </c>
      <c r="X6" s="1557" t="s">
        <v>12</v>
      </c>
    </row>
    <row r="7" spans="3:24">
      <c r="C7" s="476" t="str">
        <f>LEFT(F7,5)&amp;RIGHT(E7,5)&amp;"N"</f>
        <v>TPANVKENA4N</v>
      </c>
      <c r="D7" s="596" t="s">
        <v>1522</v>
      </c>
      <c r="E7" s="476" t="s">
        <v>1523</v>
      </c>
      <c r="F7" s="476" t="s">
        <v>1519</v>
      </c>
      <c r="G7" s="580">
        <f>'[10]EU Diesel IC-reg.tog'!$F$21</f>
        <v>2035</v>
      </c>
      <c r="H7" s="476" t="s">
        <v>499</v>
      </c>
      <c r="I7" s="476">
        <v>2035</v>
      </c>
      <c r="K7" s="476">
        <f>'EU SAS avg. airplane adjusted'!$F$72</f>
        <v>168</v>
      </c>
      <c r="L7" s="637">
        <f>'EU SAS avg. airplane adjusted'!$F$30</f>
        <v>3.5857716580608145</v>
      </c>
      <c r="M7" s="1552">
        <v>30</v>
      </c>
      <c r="N7" s="634">
        <f>'EU SAS avg. airplane adjusted'!F93*TRA_Airplane!W6</f>
        <v>4.4069859681072784E-2</v>
      </c>
      <c r="O7" s="1553">
        <f>80*6.6/$W$6</f>
        <v>528000</v>
      </c>
      <c r="Q7" s="580">
        <f>$AM$38</f>
        <v>1750000</v>
      </c>
      <c r="R7" s="1554">
        <f t="shared" si="0"/>
        <v>1E-3</v>
      </c>
    </row>
    <row r="8" spans="3:24">
      <c r="C8" s="476" t="str">
        <f>LEFT(F8,5)&amp;RIGHT(E8,5)&amp;"N"</f>
        <v>TPAISKEIN2N</v>
      </c>
      <c r="D8" s="596" t="s">
        <v>1502</v>
      </c>
      <c r="E8" s="476" t="s">
        <v>1503</v>
      </c>
      <c r="F8" s="476" t="s">
        <v>1504</v>
      </c>
      <c r="G8" s="1551" t="str">
        <f>'[10]EU Diesel IC-reg.tog'!$D$21</f>
        <v>2015</v>
      </c>
      <c r="H8" s="476" t="s">
        <v>499</v>
      </c>
      <c r="I8" s="476">
        <v>2012</v>
      </c>
      <c r="J8" s="476">
        <v>2019</v>
      </c>
      <c r="K8" s="476">
        <f>'EU SAS avg. airplane adjusted'!$D$72</f>
        <v>168</v>
      </c>
      <c r="L8" s="637">
        <f>'EU SAS avg. airplane adjusted'!$D$28</f>
        <v>6.4614661654135341</v>
      </c>
      <c r="M8" s="1552">
        <v>30</v>
      </c>
      <c r="N8" s="634">
        <f t="shared" ref="N8:N13" si="1">N5</f>
        <v>4.0971295478940781E-2</v>
      </c>
      <c r="O8" s="1553">
        <f t="shared" ref="O8:O13" si="2">90*6.6/$W$6</f>
        <v>594000</v>
      </c>
      <c r="Q8" s="580">
        <f t="shared" ref="Q8:Q13" si="3">$AM$40</f>
        <v>2800000</v>
      </c>
      <c r="R8" s="1554">
        <f t="shared" si="0"/>
        <v>1E-3</v>
      </c>
      <c r="T8" s="476">
        <v>2.2641</v>
      </c>
    </row>
    <row r="9" spans="3:24">
      <c r="C9" s="476" t="str">
        <f t="shared" ref="C9:C13" si="4">LEFT(F9,5)&amp;RIGHT(E9,5)&amp;"N"</f>
        <v>TPAISKEIN3N</v>
      </c>
      <c r="D9" s="596" t="s">
        <v>1505</v>
      </c>
      <c r="E9" s="476" t="s">
        <v>1506</v>
      </c>
      <c r="F9" s="476" t="s">
        <v>1504</v>
      </c>
      <c r="G9" s="580">
        <f>'[10]EU Diesel IC-reg.tog'!$E$21</f>
        <v>2020</v>
      </c>
      <c r="H9" s="476" t="s">
        <v>499</v>
      </c>
      <c r="I9" s="476">
        <v>2020</v>
      </c>
      <c r="J9" s="476">
        <v>2034</v>
      </c>
      <c r="K9" s="476">
        <f>'EU SAS avg. airplane adjusted'!$E$72</f>
        <v>168</v>
      </c>
      <c r="L9" s="637">
        <f>'EU SAS avg. airplane adjusted'!$E$28</f>
        <v>6.7086260733801719</v>
      </c>
      <c r="M9" s="1552">
        <v>30</v>
      </c>
      <c r="N9" s="634">
        <f t="shared" si="1"/>
        <v>4.1834458405846153E-2</v>
      </c>
      <c r="O9" s="1553">
        <f t="shared" si="2"/>
        <v>594000</v>
      </c>
      <c r="Q9" s="580">
        <f t="shared" si="3"/>
        <v>2800000</v>
      </c>
      <c r="R9" s="1554">
        <f t="shared" si="0"/>
        <v>1E-3</v>
      </c>
      <c r="V9" s="1558"/>
      <c r="W9" s="1559" t="s">
        <v>552</v>
      </c>
      <c r="X9" s="476" t="s">
        <v>1526</v>
      </c>
    </row>
    <row r="10" spans="3:24">
      <c r="C10" s="476" t="str">
        <f t="shared" si="4"/>
        <v>TPAISKEIN4N</v>
      </c>
      <c r="D10" s="596" t="s">
        <v>1507</v>
      </c>
      <c r="E10" s="476" t="s">
        <v>1508</v>
      </c>
      <c r="F10" s="476" t="s">
        <v>1504</v>
      </c>
      <c r="G10" s="580">
        <f>'[10]EU Diesel IC-reg.tog'!$F$21</f>
        <v>2035</v>
      </c>
      <c r="H10" s="476" t="s">
        <v>499</v>
      </c>
      <c r="I10" s="476">
        <v>2035</v>
      </c>
      <c r="K10" s="476">
        <f>'EU SAS avg. airplane adjusted'!$F$72</f>
        <v>168</v>
      </c>
      <c r="L10" s="637">
        <f>'EU SAS avg. airplane adjusted'!$F$28</f>
        <v>7.3956540447504313</v>
      </c>
      <c r="M10" s="1552">
        <v>30</v>
      </c>
      <c r="N10" s="634">
        <f t="shared" si="1"/>
        <v>4.4069859681072784E-2</v>
      </c>
      <c r="O10" s="1553">
        <f t="shared" si="2"/>
        <v>594000</v>
      </c>
      <c r="Q10" s="580">
        <f t="shared" si="3"/>
        <v>2800000</v>
      </c>
      <c r="R10" s="1554">
        <f t="shared" si="0"/>
        <v>1E-3</v>
      </c>
      <c r="V10" s="1560" t="s">
        <v>549</v>
      </c>
      <c r="W10" s="1561">
        <v>10.536825612205099</v>
      </c>
      <c r="X10" s="476">
        <v>24</v>
      </c>
    </row>
    <row r="11" spans="3:24">
      <c r="C11" s="476" t="str">
        <f t="shared" si="4"/>
        <v>TPAILKEIN2N</v>
      </c>
      <c r="D11" s="596" t="s">
        <v>1509</v>
      </c>
      <c r="E11" s="476" t="s">
        <v>1503</v>
      </c>
      <c r="F11" s="476" t="s">
        <v>1510</v>
      </c>
      <c r="G11" s="1551" t="str">
        <f>'[10]EU Diesel IC-reg.tog'!$D$21</f>
        <v>2015</v>
      </c>
      <c r="H11" s="476" t="s">
        <v>499</v>
      </c>
      <c r="I11" s="476">
        <v>2012</v>
      </c>
      <c r="J11" s="476">
        <v>2019</v>
      </c>
      <c r="K11" s="476">
        <f>'EU SAS avg. airplane adjusted'!$D$72</f>
        <v>168</v>
      </c>
      <c r="L11" s="637">
        <f>'EU SAS avg. airplane adjusted'!$D$28</f>
        <v>6.4614661654135341</v>
      </c>
      <c r="M11" s="1552">
        <v>30</v>
      </c>
      <c r="N11" s="634">
        <f t="shared" si="1"/>
        <v>4.0971295478940781E-2</v>
      </c>
      <c r="O11" s="1553">
        <f t="shared" si="2"/>
        <v>594000</v>
      </c>
      <c r="Q11" s="580">
        <f t="shared" si="3"/>
        <v>2800000</v>
      </c>
      <c r="R11" s="1554">
        <f t="shared" si="0"/>
        <v>1E-3</v>
      </c>
      <c r="T11" s="476">
        <v>85.522999999999996</v>
      </c>
      <c r="V11" s="1560" t="s">
        <v>550</v>
      </c>
      <c r="W11" s="1561">
        <v>12.291119937558401</v>
      </c>
      <c r="X11" s="476">
        <v>2.2641</v>
      </c>
    </row>
    <row r="12" spans="3:24">
      <c r="C12" s="476" t="str">
        <f t="shared" si="4"/>
        <v>TPAILKEIN3N</v>
      </c>
      <c r="D12" s="596" t="s">
        <v>1511</v>
      </c>
      <c r="E12" s="476" t="s">
        <v>1506</v>
      </c>
      <c r="F12" s="476" t="s">
        <v>1510</v>
      </c>
      <c r="G12" s="580">
        <f>'[10]EU Diesel IC-reg.tog'!$E$21</f>
        <v>2020</v>
      </c>
      <c r="H12" s="476" t="s">
        <v>499</v>
      </c>
      <c r="I12" s="476">
        <v>2020</v>
      </c>
      <c r="J12" s="476">
        <v>2034</v>
      </c>
      <c r="K12" s="476">
        <f>'EU SAS avg. airplane adjusted'!$E$72</f>
        <v>168</v>
      </c>
      <c r="L12" s="637">
        <f>'EU SAS avg. airplane adjusted'!$E$28</f>
        <v>6.7086260733801719</v>
      </c>
      <c r="M12" s="1552">
        <v>30</v>
      </c>
      <c r="N12" s="634">
        <f t="shared" si="1"/>
        <v>4.1834458405846153E-2</v>
      </c>
      <c r="O12" s="1553">
        <f t="shared" si="2"/>
        <v>594000</v>
      </c>
      <c r="Q12" s="580">
        <f t="shared" si="3"/>
        <v>2800000</v>
      </c>
      <c r="R12" s="1554">
        <f t="shared" si="0"/>
        <v>1E-3</v>
      </c>
      <c r="V12" s="1560" t="s">
        <v>551</v>
      </c>
      <c r="W12" s="1561">
        <v>111.69218451209601</v>
      </c>
      <c r="X12" s="476">
        <v>85.522999999999996</v>
      </c>
    </row>
    <row r="13" spans="3:24">
      <c r="C13" s="476" t="str">
        <f t="shared" si="4"/>
        <v>TPAILKEIN4N</v>
      </c>
      <c r="D13" s="596" t="s">
        <v>1512</v>
      </c>
      <c r="E13" s="476" t="s">
        <v>1508</v>
      </c>
      <c r="F13" s="476" t="s">
        <v>1510</v>
      </c>
      <c r="G13" s="580">
        <f>'[10]EU Diesel IC-reg.tog'!$F$21</f>
        <v>2035</v>
      </c>
      <c r="H13" s="476" t="s">
        <v>499</v>
      </c>
      <c r="I13" s="476">
        <v>2035</v>
      </c>
      <c r="K13" s="476">
        <f>'EU SAS avg. airplane adjusted'!$F$72</f>
        <v>168</v>
      </c>
      <c r="L13" s="637">
        <f>'EU SAS avg. airplane adjusted'!$F$28</f>
        <v>7.3956540447504313</v>
      </c>
      <c r="M13" s="1552">
        <v>30</v>
      </c>
      <c r="N13" s="634">
        <f t="shared" si="1"/>
        <v>4.4069859681072784E-2</v>
      </c>
      <c r="O13" s="1553">
        <f t="shared" si="2"/>
        <v>594000</v>
      </c>
      <c r="Q13" s="580">
        <f t="shared" si="3"/>
        <v>2800000</v>
      </c>
      <c r="R13" s="1554">
        <f t="shared" si="0"/>
        <v>1E-3</v>
      </c>
      <c r="V13" s="1562" t="s">
        <v>553</v>
      </c>
      <c r="W13" s="1563">
        <v>37.610827008928801</v>
      </c>
      <c r="X13" s="476">
        <v>80</v>
      </c>
    </row>
    <row r="14" spans="3:24">
      <c r="C14" s="476" t="str">
        <f>LEFT(F14,4)&amp;RIGHT(E14,5)&amp;"N"</f>
        <v>TFAIKEIN2N</v>
      </c>
      <c r="D14" s="596" t="s">
        <v>565</v>
      </c>
      <c r="E14" s="476" t="str">
        <f>E11</f>
        <v>TRAKEIN2</v>
      </c>
      <c r="F14" s="476" t="s">
        <v>1513</v>
      </c>
      <c r="G14" s="1551" t="str">
        <f>'[10]EU Diesel IC-reg.tog'!$D$21</f>
        <v>2015</v>
      </c>
      <c r="H14" s="476" t="s">
        <v>499</v>
      </c>
      <c r="I14" s="476">
        <v>2012</v>
      </c>
      <c r="J14" s="476">
        <v>2019</v>
      </c>
      <c r="K14" s="476">
        <v>80</v>
      </c>
      <c r="L14" s="637">
        <f>'EU SAS avg. airplane adjusted'!$D$23/'EU SAS avg. airplane adjusted'!$D$23*W13</f>
        <v>37.610827008928801</v>
      </c>
      <c r="M14" s="1552">
        <v>30</v>
      </c>
      <c r="N14" s="634">
        <f>N8</f>
        <v>4.0971295478940781E-2</v>
      </c>
      <c r="O14" s="1553">
        <f>80*6.6/$W$6</f>
        <v>528000</v>
      </c>
      <c r="Q14" s="580">
        <f t="shared" ref="Q14:Q16" si="5">$AM$40</f>
        <v>2800000</v>
      </c>
      <c r="R14" s="1554">
        <f t="shared" ref="R14:R16" si="6">$AM$42</f>
        <v>1E-3</v>
      </c>
      <c r="T14" s="476">
        <v>80</v>
      </c>
    </row>
    <row r="15" spans="3:24">
      <c r="C15" s="476" t="str">
        <f t="shared" ref="C15" si="7">LEFT(F15,4)&amp;RIGHT(E15,5)&amp;"N"</f>
        <v>TFAIKEIN3N</v>
      </c>
      <c r="D15" s="596" t="s">
        <v>566</v>
      </c>
      <c r="E15" s="476" t="str">
        <f>E12</f>
        <v>TRAKEIN3</v>
      </c>
      <c r="F15" s="476" t="s">
        <v>1513</v>
      </c>
      <c r="G15" s="580">
        <f>'[10]EU Diesel IC-reg.tog'!$E$21</f>
        <v>2020</v>
      </c>
      <c r="H15" s="476" t="s">
        <v>499</v>
      </c>
      <c r="I15" s="476">
        <v>2020</v>
      </c>
      <c r="J15" s="476">
        <v>2034</v>
      </c>
      <c r="K15" s="476">
        <v>80</v>
      </c>
      <c r="L15" s="637">
        <f>'EU SAS avg. airplane adjusted'!$E$23/'EU SAS avg. airplane adjusted'!$D$23*W13</f>
        <v>38.792587966859621</v>
      </c>
      <c r="M15" s="1552">
        <v>30</v>
      </c>
      <c r="N15" s="634">
        <f>'EU SAS avg. airplane adjusted'!E93*TRA_Airplane!W6</f>
        <v>4.1834458405846153E-2</v>
      </c>
      <c r="O15" s="1553">
        <f t="shared" ref="O15:O16" si="8">80*6.6/$W$6</f>
        <v>528000</v>
      </c>
      <c r="Q15" s="580">
        <f t="shared" si="5"/>
        <v>2800000</v>
      </c>
      <c r="R15" s="1554">
        <f t="shared" si="6"/>
        <v>1E-3</v>
      </c>
    </row>
    <row r="16" spans="3:24">
      <c r="C16" s="476" t="str">
        <f>LEFT(F16,4)&amp;RIGHT(E16,5)&amp;"N"</f>
        <v>TFAIKEIN4N</v>
      </c>
      <c r="D16" s="596" t="s">
        <v>567</v>
      </c>
      <c r="E16" s="476" t="str">
        <f>E13</f>
        <v>TRAKEIN4</v>
      </c>
      <c r="F16" s="476" t="s">
        <v>1513</v>
      </c>
      <c r="G16" s="580">
        <f>'[10]EU Diesel IC-reg.tog'!$F$21</f>
        <v>2035</v>
      </c>
      <c r="H16" s="476" t="s">
        <v>499</v>
      </c>
      <c r="I16" s="476">
        <v>2035</v>
      </c>
      <c r="K16" s="476">
        <v>80</v>
      </c>
      <c r="L16" s="637">
        <f>'EU SAS avg. airplane adjusted'!$F$23/'EU SAS avg. airplane adjusted'!$D$23*$W$13</f>
        <v>41.490859614518598</v>
      </c>
      <c r="M16" s="1552">
        <v>30</v>
      </c>
      <c r="N16" s="634">
        <f>'EU SAS avg. airplane adjusted'!F93*TRA_Airplane!W6</f>
        <v>4.4069859681072784E-2</v>
      </c>
      <c r="O16" s="1553">
        <f t="shared" si="8"/>
        <v>528000</v>
      </c>
      <c r="Q16" s="580">
        <f t="shared" si="5"/>
        <v>2800000</v>
      </c>
      <c r="R16" s="1554">
        <f t="shared" si="6"/>
        <v>1E-3</v>
      </c>
    </row>
    <row r="17" spans="2:57" ht="17.100000000000001" customHeight="1">
      <c r="C17" s="476" t="str">
        <f>LEFT(F17,5)&amp;RIGHT(E17,3)&amp;"N"</f>
        <v>TPANVELCN</v>
      </c>
      <c r="D17" s="596" t="s">
        <v>1514</v>
      </c>
      <c r="E17" s="476" t="s">
        <v>80</v>
      </c>
      <c r="F17" s="476" t="str">
        <f>F6</f>
        <v>TPANV</v>
      </c>
      <c r="G17" s="580">
        <v>2035</v>
      </c>
      <c r="H17" s="476" t="s">
        <v>499</v>
      </c>
      <c r="I17" s="476">
        <v>2035</v>
      </c>
      <c r="K17" s="580">
        <f>K21</f>
        <v>168</v>
      </c>
      <c r="L17" s="637">
        <f>L7*AE23</f>
        <v>9.5022948938611584</v>
      </c>
      <c r="M17" s="580">
        <f>M21</f>
        <v>30</v>
      </c>
      <c r="N17" s="634">
        <f>N7</f>
        <v>4.4069859681072784E-2</v>
      </c>
      <c r="O17" s="1553">
        <f>AM23/$V$28*$V$32+O7</f>
        <v>1140542.0721845317</v>
      </c>
      <c r="P17" s="1553">
        <f>AS23/$V$28*$V$32</f>
        <v>5512.8786496607854</v>
      </c>
      <c r="Q17" s="580">
        <f>Q21</f>
        <v>2800000</v>
      </c>
      <c r="R17" s="476">
        <f>R21</f>
        <v>1E-3</v>
      </c>
    </row>
    <row r="18" spans="2:57">
      <c r="D18" s="596"/>
      <c r="G18" s="580">
        <v>2040</v>
      </c>
      <c r="H18" s="476" t="s">
        <v>499</v>
      </c>
      <c r="K18" s="580"/>
      <c r="L18" s="637"/>
      <c r="M18" s="580"/>
      <c r="N18" s="634"/>
      <c r="O18" s="1553">
        <f>AN23/$V$28*$V$32+O7</f>
        <v>1109914.9685753051</v>
      </c>
      <c r="P18" s="1553"/>
      <c r="Q18" s="580"/>
      <c r="V18" s="476" t="s">
        <v>1527</v>
      </c>
    </row>
    <row r="19" spans="2:57">
      <c r="D19" s="596"/>
      <c r="G19" s="580">
        <v>2050</v>
      </c>
      <c r="H19" s="476" t="s">
        <v>499</v>
      </c>
      <c r="K19" s="580"/>
      <c r="L19" s="637"/>
      <c r="M19" s="580"/>
      <c r="N19" s="634"/>
      <c r="O19" s="1553">
        <f>AO23/$V$28*$V$32+O7</f>
        <v>1079287.8649660787</v>
      </c>
      <c r="P19" s="1553"/>
      <c r="Q19" s="580"/>
      <c r="S19" s="1564"/>
      <c r="Y19" s="1565" t="s">
        <v>1528</v>
      </c>
      <c r="AJ19" s="1566" t="s">
        <v>1529</v>
      </c>
      <c r="AR19" s="1566" t="s">
        <v>1530</v>
      </c>
      <c r="BA19" s="1566" t="s">
        <v>1531</v>
      </c>
    </row>
    <row r="20" spans="2:57" ht="24" thickBot="1">
      <c r="C20" s="476" t="str">
        <f>LEFT(F20,5)&amp;RIGHT(E20,3)&amp;"N"</f>
        <v>TPANVAH2N</v>
      </c>
      <c r="D20" s="596" t="s">
        <v>1515</v>
      </c>
      <c r="E20" s="476" t="s">
        <v>1575</v>
      </c>
      <c r="F20" s="476" t="str">
        <f>F7</f>
        <v>TPANV</v>
      </c>
      <c r="G20" s="580">
        <v>2035</v>
      </c>
      <c r="H20" s="476" t="s">
        <v>499</v>
      </c>
      <c r="I20" s="476">
        <v>2035</v>
      </c>
      <c r="K20" s="476">
        <f>K10</f>
        <v>168</v>
      </c>
      <c r="L20" s="637">
        <f>L7*AE22</f>
        <v>6.2751004016064256</v>
      </c>
      <c r="M20" s="1552">
        <v>30</v>
      </c>
      <c r="N20" s="634">
        <f>N7</f>
        <v>4.4069859681072784E-2</v>
      </c>
      <c r="O20" s="1553">
        <f>AN22/$V$28*$V$32+O7</f>
        <v>987406.55413839873</v>
      </c>
      <c r="P20" s="1553">
        <f>AS22/$V$28*$V$32</f>
        <v>4594.0655413839877</v>
      </c>
      <c r="Q20" s="580">
        <f>$AM$40</f>
        <v>2800000</v>
      </c>
      <c r="R20" s="1554">
        <f>$AM$42</f>
        <v>1E-3</v>
      </c>
      <c r="V20" s="1567" t="s">
        <v>1</v>
      </c>
      <c r="W20" s="1567" t="s">
        <v>64</v>
      </c>
      <c r="X20" s="1567" t="s">
        <v>2</v>
      </c>
      <c r="Y20" s="1567" t="s">
        <v>3</v>
      </c>
      <c r="Z20" s="1567" t="s">
        <v>5</v>
      </c>
      <c r="AA20" s="1567" t="s">
        <v>1532</v>
      </c>
      <c r="AB20" s="1567" t="s">
        <v>10</v>
      </c>
      <c r="AC20" s="1567">
        <v>2015</v>
      </c>
      <c r="AD20" s="1567">
        <v>2020</v>
      </c>
      <c r="AE20" s="1567">
        <v>2030</v>
      </c>
      <c r="AF20" s="1567">
        <v>2040</v>
      </c>
      <c r="AG20" s="1567">
        <v>2050</v>
      </c>
      <c r="AH20" s="1568">
        <v>2080</v>
      </c>
      <c r="AJ20" s="1569" t="s">
        <v>1</v>
      </c>
      <c r="AK20" s="1570">
        <v>2015</v>
      </c>
      <c r="AL20" s="1570">
        <v>2020</v>
      </c>
      <c r="AM20" s="1570">
        <v>2030</v>
      </c>
      <c r="AN20" s="1570">
        <v>2040</v>
      </c>
      <c r="AO20" s="1570">
        <v>2050</v>
      </c>
      <c r="AP20" s="1571">
        <v>2080</v>
      </c>
      <c r="AR20" s="1569" t="s">
        <v>1</v>
      </c>
      <c r="AS20" s="1570">
        <v>2015</v>
      </c>
      <c r="AT20" s="1570">
        <v>2020</v>
      </c>
      <c r="AU20" s="1570">
        <v>2030</v>
      </c>
      <c r="AV20" s="1570">
        <v>2040</v>
      </c>
      <c r="AW20" s="1570">
        <v>2050</v>
      </c>
      <c r="AX20" s="1571">
        <v>2080</v>
      </c>
      <c r="AZ20" s="1569" t="s">
        <v>1</v>
      </c>
      <c r="BA20" s="1567" t="s">
        <v>2</v>
      </c>
      <c r="BB20" s="1572">
        <v>2015</v>
      </c>
      <c r="BC20" s="1570">
        <v>2030</v>
      </c>
      <c r="BD20" s="1570">
        <v>2050</v>
      </c>
      <c r="BE20" s="1571">
        <v>2070</v>
      </c>
    </row>
    <row r="21" spans="2:57">
      <c r="C21" s="476" t="str">
        <f>LEFT(F21,5)&amp;RIGHT(E21,3)&amp;"N"</f>
        <v>TPAISELCN</v>
      </c>
      <c r="D21" s="596" t="s">
        <v>1516</v>
      </c>
      <c r="E21" s="476" t="s">
        <v>80</v>
      </c>
      <c r="F21" s="476" t="str">
        <f>F10</f>
        <v>TPAIS</v>
      </c>
      <c r="G21" s="580">
        <v>2035</v>
      </c>
      <c r="H21" s="476" t="s">
        <v>499</v>
      </c>
      <c r="I21" s="476">
        <v>2035</v>
      </c>
      <c r="K21" s="476">
        <f>K8</f>
        <v>168</v>
      </c>
      <c r="L21" s="637">
        <f>L10*AE23</f>
        <v>19.598483218588644</v>
      </c>
      <c r="M21" s="1552">
        <v>30</v>
      </c>
      <c r="N21" s="634">
        <f>N10</f>
        <v>4.4069859681072784E-2</v>
      </c>
      <c r="O21" s="1553">
        <f>AM23/$V$28*$V$32+O10</f>
        <v>1206542.0721845317</v>
      </c>
      <c r="P21" s="1553">
        <f>AS23/$V$28*$V$32</f>
        <v>5512.8786496607854</v>
      </c>
      <c r="Q21" s="580">
        <f>$AM$40</f>
        <v>2800000</v>
      </c>
      <c r="R21" s="1554">
        <f>$AM$42</f>
        <v>1E-3</v>
      </c>
      <c r="V21" s="1573" t="s">
        <v>1533</v>
      </c>
      <c r="W21" s="1573" t="s">
        <v>1534</v>
      </c>
      <c r="X21" s="1573" t="s">
        <v>1535</v>
      </c>
      <c r="Y21" s="1574" t="s">
        <v>1536</v>
      </c>
      <c r="Z21" s="1574">
        <v>2030</v>
      </c>
      <c r="AA21" s="1574">
        <v>1</v>
      </c>
      <c r="AB21" s="1574">
        <v>30</v>
      </c>
      <c r="AC21" s="1573"/>
      <c r="AD21" s="1573"/>
      <c r="AE21" s="1575">
        <v>1.75</v>
      </c>
      <c r="AF21" s="1575">
        <v>2.15</v>
      </c>
      <c r="AG21" s="1575">
        <v>2.4500000000000002</v>
      </c>
      <c r="AH21" s="1573">
        <v>2.7</v>
      </c>
      <c r="AJ21" s="1576" t="str">
        <f>$C9</f>
        <v>TPAISKEIN3N</v>
      </c>
      <c r="AK21" s="1573"/>
      <c r="AL21" s="1573"/>
      <c r="AM21" s="1573"/>
      <c r="AN21" s="1573">
        <v>135</v>
      </c>
      <c r="AO21" s="1573"/>
      <c r="AP21" s="1573"/>
      <c r="AR21" s="1576" t="str">
        <f>$C9</f>
        <v>TPAISKEIN3N</v>
      </c>
      <c r="AS21" s="1573">
        <v>1.3</v>
      </c>
      <c r="AT21" s="1573"/>
      <c r="AU21" s="1573"/>
      <c r="AV21" s="1574"/>
      <c r="AW21" s="1573"/>
      <c r="AX21" s="1573"/>
    </row>
    <row r="22" spans="2:57">
      <c r="D22" s="596"/>
      <c r="G22" s="580">
        <v>2040</v>
      </c>
      <c r="H22" s="476" t="s">
        <v>499</v>
      </c>
      <c r="L22" s="637"/>
      <c r="M22" s="1552"/>
      <c r="N22" s="634"/>
      <c r="O22" s="1553">
        <f>AN23/$V$28*$V$32+O10</f>
        <v>1175914.9685753051</v>
      </c>
      <c r="P22" s="1553"/>
      <c r="Q22" s="580"/>
      <c r="R22" s="1554"/>
      <c r="V22" s="1573" t="s">
        <v>1537</v>
      </c>
      <c r="W22" s="1573" t="s">
        <v>1538</v>
      </c>
      <c r="X22" s="1573" t="s">
        <v>1535</v>
      </c>
      <c r="Y22" s="1574" t="s">
        <v>1539</v>
      </c>
      <c r="Z22" s="1574">
        <v>2030</v>
      </c>
      <c r="AA22" s="1574">
        <v>1</v>
      </c>
      <c r="AB22" s="1574">
        <v>30</v>
      </c>
      <c r="AC22" s="1573"/>
      <c r="AD22" s="1573"/>
      <c r="AE22" s="1575">
        <v>1.75</v>
      </c>
      <c r="AF22" s="1575">
        <v>2.15</v>
      </c>
      <c r="AG22" s="1575">
        <v>2.4500000000000002</v>
      </c>
      <c r="AH22" s="1573">
        <v>2.7</v>
      </c>
      <c r="AJ22" s="1576" t="str">
        <f>$C10</f>
        <v>TPAISKEIN4N</v>
      </c>
      <c r="AK22" s="1573"/>
      <c r="AL22" s="1573"/>
      <c r="AM22" s="1573"/>
      <c r="AN22" s="1573">
        <v>150</v>
      </c>
      <c r="AO22" s="1573"/>
      <c r="AP22" s="1573"/>
      <c r="AR22" s="1576" t="str">
        <f>$C10</f>
        <v>TPAISKEIN4N</v>
      </c>
      <c r="AS22" s="1573">
        <v>1.5</v>
      </c>
      <c r="AT22" s="1573"/>
      <c r="AU22" s="1573"/>
      <c r="AV22" s="1574"/>
      <c r="AW22" s="1573"/>
      <c r="AX22" s="1573"/>
    </row>
    <row r="23" spans="2:57">
      <c r="D23" s="596"/>
      <c r="G23" s="580">
        <v>2050</v>
      </c>
      <c r="H23" s="476" t="s">
        <v>499</v>
      </c>
      <c r="L23" s="637"/>
      <c r="M23" s="1552"/>
      <c r="N23" s="634"/>
      <c r="O23" s="1553">
        <f>AO23/$V$28*$V$32+O10</f>
        <v>1145287.8649660787</v>
      </c>
      <c r="P23" s="1553"/>
      <c r="Q23" s="580"/>
      <c r="R23" s="1554"/>
      <c r="V23" s="1573" t="s">
        <v>1540</v>
      </c>
      <c r="W23" s="1573" t="s">
        <v>1541</v>
      </c>
      <c r="X23" s="1573" t="s">
        <v>1542</v>
      </c>
      <c r="Y23" s="1574" t="s">
        <v>1539</v>
      </c>
      <c r="Z23" s="1574">
        <v>2030</v>
      </c>
      <c r="AA23" s="1574">
        <v>1</v>
      </c>
      <c r="AB23" s="1574">
        <v>25</v>
      </c>
      <c r="AC23" s="1573"/>
      <c r="AD23" s="1573"/>
      <c r="AE23" s="1573">
        <v>2.65</v>
      </c>
      <c r="AF23" s="1573">
        <v>2.85</v>
      </c>
      <c r="AG23" s="1573">
        <v>3.05</v>
      </c>
      <c r="AH23" s="1573">
        <v>3.15</v>
      </c>
      <c r="AJ23" s="1576" t="str">
        <f>$C11</f>
        <v>TPAILKEIN2N</v>
      </c>
      <c r="AK23" s="1573"/>
      <c r="AL23" s="1573"/>
      <c r="AM23" s="1573">
        <v>200</v>
      </c>
      <c r="AN23" s="1573">
        <v>190</v>
      </c>
      <c r="AO23" s="1573">
        <v>180</v>
      </c>
      <c r="AP23" s="1573"/>
      <c r="AR23" s="1576" t="str">
        <f>$C11</f>
        <v>TPAILKEIN2N</v>
      </c>
      <c r="AS23" s="1573">
        <v>1.8</v>
      </c>
      <c r="AT23" s="1573"/>
      <c r="AU23" s="1573"/>
      <c r="AV23" s="1574"/>
      <c r="AW23" s="1573"/>
      <c r="AX23" s="1573"/>
    </row>
    <row r="24" spans="2:57">
      <c r="C24" s="476" t="str">
        <f>LEFT(F24,5)&amp;RIGHT(E24,3)&amp;"N"</f>
        <v>TPAISAH2N</v>
      </c>
      <c r="D24" s="596" t="s">
        <v>1517</v>
      </c>
      <c r="E24" s="476" t="s">
        <v>1575</v>
      </c>
      <c r="F24" s="476" t="str">
        <f>F21</f>
        <v>TPAIS</v>
      </c>
      <c r="G24" s="580">
        <v>2035</v>
      </c>
      <c r="H24" s="476" t="s">
        <v>499</v>
      </c>
      <c r="I24" s="476">
        <v>2035</v>
      </c>
      <c r="K24" s="476">
        <f>K9</f>
        <v>168</v>
      </c>
      <c r="L24" s="637">
        <f>L10*AE22</f>
        <v>12.942394578313255</v>
      </c>
      <c r="M24" s="1552">
        <v>30</v>
      </c>
      <c r="N24" s="634">
        <f>N10</f>
        <v>4.4069859681072784E-2</v>
      </c>
      <c r="O24" s="1553">
        <f>AN21/$V$28*$V$32+O10</f>
        <v>1007465.8987245589</v>
      </c>
      <c r="P24" s="1553">
        <f>AS21/$V$28*$V$32</f>
        <v>3981.523469199456</v>
      </c>
      <c r="Q24" s="580">
        <f>$AM$40</f>
        <v>2800000</v>
      </c>
      <c r="R24" s="1554">
        <f>$AM$42</f>
        <v>1E-3</v>
      </c>
    </row>
    <row r="25" spans="2:57">
      <c r="N25" s="634"/>
      <c r="V25" s="1573" t="s">
        <v>1543</v>
      </c>
    </row>
    <row r="26" spans="2:57">
      <c r="V26" s="476">
        <v>0.13400000000000001</v>
      </c>
      <c r="W26" s="476" t="s">
        <v>1544</v>
      </c>
    </row>
    <row r="27" spans="2:57">
      <c r="V27" s="476">
        <v>1.0840000000000001</v>
      </c>
      <c r="W27" s="476" t="s">
        <v>1545</v>
      </c>
    </row>
    <row r="28" spans="2:57">
      <c r="P28" s="649"/>
      <c r="Q28" s="649"/>
      <c r="R28" s="649"/>
      <c r="V28" s="978">
        <f>V26/V27</f>
        <v>0.12361623616236163</v>
      </c>
      <c r="W28" s="476" t="s">
        <v>1546</v>
      </c>
    </row>
    <row r="29" spans="2:57">
      <c r="B29" s="595" t="s">
        <v>62</v>
      </c>
      <c r="C29" s="595"/>
      <c r="D29" s="596"/>
      <c r="E29" s="596"/>
      <c r="F29" s="596"/>
      <c r="G29" s="596"/>
      <c r="H29" s="596"/>
      <c r="I29" s="596"/>
    </row>
    <row r="30" spans="2:57" ht="27.6">
      <c r="B30" s="1547" t="s">
        <v>63</v>
      </c>
      <c r="C30" s="1547" t="s">
        <v>1</v>
      </c>
      <c r="D30" s="1547" t="s">
        <v>64</v>
      </c>
      <c r="E30" s="1547" t="s">
        <v>65</v>
      </c>
      <c r="F30" s="1547" t="s">
        <v>66</v>
      </c>
      <c r="G30" s="1547" t="s">
        <v>67</v>
      </c>
      <c r="H30" s="1547" t="s">
        <v>68</v>
      </c>
      <c r="I30" s="1547" t="s">
        <v>69</v>
      </c>
      <c r="V30" s="1564">
        <f>1/(K21*L10)*(K21*Q21)/1000</f>
        <v>378.60072727272723</v>
      </c>
    </row>
    <row r="31" spans="2:57" ht="41.4" thickBot="1">
      <c r="B31" s="598" t="s">
        <v>70</v>
      </c>
      <c r="C31" s="598" t="s">
        <v>71</v>
      </c>
      <c r="D31" s="598" t="s">
        <v>72</v>
      </c>
      <c r="E31" s="598" t="s">
        <v>73</v>
      </c>
      <c r="F31" s="598" t="s">
        <v>74</v>
      </c>
      <c r="G31" s="598" t="s">
        <v>75</v>
      </c>
      <c r="H31" s="598" t="s">
        <v>76</v>
      </c>
      <c r="I31" s="598" t="s">
        <v>77</v>
      </c>
      <c r="V31" s="476">
        <f>(V34*1000000)/(K21*Q21)/1000</f>
        <v>8.5034013605442188E-2</v>
      </c>
      <c r="W31" s="476" t="s">
        <v>1547</v>
      </c>
      <c r="AG31" s="476" t="s">
        <v>1548</v>
      </c>
    </row>
    <row r="32" spans="2:57">
      <c r="B32" s="596" t="s">
        <v>78</v>
      </c>
      <c r="C32" s="596" t="str">
        <f t="shared" ref="C32:D35" si="9">C5</f>
        <v>TPANVKENA2N</v>
      </c>
      <c r="D32" s="596" t="str">
        <f t="shared" si="9"/>
        <v>Transport Passengers Air National - Biokerosene 2- New</v>
      </c>
      <c r="E32" s="596" t="s">
        <v>81</v>
      </c>
      <c r="F32" s="596" t="s">
        <v>82</v>
      </c>
      <c r="G32" s="596"/>
      <c r="H32" s="596"/>
      <c r="I32" s="596"/>
      <c r="V32" s="1577">
        <f>(V36/V31)</f>
        <v>378.60072727272717</v>
      </c>
      <c r="W32" s="476" t="s">
        <v>1549</v>
      </c>
    </row>
    <row r="33" spans="2:44">
      <c r="B33" s="596"/>
      <c r="C33" s="596" t="str">
        <f t="shared" si="9"/>
        <v>TPANVKENA3N</v>
      </c>
      <c r="D33" s="596" t="str">
        <f t="shared" si="9"/>
        <v>Transport Passengers Air National - Biokerosene 3- New</v>
      </c>
      <c r="E33" s="596" t="s">
        <v>81</v>
      </c>
      <c r="F33" s="596" t="s">
        <v>82</v>
      </c>
      <c r="H33" s="596"/>
      <c r="I33" s="596"/>
      <c r="V33" s="476">
        <f>V34*1000000</f>
        <v>40000000000</v>
      </c>
      <c r="W33" s="476" t="s">
        <v>1550</v>
      </c>
      <c r="AG33" s="476" t="s">
        <v>1551</v>
      </c>
      <c r="AH33" s="476" t="s">
        <v>1552</v>
      </c>
      <c r="AI33" s="476" t="s">
        <v>1553</v>
      </c>
      <c r="AJ33" s="476" t="s">
        <v>194</v>
      </c>
      <c r="AK33" s="476" t="s">
        <v>1554</v>
      </c>
      <c r="AL33" s="476" t="s">
        <v>1555</v>
      </c>
      <c r="AN33" s="476" t="s">
        <v>1556</v>
      </c>
      <c r="AO33" s="476" t="s">
        <v>152</v>
      </c>
      <c r="AP33" s="476" t="s">
        <v>1557</v>
      </c>
      <c r="AQ33" s="476" t="s">
        <v>1558</v>
      </c>
    </row>
    <row r="34" spans="2:44">
      <c r="B34" s="596"/>
      <c r="C34" s="596" t="str">
        <f t="shared" si="9"/>
        <v>TPANVKENA4N</v>
      </c>
      <c r="D34" s="596" t="str">
        <f t="shared" si="9"/>
        <v>Transport Passengers Air National - Biokerosene 4- New</v>
      </c>
      <c r="E34" s="596" t="s">
        <v>81</v>
      </c>
      <c r="F34" s="596" t="s">
        <v>82</v>
      </c>
      <c r="H34" s="596"/>
      <c r="I34" s="596"/>
      <c r="V34" s="476">
        <f>40000</f>
        <v>40000</v>
      </c>
      <c r="W34" s="476" t="s">
        <v>1559</v>
      </c>
      <c r="AG34" s="476">
        <v>9</v>
      </c>
      <c r="AH34" s="476">
        <v>5.66</v>
      </c>
      <c r="AI34" s="476">
        <f>AJ34*AL34</f>
        <v>30.808499999999995</v>
      </c>
      <c r="AJ34" s="476">
        <v>44.65</v>
      </c>
      <c r="AK34" s="476">
        <v>690</v>
      </c>
      <c r="AL34" s="476">
        <f>AK34/1000</f>
        <v>0.69</v>
      </c>
      <c r="AN34" s="476">
        <f>AI34*AH34</f>
        <v>174.37610999999998</v>
      </c>
      <c r="AO34" s="476">
        <f>AN34/100</f>
        <v>1.7437610999999997</v>
      </c>
      <c r="AP34" s="476">
        <f>AG34/AO34</f>
        <v>5.1612574681245045</v>
      </c>
      <c r="AQ34" s="476">
        <f>AP34*(0.000001/0.000000001)</f>
        <v>5161.2574681245042</v>
      </c>
    </row>
    <row r="35" spans="2:44">
      <c r="B35" s="596"/>
      <c r="C35" s="596" t="str">
        <f t="shared" si="9"/>
        <v>TPAISKEIN2N</v>
      </c>
      <c r="D35" s="596" t="str">
        <f t="shared" si="9"/>
        <v>Transport Passengers Air Short International - Biokerosene 2 - New</v>
      </c>
      <c r="E35" s="596" t="s">
        <v>81</v>
      </c>
      <c r="F35" s="596" t="s">
        <v>82</v>
      </c>
      <c r="H35" s="596"/>
      <c r="I35" s="596"/>
      <c r="V35" s="476">
        <f>V34/K21</f>
        <v>238.0952380952381</v>
      </c>
      <c r="W35" s="476" t="s">
        <v>1560</v>
      </c>
      <c r="AG35" s="476">
        <v>78</v>
      </c>
      <c r="AH35" s="476">
        <f>(3.6+2.71)/2</f>
        <v>3.1550000000000002</v>
      </c>
      <c r="AI35" s="476">
        <f>AJ35*AL35</f>
        <v>34.56</v>
      </c>
      <c r="AJ35" s="476">
        <v>43.2</v>
      </c>
      <c r="AK35" s="476">
        <v>800</v>
      </c>
      <c r="AL35" s="476">
        <f>AK35/1000</f>
        <v>0.8</v>
      </c>
      <c r="AN35" s="476">
        <f>AI35*AH35</f>
        <v>109.03680000000001</v>
      </c>
      <c r="AO35" s="476">
        <f>AN35/100</f>
        <v>1.0903680000000002</v>
      </c>
    </row>
    <row r="36" spans="2:44">
      <c r="B36" s="596"/>
      <c r="C36" s="596" t="str">
        <f t="shared" ref="C36:D44" si="10">C9</f>
        <v>TPAISKEIN3N</v>
      </c>
      <c r="D36" s="596" t="str">
        <f t="shared" si="10"/>
        <v>Transport Passengers Air Short International - Biokerosene 3 - New</v>
      </c>
      <c r="E36" s="596" t="s">
        <v>81</v>
      </c>
      <c r="F36" s="596" t="s">
        <v>82</v>
      </c>
      <c r="H36" s="596"/>
      <c r="I36" s="596"/>
      <c r="V36" s="476">
        <f>V35/L10</f>
        <v>32.193939393939388</v>
      </c>
      <c r="W36" s="476" t="s">
        <v>1561</v>
      </c>
    </row>
    <row r="37" spans="2:44">
      <c r="C37" s="596" t="str">
        <f t="shared" si="10"/>
        <v>TPAISKEIN4N</v>
      </c>
      <c r="D37" s="596" t="str">
        <f t="shared" si="10"/>
        <v>Transport Passengers Air Short International - Biokerosene 4 - New</v>
      </c>
      <c r="E37" s="596" t="s">
        <v>81</v>
      </c>
      <c r="F37" s="596" t="s">
        <v>82</v>
      </c>
    </row>
    <row r="38" spans="2:44">
      <c r="B38" s="596"/>
      <c r="C38" s="596" t="str">
        <f t="shared" si="10"/>
        <v>TPAILKEIN2N</v>
      </c>
      <c r="D38" s="596" t="str">
        <f t="shared" si="10"/>
        <v>Transport Passengers Air Long International - Biokerosene 2 - New</v>
      </c>
      <c r="E38" s="596" t="s">
        <v>81</v>
      </c>
      <c r="F38" s="596" t="s">
        <v>82</v>
      </c>
      <c r="H38" s="596"/>
      <c r="AI38" s="1578" t="s">
        <v>501</v>
      </c>
      <c r="AJ38" s="1578"/>
      <c r="AK38" s="1578"/>
      <c r="AL38" s="1578"/>
      <c r="AM38" s="1579">
        <f>[11]TRA_TFILL!$G$133</f>
        <v>1750000</v>
      </c>
      <c r="AN38" s="1579">
        <f>[11]TRA_TFILL!$H$133</f>
        <v>1750000</v>
      </c>
      <c r="AO38" s="1579" t="s">
        <v>1562</v>
      </c>
      <c r="AP38" s="1578"/>
      <c r="AQ38" s="1578"/>
      <c r="AR38" s="1578" t="s">
        <v>1563</v>
      </c>
    </row>
    <row r="39" spans="2:44">
      <c r="C39" s="596" t="str">
        <f t="shared" si="10"/>
        <v>TPAILKEIN3N</v>
      </c>
      <c r="D39" s="596" t="str">
        <f t="shared" si="10"/>
        <v>Transport Passengers Air Long International - Biokerosene 3 - New</v>
      </c>
      <c r="E39" s="596" t="s">
        <v>81</v>
      </c>
      <c r="F39" s="596" t="s">
        <v>82</v>
      </c>
      <c r="AI39" s="476" t="s">
        <v>501</v>
      </c>
      <c r="AM39" s="580">
        <f>[11]TRA_TFILL!$G$134</f>
        <v>8145.1797176742502</v>
      </c>
      <c r="AN39" s="580">
        <f>[11]TRA_TFILL!$H$134</f>
        <v>8113.5513846326403</v>
      </c>
      <c r="AO39" s="580" t="s">
        <v>1564</v>
      </c>
    </row>
    <row r="40" spans="2:44">
      <c r="C40" s="596" t="str">
        <f t="shared" si="10"/>
        <v>TPAILKEIN4N</v>
      </c>
      <c r="D40" s="596" t="str">
        <f t="shared" si="10"/>
        <v>Transport Passengers Air Long International - Biokerosene 4 - New</v>
      </c>
      <c r="E40" s="596" t="s">
        <v>81</v>
      </c>
      <c r="F40" s="596" t="s">
        <v>82</v>
      </c>
      <c r="AI40" s="476" t="s">
        <v>501</v>
      </c>
      <c r="AM40" s="580">
        <f>[11]TRA_TFILL!$G$143</f>
        <v>2800000</v>
      </c>
      <c r="AN40" s="580">
        <f>[11]TRA_TFILL!$H$143</f>
        <v>2800000</v>
      </c>
      <c r="AO40" s="580" t="s">
        <v>1565</v>
      </c>
    </row>
    <row r="41" spans="2:44">
      <c r="C41" s="596" t="str">
        <f t="shared" si="10"/>
        <v>TFAIKEIN2N</v>
      </c>
      <c r="D41" s="596" t="str">
        <f t="shared" si="10"/>
        <v>Transport Freight Air International - Biokerosene 2 - New</v>
      </c>
      <c r="E41" s="596" t="s">
        <v>1574</v>
      </c>
      <c r="F41" s="596" t="s">
        <v>82</v>
      </c>
      <c r="AI41" s="476" t="s">
        <v>501</v>
      </c>
      <c r="AM41" s="580">
        <f>[11]TRA_TFILL!$G$143</f>
        <v>2800000</v>
      </c>
      <c r="AN41" s="580">
        <f>[11]TRA_TFILL!$H$143</f>
        <v>2800000</v>
      </c>
      <c r="AO41" s="580" t="s">
        <v>1566</v>
      </c>
    </row>
    <row r="42" spans="2:44">
      <c r="C42" s="596" t="str">
        <f t="shared" si="10"/>
        <v>TFAIKEIN3N</v>
      </c>
      <c r="D42" s="596" t="str">
        <f t="shared" si="10"/>
        <v>Transport Freight Air International - Biokerosene 3 - New</v>
      </c>
      <c r="E42" s="596" t="s">
        <v>1574</v>
      </c>
      <c r="F42" s="596" t="s">
        <v>82</v>
      </c>
      <c r="AI42" s="476" t="s">
        <v>543</v>
      </c>
      <c r="AM42" s="1554">
        <f>[11]TRA_TFILL!$G$138</f>
        <v>1E-3</v>
      </c>
      <c r="AN42" s="1554">
        <f>[11]TRA_TFILL!$H$138</f>
        <v>1E-3</v>
      </c>
      <c r="AO42" s="580" t="s">
        <v>1562</v>
      </c>
    </row>
    <row r="43" spans="2:44">
      <c r="C43" s="596" t="str">
        <f t="shared" si="10"/>
        <v>TFAIKEIN4N</v>
      </c>
      <c r="D43" s="596" t="str">
        <f t="shared" si="10"/>
        <v>Transport Freight Air International - Biokerosene 4 - New</v>
      </c>
      <c r="E43" s="596" t="s">
        <v>1574</v>
      </c>
      <c r="F43" s="596" t="s">
        <v>82</v>
      </c>
      <c r="AI43" s="476" t="s">
        <v>543</v>
      </c>
      <c r="AM43" s="1554">
        <f>[11]TRA_TFILL!$G$138</f>
        <v>1E-3</v>
      </c>
      <c r="AN43" s="1554">
        <f>[11]TRA_TFILL!$H$138</f>
        <v>1E-3</v>
      </c>
      <c r="AO43" s="580" t="s">
        <v>1564</v>
      </c>
    </row>
    <row r="44" spans="2:44">
      <c r="C44" s="596" t="str">
        <f t="shared" si="10"/>
        <v>TPANVELCN</v>
      </c>
      <c r="D44" s="596" t="str">
        <f t="shared" si="10"/>
        <v>Transport Passengers Air National - Battery - New</v>
      </c>
      <c r="E44" s="596" t="s">
        <v>81</v>
      </c>
      <c r="F44" s="596" t="s">
        <v>82</v>
      </c>
      <c r="AI44" s="476" t="s">
        <v>543</v>
      </c>
      <c r="AM44" s="1554">
        <f>[11]TRA_TFILL!$G$138</f>
        <v>1E-3</v>
      </c>
      <c r="AN44" s="1554">
        <f>[11]TRA_TFILL!$H$138</f>
        <v>1E-3</v>
      </c>
      <c r="AO44" s="476" t="s">
        <v>1565</v>
      </c>
    </row>
    <row r="45" spans="2:44">
      <c r="C45" s="596" t="str">
        <f>C20</f>
        <v>TPANVAH2N</v>
      </c>
      <c r="D45" s="596" t="str">
        <f>D20</f>
        <v>Transport Passengers Air National - Hydrogen - New</v>
      </c>
      <c r="E45" s="596" t="s">
        <v>81</v>
      </c>
      <c r="F45" s="596" t="s">
        <v>82</v>
      </c>
      <c r="AI45" s="476" t="s">
        <v>543</v>
      </c>
      <c r="AM45" s="1554">
        <f>[11]TRA_TFILL!$G$138</f>
        <v>1E-3</v>
      </c>
      <c r="AN45" s="1554">
        <f>[11]TRA_TFILL!$H$138</f>
        <v>1E-3</v>
      </c>
      <c r="AO45" s="1545" t="s">
        <v>1566</v>
      </c>
    </row>
    <row r="46" spans="2:44">
      <c r="C46" s="596" t="str">
        <f>C21</f>
        <v>TPAISELCN</v>
      </c>
      <c r="D46" s="596" t="str">
        <f>D21</f>
        <v>Transport Passengers Air Short International - Battery - New</v>
      </c>
      <c r="E46" s="596" t="s">
        <v>81</v>
      </c>
      <c r="F46" s="596" t="s">
        <v>82</v>
      </c>
    </row>
    <row r="47" spans="2:44">
      <c r="C47" s="596" t="str">
        <f>C24</f>
        <v>TPAISAH2N</v>
      </c>
      <c r="D47" s="596" t="str">
        <f>D24</f>
        <v>Transport Passengers Air Short International - Hydrogen - New</v>
      </c>
      <c r="E47" s="596" t="s">
        <v>81</v>
      </c>
      <c r="F47" s="596" t="s">
        <v>82</v>
      </c>
    </row>
  </sheetData>
  <mergeCells count="1">
    <mergeCell ref="V5:X5"/>
  </mergeCells>
  <pageMargins left="0.7" right="0.7" top="0.75" bottom="0.75" header="0.3" footer="0.3"/>
  <pageSetup paperSize="9" orientation="portrait"/>
  <drawing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25F9E-1B5B-432C-A9D8-E71597BADFFB}">
  <sheetPr>
    <tabColor rgb="FF002060"/>
    <pageSetUpPr fitToPage="1"/>
  </sheetPr>
  <dimension ref="B1:S119"/>
  <sheetViews>
    <sheetView topLeftCell="A21" zoomScale="80" zoomScaleNormal="80" workbookViewId="0">
      <selection activeCell="E51" sqref="E51"/>
    </sheetView>
  </sheetViews>
  <sheetFormatPr defaultColWidth="8.88671875" defaultRowHeight="13.8"/>
  <cols>
    <col min="1" max="1" width="2.88671875" style="63" customWidth="1"/>
    <col min="2" max="2" width="35" style="63" customWidth="1"/>
    <col min="3" max="3" width="18" style="63" customWidth="1"/>
    <col min="4" max="4" width="19.109375" style="63" bestFit="1"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1567</v>
      </c>
      <c r="Q1" s="60">
        <v>0</v>
      </c>
      <c r="R1" s="62">
        <v>0</v>
      </c>
      <c r="S1" s="61"/>
    </row>
    <row r="2" spans="2:19">
      <c r="R2" s="363"/>
      <c r="S2" s="363"/>
    </row>
    <row r="4" spans="2:19" ht="14.4" thickBot="1">
      <c r="B4" s="152" t="s">
        <v>92</v>
      </c>
    </row>
    <row r="5" spans="2:19">
      <c r="B5" s="1580" t="s">
        <v>93</v>
      </c>
      <c r="C5" s="1581"/>
      <c r="D5" s="1581"/>
      <c r="E5" s="1581"/>
      <c r="F5" s="1581"/>
      <c r="G5" s="1581"/>
      <c r="H5" s="1581"/>
      <c r="I5" s="1581"/>
      <c r="J5" s="1581"/>
      <c r="K5" s="1581"/>
      <c r="L5" s="1581"/>
      <c r="M5" s="1581"/>
      <c r="N5" s="1582"/>
    </row>
    <row r="6" spans="2:19">
      <c r="B6" s="1583" t="s">
        <v>398</v>
      </c>
      <c r="C6" s="1584"/>
      <c r="D6" s="1584"/>
      <c r="E6" s="1584"/>
      <c r="F6" s="1584"/>
      <c r="G6" s="1584"/>
      <c r="H6" s="1584"/>
      <c r="I6" s="1584"/>
      <c r="J6" s="1584"/>
      <c r="K6" s="1584"/>
      <c r="L6" s="1584"/>
      <c r="M6" s="1584"/>
      <c r="N6" s="1585"/>
    </row>
    <row r="7" spans="2:19">
      <c r="B7" s="1583"/>
      <c r="C7" s="1584"/>
      <c r="D7" s="1584"/>
      <c r="E7" s="1584"/>
      <c r="F7" s="1584"/>
      <c r="G7" s="1584"/>
      <c r="H7" s="1584"/>
      <c r="I7" s="1584"/>
      <c r="J7" s="1584"/>
      <c r="K7" s="1584"/>
      <c r="L7" s="1584"/>
      <c r="M7" s="1584"/>
      <c r="N7" s="1585"/>
    </row>
    <row r="8" spans="2:19">
      <c r="B8" s="1586"/>
      <c r="C8" s="1584"/>
      <c r="D8" s="1584"/>
      <c r="E8" s="1584"/>
      <c r="F8" s="1584"/>
      <c r="G8" s="1584"/>
      <c r="H8" s="1584"/>
      <c r="I8" s="1584"/>
      <c r="J8" s="1584"/>
      <c r="K8" s="1584"/>
      <c r="L8" s="1584"/>
      <c r="M8" s="1584"/>
      <c r="N8" s="1585"/>
    </row>
    <row r="9" spans="2:19">
      <c r="B9" s="1587" t="s">
        <v>233</v>
      </c>
      <c r="C9" s="1588" t="s">
        <v>232</v>
      </c>
      <c r="D9" s="1584"/>
      <c r="E9" s="1584"/>
      <c r="F9" s="1584"/>
      <c r="G9" s="1584"/>
      <c r="H9" s="1584"/>
      <c r="I9" s="1584"/>
      <c r="J9" s="1584"/>
      <c r="K9" s="1584"/>
      <c r="L9" s="1584"/>
      <c r="M9" s="1584"/>
      <c r="N9" s="1585"/>
    </row>
    <row r="10" spans="2:19">
      <c r="B10" s="1586"/>
      <c r="C10" s="1584"/>
      <c r="D10" s="1584"/>
      <c r="E10" s="1584"/>
      <c r="F10" s="1584"/>
      <c r="G10" s="1584"/>
      <c r="H10" s="1584"/>
      <c r="I10" s="1584"/>
      <c r="J10" s="1584"/>
      <c r="K10" s="1584"/>
      <c r="L10" s="1584"/>
      <c r="M10" s="1584"/>
      <c r="N10" s="1585"/>
    </row>
    <row r="11" spans="2:19">
      <c r="B11" s="1589" t="s">
        <v>94</v>
      </c>
      <c r="C11" s="1584"/>
      <c r="D11" s="1584"/>
      <c r="E11" s="1584"/>
      <c r="F11" s="1584"/>
      <c r="G11" s="1584"/>
      <c r="H11" s="1584"/>
      <c r="I11" s="1584"/>
      <c r="J11" s="1584"/>
      <c r="K11" s="1584"/>
      <c r="L11" s="1584"/>
      <c r="M11" s="1584"/>
      <c r="N11" s="1585"/>
    </row>
    <row r="12" spans="2:19">
      <c r="B12" s="1586"/>
      <c r="C12" s="1584"/>
      <c r="D12" s="1584"/>
      <c r="E12" s="1584"/>
      <c r="F12" s="1584"/>
      <c r="G12" s="1584"/>
      <c r="H12" s="1584"/>
      <c r="I12" s="1584"/>
      <c r="J12" s="1584"/>
      <c r="K12" s="1584"/>
      <c r="L12" s="1584"/>
      <c r="M12" s="1584"/>
      <c r="N12" s="1585"/>
    </row>
    <row r="13" spans="2:19">
      <c r="B13" s="1586"/>
      <c r="C13" s="1584"/>
      <c r="D13" s="1584"/>
      <c r="E13" s="1584"/>
      <c r="F13" s="1584"/>
      <c r="G13" s="1584"/>
      <c r="H13" s="1584"/>
      <c r="I13" s="1584"/>
      <c r="J13" s="1584"/>
      <c r="K13" s="1584"/>
      <c r="L13" s="1584"/>
      <c r="M13" s="1584"/>
      <c r="N13" s="1585"/>
    </row>
    <row r="14" spans="2:19">
      <c r="B14" s="1589" t="s">
        <v>95</v>
      </c>
      <c r="C14" s="1584"/>
      <c r="D14" s="1584"/>
      <c r="E14" s="1584"/>
      <c r="F14" s="1584"/>
      <c r="G14" s="1584"/>
      <c r="H14" s="1584"/>
      <c r="I14" s="1584"/>
      <c r="J14" s="1584"/>
      <c r="K14" s="1584"/>
      <c r="L14" s="1584"/>
      <c r="M14" s="1584"/>
      <c r="N14" s="1585"/>
    </row>
    <row r="15" spans="2:19">
      <c r="B15" s="1590" t="s">
        <v>1568</v>
      </c>
      <c r="C15" s="1584"/>
      <c r="D15" s="1584"/>
      <c r="E15" s="1584"/>
      <c r="F15" s="1584"/>
      <c r="G15" s="1584"/>
      <c r="H15" s="1584"/>
      <c r="I15" s="1584"/>
      <c r="J15" s="1584"/>
      <c r="K15" s="1584"/>
      <c r="L15" s="1584"/>
      <c r="M15" s="1584"/>
      <c r="N15" s="1585"/>
    </row>
    <row r="16" spans="2:19">
      <c r="B16" s="1586"/>
      <c r="C16" s="1584"/>
      <c r="D16" s="1584"/>
      <c r="E16" s="1584"/>
      <c r="F16" s="1584"/>
      <c r="G16" s="1584"/>
      <c r="H16" s="1584"/>
      <c r="I16" s="1584"/>
      <c r="J16" s="1584"/>
      <c r="K16" s="1584"/>
      <c r="L16" s="1584"/>
      <c r="M16" s="1584"/>
      <c r="N16" s="1585"/>
    </row>
    <row r="17" spans="2:14" ht="14.4" thickBot="1">
      <c r="B17" s="1153"/>
      <c r="C17" s="1591"/>
      <c r="D17" s="1591"/>
      <c r="E17" s="1591"/>
      <c r="F17" s="1591"/>
      <c r="G17" s="1591"/>
      <c r="H17" s="1591"/>
      <c r="I17" s="1591"/>
      <c r="J17" s="1591"/>
      <c r="K17" s="1591"/>
      <c r="L17" s="1591"/>
      <c r="M17" s="1591"/>
      <c r="N17" s="1155"/>
    </row>
    <row r="19" spans="2:14" ht="14.4" thickBot="1">
      <c r="B19" s="152" t="s">
        <v>96</v>
      </c>
    </row>
    <row r="20" spans="2:14">
      <c r="B20" s="1592"/>
      <c r="C20" s="1593"/>
      <c r="D20" s="1594"/>
      <c r="E20" s="1581"/>
      <c r="F20" s="1581"/>
      <c r="G20" s="1581"/>
      <c r="H20" s="1581"/>
      <c r="I20" s="1581" t="s">
        <v>97</v>
      </c>
      <c r="J20" s="1582" t="s">
        <v>98</v>
      </c>
    </row>
    <row r="21" spans="2:14">
      <c r="B21" s="1595"/>
      <c r="C21" s="1596" t="s">
        <v>99</v>
      </c>
      <c r="D21" s="1597">
        <v>2015</v>
      </c>
      <c r="E21" s="1598">
        <v>2020</v>
      </c>
      <c r="F21" s="1598">
        <v>2035</v>
      </c>
      <c r="G21" s="1598">
        <v>2050</v>
      </c>
      <c r="H21" s="1598" t="s">
        <v>100</v>
      </c>
      <c r="I21" s="1599"/>
      <c r="J21" s="1600"/>
    </row>
    <row r="22" spans="2:14">
      <c r="B22" s="1586" t="s">
        <v>101</v>
      </c>
      <c r="C22" s="1601"/>
      <c r="D22" s="1602"/>
      <c r="E22" s="1603"/>
      <c r="F22" s="1603"/>
      <c r="G22" s="1603"/>
      <c r="H22" s="1603"/>
      <c r="I22" s="1584"/>
      <c r="J22" s="1585"/>
    </row>
    <row r="23" spans="2:14">
      <c r="B23" s="1204" t="s">
        <v>102</v>
      </c>
      <c r="C23" s="1601" t="s">
        <v>397</v>
      </c>
      <c r="D23" s="1604">
        <f>D71/D26</f>
        <v>0.16</v>
      </c>
      <c r="E23" s="1604">
        <f>E71/E26</f>
        <v>0.16502732240437157</v>
      </c>
      <c r="F23" s="1604">
        <f>F71/F26</f>
        <v>0.17650602409638555</v>
      </c>
      <c r="G23" s="1604">
        <f>G71/G26</f>
        <v>0.18571428571428569</v>
      </c>
      <c r="H23" s="1605"/>
      <c r="I23" s="184" t="s">
        <v>608</v>
      </c>
      <c r="J23" s="1606"/>
    </row>
    <row r="24" spans="2:14">
      <c r="B24" s="1607" t="s">
        <v>1569</v>
      </c>
      <c r="C24" s="1601" t="s">
        <v>397</v>
      </c>
      <c r="D24" s="1608">
        <v>0.33</v>
      </c>
      <c r="E24" s="1608">
        <f>$D$24*E23/$D$23</f>
        <v>0.34036885245901638</v>
      </c>
      <c r="F24" s="1608">
        <f>$D$24*F23/$D$23</f>
        <v>0.36404367469879523</v>
      </c>
      <c r="G24" s="1608">
        <f>$D$24*G23/$D$23</f>
        <v>0.38303571428571426</v>
      </c>
      <c r="H24" s="1605"/>
      <c r="I24" s="184" t="s">
        <v>1570</v>
      </c>
      <c r="J24" s="1606"/>
    </row>
    <row r="25" spans="2:14">
      <c r="B25" s="1607" t="s">
        <v>1569</v>
      </c>
      <c r="C25" s="1601" t="s">
        <v>397</v>
      </c>
      <c r="D25" s="1608">
        <v>0.16</v>
      </c>
      <c r="E25" s="1608">
        <f>$D$25*E23/$D$23</f>
        <v>0.16502732240437157</v>
      </c>
      <c r="F25" s="1608">
        <f>$D$25*F23/$D$23</f>
        <v>0.17650602409638555</v>
      </c>
      <c r="G25" s="1608">
        <f>$D$25*G23/$D$23</f>
        <v>0.18571428571428569</v>
      </c>
      <c r="H25" s="1605"/>
      <c r="I25" s="184" t="s">
        <v>1571</v>
      </c>
      <c r="J25" s="1606"/>
    </row>
    <row r="26" spans="2:14">
      <c r="B26" s="1204" t="s">
        <v>396</v>
      </c>
      <c r="C26" s="1601" t="s">
        <v>105</v>
      </c>
      <c r="D26" s="1609">
        <f>D105</f>
        <v>1.9</v>
      </c>
      <c r="E26" s="202">
        <f>E105</f>
        <v>1.83</v>
      </c>
      <c r="F26" s="202">
        <f>F105</f>
        <v>1.66</v>
      </c>
      <c r="G26" s="202">
        <f>G105</f>
        <v>1.54</v>
      </c>
      <c r="H26" s="1610"/>
      <c r="I26" s="184"/>
      <c r="J26" s="1606"/>
    </row>
    <row r="27" spans="2:14">
      <c r="B27" s="1607" t="s">
        <v>395</v>
      </c>
      <c r="C27" s="1611" t="s">
        <v>105</v>
      </c>
      <c r="D27" s="1612">
        <f>D71*1/D24</f>
        <v>0.92121212121212115</v>
      </c>
      <c r="E27" s="1612">
        <f t="shared" ref="E27:G27" si="0">E71*1/E24</f>
        <v>0.88727272727272732</v>
      </c>
      <c r="F27" s="1612">
        <f t="shared" si="0"/>
        <v>0.8048484848484847</v>
      </c>
      <c r="G27" s="1612">
        <f t="shared" si="0"/>
        <v>0.7466666666666667</v>
      </c>
      <c r="H27" s="1610"/>
      <c r="I27" s="184"/>
      <c r="J27" s="1606"/>
    </row>
    <row r="28" spans="2:14">
      <c r="B28" s="1607" t="s">
        <v>1572</v>
      </c>
      <c r="C28" s="1611" t="s">
        <v>1573</v>
      </c>
      <c r="D28" s="1612">
        <f>1000/(D27*D72)</f>
        <v>6.4614661654135341</v>
      </c>
      <c r="E28" s="1612">
        <f>1000/(E27*E72)</f>
        <v>6.7086260733801719</v>
      </c>
      <c r="F28" s="1612">
        <f>1000/(F27*F72)</f>
        <v>7.3956540447504313</v>
      </c>
      <c r="G28" s="1612">
        <f>1000/(G27*G72)</f>
        <v>7.9719387755102034</v>
      </c>
      <c r="H28" s="1610"/>
      <c r="I28" s="184"/>
      <c r="J28" s="1606"/>
    </row>
    <row r="29" spans="2:14">
      <c r="B29" s="1607" t="s">
        <v>395</v>
      </c>
      <c r="C29" s="1611" t="s">
        <v>105</v>
      </c>
      <c r="D29" s="1612">
        <f>D71*1/D25</f>
        <v>1.9</v>
      </c>
      <c r="E29" s="1612">
        <f t="shared" ref="E29:G29" si="1">E71*1/E25</f>
        <v>1.83</v>
      </c>
      <c r="F29" s="1612">
        <f t="shared" si="1"/>
        <v>1.66</v>
      </c>
      <c r="G29" s="1612">
        <f t="shared" si="1"/>
        <v>1.54</v>
      </c>
      <c r="H29" s="1610"/>
      <c r="I29" s="184"/>
      <c r="J29" s="1606"/>
    </row>
    <row r="30" spans="2:14">
      <c r="B30" s="1607" t="s">
        <v>1572</v>
      </c>
      <c r="C30" s="1611" t="s">
        <v>1573</v>
      </c>
      <c r="D30" s="1612">
        <f>1000/(D29*D72)</f>
        <v>3.1328320802005014</v>
      </c>
      <c r="E30" s="1612">
        <f>1000/(E29*E72)</f>
        <v>3.2526671870934165</v>
      </c>
      <c r="F30" s="1612">
        <f>1000/(F29*F72)</f>
        <v>3.5857716580608145</v>
      </c>
      <c r="G30" s="1612">
        <f>1000/(G29*G72)</f>
        <v>3.8651824366110077</v>
      </c>
      <c r="H30" s="1610"/>
      <c r="I30" s="184"/>
      <c r="J30" s="1606"/>
    </row>
    <row r="31" spans="2:14">
      <c r="B31" s="1583" t="s">
        <v>107</v>
      </c>
      <c r="C31" s="1601" t="s">
        <v>108</v>
      </c>
      <c r="D31" s="1613"/>
      <c r="E31" s="1614"/>
      <c r="F31" s="1614"/>
      <c r="G31" s="1614"/>
      <c r="H31" s="1614"/>
      <c r="I31" s="346"/>
      <c r="J31" s="1585"/>
    </row>
    <row r="32" spans="2:14">
      <c r="B32" s="1583" t="s">
        <v>109</v>
      </c>
      <c r="C32" s="1601" t="s">
        <v>110</v>
      </c>
      <c r="D32" s="1615"/>
      <c r="E32" s="137"/>
      <c r="F32" s="137"/>
      <c r="G32" s="137"/>
      <c r="H32" s="1616"/>
      <c r="I32" s="184"/>
      <c r="J32" s="1585"/>
    </row>
    <row r="33" spans="2:11">
      <c r="B33" s="1165"/>
      <c r="C33" s="1617" t="s">
        <v>1557</v>
      </c>
      <c r="D33" s="1609">
        <f>1/D26</f>
        <v>0.52631578947368418</v>
      </c>
      <c r="E33" s="1609">
        <f>1/E26</f>
        <v>0.54644808743169393</v>
      </c>
      <c r="F33" s="1609">
        <f>1/F26</f>
        <v>0.60240963855421692</v>
      </c>
      <c r="G33" s="1609">
        <f>1/G26</f>
        <v>0.64935064935064934</v>
      </c>
      <c r="H33" s="1609"/>
      <c r="I33" s="1584"/>
      <c r="J33" s="1585"/>
    </row>
    <row r="34" spans="2:11">
      <c r="B34" s="1586" t="s">
        <v>111</v>
      </c>
      <c r="C34" s="1601"/>
      <c r="D34" s="1618"/>
      <c r="E34" s="1619"/>
      <c r="F34" s="1619"/>
      <c r="G34" s="1619"/>
      <c r="H34" s="1619"/>
      <c r="I34" s="1584"/>
      <c r="J34" s="1585"/>
    </row>
    <row r="35" spans="2:11">
      <c r="B35" s="1583" t="s">
        <v>112</v>
      </c>
      <c r="C35" s="1601" t="s">
        <v>15</v>
      </c>
      <c r="D35" s="1620">
        <v>0</v>
      </c>
      <c r="E35" s="1620">
        <v>0</v>
      </c>
      <c r="F35" s="1620">
        <v>0</v>
      </c>
      <c r="G35" s="1620">
        <v>0</v>
      </c>
      <c r="H35" s="1621">
        <v>2015</v>
      </c>
      <c r="I35" s="1584"/>
      <c r="J35" s="1585"/>
    </row>
    <row r="36" spans="2:11">
      <c r="B36" s="1165" t="s">
        <v>16</v>
      </c>
      <c r="C36" s="1601" t="s">
        <v>17</v>
      </c>
      <c r="D36" s="1620">
        <v>849.46254619530305</v>
      </c>
      <c r="E36" s="1620">
        <v>873.10269839213697</v>
      </c>
      <c r="F36" s="1620">
        <v>948.00836579989857</v>
      </c>
      <c r="G36" s="1620">
        <v>971.21136776003607</v>
      </c>
      <c r="H36" s="1621">
        <v>2015</v>
      </c>
      <c r="I36" s="1584"/>
      <c r="J36" s="1585"/>
    </row>
    <row r="37" spans="2:11">
      <c r="B37" s="1622" t="s">
        <v>18</v>
      </c>
      <c r="C37" s="1601" t="s">
        <v>17</v>
      </c>
      <c r="D37" s="1620">
        <v>0</v>
      </c>
      <c r="E37" s="1620">
        <v>0</v>
      </c>
      <c r="F37" s="1620">
        <v>0</v>
      </c>
      <c r="G37" s="1620">
        <v>0</v>
      </c>
      <c r="H37" s="1621">
        <v>2015</v>
      </c>
      <c r="I37" s="1584"/>
      <c r="J37" s="1585"/>
    </row>
    <row r="38" spans="2:11">
      <c r="B38" s="1622" t="s">
        <v>19</v>
      </c>
      <c r="C38" s="1601" t="s">
        <v>17</v>
      </c>
      <c r="D38" s="1620">
        <v>849.46254619530305</v>
      </c>
      <c r="E38" s="1620">
        <v>873.10269839213697</v>
      </c>
      <c r="F38" s="1620">
        <v>948.00836579989857</v>
      </c>
      <c r="G38" s="1620">
        <v>971.21136776003607</v>
      </c>
      <c r="H38" s="1621">
        <v>2015</v>
      </c>
      <c r="I38" s="1584"/>
      <c r="J38" s="1585"/>
    </row>
    <row r="39" spans="2:11">
      <c r="B39" s="1622"/>
      <c r="C39" s="1601"/>
      <c r="D39" s="1620"/>
      <c r="E39" s="1620"/>
      <c r="F39" s="1620"/>
      <c r="G39" s="1620"/>
      <c r="H39" s="1621"/>
      <c r="I39" s="1584"/>
      <c r="J39" s="1585"/>
    </row>
    <row r="40" spans="2:11">
      <c r="B40" s="1622" t="s">
        <v>113</v>
      </c>
      <c r="C40" s="1601" t="s">
        <v>17</v>
      </c>
      <c r="D40" s="1620">
        <v>0</v>
      </c>
      <c r="E40" s="1620">
        <v>0</v>
      </c>
      <c r="F40" s="1620">
        <v>0</v>
      </c>
      <c r="G40" s="1620">
        <v>0</v>
      </c>
      <c r="H40" s="1621">
        <v>2015</v>
      </c>
      <c r="I40" s="1584"/>
      <c r="J40" s="1585"/>
    </row>
    <row r="41" spans="2:11">
      <c r="B41" s="1586"/>
      <c r="C41" s="1601"/>
      <c r="D41" s="1618"/>
      <c r="E41" s="1619"/>
      <c r="F41" s="1619"/>
      <c r="G41" s="1619"/>
      <c r="H41" s="1619"/>
      <c r="I41" s="1584"/>
      <c r="J41" s="1585"/>
    </row>
    <row r="42" spans="2:11">
      <c r="B42" s="1583" t="s">
        <v>112</v>
      </c>
      <c r="C42" s="1601" t="s">
        <v>15</v>
      </c>
      <c r="D42" s="1623"/>
      <c r="E42" s="130"/>
      <c r="F42" s="130"/>
      <c r="G42" s="130"/>
      <c r="H42" s="1624">
        <v>2012</v>
      </c>
      <c r="I42" s="184"/>
      <c r="J42" s="1585"/>
    </row>
    <row r="43" spans="2:11">
      <c r="B43" s="1165" t="s">
        <v>16</v>
      </c>
      <c r="C43" s="1601" t="s">
        <v>17</v>
      </c>
      <c r="D43" s="1625">
        <f>SUM(D44:D47)</f>
        <v>802.22618027374654</v>
      </c>
      <c r="E43" s="1626">
        <f>SUM(E44:E47)</f>
        <v>824.55176611964191</v>
      </c>
      <c r="F43" s="1626">
        <f>SUM(F44:F47)</f>
        <v>895.29212743931384</v>
      </c>
      <c r="G43" s="1626">
        <f>SUM(G44:G47)</f>
        <v>917.2048718171992</v>
      </c>
      <c r="H43" s="1624">
        <v>2012</v>
      </c>
      <c r="I43" s="184"/>
      <c r="J43" s="1585"/>
    </row>
    <row r="44" spans="2:11">
      <c r="B44" s="1622" t="s">
        <v>18</v>
      </c>
      <c r="C44" s="1601" t="s">
        <v>17</v>
      </c>
      <c r="D44" s="1627"/>
      <c r="E44" s="1628"/>
      <c r="F44" s="1628"/>
      <c r="G44" s="1628"/>
      <c r="H44" s="1624">
        <v>2012</v>
      </c>
      <c r="I44" s="184"/>
      <c r="J44" s="1585"/>
    </row>
    <row r="45" spans="2:11">
      <c r="B45" s="1622" t="s">
        <v>19</v>
      </c>
      <c r="C45" s="1601" t="s">
        <v>17</v>
      </c>
      <c r="D45" s="1629">
        <f>D93/(D71*D72)*1000</f>
        <v>802.22618027374654</v>
      </c>
      <c r="E45" s="1629">
        <f>E93/(E71*E72)*1000</f>
        <v>824.55176611964191</v>
      </c>
      <c r="F45" s="1629">
        <f>F93/(F71*F72)*1000</f>
        <v>895.29212743931384</v>
      </c>
      <c r="G45" s="1629">
        <f>G93/(G71*G72)*1000</f>
        <v>917.2048718171992</v>
      </c>
      <c r="H45" s="1624">
        <v>2012</v>
      </c>
      <c r="I45" s="346"/>
      <c r="J45" s="1585"/>
      <c r="K45" s="241"/>
    </row>
    <row r="46" spans="2:11">
      <c r="B46" s="1622"/>
      <c r="C46" s="1601"/>
      <c r="D46" s="1618"/>
      <c r="E46" s="1619"/>
      <c r="F46" s="1619"/>
      <c r="G46" s="1619"/>
      <c r="H46" s="1624"/>
      <c r="I46" s="184"/>
      <c r="J46" s="1585"/>
    </row>
    <row r="47" spans="2:11">
      <c r="B47" s="1622" t="s">
        <v>113</v>
      </c>
      <c r="C47" s="1601" t="s">
        <v>17</v>
      </c>
      <c r="D47" s="1613"/>
      <c r="E47" s="1614"/>
      <c r="F47" s="1614"/>
      <c r="G47" s="1614"/>
      <c r="H47" s="1624">
        <v>2012</v>
      </c>
      <c r="I47" s="184"/>
      <c r="J47" s="1585"/>
    </row>
    <row r="48" spans="2:11">
      <c r="B48" s="1622"/>
      <c r="C48" s="1601"/>
      <c r="D48" s="1618"/>
      <c r="E48" s="1619"/>
      <c r="F48" s="1619"/>
      <c r="G48" s="1619"/>
      <c r="H48" s="1619"/>
      <c r="I48" s="184"/>
      <c r="J48" s="1585"/>
    </row>
    <row r="49" spans="2:10">
      <c r="B49" s="1586" t="s">
        <v>114</v>
      </c>
      <c r="C49" s="1601"/>
      <c r="D49" s="1618"/>
      <c r="E49" s="1619"/>
      <c r="F49" s="1619"/>
      <c r="G49" s="1619"/>
      <c r="H49" s="1630"/>
      <c r="I49" s="184"/>
      <c r="J49" s="1585"/>
    </row>
    <row r="50" spans="2:10">
      <c r="B50" s="1631" t="s">
        <v>30</v>
      </c>
      <c r="C50" s="1601"/>
      <c r="D50" s="1618"/>
      <c r="E50" s="1619"/>
      <c r="F50" s="1619"/>
      <c r="G50" s="1619"/>
      <c r="H50" s="1628"/>
      <c r="I50" s="184"/>
      <c r="J50" s="1585"/>
    </row>
    <row r="51" spans="2:10">
      <c r="B51" s="1165" t="s">
        <v>20</v>
      </c>
      <c r="C51" s="1601" t="s">
        <v>394</v>
      </c>
      <c r="D51" s="1632"/>
      <c r="E51" s="357"/>
      <c r="F51" s="357"/>
      <c r="G51" s="357"/>
      <c r="H51" s="1628"/>
      <c r="I51" s="184"/>
      <c r="J51" s="1633" t="s">
        <v>115</v>
      </c>
    </row>
    <row r="52" spans="2:10">
      <c r="B52" s="1165" t="s">
        <v>21</v>
      </c>
      <c r="C52" s="1601" t="s">
        <v>394</v>
      </c>
      <c r="D52" s="122">
        <f t="shared" ref="D52:G54" si="2">D108/D$105</f>
        <v>0</v>
      </c>
      <c r="E52" s="122">
        <f t="shared" si="2"/>
        <v>0</v>
      </c>
      <c r="F52" s="122">
        <f t="shared" si="2"/>
        <v>0</v>
      </c>
      <c r="G52" s="122">
        <f t="shared" si="2"/>
        <v>0</v>
      </c>
      <c r="H52" s="1634"/>
      <c r="I52" s="184"/>
      <c r="J52" s="1585"/>
    </row>
    <row r="53" spans="2:10">
      <c r="B53" s="1165" t="s">
        <v>22</v>
      </c>
      <c r="C53" s="1601" t="s">
        <v>394</v>
      </c>
      <c r="D53" s="122">
        <f t="shared" si="2"/>
        <v>0</v>
      </c>
      <c r="E53" s="122">
        <f t="shared" si="2"/>
        <v>0</v>
      </c>
      <c r="F53" s="122">
        <f t="shared" si="2"/>
        <v>0</v>
      </c>
      <c r="G53" s="122">
        <f t="shared" si="2"/>
        <v>0</v>
      </c>
      <c r="H53" s="1619"/>
      <c r="I53" s="184"/>
      <c r="J53" s="1585"/>
    </row>
    <row r="54" spans="2:10">
      <c r="B54" s="1165" t="s">
        <v>23</v>
      </c>
      <c r="C54" s="1601" t="s">
        <v>394</v>
      </c>
      <c r="D54" s="122">
        <f t="shared" si="2"/>
        <v>0</v>
      </c>
      <c r="E54" s="122">
        <f t="shared" si="2"/>
        <v>0</v>
      </c>
      <c r="F54" s="122">
        <f t="shared" si="2"/>
        <v>0</v>
      </c>
      <c r="G54" s="122">
        <f t="shared" si="2"/>
        <v>0</v>
      </c>
      <c r="H54" s="1614"/>
      <c r="I54" s="184"/>
      <c r="J54" s="1585"/>
    </row>
    <row r="55" spans="2:10">
      <c r="B55" s="1165" t="s">
        <v>116</v>
      </c>
      <c r="C55" s="1601" t="s">
        <v>394</v>
      </c>
      <c r="D55" s="122">
        <f>D111/D$105/D72</f>
        <v>9.5588257451420452E-2</v>
      </c>
      <c r="E55" s="122">
        <f>E111/E$105/E72</f>
        <v>9.9244638883988448E-2</v>
      </c>
      <c r="F55" s="122">
        <f>F111/F$105/F72</f>
        <v>0.10940824648054148</v>
      </c>
      <c r="G55" s="122">
        <f>G111/G$105/G72</f>
        <v>0.11793356438811613</v>
      </c>
      <c r="H55" s="1619"/>
      <c r="I55" s="184"/>
      <c r="J55" s="1585"/>
    </row>
    <row r="56" spans="2:10">
      <c r="B56" s="1165" t="s">
        <v>24</v>
      </c>
      <c r="C56" s="1601" t="s">
        <v>394</v>
      </c>
      <c r="D56" s="122">
        <f>D112/D$105</f>
        <v>0</v>
      </c>
      <c r="E56" s="122">
        <f>E112/E$105</f>
        <v>0</v>
      </c>
      <c r="F56" s="122">
        <f>F112/F$105</f>
        <v>0</v>
      </c>
      <c r="G56" s="122">
        <f>G112/G$105</f>
        <v>0</v>
      </c>
      <c r="H56" s="1619"/>
      <c r="I56" s="184"/>
      <c r="J56" s="1585"/>
    </row>
    <row r="57" spans="2:10">
      <c r="B57" s="1165"/>
      <c r="C57" s="1601"/>
      <c r="D57" s="1635"/>
      <c r="E57" s="1584"/>
      <c r="F57" s="1584"/>
      <c r="G57" s="1584"/>
      <c r="H57" s="1619"/>
      <c r="I57" s="184"/>
      <c r="J57" s="1585"/>
    </row>
    <row r="58" spans="2:10">
      <c r="B58" s="1631" t="s">
        <v>31</v>
      </c>
      <c r="C58" s="1601"/>
      <c r="D58" s="1618"/>
      <c r="E58" s="1619"/>
      <c r="F58" s="1619"/>
      <c r="G58" s="1619"/>
      <c r="H58" s="1634"/>
      <c r="I58" s="184"/>
      <c r="J58" s="1585"/>
    </row>
    <row r="59" spans="2:10">
      <c r="B59" s="1165" t="s">
        <v>20</v>
      </c>
      <c r="C59" s="1601" t="s">
        <v>394</v>
      </c>
      <c r="D59" s="1632"/>
      <c r="E59" s="357"/>
      <c r="F59" s="357"/>
      <c r="G59" s="357"/>
      <c r="H59" s="1636"/>
      <c r="I59" s="184"/>
      <c r="J59" s="1633" t="s">
        <v>115</v>
      </c>
    </row>
    <row r="60" spans="2:10">
      <c r="B60" s="1165" t="s">
        <v>21</v>
      </c>
      <c r="C60" s="1601" t="s">
        <v>394</v>
      </c>
      <c r="D60" s="1637">
        <f t="shared" ref="D60:G64" si="3">D52</f>
        <v>0</v>
      </c>
      <c r="E60" s="115">
        <f t="shared" si="3"/>
        <v>0</v>
      </c>
      <c r="F60" s="115">
        <f t="shared" si="3"/>
        <v>0</v>
      </c>
      <c r="G60" s="115">
        <f t="shared" si="3"/>
        <v>0</v>
      </c>
      <c r="H60" s="1636"/>
      <c r="I60" s="184"/>
      <c r="J60" s="1585"/>
    </row>
    <row r="61" spans="2:10">
      <c r="B61" s="1165" t="s">
        <v>22</v>
      </c>
      <c r="C61" s="1601" t="s">
        <v>394</v>
      </c>
      <c r="D61" s="1637">
        <f t="shared" si="3"/>
        <v>0</v>
      </c>
      <c r="E61" s="115">
        <f t="shared" si="3"/>
        <v>0</v>
      </c>
      <c r="F61" s="115">
        <f t="shared" si="3"/>
        <v>0</v>
      </c>
      <c r="G61" s="115">
        <f t="shared" si="3"/>
        <v>0</v>
      </c>
      <c r="H61" s="1636"/>
      <c r="I61" s="184"/>
      <c r="J61" s="1585"/>
    </row>
    <row r="62" spans="2:10">
      <c r="B62" s="1165" t="s">
        <v>23</v>
      </c>
      <c r="C62" s="1601" t="s">
        <v>394</v>
      </c>
      <c r="D62" s="1637">
        <f t="shared" si="3"/>
        <v>0</v>
      </c>
      <c r="E62" s="115">
        <f t="shared" si="3"/>
        <v>0</v>
      </c>
      <c r="F62" s="115">
        <f t="shared" si="3"/>
        <v>0</v>
      </c>
      <c r="G62" s="115">
        <f t="shared" si="3"/>
        <v>0</v>
      </c>
      <c r="H62" s="1636"/>
      <c r="I62" s="184"/>
      <c r="J62" s="1585"/>
    </row>
    <row r="63" spans="2:10">
      <c r="B63" s="1165" t="s">
        <v>116</v>
      </c>
      <c r="C63" s="1601" t="s">
        <v>394</v>
      </c>
      <c r="D63" s="1637">
        <f t="shared" si="3"/>
        <v>9.5588257451420452E-2</v>
      </c>
      <c r="E63" s="115">
        <f t="shared" si="3"/>
        <v>9.9244638883988448E-2</v>
      </c>
      <c r="F63" s="115">
        <f t="shared" si="3"/>
        <v>0.10940824648054148</v>
      </c>
      <c r="G63" s="115">
        <f t="shared" si="3"/>
        <v>0.11793356438811613</v>
      </c>
      <c r="H63" s="1636"/>
      <c r="I63" s="184"/>
      <c r="J63" s="1585"/>
    </row>
    <row r="64" spans="2:10">
      <c r="B64" s="1165" t="s">
        <v>24</v>
      </c>
      <c r="C64" s="1601" t="s">
        <v>394</v>
      </c>
      <c r="D64" s="1637">
        <f t="shared" si="3"/>
        <v>0</v>
      </c>
      <c r="E64" s="115">
        <f t="shared" si="3"/>
        <v>0</v>
      </c>
      <c r="F64" s="115">
        <f t="shared" si="3"/>
        <v>0</v>
      </c>
      <c r="G64" s="115">
        <f t="shared" si="3"/>
        <v>0</v>
      </c>
      <c r="H64" s="1621"/>
      <c r="I64" s="184"/>
      <c r="J64" s="1585"/>
    </row>
    <row r="65" spans="2:10" ht="14.4" thickBot="1">
      <c r="B65" s="1188"/>
      <c r="C65" s="1638"/>
      <c r="D65" s="1639"/>
      <c r="E65" s="1591"/>
      <c r="F65" s="1591"/>
      <c r="G65" s="1591"/>
      <c r="H65" s="1591"/>
      <c r="I65" s="1186"/>
      <c r="J65" s="1155"/>
    </row>
    <row r="68" spans="2:10" ht="16.2" thickBot="1">
      <c r="B68" s="87" t="s">
        <v>117</v>
      </c>
    </row>
    <row r="69" spans="2:10">
      <c r="B69" s="1592"/>
      <c r="C69" s="1593"/>
      <c r="D69" s="1594"/>
      <c r="E69" s="1581"/>
      <c r="F69" s="1581"/>
      <c r="G69" s="1581"/>
      <c r="H69" s="1581"/>
      <c r="I69" s="1581" t="s">
        <v>97</v>
      </c>
      <c r="J69" s="1582" t="s">
        <v>98</v>
      </c>
    </row>
    <row r="70" spans="2:10">
      <c r="B70" s="1595"/>
      <c r="C70" s="1596" t="s">
        <v>99</v>
      </c>
      <c r="D70" s="1597">
        <v>2015</v>
      </c>
      <c r="E70" s="1598">
        <v>2020</v>
      </c>
      <c r="F70" s="1598">
        <v>2035</v>
      </c>
      <c r="G70" s="1598">
        <v>2050</v>
      </c>
      <c r="H70" s="1598"/>
      <c r="I70" s="1599"/>
      <c r="J70" s="1600"/>
    </row>
    <row r="71" spans="2:10">
      <c r="B71" s="1165" t="s">
        <v>393</v>
      </c>
      <c r="C71" s="1640" t="s">
        <v>392</v>
      </c>
      <c r="D71" s="1641">
        <v>0.30399999999999999</v>
      </c>
      <c r="E71" s="1642">
        <v>0.30199999999999999</v>
      </c>
      <c r="F71" s="1642">
        <v>0.29299999999999998</v>
      </c>
      <c r="G71" s="1642">
        <v>0.28599999999999998</v>
      </c>
      <c r="H71" s="1643"/>
      <c r="I71" s="1584" t="s">
        <v>608</v>
      </c>
      <c r="J71" s="1585"/>
    </row>
    <row r="72" spans="2:10">
      <c r="B72" s="1165" t="s">
        <v>391</v>
      </c>
      <c r="C72" s="1640" t="s">
        <v>390</v>
      </c>
      <c r="D72" s="1641">
        <v>168</v>
      </c>
      <c r="E72" s="1641">
        <v>168</v>
      </c>
      <c r="F72" s="1641">
        <v>168</v>
      </c>
      <c r="G72" s="1641">
        <v>168</v>
      </c>
      <c r="H72" s="1643"/>
      <c r="I72" s="1584"/>
      <c r="J72" s="1585"/>
    </row>
    <row r="73" spans="2:10">
      <c r="B73" s="1165"/>
      <c r="C73" s="1640"/>
      <c r="D73" s="1644"/>
      <c r="E73" s="1619"/>
      <c r="F73" s="1619"/>
      <c r="G73" s="1619"/>
      <c r="H73" s="1619"/>
      <c r="I73" s="346"/>
      <c r="J73" s="1585"/>
    </row>
    <row r="74" spans="2:10">
      <c r="B74" s="1645" t="s">
        <v>389</v>
      </c>
      <c r="C74" s="1646"/>
      <c r="D74" s="378">
        <v>396134</v>
      </c>
      <c r="E74" s="378">
        <v>396134</v>
      </c>
      <c r="F74" s="378">
        <v>396134</v>
      </c>
      <c r="G74" s="378">
        <v>396134</v>
      </c>
      <c r="H74" s="378"/>
      <c r="I74" s="1646" t="s">
        <v>368</v>
      </c>
      <c r="J74" s="1646" t="s">
        <v>359</v>
      </c>
    </row>
    <row r="75" spans="2:10">
      <c r="B75" s="1645" t="s">
        <v>388</v>
      </c>
      <c r="C75" s="1646"/>
      <c r="D75" s="380">
        <f>D74*D82</f>
        <v>438420.5524416939</v>
      </c>
      <c r="E75" s="380">
        <f>E74*E82</f>
        <v>438420.5524416939</v>
      </c>
      <c r="F75" s="380">
        <f>F74*F82</f>
        <v>438420.5524416939</v>
      </c>
      <c r="G75" s="380">
        <f>G74*G82</f>
        <v>438420.5524416939</v>
      </c>
      <c r="H75" s="380"/>
      <c r="I75" s="1646"/>
      <c r="J75" s="1646"/>
    </row>
    <row r="76" spans="2:10">
      <c r="B76" s="1645" t="s">
        <v>387</v>
      </c>
      <c r="C76" s="1647" t="s">
        <v>334</v>
      </c>
      <c r="D76" s="1648">
        <v>1069</v>
      </c>
      <c r="E76" s="378">
        <v>1069</v>
      </c>
      <c r="F76" s="378">
        <v>1069</v>
      </c>
      <c r="G76" s="378">
        <v>1069</v>
      </c>
      <c r="H76" s="378"/>
      <c r="I76" s="1646" t="s">
        <v>368</v>
      </c>
      <c r="J76" s="1646" t="s">
        <v>359</v>
      </c>
    </row>
    <row r="77" spans="2:10">
      <c r="B77" s="1645" t="s">
        <v>386</v>
      </c>
      <c r="C77" s="1646" t="s">
        <v>119</v>
      </c>
      <c r="D77" s="378">
        <v>1098000000</v>
      </c>
      <c r="E77" s="378">
        <f>D77/1.015^(E70-D70)</f>
        <v>1019229837.2953928</v>
      </c>
      <c r="F77" s="378">
        <f>E77/1.015^(F70-E70)</f>
        <v>815232519.20970285</v>
      </c>
      <c r="G77" s="378">
        <f>E77/1.015^(F70-E70)</f>
        <v>815232519.20970285</v>
      </c>
      <c r="H77" s="378"/>
      <c r="I77" s="1646" t="s">
        <v>385</v>
      </c>
      <c r="J77" s="1646" t="s">
        <v>359</v>
      </c>
    </row>
    <row r="78" spans="2:10">
      <c r="B78" s="1645" t="s">
        <v>384</v>
      </c>
      <c r="C78" s="1646"/>
      <c r="D78" s="378">
        <v>28990000</v>
      </c>
      <c r="E78" s="378">
        <v>28990000</v>
      </c>
      <c r="F78" s="378">
        <v>28990000</v>
      </c>
      <c r="G78" s="378">
        <v>28990000</v>
      </c>
      <c r="H78" s="378"/>
      <c r="I78" s="1646" t="s">
        <v>368</v>
      </c>
      <c r="J78" s="1646" t="s">
        <v>359</v>
      </c>
    </row>
    <row r="79" spans="2:10">
      <c r="B79" s="1645" t="s">
        <v>383</v>
      </c>
      <c r="C79" s="1646" t="s">
        <v>334</v>
      </c>
      <c r="D79" s="378">
        <v>30668000000</v>
      </c>
      <c r="E79" s="378">
        <v>30668000000</v>
      </c>
      <c r="F79" s="378">
        <v>30668000000</v>
      </c>
      <c r="G79" s="378">
        <v>30668000000</v>
      </c>
      <c r="H79" s="378"/>
      <c r="I79" s="1646" t="s">
        <v>368</v>
      </c>
      <c r="J79" s="1646" t="s">
        <v>359</v>
      </c>
    </row>
    <row r="80" spans="2:10">
      <c r="B80" s="1645" t="s">
        <v>382</v>
      </c>
      <c r="C80" s="1646" t="s">
        <v>334</v>
      </c>
      <c r="D80" s="378">
        <v>37003000000</v>
      </c>
      <c r="E80" s="378">
        <v>37003000000</v>
      </c>
      <c r="F80" s="378">
        <v>37003000000</v>
      </c>
      <c r="G80" s="378">
        <v>37003000000</v>
      </c>
      <c r="H80" s="378"/>
      <c r="I80" s="1646" t="s">
        <v>368</v>
      </c>
      <c r="J80" s="1646" t="s">
        <v>359</v>
      </c>
    </row>
    <row r="81" spans="2:10">
      <c r="B81" s="1645" t="s">
        <v>381</v>
      </c>
      <c r="C81" s="1646" t="s">
        <v>334</v>
      </c>
      <c r="D81" s="378">
        <v>40953000000</v>
      </c>
      <c r="E81" s="378">
        <v>40953000000</v>
      </c>
      <c r="F81" s="378">
        <v>40953000000</v>
      </c>
      <c r="G81" s="378">
        <v>40953000000</v>
      </c>
      <c r="H81" s="378"/>
      <c r="I81" s="1646" t="s">
        <v>368</v>
      </c>
      <c r="J81" s="1646" t="s">
        <v>359</v>
      </c>
    </row>
    <row r="82" spans="2:10">
      <c r="B82" s="1645" t="s">
        <v>380</v>
      </c>
      <c r="C82" s="1646"/>
      <c r="D82" s="380">
        <f>D81/D80</f>
        <v>1.1067481015052834</v>
      </c>
      <c r="E82" s="380">
        <f>E81/E80</f>
        <v>1.1067481015052834</v>
      </c>
      <c r="F82" s="380">
        <f>F81/F80</f>
        <v>1.1067481015052834</v>
      </c>
      <c r="G82" s="380">
        <f>G81/G80</f>
        <v>1.1067481015052834</v>
      </c>
      <c r="H82" s="380"/>
      <c r="I82" s="1646"/>
      <c r="J82" s="1646"/>
    </row>
    <row r="83" spans="2:10">
      <c r="B83" s="1649" t="s">
        <v>379</v>
      </c>
      <c r="C83" s="1646" t="s">
        <v>334</v>
      </c>
      <c r="D83" s="492">
        <f>D79/D75</f>
        <v>69951.100214624574</v>
      </c>
      <c r="E83" s="380">
        <f>E79/E75</f>
        <v>69951.100214624574</v>
      </c>
      <c r="F83" s="380">
        <f>F79/F75</f>
        <v>69951.100214624574</v>
      </c>
      <c r="G83" s="380">
        <f>G79/G75</f>
        <v>69951.100214624574</v>
      </c>
      <c r="H83" s="380"/>
      <c r="I83" s="1646"/>
      <c r="J83" s="1646"/>
    </row>
    <row r="84" spans="2:10">
      <c r="B84" s="1645" t="s">
        <v>378</v>
      </c>
      <c r="C84" s="1646" t="s">
        <v>119</v>
      </c>
      <c r="D84" s="380">
        <f>D77/D75</f>
        <v>2504.4446340047539</v>
      </c>
      <c r="E84" s="380">
        <f>E77/E75</f>
        <v>2324.7765909216619</v>
      </c>
      <c r="F84" s="380">
        <f>F77/F75</f>
        <v>1859.4760548277939</v>
      </c>
      <c r="G84" s="380">
        <f>G77/G75</f>
        <v>1859.4760548277939</v>
      </c>
      <c r="H84" s="380"/>
      <c r="I84" s="1646"/>
      <c r="J84" s="1646"/>
    </row>
    <row r="85" spans="2:10">
      <c r="B85" s="1645" t="s">
        <v>377</v>
      </c>
      <c r="C85" s="1646" t="s">
        <v>376</v>
      </c>
      <c r="D85" s="380">
        <f>D84/D76</f>
        <v>2.3427919869080953</v>
      </c>
      <c r="E85" s="380">
        <f>E84/E76</f>
        <v>2.1747208521250343</v>
      </c>
      <c r="F85" s="380">
        <f>F84/F76</f>
        <v>1.7394537463309578</v>
      </c>
      <c r="G85" s="380">
        <f>G84/G76</f>
        <v>1.7394537463309578</v>
      </c>
      <c r="H85" s="380"/>
      <c r="I85" s="1646"/>
      <c r="J85" s="1646"/>
    </row>
    <row r="86" spans="2:10">
      <c r="B86" s="1645" t="s">
        <v>153</v>
      </c>
      <c r="C86" s="1646" t="s">
        <v>375</v>
      </c>
      <c r="D86" s="380">
        <v>2.901290386263895</v>
      </c>
      <c r="E86" s="380">
        <v>2.6931527580495782</v>
      </c>
      <c r="F86" s="380">
        <v>2.1541222864779663</v>
      </c>
      <c r="G86" s="380">
        <v>2.1541222864779663</v>
      </c>
      <c r="H86" s="380"/>
      <c r="I86" s="1646"/>
      <c r="J86" s="1646"/>
    </row>
    <row r="87" spans="2:10">
      <c r="B87" s="1645"/>
      <c r="C87" s="1646"/>
      <c r="D87" s="380"/>
      <c r="E87" s="378"/>
      <c r="F87" s="378"/>
      <c r="G87" s="378"/>
      <c r="H87" s="378"/>
      <c r="I87" s="1646"/>
      <c r="J87" s="1646"/>
    </row>
    <row r="88" spans="2:10">
      <c r="B88" s="1645" t="s">
        <v>374</v>
      </c>
      <c r="C88" s="1646" t="s">
        <v>373</v>
      </c>
      <c r="D88" s="378">
        <v>969</v>
      </c>
      <c r="E88" s="378">
        <v>969</v>
      </c>
      <c r="F88" s="378">
        <v>969</v>
      </c>
      <c r="G88" s="378">
        <v>969</v>
      </c>
      <c r="H88" s="378"/>
      <c r="I88" s="1646" t="s">
        <v>368</v>
      </c>
      <c r="J88" s="1646" t="s">
        <v>359</v>
      </c>
    </row>
    <row r="89" spans="2:10">
      <c r="B89" s="1645" t="s">
        <v>372</v>
      </c>
      <c r="C89" s="1646" t="s">
        <v>371</v>
      </c>
      <c r="D89" s="380">
        <f>D88/1000*D85</f>
        <v>2.2701654353139444</v>
      </c>
      <c r="E89" s="380">
        <f>E88/1000*E85</f>
        <v>2.1073045057091582</v>
      </c>
      <c r="F89" s="380">
        <f>F88/1000*F85</f>
        <v>1.6855306801946981</v>
      </c>
      <c r="G89" s="380">
        <f>G88/1000*G85</f>
        <v>1.6855306801946981</v>
      </c>
      <c r="H89" s="380"/>
      <c r="I89" s="1646"/>
      <c r="J89" s="1646" t="s">
        <v>359</v>
      </c>
    </row>
    <row r="90" spans="2:10">
      <c r="B90" s="1645" t="s">
        <v>370</v>
      </c>
      <c r="C90" s="1646" t="s">
        <v>369</v>
      </c>
      <c r="D90" s="378">
        <v>0.81</v>
      </c>
      <c r="E90" s="378">
        <v>0.81</v>
      </c>
      <c r="F90" s="378">
        <v>0.81</v>
      </c>
      <c r="G90" s="378">
        <v>0.81</v>
      </c>
      <c r="H90" s="378"/>
      <c r="I90" s="1646" t="s">
        <v>368</v>
      </c>
      <c r="J90" s="1646" t="s">
        <v>359</v>
      </c>
    </row>
    <row r="91" spans="2:10">
      <c r="B91" s="1645" t="s">
        <v>366</v>
      </c>
      <c r="C91" s="1646" t="s">
        <v>367</v>
      </c>
      <c r="D91" s="380">
        <f>D90*D83</f>
        <v>56660.391173845906</v>
      </c>
      <c r="E91" s="380">
        <f>E90*E83</f>
        <v>56660.391173845906</v>
      </c>
      <c r="F91" s="380">
        <f>F90*F83</f>
        <v>56660.391173845906</v>
      </c>
      <c r="G91" s="380">
        <f>G90*G83</f>
        <v>56660.391173845906</v>
      </c>
      <c r="H91" s="380"/>
      <c r="I91" s="1646"/>
      <c r="J91" s="1646" t="s">
        <v>359</v>
      </c>
    </row>
    <row r="92" spans="2:10">
      <c r="B92" s="1645" t="s">
        <v>366</v>
      </c>
      <c r="C92" s="1646" t="s">
        <v>364</v>
      </c>
      <c r="D92" s="380">
        <f>D91/D76</f>
        <v>53.003172286104686</v>
      </c>
      <c r="E92" s="380">
        <f>E91/E76</f>
        <v>53.003172286104686</v>
      </c>
      <c r="F92" s="380">
        <f>F91/F76</f>
        <v>53.003172286104686</v>
      </c>
      <c r="G92" s="380">
        <f>G91/G76</f>
        <v>53.003172286104686</v>
      </c>
      <c r="H92" s="380"/>
      <c r="I92" s="1646"/>
      <c r="J92" s="1646" t="s">
        <v>359</v>
      </c>
    </row>
    <row r="93" spans="2:10">
      <c r="B93" s="1645" t="s">
        <v>365</v>
      </c>
      <c r="C93" s="1646" t="s">
        <v>364</v>
      </c>
      <c r="D93" s="380">
        <v>40.971295478940782</v>
      </c>
      <c r="E93" s="380">
        <v>41.834458405846149</v>
      </c>
      <c r="F93" s="380">
        <v>44.069859681072785</v>
      </c>
      <c r="G93" s="380">
        <v>44.069859681072785</v>
      </c>
      <c r="H93" s="380"/>
      <c r="I93" s="1646"/>
      <c r="J93" s="1646" t="s">
        <v>359</v>
      </c>
    </row>
    <row r="94" spans="2:10">
      <c r="B94" s="1645"/>
      <c r="C94" s="1646"/>
      <c r="D94" s="380"/>
      <c r="E94" s="378"/>
      <c r="F94" s="378"/>
      <c r="G94" s="378"/>
      <c r="H94" s="378"/>
      <c r="I94" s="1646"/>
      <c r="J94" s="1646"/>
    </row>
    <row r="95" spans="2:10">
      <c r="B95" s="1645" t="s">
        <v>20</v>
      </c>
      <c r="C95" s="1646" t="s">
        <v>363</v>
      </c>
      <c r="D95" s="378">
        <v>3460</v>
      </c>
      <c r="E95" s="378">
        <v>3460</v>
      </c>
      <c r="F95" s="378">
        <v>3460</v>
      </c>
      <c r="G95" s="378">
        <v>3460</v>
      </c>
      <c r="H95" s="378"/>
      <c r="I95" s="1646" t="s">
        <v>360</v>
      </c>
      <c r="J95" s="1646" t="s">
        <v>359</v>
      </c>
    </row>
    <row r="96" spans="2:10">
      <c r="B96" s="1645" t="s">
        <v>116</v>
      </c>
      <c r="C96" s="1646" t="s">
        <v>363</v>
      </c>
      <c r="D96" s="378">
        <v>14.3</v>
      </c>
      <c r="E96" s="378">
        <v>14.3</v>
      </c>
      <c r="F96" s="378">
        <v>14.3</v>
      </c>
      <c r="G96" s="378">
        <v>14.3</v>
      </c>
      <c r="H96" s="378"/>
      <c r="I96" s="1646" t="s">
        <v>360</v>
      </c>
      <c r="J96" s="1646" t="s">
        <v>359</v>
      </c>
    </row>
    <row r="97" spans="2:10">
      <c r="B97" s="1645" t="s">
        <v>187</v>
      </c>
      <c r="C97" s="1646" t="s">
        <v>363</v>
      </c>
      <c r="D97" s="378">
        <v>1</v>
      </c>
      <c r="E97" s="378">
        <v>1</v>
      </c>
      <c r="F97" s="378">
        <v>1</v>
      </c>
      <c r="G97" s="378">
        <v>1</v>
      </c>
      <c r="H97" s="378"/>
      <c r="I97" s="1646" t="s">
        <v>360</v>
      </c>
      <c r="J97" s="1646" t="s">
        <v>359</v>
      </c>
    </row>
    <row r="98" spans="2:10" ht="14.4" thickBot="1">
      <c r="B98" s="1650" t="s">
        <v>362</v>
      </c>
      <c r="C98" s="1651" t="s">
        <v>361</v>
      </c>
      <c r="D98" s="1652">
        <v>652</v>
      </c>
      <c r="E98" s="1652">
        <v>652</v>
      </c>
      <c r="F98" s="1652">
        <v>652</v>
      </c>
      <c r="G98" s="1652">
        <v>652</v>
      </c>
      <c r="H98" s="1652"/>
      <c r="I98" s="1651" t="s">
        <v>360</v>
      </c>
      <c r="J98" s="1646" t="s">
        <v>359</v>
      </c>
    </row>
    <row r="99" spans="2:10">
      <c r="B99" s="371"/>
      <c r="C99" s="371"/>
    </row>
    <row r="100" spans="2:10">
      <c r="B100" s="371"/>
      <c r="C100" s="371"/>
    </row>
    <row r="101" spans="2:10">
      <c r="B101" s="371"/>
      <c r="C101" s="371"/>
    </row>
    <row r="102" spans="2:10">
      <c r="B102" s="373"/>
      <c r="C102" s="372"/>
      <c r="D102" s="371"/>
    </row>
    <row r="103" spans="2:10">
      <c r="B103" s="373"/>
      <c r="C103" s="372"/>
      <c r="D103" s="371"/>
    </row>
    <row r="104" spans="2:10" ht="16.2" thickBot="1">
      <c r="B104" s="87" t="s">
        <v>126</v>
      </c>
    </row>
    <row r="105" spans="2:10">
      <c r="B105" s="1592" t="s">
        <v>358</v>
      </c>
      <c r="C105" s="1581" t="s">
        <v>105</v>
      </c>
      <c r="D105" s="1653">
        <v>1.9</v>
      </c>
      <c r="E105" s="1653">
        <v>1.83</v>
      </c>
      <c r="F105" s="1653">
        <v>1.66</v>
      </c>
      <c r="G105" s="1653">
        <v>1.54</v>
      </c>
      <c r="H105" s="1654"/>
      <c r="I105" s="1655"/>
      <c r="J105" s="1582"/>
    </row>
    <row r="106" spans="2:10">
      <c r="B106" s="1165"/>
      <c r="C106" s="1584"/>
      <c r="D106" s="1584"/>
      <c r="E106" s="1584"/>
      <c r="F106" s="1584"/>
      <c r="G106" s="1584"/>
      <c r="H106" s="1584"/>
      <c r="I106" s="1584"/>
      <c r="J106" s="1585"/>
    </row>
    <row r="107" spans="2:10">
      <c r="B107" s="1165" t="s">
        <v>20</v>
      </c>
      <c r="C107" s="1584" t="s">
        <v>27</v>
      </c>
      <c r="D107" s="369">
        <f>D95/($D$76*$D$75)*1000000000</f>
        <v>7382.5685561949085</v>
      </c>
      <c r="E107" s="369">
        <f>E95/($D$76*$D$75)*1000000000</f>
        <v>7382.5685561949085</v>
      </c>
      <c r="F107" s="369">
        <f>F95/($D$76*$D$75)*1000000000</f>
        <v>7382.5685561949085</v>
      </c>
      <c r="G107" s="369">
        <f>G95/($D$76*$D$75)*1000000000</f>
        <v>7382.5685561949085</v>
      </c>
      <c r="H107" s="369"/>
      <c r="I107" s="1584"/>
      <c r="J107" s="1585"/>
    </row>
    <row r="108" spans="2:10">
      <c r="B108" s="1165" t="s">
        <v>21</v>
      </c>
      <c r="C108" s="1584" t="s">
        <v>27</v>
      </c>
      <c r="D108" s="364"/>
      <c r="E108" s="364"/>
      <c r="F108" s="364"/>
      <c r="G108" s="364"/>
      <c r="H108" s="364"/>
      <c r="I108" s="346"/>
      <c r="J108" s="1585"/>
    </row>
    <row r="109" spans="2:10">
      <c r="B109" s="1165" t="s">
        <v>22</v>
      </c>
      <c r="C109" s="1584" t="s">
        <v>27</v>
      </c>
      <c r="D109" s="364"/>
      <c r="E109" s="364"/>
      <c r="F109" s="364"/>
      <c r="G109" s="364"/>
      <c r="H109" s="364"/>
      <c r="I109" s="346"/>
      <c r="J109" s="1585"/>
    </row>
    <row r="110" spans="2:10">
      <c r="B110" s="1165" t="s">
        <v>23</v>
      </c>
      <c r="C110" s="1584" t="s">
        <v>27</v>
      </c>
      <c r="D110" s="364"/>
      <c r="E110" s="364"/>
      <c r="F110" s="364"/>
      <c r="G110" s="364"/>
      <c r="H110" s="364"/>
      <c r="I110" s="346"/>
      <c r="J110" s="1585"/>
    </row>
    <row r="111" spans="2:10">
      <c r="B111" s="1165" t="s">
        <v>116</v>
      </c>
      <c r="C111" s="1584" t="s">
        <v>27</v>
      </c>
      <c r="D111" s="364">
        <f>D96/($D$76*$D$75)*1000000000</f>
        <v>30.511771778493408</v>
      </c>
      <c r="E111" s="364">
        <f>E96/($D$76*$D$75)*1000000000</f>
        <v>30.511771778493408</v>
      </c>
      <c r="F111" s="364">
        <f>F96/($D$76*$D$75)*1000000000</f>
        <v>30.511771778493408</v>
      </c>
      <c r="G111" s="364">
        <f>G96/($D$76*$D$75)*1000000000</f>
        <v>30.511771778493408</v>
      </c>
      <c r="H111" s="364"/>
      <c r="I111" s="346"/>
      <c r="J111" s="1585"/>
    </row>
    <row r="112" spans="2:10">
      <c r="B112" s="1165" t="s">
        <v>24</v>
      </c>
      <c r="C112" s="1584" t="s">
        <v>27</v>
      </c>
      <c r="D112" s="347"/>
      <c r="E112" s="347"/>
      <c r="F112" s="347"/>
      <c r="G112" s="347"/>
      <c r="H112" s="347"/>
      <c r="I112" s="346"/>
      <c r="J112" s="1585"/>
    </row>
    <row r="113" spans="2:10" ht="14.4" thickBot="1">
      <c r="B113" s="1153"/>
      <c r="C113" s="1591"/>
      <c r="D113" s="1591"/>
      <c r="E113" s="1591"/>
      <c r="F113" s="1591"/>
      <c r="G113" s="1591"/>
      <c r="H113" s="1591"/>
      <c r="I113" s="1591"/>
      <c r="J113" s="1155"/>
    </row>
    <row r="115" spans="2:10">
      <c r="F115" s="66"/>
      <c r="G115" s="66"/>
    </row>
    <row r="116" spans="2:10">
      <c r="F116" s="66"/>
      <c r="G116" s="66"/>
    </row>
    <row r="117" spans="2:10">
      <c r="F117" s="66"/>
      <c r="G117" s="66"/>
      <c r="J117" s="66"/>
    </row>
    <row r="118" spans="2:10">
      <c r="F118" s="66"/>
      <c r="G118" s="66"/>
    </row>
    <row r="119" spans="2:10">
      <c r="F119" s="66"/>
      <c r="G119" s="66"/>
    </row>
  </sheetData>
  <pageMargins left="0.15748031496062992" right="0.15748031496062992" top="1.25" bottom="0.19685039370078741" header="0.51181102362204722" footer="0.51181102362204722"/>
  <pageSetup paperSize="9" scale="60" orientation="landscape" r:id="rId1"/>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7">
    <tabColor rgb="FF002060"/>
    <pageSetUpPr fitToPage="1"/>
  </sheetPr>
  <dimension ref="B1:S115"/>
  <sheetViews>
    <sheetView topLeftCell="A19" zoomScale="80" zoomScaleNormal="80" workbookViewId="0">
      <selection activeCell="G27" sqref="E27:G27"/>
    </sheetView>
  </sheetViews>
  <sheetFormatPr defaultColWidth="8.88671875" defaultRowHeight="13.8"/>
  <cols>
    <col min="1" max="1" width="2.88671875" style="63" customWidth="1"/>
    <col min="2" max="2" width="35" style="63" customWidth="1"/>
    <col min="3" max="3" width="18" style="63" customWidth="1"/>
    <col min="4" max="4" width="19.109375" style="63" bestFit="1"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399</v>
      </c>
      <c r="Q1" s="60">
        <v>0</v>
      </c>
      <c r="R1" s="62">
        <v>0</v>
      </c>
      <c r="S1" s="61"/>
    </row>
    <row r="2" spans="2:19">
      <c r="R2" s="363"/>
      <c r="S2" s="363"/>
    </row>
    <row r="4" spans="2:19" ht="14.4" thickBot="1">
      <c r="B4" s="152" t="s">
        <v>92</v>
      </c>
    </row>
    <row r="5" spans="2:19">
      <c r="B5" s="155" t="s">
        <v>93</v>
      </c>
      <c r="C5" s="83"/>
      <c r="D5" s="83"/>
      <c r="E5" s="83"/>
      <c r="F5" s="83"/>
      <c r="G5" s="83"/>
      <c r="H5" s="83"/>
      <c r="I5" s="83"/>
      <c r="J5" s="83"/>
      <c r="K5" s="83"/>
      <c r="L5" s="83"/>
      <c r="M5" s="83"/>
      <c r="N5" s="81"/>
    </row>
    <row r="6" spans="2:19">
      <c r="B6" s="131" t="s">
        <v>398</v>
      </c>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26"/>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26"/>
      <c r="C12" s="75"/>
      <c r="D12" s="75"/>
      <c r="E12" s="75"/>
      <c r="F12" s="75"/>
      <c r="G12" s="75"/>
      <c r="H12" s="75"/>
      <c r="I12" s="75"/>
      <c r="J12" s="75"/>
      <c r="K12" s="75"/>
      <c r="L12" s="75"/>
      <c r="M12" s="75"/>
      <c r="N12" s="72"/>
    </row>
    <row r="13" spans="2:19">
      <c r="B13" s="126"/>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67"/>
    </row>
    <row r="20" spans="2:14">
      <c r="B20" s="86"/>
      <c r="C20" s="108"/>
      <c r="D20" s="166"/>
      <c r="E20" s="83"/>
      <c r="F20" s="83"/>
      <c r="G20" s="83"/>
      <c r="H20" s="83"/>
      <c r="I20" s="83" t="s">
        <v>97</v>
      </c>
      <c r="J20" s="81" t="s">
        <v>98</v>
      </c>
    </row>
    <row r="21" spans="2:14">
      <c r="B21" s="107"/>
      <c r="C21" s="106" t="s">
        <v>99</v>
      </c>
      <c r="D21" s="105">
        <v>2015</v>
      </c>
      <c r="E21" s="104">
        <v>2020</v>
      </c>
      <c r="F21" s="104">
        <v>2035</v>
      </c>
      <c r="G21" s="104">
        <v>2050</v>
      </c>
      <c r="H21" s="104" t="s">
        <v>100</v>
      </c>
      <c r="I21" s="150"/>
      <c r="J21" s="102"/>
    </row>
    <row r="22" spans="2:14">
      <c r="B22" s="126" t="s">
        <v>101</v>
      </c>
      <c r="C22" s="116"/>
      <c r="D22" s="178"/>
      <c r="E22" s="149"/>
      <c r="F22" s="149"/>
      <c r="G22" s="149"/>
      <c r="H22" s="149"/>
      <c r="I22" s="75"/>
      <c r="J22" s="72"/>
    </row>
    <row r="23" spans="2:14">
      <c r="B23" s="143" t="s">
        <v>102</v>
      </c>
      <c r="C23" s="116" t="s">
        <v>397</v>
      </c>
      <c r="D23" s="387">
        <f>D67/D25</f>
        <v>0.16</v>
      </c>
      <c r="E23" s="387">
        <f>E67/E25</f>
        <v>0.16502732240437157</v>
      </c>
      <c r="F23" s="387">
        <f>F67/F25</f>
        <v>0.17650602409638555</v>
      </c>
      <c r="G23" s="387">
        <f>G67/G25</f>
        <v>0.18571428571428569</v>
      </c>
      <c r="H23" s="145"/>
      <c r="I23" s="184" t="s">
        <v>608</v>
      </c>
      <c r="J23" s="139"/>
    </row>
    <row r="24" spans="2:14">
      <c r="B24" s="143" t="s">
        <v>103</v>
      </c>
      <c r="C24" s="116" t="s">
        <v>397</v>
      </c>
      <c r="D24" s="387">
        <f>D23</f>
        <v>0.16</v>
      </c>
      <c r="E24" s="387">
        <f>E23</f>
        <v>0.16502732240437157</v>
      </c>
      <c r="F24" s="387">
        <f>F23</f>
        <v>0.17650602409638555</v>
      </c>
      <c r="G24" s="387">
        <f>G23</f>
        <v>0.18571428571428569</v>
      </c>
      <c r="H24" s="145"/>
      <c r="I24" s="184" t="s">
        <v>608</v>
      </c>
      <c r="J24" s="139"/>
    </row>
    <row r="25" spans="2:14">
      <c r="B25" s="143" t="s">
        <v>396</v>
      </c>
      <c r="C25" s="116" t="s">
        <v>105</v>
      </c>
      <c r="D25" s="142">
        <f>D101</f>
        <v>1.9</v>
      </c>
      <c r="E25" s="202">
        <f>E101</f>
        <v>1.83</v>
      </c>
      <c r="F25" s="202">
        <f>F101</f>
        <v>1.66</v>
      </c>
      <c r="G25" s="202">
        <f>G101</f>
        <v>1.54</v>
      </c>
      <c r="H25" s="140"/>
      <c r="I25" s="184"/>
      <c r="J25" s="139"/>
    </row>
    <row r="26" spans="2:14">
      <c r="B26" s="143" t="s">
        <v>395</v>
      </c>
      <c r="C26" s="116" t="s">
        <v>105</v>
      </c>
      <c r="D26" s="142"/>
      <c r="E26" s="202"/>
      <c r="F26" s="202"/>
      <c r="G26" s="202"/>
      <c r="H26" s="140"/>
      <c r="I26" s="184"/>
      <c r="J26" s="139"/>
    </row>
    <row r="27" spans="2:14">
      <c r="B27" s="131" t="s">
        <v>107</v>
      </c>
      <c r="C27" s="116" t="s">
        <v>108</v>
      </c>
      <c r="D27" s="138"/>
      <c r="E27" s="148"/>
      <c r="F27" s="148"/>
      <c r="G27" s="148"/>
      <c r="H27" s="123"/>
      <c r="I27" s="346"/>
      <c r="J27" s="72"/>
    </row>
    <row r="28" spans="2:14">
      <c r="B28" s="131" t="s">
        <v>109</v>
      </c>
      <c r="C28" s="116" t="s">
        <v>110</v>
      </c>
      <c r="D28" s="175"/>
      <c r="E28" s="137"/>
      <c r="F28" s="137"/>
      <c r="G28" s="137"/>
      <c r="H28" s="136"/>
      <c r="I28" s="184"/>
      <c r="J28" s="72"/>
    </row>
    <row r="29" spans="2:14">
      <c r="B29" s="76"/>
      <c r="C29" s="135"/>
      <c r="D29" s="132"/>
      <c r="E29" s="96"/>
      <c r="F29" s="96"/>
      <c r="G29" s="96"/>
      <c r="H29" s="96"/>
      <c r="I29" s="75"/>
      <c r="J29" s="72"/>
    </row>
    <row r="30" spans="2:14">
      <c r="B30" s="126" t="s">
        <v>111</v>
      </c>
      <c r="C30" s="116"/>
      <c r="D30" s="132"/>
      <c r="E30" s="96"/>
      <c r="F30" s="96"/>
      <c r="G30" s="96"/>
      <c r="H30" s="96"/>
      <c r="I30" s="75"/>
      <c r="J30" s="72"/>
    </row>
    <row r="31" spans="2:14">
      <c r="B31" s="131" t="s">
        <v>112</v>
      </c>
      <c r="C31" s="116" t="s">
        <v>15</v>
      </c>
      <c r="D31" s="134">
        <v>0</v>
      </c>
      <c r="E31" s="134">
        <v>0</v>
      </c>
      <c r="F31" s="134">
        <v>0</v>
      </c>
      <c r="G31" s="134">
        <v>0</v>
      </c>
      <c r="H31" s="133">
        <v>2015</v>
      </c>
      <c r="I31" s="77"/>
      <c r="J31" s="72"/>
    </row>
    <row r="32" spans="2:14">
      <c r="B32" s="76" t="s">
        <v>16</v>
      </c>
      <c r="C32" s="116" t="s">
        <v>17</v>
      </c>
      <c r="D32" s="134">
        <v>849.46254619530305</v>
      </c>
      <c r="E32" s="134">
        <v>873.10269839213697</v>
      </c>
      <c r="F32" s="134">
        <v>948.00836579989857</v>
      </c>
      <c r="G32" s="134">
        <v>971.21136776003607</v>
      </c>
      <c r="H32" s="133">
        <v>2015</v>
      </c>
      <c r="I32" s="77"/>
      <c r="J32" s="72"/>
    </row>
    <row r="33" spans="2:11">
      <c r="B33" s="127" t="s">
        <v>18</v>
      </c>
      <c r="C33" s="116" t="s">
        <v>17</v>
      </c>
      <c r="D33" s="134">
        <v>0</v>
      </c>
      <c r="E33" s="134">
        <v>0</v>
      </c>
      <c r="F33" s="134">
        <v>0</v>
      </c>
      <c r="G33" s="134">
        <v>0</v>
      </c>
      <c r="H33" s="133">
        <v>2015</v>
      </c>
      <c r="I33" s="77"/>
      <c r="J33" s="72"/>
    </row>
    <row r="34" spans="2:11">
      <c r="B34" s="127" t="s">
        <v>19</v>
      </c>
      <c r="C34" s="116" t="s">
        <v>17</v>
      </c>
      <c r="D34" s="134">
        <v>849.46254619530305</v>
      </c>
      <c r="E34" s="134">
        <v>873.10269839213697</v>
      </c>
      <c r="F34" s="134">
        <v>948.00836579989857</v>
      </c>
      <c r="G34" s="134">
        <v>971.21136776003607</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174"/>
      <c r="E38" s="130"/>
      <c r="F38" s="130"/>
      <c r="G38" s="130"/>
      <c r="H38" s="128">
        <v>2012</v>
      </c>
      <c r="I38" s="184"/>
      <c r="J38" s="72"/>
    </row>
    <row r="39" spans="2:11">
      <c r="B39" s="76" t="s">
        <v>16</v>
      </c>
      <c r="C39" s="116" t="s">
        <v>17</v>
      </c>
      <c r="D39" s="386">
        <f>SUM(D40:D43)</f>
        <v>802.22618027374654</v>
      </c>
      <c r="E39" s="385">
        <f>SUM(E40:E43)</f>
        <v>824.55176611964191</v>
      </c>
      <c r="F39" s="385">
        <f>SUM(F40:F43)</f>
        <v>895.29212743931384</v>
      </c>
      <c r="G39" s="385">
        <f>SUM(G40:G43)</f>
        <v>917.2048718171992</v>
      </c>
      <c r="H39" s="128">
        <v>2012</v>
      </c>
      <c r="I39" s="184"/>
      <c r="J39" s="72"/>
    </row>
    <row r="40" spans="2:11">
      <c r="B40" s="127" t="s">
        <v>18</v>
      </c>
      <c r="C40" s="116" t="s">
        <v>17</v>
      </c>
      <c r="D40" s="173"/>
      <c r="E40" s="124"/>
      <c r="F40" s="124"/>
      <c r="G40" s="124"/>
      <c r="H40" s="128">
        <v>2012</v>
      </c>
      <c r="I40" s="184"/>
      <c r="J40" s="72"/>
    </row>
    <row r="41" spans="2:11">
      <c r="B41" s="127" t="s">
        <v>19</v>
      </c>
      <c r="C41" s="116" t="s">
        <v>17</v>
      </c>
      <c r="D41" s="172">
        <f>D89/(D67*D68)*1000</f>
        <v>802.22618027374654</v>
      </c>
      <c r="E41" s="172">
        <f>E89/(E67*E68)*1000</f>
        <v>824.55176611964191</v>
      </c>
      <c r="F41" s="172">
        <f>F89/(F67*F68)*1000</f>
        <v>895.29212743931384</v>
      </c>
      <c r="G41" s="172">
        <f>G89/(G67*G68)*1000</f>
        <v>917.2048718171992</v>
      </c>
      <c r="H41" s="128">
        <v>2012</v>
      </c>
      <c r="I41" s="346"/>
      <c r="J41" s="72"/>
      <c r="K41" s="241"/>
    </row>
    <row r="42" spans="2:11">
      <c r="B42" s="127"/>
      <c r="C42" s="116"/>
      <c r="D42" s="132"/>
      <c r="E42" s="96"/>
      <c r="F42" s="96"/>
      <c r="G42" s="96"/>
      <c r="H42" s="128"/>
      <c r="I42" s="184"/>
      <c r="J42" s="72"/>
    </row>
    <row r="43" spans="2:11">
      <c r="B43" s="127" t="s">
        <v>113</v>
      </c>
      <c r="C43" s="116" t="s">
        <v>17</v>
      </c>
      <c r="D43" s="138"/>
      <c r="E43" s="123"/>
      <c r="F43" s="123"/>
      <c r="G43" s="123"/>
      <c r="H43" s="128">
        <v>2012</v>
      </c>
      <c r="I43" s="184"/>
      <c r="J43" s="72"/>
    </row>
    <row r="44" spans="2:11">
      <c r="B44" s="127"/>
      <c r="C44" s="116"/>
      <c r="D44" s="132"/>
      <c r="E44" s="96"/>
      <c r="F44" s="96"/>
      <c r="G44" s="96"/>
      <c r="H44" s="96"/>
      <c r="I44" s="184"/>
      <c r="J44" s="72"/>
    </row>
    <row r="45" spans="2:11">
      <c r="B45" s="126" t="s">
        <v>114</v>
      </c>
      <c r="C45" s="116"/>
      <c r="D45" s="132"/>
      <c r="E45" s="96"/>
      <c r="F45" s="96"/>
      <c r="G45" s="96"/>
      <c r="H45" s="125"/>
      <c r="I45" s="184"/>
      <c r="J45" s="72"/>
    </row>
    <row r="46" spans="2:11">
      <c r="B46" s="121" t="s">
        <v>30</v>
      </c>
      <c r="C46" s="116"/>
      <c r="D46" s="132"/>
      <c r="E46" s="96"/>
      <c r="F46" s="96"/>
      <c r="G46" s="96"/>
      <c r="H46" s="124"/>
      <c r="I46" s="184"/>
      <c r="J46" s="72"/>
    </row>
    <row r="47" spans="2:11">
      <c r="B47" s="76" t="s">
        <v>20</v>
      </c>
      <c r="C47" s="116" t="s">
        <v>394</v>
      </c>
      <c r="D47" s="358"/>
      <c r="E47" s="357"/>
      <c r="F47" s="357"/>
      <c r="G47" s="357"/>
      <c r="H47" s="124"/>
      <c r="I47" s="184"/>
      <c r="J47" s="117" t="s">
        <v>115</v>
      </c>
    </row>
    <row r="48" spans="2:11">
      <c r="B48" s="76" t="s">
        <v>21</v>
      </c>
      <c r="C48" s="116" t="s">
        <v>394</v>
      </c>
      <c r="D48" s="122">
        <f t="shared" ref="D48:G50" si="0">D104/D$101</f>
        <v>0</v>
      </c>
      <c r="E48" s="122">
        <f t="shared" si="0"/>
        <v>0</v>
      </c>
      <c r="F48" s="122">
        <f t="shared" si="0"/>
        <v>0</v>
      </c>
      <c r="G48" s="122">
        <f t="shared" si="0"/>
        <v>0</v>
      </c>
      <c r="H48" s="118"/>
      <c r="I48" s="184"/>
      <c r="J48" s="72"/>
    </row>
    <row r="49" spans="2:10">
      <c r="B49" s="76" t="s">
        <v>22</v>
      </c>
      <c r="C49" s="116" t="s">
        <v>394</v>
      </c>
      <c r="D49" s="122">
        <f t="shared" si="0"/>
        <v>0</v>
      </c>
      <c r="E49" s="122">
        <f t="shared" si="0"/>
        <v>0</v>
      </c>
      <c r="F49" s="122">
        <f t="shared" si="0"/>
        <v>0</v>
      </c>
      <c r="G49" s="122">
        <f t="shared" si="0"/>
        <v>0</v>
      </c>
      <c r="H49" s="96"/>
      <c r="I49" s="184"/>
      <c r="J49" s="72"/>
    </row>
    <row r="50" spans="2:10">
      <c r="B50" s="76" t="s">
        <v>23</v>
      </c>
      <c r="C50" s="116" t="s">
        <v>394</v>
      </c>
      <c r="D50" s="122">
        <f t="shared" si="0"/>
        <v>0</v>
      </c>
      <c r="E50" s="122">
        <f t="shared" si="0"/>
        <v>0</v>
      </c>
      <c r="F50" s="122">
        <f t="shared" si="0"/>
        <v>0</v>
      </c>
      <c r="G50" s="122">
        <f t="shared" si="0"/>
        <v>0</v>
      </c>
      <c r="H50" s="123"/>
      <c r="I50" s="184"/>
      <c r="J50" s="72"/>
    </row>
    <row r="51" spans="2:10">
      <c r="B51" s="76" t="s">
        <v>116</v>
      </c>
      <c r="C51" s="116" t="s">
        <v>394</v>
      </c>
      <c r="D51" s="122">
        <f>D107/D$101/D68</f>
        <v>9.5588257451420452E-2</v>
      </c>
      <c r="E51" s="122">
        <f>E107/E$101/E68</f>
        <v>9.9244638883988448E-2</v>
      </c>
      <c r="F51" s="122">
        <f>F107/F$101/F68</f>
        <v>0.10940824648054148</v>
      </c>
      <c r="G51" s="122">
        <f>G107/G$101/G68</f>
        <v>0.11793356438811613</v>
      </c>
      <c r="H51" s="96"/>
      <c r="I51" s="184"/>
      <c r="J51" s="72"/>
    </row>
    <row r="52" spans="2:10">
      <c r="B52" s="76" t="s">
        <v>24</v>
      </c>
      <c r="C52" s="116" t="s">
        <v>394</v>
      </c>
      <c r="D52" s="122">
        <f>D108/D$101</f>
        <v>0</v>
      </c>
      <c r="E52" s="122">
        <f>E108/E$101</f>
        <v>0</v>
      </c>
      <c r="F52" s="122">
        <f>F108/F$101</f>
        <v>0</v>
      </c>
      <c r="G52" s="122">
        <f>G108/G$101</f>
        <v>0</v>
      </c>
      <c r="H52" s="96"/>
      <c r="I52" s="184"/>
      <c r="J52" s="72"/>
    </row>
    <row r="53" spans="2:10">
      <c r="B53" s="76"/>
      <c r="C53" s="116"/>
      <c r="D53" s="170"/>
      <c r="E53" s="75"/>
      <c r="F53" s="75"/>
      <c r="G53" s="75"/>
      <c r="H53" s="96"/>
      <c r="I53" s="184"/>
      <c r="J53" s="72"/>
    </row>
    <row r="54" spans="2:10">
      <c r="B54" s="121" t="s">
        <v>31</v>
      </c>
      <c r="C54" s="116"/>
      <c r="D54" s="132"/>
      <c r="E54" s="96"/>
      <c r="F54" s="96"/>
      <c r="G54" s="96"/>
      <c r="H54" s="118"/>
      <c r="I54" s="184"/>
      <c r="J54" s="72"/>
    </row>
    <row r="55" spans="2:10">
      <c r="B55" s="76" t="s">
        <v>20</v>
      </c>
      <c r="C55" s="116" t="s">
        <v>394</v>
      </c>
      <c r="D55" s="358"/>
      <c r="E55" s="357"/>
      <c r="F55" s="357"/>
      <c r="G55" s="357"/>
      <c r="H55" s="194"/>
      <c r="I55" s="184"/>
      <c r="J55" s="117" t="s">
        <v>115</v>
      </c>
    </row>
    <row r="56" spans="2:10">
      <c r="B56" s="76" t="s">
        <v>21</v>
      </c>
      <c r="C56" s="116" t="s">
        <v>394</v>
      </c>
      <c r="D56" s="168">
        <f t="shared" ref="D56:G60" si="1">D48</f>
        <v>0</v>
      </c>
      <c r="E56" s="115">
        <f t="shared" si="1"/>
        <v>0</v>
      </c>
      <c r="F56" s="115">
        <f t="shared" si="1"/>
        <v>0</v>
      </c>
      <c r="G56" s="115">
        <f t="shared" si="1"/>
        <v>0</v>
      </c>
      <c r="H56" s="194"/>
      <c r="I56" s="184"/>
      <c r="J56" s="72"/>
    </row>
    <row r="57" spans="2:10">
      <c r="B57" s="76" t="s">
        <v>22</v>
      </c>
      <c r="C57" s="116" t="s">
        <v>394</v>
      </c>
      <c r="D57" s="168">
        <f t="shared" si="1"/>
        <v>0</v>
      </c>
      <c r="E57" s="115">
        <f t="shared" si="1"/>
        <v>0</v>
      </c>
      <c r="F57" s="115">
        <f t="shared" si="1"/>
        <v>0</v>
      </c>
      <c r="G57" s="115">
        <f t="shared" si="1"/>
        <v>0</v>
      </c>
      <c r="H57" s="194"/>
      <c r="I57" s="184"/>
      <c r="J57" s="72"/>
    </row>
    <row r="58" spans="2:10">
      <c r="B58" s="76" t="s">
        <v>23</v>
      </c>
      <c r="C58" s="116" t="s">
        <v>394</v>
      </c>
      <c r="D58" s="168">
        <f t="shared" si="1"/>
        <v>0</v>
      </c>
      <c r="E58" s="115">
        <f t="shared" si="1"/>
        <v>0</v>
      </c>
      <c r="F58" s="115">
        <f t="shared" si="1"/>
        <v>0</v>
      </c>
      <c r="G58" s="115">
        <f t="shared" si="1"/>
        <v>0</v>
      </c>
      <c r="H58" s="194"/>
      <c r="I58" s="184"/>
      <c r="J58" s="72"/>
    </row>
    <row r="59" spans="2:10">
      <c r="B59" s="76" t="s">
        <v>116</v>
      </c>
      <c r="C59" s="116" t="s">
        <v>394</v>
      </c>
      <c r="D59" s="168">
        <f t="shared" si="1"/>
        <v>9.5588257451420452E-2</v>
      </c>
      <c r="E59" s="115">
        <f t="shared" si="1"/>
        <v>9.9244638883988448E-2</v>
      </c>
      <c r="F59" s="115">
        <f t="shared" si="1"/>
        <v>0.10940824648054148</v>
      </c>
      <c r="G59" s="115">
        <f t="shared" si="1"/>
        <v>0.11793356438811613</v>
      </c>
      <c r="H59" s="194"/>
      <c r="I59" s="184"/>
      <c r="J59" s="72"/>
    </row>
    <row r="60" spans="2:10">
      <c r="B60" s="76" t="s">
        <v>24</v>
      </c>
      <c r="C60" s="116" t="s">
        <v>394</v>
      </c>
      <c r="D60" s="168">
        <f t="shared" si="1"/>
        <v>0</v>
      </c>
      <c r="E60" s="115">
        <f t="shared" si="1"/>
        <v>0</v>
      </c>
      <c r="F60" s="115">
        <f t="shared" si="1"/>
        <v>0</v>
      </c>
      <c r="G60" s="115">
        <f t="shared" si="1"/>
        <v>0</v>
      </c>
      <c r="H60" s="133"/>
      <c r="I60" s="184"/>
      <c r="J60" s="72"/>
    </row>
    <row r="61" spans="2:10" ht="14.4" thickBot="1">
      <c r="B61" s="113"/>
      <c r="C61" s="112"/>
      <c r="D61" s="167"/>
      <c r="E61" s="70"/>
      <c r="F61" s="70"/>
      <c r="G61" s="70"/>
      <c r="H61" s="70"/>
      <c r="I61" s="190"/>
      <c r="J61" s="88"/>
    </row>
    <row r="64" spans="2:10" ht="16.2" thickBot="1">
      <c r="B64" s="87" t="s">
        <v>117</v>
      </c>
    </row>
    <row r="65" spans="2:10">
      <c r="B65" s="86"/>
      <c r="C65" s="108"/>
      <c r="D65" s="166"/>
      <c r="E65" s="83"/>
      <c r="F65" s="83"/>
      <c r="G65" s="83"/>
      <c r="H65" s="83"/>
      <c r="I65" s="83" t="s">
        <v>97</v>
      </c>
      <c r="J65" s="81" t="s">
        <v>98</v>
      </c>
    </row>
    <row r="66" spans="2:10">
      <c r="B66" s="107"/>
      <c r="C66" s="106" t="s">
        <v>99</v>
      </c>
      <c r="D66" s="105">
        <v>2015</v>
      </c>
      <c r="E66" s="104">
        <v>2020</v>
      </c>
      <c r="F66" s="104">
        <v>2035</v>
      </c>
      <c r="G66" s="104">
        <v>2050</v>
      </c>
      <c r="H66" s="104"/>
      <c r="I66" s="150"/>
      <c r="J66" s="102"/>
    </row>
    <row r="67" spans="2:10">
      <c r="B67" s="76" t="s">
        <v>393</v>
      </c>
      <c r="C67" s="93" t="s">
        <v>392</v>
      </c>
      <c r="D67" s="177">
        <v>0.30399999999999999</v>
      </c>
      <c r="E67" s="384">
        <v>0.30199999999999999</v>
      </c>
      <c r="F67" s="384">
        <v>0.29299999999999998</v>
      </c>
      <c r="G67" s="384">
        <v>0.28599999999999998</v>
      </c>
      <c r="H67" s="355"/>
      <c r="I67" s="75" t="s">
        <v>608</v>
      </c>
      <c r="J67" s="72"/>
    </row>
    <row r="68" spans="2:10">
      <c r="B68" s="76" t="s">
        <v>391</v>
      </c>
      <c r="C68" s="93" t="s">
        <v>390</v>
      </c>
      <c r="D68" s="177">
        <v>168</v>
      </c>
      <c r="E68" s="177">
        <v>168</v>
      </c>
      <c r="F68" s="177">
        <v>168</v>
      </c>
      <c r="G68" s="177">
        <v>168</v>
      </c>
      <c r="H68" s="355"/>
      <c r="I68" s="75"/>
      <c r="J68" s="72"/>
    </row>
    <row r="69" spans="2:10">
      <c r="B69" s="76"/>
      <c r="C69" s="93"/>
      <c r="D69" s="383"/>
      <c r="E69" s="96"/>
      <c r="F69" s="96"/>
      <c r="G69" s="96"/>
      <c r="H69" s="96"/>
      <c r="I69" s="346"/>
      <c r="J69" s="72"/>
    </row>
    <row r="70" spans="2:10">
      <c r="B70" s="379" t="s">
        <v>389</v>
      </c>
      <c r="C70" s="374"/>
      <c r="D70" s="378">
        <v>396134</v>
      </c>
      <c r="E70" s="378">
        <v>396134</v>
      </c>
      <c r="F70" s="378">
        <v>396134</v>
      </c>
      <c r="G70" s="378">
        <v>396134</v>
      </c>
      <c r="H70" s="378"/>
      <c r="I70" s="374" t="s">
        <v>368</v>
      </c>
      <c r="J70" s="374" t="s">
        <v>359</v>
      </c>
    </row>
    <row r="71" spans="2:10">
      <c r="B71" s="379" t="s">
        <v>388</v>
      </c>
      <c r="C71" s="374"/>
      <c r="D71" s="380">
        <f>D70*D78</f>
        <v>438420.5524416939</v>
      </c>
      <c r="E71" s="380">
        <f>E70*E78</f>
        <v>438420.5524416939</v>
      </c>
      <c r="F71" s="380">
        <f>F70*F78</f>
        <v>438420.5524416939</v>
      </c>
      <c r="G71" s="380">
        <f>G70*G78</f>
        <v>438420.5524416939</v>
      </c>
      <c r="H71" s="380"/>
      <c r="I71" s="374"/>
      <c r="J71" s="374"/>
    </row>
    <row r="72" spans="2:10">
      <c r="B72" s="379" t="s">
        <v>387</v>
      </c>
      <c r="C72" s="382" t="s">
        <v>334</v>
      </c>
      <c r="D72" s="381">
        <v>1069</v>
      </c>
      <c r="E72" s="378">
        <v>1069</v>
      </c>
      <c r="F72" s="378">
        <v>1069</v>
      </c>
      <c r="G72" s="378">
        <v>1069</v>
      </c>
      <c r="H72" s="378"/>
      <c r="I72" s="374" t="s">
        <v>368</v>
      </c>
      <c r="J72" s="374" t="s">
        <v>359</v>
      </c>
    </row>
    <row r="73" spans="2:10">
      <c r="B73" s="379" t="s">
        <v>386</v>
      </c>
      <c r="C73" s="374" t="s">
        <v>119</v>
      </c>
      <c r="D73" s="378">
        <v>1098000000</v>
      </c>
      <c r="E73" s="378">
        <f>D73/1.015^(E66-D66)</f>
        <v>1019229837.2953928</v>
      </c>
      <c r="F73" s="378">
        <f>E73/1.015^(F66-E66)</f>
        <v>815232519.20970285</v>
      </c>
      <c r="G73" s="378">
        <f>E73/1.015^(F66-E66)</f>
        <v>815232519.20970285</v>
      </c>
      <c r="H73" s="378"/>
      <c r="I73" s="374" t="s">
        <v>385</v>
      </c>
      <c r="J73" s="374" t="s">
        <v>359</v>
      </c>
    </row>
    <row r="74" spans="2:10">
      <c r="B74" s="379" t="s">
        <v>384</v>
      </c>
      <c r="C74" s="374"/>
      <c r="D74" s="378">
        <v>28990000</v>
      </c>
      <c r="E74" s="378">
        <v>28990000</v>
      </c>
      <c r="F74" s="378">
        <v>28990000</v>
      </c>
      <c r="G74" s="378">
        <v>28990000</v>
      </c>
      <c r="H74" s="378"/>
      <c r="I74" s="374" t="s">
        <v>368</v>
      </c>
      <c r="J74" s="374" t="s">
        <v>359</v>
      </c>
    </row>
    <row r="75" spans="2:10">
      <c r="B75" s="379" t="s">
        <v>383</v>
      </c>
      <c r="C75" s="374" t="s">
        <v>334</v>
      </c>
      <c r="D75" s="378">
        <v>30668000000</v>
      </c>
      <c r="E75" s="378">
        <v>30668000000</v>
      </c>
      <c r="F75" s="378">
        <v>30668000000</v>
      </c>
      <c r="G75" s="378">
        <v>30668000000</v>
      </c>
      <c r="H75" s="378"/>
      <c r="I75" s="374" t="s">
        <v>368</v>
      </c>
      <c r="J75" s="374" t="s">
        <v>359</v>
      </c>
    </row>
    <row r="76" spans="2:10">
      <c r="B76" s="379" t="s">
        <v>382</v>
      </c>
      <c r="C76" s="374" t="s">
        <v>334</v>
      </c>
      <c r="D76" s="378">
        <v>37003000000</v>
      </c>
      <c r="E76" s="378">
        <v>37003000000</v>
      </c>
      <c r="F76" s="378">
        <v>37003000000</v>
      </c>
      <c r="G76" s="378">
        <v>37003000000</v>
      </c>
      <c r="H76" s="378"/>
      <c r="I76" s="374" t="s">
        <v>368</v>
      </c>
      <c r="J76" s="374" t="s">
        <v>359</v>
      </c>
    </row>
    <row r="77" spans="2:10">
      <c r="B77" s="379" t="s">
        <v>381</v>
      </c>
      <c r="C77" s="374" t="s">
        <v>334</v>
      </c>
      <c r="D77" s="378">
        <v>40953000000</v>
      </c>
      <c r="E77" s="378">
        <v>40953000000</v>
      </c>
      <c r="F77" s="378">
        <v>40953000000</v>
      </c>
      <c r="G77" s="378">
        <v>40953000000</v>
      </c>
      <c r="H77" s="378"/>
      <c r="I77" s="374" t="s">
        <v>368</v>
      </c>
      <c r="J77" s="374" t="s">
        <v>359</v>
      </c>
    </row>
    <row r="78" spans="2:10">
      <c r="B78" s="379" t="s">
        <v>380</v>
      </c>
      <c r="C78" s="374"/>
      <c r="D78" s="380">
        <f>D77/D76</f>
        <v>1.1067481015052834</v>
      </c>
      <c r="E78" s="380">
        <f>E77/E76</f>
        <v>1.1067481015052834</v>
      </c>
      <c r="F78" s="380">
        <f>F77/F76</f>
        <v>1.1067481015052834</v>
      </c>
      <c r="G78" s="380">
        <f>G77/G76</f>
        <v>1.1067481015052834</v>
      </c>
      <c r="H78" s="380"/>
      <c r="I78" s="374"/>
      <c r="J78" s="374"/>
    </row>
    <row r="79" spans="2:10">
      <c r="B79" s="493" t="s">
        <v>379</v>
      </c>
      <c r="C79" s="374" t="s">
        <v>334</v>
      </c>
      <c r="D79" s="492">
        <f>D75/D71</f>
        <v>69951.100214624574</v>
      </c>
      <c r="E79" s="380">
        <f>E75/E71</f>
        <v>69951.100214624574</v>
      </c>
      <c r="F79" s="380">
        <f>F75/F71</f>
        <v>69951.100214624574</v>
      </c>
      <c r="G79" s="380">
        <f>G75/G71</f>
        <v>69951.100214624574</v>
      </c>
      <c r="H79" s="380"/>
      <c r="I79" s="374"/>
      <c r="J79" s="374"/>
    </row>
    <row r="80" spans="2:10">
      <c r="B80" s="379" t="s">
        <v>378</v>
      </c>
      <c r="C80" s="374" t="s">
        <v>119</v>
      </c>
      <c r="D80" s="380">
        <f>D73/D71</f>
        <v>2504.4446340047539</v>
      </c>
      <c r="E80" s="380">
        <f>E73/E71</f>
        <v>2324.7765909216619</v>
      </c>
      <c r="F80" s="380">
        <f>F73/F71</f>
        <v>1859.4760548277939</v>
      </c>
      <c r="G80" s="380">
        <f>G73/G71</f>
        <v>1859.4760548277939</v>
      </c>
      <c r="H80" s="380"/>
      <c r="I80" s="374"/>
      <c r="J80" s="374"/>
    </row>
    <row r="81" spans="2:10">
      <c r="B81" s="379" t="s">
        <v>377</v>
      </c>
      <c r="C81" s="374" t="s">
        <v>376</v>
      </c>
      <c r="D81" s="380">
        <f>D80/D72</f>
        <v>2.3427919869080953</v>
      </c>
      <c r="E81" s="380">
        <f>E80/E72</f>
        <v>2.1747208521250343</v>
      </c>
      <c r="F81" s="380">
        <f>F80/F72</f>
        <v>1.7394537463309578</v>
      </c>
      <c r="G81" s="380">
        <f>G80/G72</f>
        <v>1.7394537463309578</v>
      </c>
      <c r="H81" s="380"/>
      <c r="I81" s="374"/>
      <c r="J81" s="374"/>
    </row>
    <row r="82" spans="2:10">
      <c r="B82" s="379" t="s">
        <v>153</v>
      </c>
      <c r="C82" s="374" t="s">
        <v>375</v>
      </c>
      <c r="D82" s="380">
        <v>2.901290386263895</v>
      </c>
      <c r="E82" s="380">
        <v>2.6931527580495782</v>
      </c>
      <c r="F82" s="380">
        <v>2.1541222864779663</v>
      </c>
      <c r="G82" s="380">
        <v>2.1541222864779663</v>
      </c>
      <c r="H82" s="380"/>
      <c r="I82" s="374"/>
      <c r="J82" s="374"/>
    </row>
    <row r="83" spans="2:10">
      <c r="B83" s="379"/>
      <c r="C83" s="374"/>
      <c r="D83" s="380"/>
      <c r="E83" s="378"/>
      <c r="F83" s="378"/>
      <c r="G83" s="378"/>
      <c r="H83" s="378"/>
      <c r="I83" s="374"/>
      <c r="J83" s="374"/>
    </row>
    <row r="84" spans="2:10">
      <c r="B84" s="379" t="s">
        <v>374</v>
      </c>
      <c r="C84" s="374" t="s">
        <v>373</v>
      </c>
      <c r="D84" s="378">
        <v>969</v>
      </c>
      <c r="E84" s="378">
        <v>969</v>
      </c>
      <c r="F84" s="378">
        <v>969</v>
      </c>
      <c r="G84" s="378">
        <v>969</v>
      </c>
      <c r="H84" s="378"/>
      <c r="I84" s="374" t="s">
        <v>368</v>
      </c>
      <c r="J84" s="374" t="s">
        <v>359</v>
      </c>
    </row>
    <row r="85" spans="2:10">
      <c r="B85" s="379" t="s">
        <v>372</v>
      </c>
      <c r="C85" s="374" t="s">
        <v>371</v>
      </c>
      <c r="D85" s="380">
        <f>D84/1000*D81</f>
        <v>2.2701654353139444</v>
      </c>
      <c r="E85" s="380">
        <f>E84/1000*E81</f>
        <v>2.1073045057091582</v>
      </c>
      <c r="F85" s="380">
        <f>F84/1000*F81</f>
        <v>1.6855306801946981</v>
      </c>
      <c r="G85" s="380">
        <f>G84/1000*G81</f>
        <v>1.6855306801946981</v>
      </c>
      <c r="H85" s="380"/>
      <c r="I85" s="374"/>
      <c r="J85" s="374" t="s">
        <v>359</v>
      </c>
    </row>
    <row r="86" spans="2:10">
      <c r="B86" s="379" t="s">
        <v>370</v>
      </c>
      <c r="C86" s="374" t="s">
        <v>369</v>
      </c>
      <c r="D86" s="378">
        <v>0.81</v>
      </c>
      <c r="E86" s="378">
        <v>0.81</v>
      </c>
      <c r="F86" s="378">
        <v>0.81</v>
      </c>
      <c r="G86" s="378">
        <v>0.81</v>
      </c>
      <c r="H86" s="378"/>
      <c r="I86" s="374" t="s">
        <v>368</v>
      </c>
      <c r="J86" s="374" t="s">
        <v>359</v>
      </c>
    </row>
    <row r="87" spans="2:10">
      <c r="B87" s="379" t="s">
        <v>366</v>
      </c>
      <c r="C87" s="374" t="s">
        <v>367</v>
      </c>
      <c r="D87" s="380">
        <f>D86*D79</f>
        <v>56660.391173845906</v>
      </c>
      <c r="E87" s="380">
        <f>E86*E79</f>
        <v>56660.391173845906</v>
      </c>
      <c r="F87" s="380">
        <f>F86*F79</f>
        <v>56660.391173845906</v>
      </c>
      <c r="G87" s="380">
        <f>G86*G79</f>
        <v>56660.391173845906</v>
      </c>
      <c r="H87" s="380"/>
      <c r="I87" s="374"/>
      <c r="J87" s="374" t="s">
        <v>359</v>
      </c>
    </row>
    <row r="88" spans="2:10">
      <c r="B88" s="379" t="s">
        <v>366</v>
      </c>
      <c r="C88" s="374" t="s">
        <v>364</v>
      </c>
      <c r="D88" s="380">
        <f>D87/D72</f>
        <v>53.003172286104686</v>
      </c>
      <c r="E88" s="380">
        <f>E87/E72</f>
        <v>53.003172286104686</v>
      </c>
      <c r="F88" s="380">
        <f>F87/F72</f>
        <v>53.003172286104686</v>
      </c>
      <c r="G88" s="380">
        <f>G87/G72</f>
        <v>53.003172286104686</v>
      </c>
      <c r="H88" s="380"/>
      <c r="I88" s="374"/>
      <c r="J88" s="374" t="s">
        <v>359</v>
      </c>
    </row>
    <row r="89" spans="2:10">
      <c r="B89" s="379" t="s">
        <v>365</v>
      </c>
      <c r="C89" s="374" t="s">
        <v>364</v>
      </c>
      <c r="D89" s="380">
        <v>40.971295478940782</v>
      </c>
      <c r="E89" s="380">
        <v>41.834458405846149</v>
      </c>
      <c r="F89" s="380">
        <v>44.069859681072785</v>
      </c>
      <c r="G89" s="380">
        <v>44.069859681072785</v>
      </c>
      <c r="H89" s="380"/>
      <c r="I89" s="374"/>
      <c r="J89" s="374" t="s">
        <v>359</v>
      </c>
    </row>
    <row r="90" spans="2:10">
      <c r="B90" s="379"/>
      <c r="C90" s="374"/>
      <c r="D90" s="380"/>
      <c r="E90" s="378"/>
      <c r="F90" s="378"/>
      <c r="G90" s="378"/>
      <c r="H90" s="378"/>
      <c r="I90" s="374"/>
      <c r="J90" s="374"/>
    </row>
    <row r="91" spans="2:10">
      <c r="B91" s="379" t="s">
        <v>20</v>
      </c>
      <c r="C91" s="374" t="s">
        <v>363</v>
      </c>
      <c r="D91" s="378">
        <v>3460</v>
      </c>
      <c r="E91" s="378">
        <v>3460</v>
      </c>
      <c r="F91" s="378">
        <v>3460</v>
      </c>
      <c r="G91" s="378">
        <v>3460</v>
      </c>
      <c r="H91" s="378"/>
      <c r="I91" s="374" t="s">
        <v>360</v>
      </c>
      <c r="J91" s="374" t="s">
        <v>359</v>
      </c>
    </row>
    <row r="92" spans="2:10">
      <c r="B92" s="379" t="s">
        <v>116</v>
      </c>
      <c r="C92" s="374" t="s">
        <v>363</v>
      </c>
      <c r="D92" s="378">
        <v>14.3</v>
      </c>
      <c r="E92" s="378">
        <v>14.3</v>
      </c>
      <c r="F92" s="378">
        <v>14.3</v>
      </c>
      <c r="G92" s="378">
        <v>14.3</v>
      </c>
      <c r="H92" s="378"/>
      <c r="I92" s="374" t="s">
        <v>360</v>
      </c>
      <c r="J92" s="374" t="s">
        <v>359</v>
      </c>
    </row>
    <row r="93" spans="2:10">
      <c r="B93" s="379" t="s">
        <v>187</v>
      </c>
      <c r="C93" s="374" t="s">
        <v>363</v>
      </c>
      <c r="D93" s="378">
        <v>1</v>
      </c>
      <c r="E93" s="378">
        <v>1</v>
      </c>
      <c r="F93" s="378">
        <v>1</v>
      </c>
      <c r="G93" s="378">
        <v>1</v>
      </c>
      <c r="H93" s="378"/>
      <c r="I93" s="374" t="s">
        <v>360</v>
      </c>
      <c r="J93" s="374" t="s">
        <v>359</v>
      </c>
    </row>
    <row r="94" spans="2:10" ht="14.4" thickBot="1">
      <c r="B94" s="377" t="s">
        <v>362</v>
      </c>
      <c r="C94" s="375" t="s">
        <v>361</v>
      </c>
      <c r="D94" s="376">
        <v>652</v>
      </c>
      <c r="E94" s="376">
        <v>652</v>
      </c>
      <c r="F94" s="376">
        <v>652</v>
      </c>
      <c r="G94" s="376">
        <v>652</v>
      </c>
      <c r="H94" s="376"/>
      <c r="I94" s="375" t="s">
        <v>360</v>
      </c>
      <c r="J94" s="374" t="s">
        <v>359</v>
      </c>
    </row>
    <row r="95" spans="2:10">
      <c r="B95" s="371"/>
      <c r="C95" s="371"/>
    </row>
    <row r="96" spans="2:10">
      <c r="B96" s="371"/>
      <c r="C96" s="371"/>
    </row>
    <row r="97" spans="2:10">
      <c r="B97" s="371"/>
      <c r="C97" s="371"/>
    </row>
    <row r="98" spans="2:10">
      <c r="B98" s="373"/>
      <c r="C98" s="372"/>
      <c r="D98" s="371"/>
    </row>
    <row r="99" spans="2:10">
      <c r="B99" s="373"/>
      <c r="C99" s="372"/>
      <c r="D99" s="371"/>
    </row>
    <row r="100" spans="2:10" ht="16.2" thickBot="1">
      <c r="B100" s="87" t="s">
        <v>126</v>
      </c>
    </row>
    <row r="101" spans="2:10">
      <c r="B101" s="86" t="s">
        <v>358</v>
      </c>
      <c r="C101" s="83" t="s">
        <v>105</v>
      </c>
      <c r="D101" s="370">
        <v>1.9</v>
      </c>
      <c r="E101" s="370">
        <v>1.83</v>
      </c>
      <c r="F101" s="370">
        <v>1.66</v>
      </c>
      <c r="G101" s="370">
        <v>1.54</v>
      </c>
      <c r="H101" s="349"/>
      <c r="I101" s="348"/>
      <c r="J101" s="81"/>
    </row>
    <row r="102" spans="2:10">
      <c r="B102" s="76"/>
      <c r="C102" s="75"/>
      <c r="D102" s="75"/>
      <c r="E102" s="75"/>
      <c r="F102" s="75"/>
      <c r="G102" s="75"/>
      <c r="H102" s="75"/>
      <c r="I102" s="75"/>
      <c r="J102" s="72"/>
    </row>
    <row r="103" spans="2:10">
      <c r="B103" s="76" t="s">
        <v>20</v>
      </c>
      <c r="C103" s="75" t="s">
        <v>27</v>
      </c>
      <c r="D103" s="369">
        <f>D91/($D$72*$D$71)*1000000000</f>
        <v>7382.5685561949085</v>
      </c>
      <c r="E103" s="369">
        <f>E91/($D$72*$D$71)*1000000000</f>
        <v>7382.5685561949085</v>
      </c>
      <c r="F103" s="369">
        <f>F91/($D$72*$D$71)*1000000000</f>
        <v>7382.5685561949085</v>
      </c>
      <c r="G103" s="369">
        <f>G91/($D$72*$D$71)*1000000000</f>
        <v>7382.5685561949085</v>
      </c>
      <c r="H103" s="369"/>
      <c r="I103" s="75"/>
      <c r="J103" s="72"/>
    </row>
    <row r="104" spans="2:10">
      <c r="B104" s="76" t="s">
        <v>21</v>
      </c>
      <c r="C104" s="75" t="s">
        <v>27</v>
      </c>
      <c r="D104" s="364"/>
      <c r="E104" s="364"/>
      <c r="F104" s="364"/>
      <c r="G104" s="364"/>
      <c r="H104" s="364"/>
      <c r="I104" s="346"/>
      <c r="J104" s="72"/>
    </row>
    <row r="105" spans="2:10">
      <c r="B105" s="76" t="s">
        <v>22</v>
      </c>
      <c r="C105" s="75" t="s">
        <v>27</v>
      </c>
      <c r="D105" s="364"/>
      <c r="E105" s="364"/>
      <c r="F105" s="364"/>
      <c r="G105" s="364"/>
      <c r="H105" s="364"/>
      <c r="I105" s="346"/>
      <c r="J105" s="72"/>
    </row>
    <row r="106" spans="2:10">
      <c r="B106" s="76" t="s">
        <v>23</v>
      </c>
      <c r="C106" s="75" t="s">
        <v>27</v>
      </c>
      <c r="D106" s="364"/>
      <c r="E106" s="364"/>
      <c r="F106" s="364"/>
      <c r="G106" s="364"/>
      <c r="H106" s="364"/>
      <c r="I106" s="346"/>
      <c r="J106" s="72"/>
    </row>
    <row r="107" spans="2:10">
      <c r="B107" s="76" t="s">
        <v>116</v>
      </c>
      <c r="C107" s="75" t="s">
        <v>27</v>
      </c>
      <c r="D107" s="364">
        <f>D92/($D$72*$D$71)*1000000000</f>
        <v>30.511771778493408</v>
      </c>
      <c r="E107" s="364">
        <f>E92/($D$72*$D$71)*1000000000</f>
        <v>30.511771778493408</v>
      </c>
      <c r="F107" s="364">
        <f>F92/($D$72*$D$71)*1000000000</f>
        <v>30.511771778493408</v>
      </c>
      <c r="G107" s="364">
        <f>G92/($D$72*$D$71)*1000000000</f>
        <v>30.511771778493408</v>
      </c>
      <c r="H107" s="364"/>
      <c r="I107" s="346"/>
      <c r="J107" s="72"/>
    </row>
    <row r="108" spans="2:10">
      <c r="B108" s="76" t="s">
        <v>24</v>
      </c>
      <c r="C108" s="75" t="s">
        <v>27</v>
      </c>
      <c r="D108" s="347"/>
      <c r="E108" s="347"/>
      <c r="F108" s="347"/>
      <c r="G108" s="347"/>
      <c r="H108" s="347"/>
      <c r="I108" s="346"/>
      <c r="J108" s="72"/>
    </row>
    <row r="109" spans="2:10" ht="14.4" thickBot="1">
      <c r="B109" s="71"/>
      <c r="C109" s="70"/>
      <c r="D109" s="70"/>
      <c r="E109" s="70"/>
      <c r="F109" s="70"/>
      <c r="G109" s="70"/>
      <c r="H109" s="70"/>
      <c r="I109" s="70"/>
      <c r="J109" s="88"/>
    </row>
    <row r="111" spans="2:10">
      <c r="F111" s="66"/>
      <c r="G111" s="66"/>
    </row>
    <row r="112" spans="2:10">
      <c r="F112" s="66"/>
      <c r="G112" s="66"/>
    </row>
    <row r="113" spans="6:10">
      <c r="F113" s="66"/>
      <c r="G113" s="66"/>
      <c r="J113" s="66"/>
    </row>
    <row r="114" spans="6:10">
      <c r="F114" s="66"/>
      <c r="G114" s="66"/>
    </row>
    <row r="115" spans="6:10">
      <c r="F115" s="66"/>
      <c r="G115"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A00-000000000000}">
          <x14:formula1>
            <xm:f>'C:\Users\B003920\Desktop\[Kopi af alternativ_drivmiddelmodel_3.0_2.xlsm]Sheet1'!#REF!</xm:f>
          </x14:formula1>
          <xm:sqref>C9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01"/>
  <dimension ref="A1:V83"/>
  <sheetViews>
    <sheetView topLeftCell="A60" workbookViewId="0">
      <selection activeCell="F73" sqref="F73"/>
    </sheetView>
  </sheetViews>
  <sheetFormatPr defaultRowHeight="13.2"/>
  <cols>
    <col min="3" max="3" width="146.5546875" bestFit="1" customWidth="1"/>
  </cols>
  <sheetData>
    <row r="1" spans="1:22">
      <c r="A1" s="11"/>
      <c r="B1" s="11"/>
      <c r="C1" s="11"/>
      <c r="D1" s="11"/>
      <c r="E1" s="11"/>
      <c r="F1" s="11"/>
      <c r="G1" s="11"/>
      <c r="H1" s="11"/>
      <c r="I1" s="11"/>
      <c r="J1" s="11"/>
      <c r="K1" s="11"/>
      <c r="L1" s="11"/>
      <c r="M1" s="11"/>
      <c r="N1" s="11"/>
      <c r="O1" s="11"/>
      <c r="P1" s="11"/>
      <c r="Q1" s="11"/>
      <c r="R1" s="11"/>
      <c r="S1" s="11"/>
      <c r="T1" s="11"/>
      <c r="U1" s="11"/>
      <c r="V1" s="11"/>
    </row>
    <row r="2" spans="1:22" ht="13.8" thickBot="1">
      <c r="A2" s="11"/>
      <c r="B2" s="11"/>
      <c r="C2" s="11"/>
      <c r="D2" s="11"/>
      <c r="E2" s="11"/>
      <c r="F2" s="11"/>
      <c r="G2" s="11"/>
      <c r="H2" s="11"/>
      <c r="I2" s="11"/>
      <c r="J2" s="11"/>
      <c r="K2" s="11"/>
      <c r="L2" s="11"/>
      <c r="M2" s="11"/>
      <c r="N2" s="11"/>
      <c r="O2" s="11"/>
      <c r="P2" s="11"/>
      <c r="Q2" s="11"/>
      <c r="R2" s="11"/>
      <c r="S2" s="11"/>
      <c r="T2" s="11"/>
      <c r="U2" s="11"/>
      <c r="V2" s="11"/>
    </row>
    <row r="3" spans="1:22">
      <c r="A3" s="11"/>
      <c r="B3" s="12" t="s">
        <v>38</v>
      </c>
      <c r="C3" s="13" t="s">
        <v>39</v>
      </c>
      <c r="D3" s="11"/>
      <c r="E3" s="11"/>
      <c r="F3" s="11"/>
      <c r="G3" s="11"/>
      <c r="H3" s="11"/>
      <c r="I3" s="11"/>
      <c r="J3" s="11"/>
      <c r="K3" s="11"/>
      <c r="L3" s="11"/>
      <c r="M3" s="11"/>
      <c r="N3" s="11"/>
      <c r="O3" s="11"/>
      <c r="P3" s="11"/>
      <c r="Q3" s="11"/>
      <c r="R3" s="11"/>
      <c r="S3" s="11"/>
      <c r="T3" s="11"/>
      <c r="U3" s="11"/>
      <c r="V3" s="11"/>
    </row>
    <row r="4" spans="1:22">
      <c r="A4" s="11"/>
      <c r="B4" s="470">
        <v>1</v>
      </c>
      <c r="C4" s="469" t="s">
        <v>40</v>
      </c>
      <c r="E4" s="11"/>
      <c r="F4" s="11"/>
      <c r="G4" s="11"/>
      <c r="H4" s="11"/>
      <c r="I4" s="11"/>
      <c r="J4" s="11"/>
      <c r="K4" s="11"/>
      <c r="L4" s="11"/>
      <c r="M4" s="11"/>
      <c r="N4" s="11"/>
      <c r="O4" s="11"/>
      <c r="P4" s="11"/>
      <c r="Q4" s="11"/>
      <c r="R4" s="11"/>
      <c r="S4" s="11"/>
      <c r="T4" s="11"/>
      <c r="U4" s="11"/>
      <c r="V4" s="11"/>
    </row>
    <row r="5" spans="1:22">
      <c r="A5" s="11"/>
      <c r="B5" s="472">
        <f>B4+1</f>
        <v>2</v>
      </c>
      <c r="C5" s="471" t="s">
        <v>41</v>
      </c>
      <c r="E5" s="11"/>
      <c r="F5" s="11"/>
      <c r="G5" s="11"/>
      <c r="H5" s="11"/>
      <c r="I5" s="11"/>
      <c r="J5" s="11"/>
      <c r="K5" s="11"/>
      <c r="L5" s="11"/>
      <c r="M5" s="11"/>
      <c r="N5" s="11"/>
      <c r="O5" s="11"/>
      <c r="P5" s="11"/>
      <c r="Q5" s="11"/>
      <c r="R5" s="11"/>
      <c r="S5" s="11"/>
      <c r="T5" s="11"/>
      <c r="U5" s="11"/>
      <c r="V5" s="11"/>
    </row>
    <row r="6" spans="1:22">
      <c r="A6" s="11"/>
      <c r="B6" s="472">
        <f t="shared" ref="B6:B68" si="0">B5+1</f>
        <v>3</v>
      </c>
      <c r="C6" s="471" t="s">
        <v>42</v>
      </c>
      <c r="E6" s="11"/>
      <c r="F6" s="11"/>
      <c r="G6" s="11"/>
      <c r="H6" s="11"/>
      <c r="I6" s="11"/>
      <c r="J6" s="11"/>
      <c r="K6" s="11"/>
      <c r="L6" s="11"/>
      <c r="M6" s="11"/>
      <c r="N6" s="11"/>
      <c r="O6" s="11"/>
      <c r="P6" s="11"/>
      <c r="Q6" s="11"/>
      <c r="R6" s="11"/>
      <c r="S6" s="11"/>
      <c r="T6" s="11"/>
      <c r="U6" s="11"/>
      <c r="V6" s="11"/>
    </row>
    <row r="7" spans="1:22" ht="13.8">
      <c r="A7" s="11"/>
      <c r="B7" s="472">
        <f t="shared" si="0"/>
        <v>4</v>
      </c>
      <c r="C7" s="473" t="s">
        <v>417</v>
      </c>
      <c r="E7" s="11"/>
      <c r="F7" s="11"/>
      <c r="G7" s="11"/>
      <c r="H7" s="11"/>
      <c r="I7" s="11"/>
      <c r="J7" s="11"/>
      <c r="K7" s="11"/>
      <c r="L7" s="11"/>
      <c r="M7" s="11"/>
      <c r="N7" s="11"/>
      <c r="O7" s="11"/>
      <c r="P7" s="11"/>
      <c r="Q7" s="11"/>
      <c r="R7" s="11"/>
      <c r="S7" s="11"/>
      <c r="T7" s="11"/>
      <c r="U7" s="11"/>
      <c r="V7" s="11"/>
    </row>
    <row r="8" spans="1:22">
      <c r="A8" s="11"/>
      <c r="B8" s="472">
        <f t="shared" si="0"/>
        <v>5</v>
      </c>
      <c r="C8" s="471" t="s">
        <v>43</v>
      </c>
      <c r="E8" s="11"/>
      <c r="F8" s="11"/>
      <c r="G8" s="11"/>
      <c r="H8" s="11"/>
      <c r="I8" s="11"/>
      <c r="J8" s="11"/>
      <c r="K8" s="11"/>
      <c r="L8" s="11"/>
      <c r="M8" s="11"/>
      <c r="N8" s="11"/>
      <c r="O8" s="11"/>
      <c r="P8" s="11"/>
      <c r="Q8" s="11"/>
      <c r="R8" s="11"/>
      <c r="S8" s="11"/>
      <c r="T8" s="11"/>
      <c r="U8" s="11"/>
      <c r="V8" s="11"/>
    </row>
    <row r="9" spans="1:22">
      <c r="A9" s="11"/>
      <c r="B9" s="472">
        <f t="shared" si="0"/>
        <v>6</v>
      </c>
      <c r="C9" s="471" t="s">
        <v>44</v>
      </c>
      <c r="E9" s="11"/>
      <c r="F9" s="11"/>
      <c r="G9" s="11"/>
      <c r="H9" s="11"/>
      <c r="I9" s="11"/>
      <c r="J9" s="11"/>
      <c r="K9" s="11"/>
      <c r="L9" s="11"/>
      <c r="M9" s="11"/>
      <c r="N9" s="11"/>
      <c r="O9" s="11"/>
      <c r="P9" s="11"/>
      <c r="Q9" s="11"/>
      <c r="R9" s="11"/>
      <c r="S9" s="11"/>
      <c r="T9" s="11"/>
      <c r="U9" s="11"/>
      <c r="V9" s="11"/>
    </row>
    <row r="10" spans="1:22">
      <c r="A10" s="11"/>
      <c r="B10" s="472">
        <f t="shared" si="0"/>
        <v>7</v>
      </c>
      <c r="C10" s="471" t="s">
        <v>45</v>
      </c>
      <c r="E10" s="11"/>
      <c r="F10" s="11"/>
      <c r="G10" s="11"/>
      <c r="H10" s="11"/>
      <c r="I10" s="11"/>
      <c r="J10" s="11"/>
      <c r="K10" s="11"/>
      <c r="L10" s="11"/>
      <c r="M10" s="11"/>
      <c r="N10" s="11"/>
      <c r="O10" s="11"/>
      <c r="P10" s="11"/>
      <c r="Q10" s="11"/>
      <c r="R10" s="11"/>
      <c r="S10" s="11"/>
      <c r="T10" s="11"/>
      <c r="U10" s="11"/>
      <c r="V10" s="11"/>
    </row>
    <row r="11" spans="1:22">
      <c r="A11" s="11"/>
      <c r="B11" s="472">
        <f t="shared" si="0"/>
        <v>8</v>
      </c>
      <c r="C11" s="471" t="s">
        <v>46</v>
      </c>
      <c r="E11" s="11"/>
      <c r="F11" s="11"/>
      <c r="G11" s="11"/>
      <c r="H11" s="11"/>
      <c r="I11" s="11"/>
      <c r="J11" s="11"/>
      <c r="K11" s="11"/>
      <c r="L11" s="11"/>
      <c r="M11" s="11"/>
      <c r="N11" s="11"/>
      <c r="O11" s="11"/>
      <c r="P11" s="11"/>
      <c r="Q11" s="11"/>
      <c r="R11" s="11"/>
      <c r="S11" s="11"/>
      <c r="T11" s="11"/>
      <c r="U11" s="11"/>
      <c r="V11" s="11"/>
    </row>
    <row r="12" spans="1:22">
      <c r="A12" s="11"/>
      <c r="B12" s="472">
        <f t="shared" si="0"/>
        <v>9</v>
      </c>
      <c r="C12" s="471" t="s">
        <v>47</v>
      </c>
      <c r="E12" s="11"/>
      <c r="F12" s="11"/>
      <c r="G12" s="11"/>
      <c r="H12" s="11"/>
      <c r="I12" s="11"/>
      <c r="J12" s="11"/>
      <c r="K12" s="11"/>
      <c r="L12" s="11"/>
      <c r="M12" s="11"/>
      <c r="N12" s="11"/>
      <c r="O12" s="11"/>
      <c r="P12" s="11"/>
      <c r="Q12" s="11"/>
      <c r="R12" s="11"/>
      <c r="S12" s="11"/>
      <c r="T12" s="11"/>
      <c r="U12" s="11"/>
      <c r="V12" s="11"/>
    </row>
    <row r="13" spans="1:22">
      <c r="A13" s="11"/>
      <c r="B13" s="472">
        <f t="shared" si="0"/>
        <v>10</v>
      </c>
      <c r="C13" s="471" t="s">
        <v>48</v>
      </c>
      <c r="E13" s="11"/>
      <c r="F13" s="11"/>
      <c r="G13" s="11"/>
      <c r="H13" s="11"/>
      <c r="I13" s="11"/>
      <c r="J13" s="11"/>
      <c r="K13" s="11"/>
      <c r="L13" s="11"/>
      <c r="M13" s="11"/>
      <c r="N13" s="11"/>
      <c r="O13" s="11"/>
      <c r="P13" s="11"/>
      <c r="Q13" s="11"/>
      <c r="R13" s="11"/>
      <c r="S13" s="11"/>
      <c r="T13" s="11"/>
      <c r="U13" s="11"/>
      <c r="V13" s="11"/>
    </row>
    <row r="14" spans="1:22">
      <c r="A14" s="11"/>
      <c r="B14" s="472">
        <f t="shared" si="0"/>
        <v>11</v>
      </c>
      <c r="C14" s="471" t="s">
        <v>49</v>
      </c>
      <c r="E14" s="11"/>
      <c r="F14" s="11"/>
      <c r="G14" s="11"/>
      <c r="H14" s="11"/>
      <c r="I14" s="11"/>
      <c r="J14" s="11"/>
      <c r="K14" s="11"/>
      <c r="L14" s="11"/>
      <c r="M14" s="11"/>
      <c r="N14" s="11"/>
      <c r="O14" s="11"/>
      <c r="P14" s="11"/>
      <c r="Q14" s="11"/>
      <c r="R14" s="11"/>
      <c r="S14" s="11"/>
      <c r="T14" s="11"/>
      <c r="U14" s="11"/>
      <c r="V14" s="11"/>
    </row>
    <row r="15" spans="1:22">
      <c r="A15" s="11"/>
      <c r="B15" s="472">
        <f t="shared" si="0"/>
        <v>12</v>
      </c>
      <c r="C15" s="474" t="s">
        <v>50</v>
      </c>
      <c r="E15" s="11"/>
      <c r="F15" s="11"/>
      <c r="G15" s="11"/>
      <c r="H15" s="11"/>
      <c r="I15" s="11"/>
      <c r="J15" s="11"/>
      <c r="K15" s="11"/>
      <c r="L15" s="11"/>
      <c r="M15" s="11"/>
      <c r="N15" s="11"/>
      <c r="O15" s="11"/>
      <c r="P15" s="11"/>
      <c r="Q15" s="11"/>
      <c r="R15" s="11"/>
      <c r="S15" s="11"/>
      <c r="T15" s="11"/>
      <c r="U15" s="11"/>
      <c r="V15" s="11"/>
    </row>
    <row r="16" spans="1:22">
      <c r="A16" s="11"/>
      <c r="B16" s="472">
        <f t="shared" si="0"/>
        <v>13</v>
      </c>
      <c r="C16" s="471" t="s">
        <v>51</v>
      </c>
      <c r="E16" s="11"/>
      <c r="F16" s="11"/>
      <c r="G16" s="11"/>
      <c r="H16" s="11"/>
      <c r="I16" s="11"/>
      <c r="J16" s="11"/>
      <c r="K16" s="11"/>
      <c r="L16" s="11"/>
      <c r="M16" s="11"/>
      <c r="N16" s="11"/>
      <c r="O16" s="11"/>
      <c r="P16" s="11"/>
      <c r="Q16" s="11"/>
      <c r="R16" s="11"/>
      <c r="S16" s="11"/>
      <c r="T16" s="11"/>
      <c r="U16" s="11"/>
      <c r="V16" s="11"/>
    </row>
    <row r="17" spans="1:22">
      <c r="A17" s="11"/>
      <c r="B17" s="472">
        <f t="shared" si="0"/>
        <v>14</v>
      </c>
      <c r="C17" s="471" t="s">
        <v>53</v>
      </c>
      <c r="E17" s="11"/>
      <c r="F17" s="11"/>
      <c r="G17" s="11"/>
      <c r="H17" s="11"/>
      <c r="I17" s="11"/>
      <c r="J17" s="11"/>
      <c r="K17" s="11"/>
      <c r="L17" s="11"/>
      <c r="M17" s="11"/>
      <c r="N17" s="11"/>
      <c r="O17" s="11"/>
      <c r="P17" s="11"/>
      <c r="Q17" s="11"/>
      <c r="R17" s="11"/>
      <c r="S17" s="11"/>
      <c r="T17" s="11"/>
      <c r="U17" s="11"/>
      <c r="V17" s="11"/>
    </row>
    <row r="18" spans="1:22">
      <c r="A18" s="11"/>
      <c r="B18" s="472">
        <f t="shared" si="0"/>
        <v>15</v>
      </c>
      <c r="C18" s="471" t="s">
        <v>54</v>
      </c>
      <c r="E18" s="11"/>
      <c r="F18" s="11"/>
      <c r="G18" s="11"/>
      <c r="H18" s="11"/>
      <c r="I18" s="11"/>
      <c r="J18" s="11"/>
      <c r="K18" s="11"/>
      <c r="L18" s="11"/>
      <c r="M18" s="11"/>
      <c r="N18" s="11"/>
      <c r="O18" s="11"/>
      <c r="P18" s="11"/>
      <c r="Q18" s="11"/>
      <c r="R18" s="11"/>
      <c r="S18" s="11"/>
      <c r="T18" s="11"/>
      <c r="U18" s="11"/>
      <c r="V18" s="11"/>
    </row>
    <row r="19" spans="1:22">
      <c r="A19" s="11"/>
      <c r="B19" s="472">
        <f t="shared" si="0"/>
        <v>16</v>
      </c>
      <c r="C19" s="474" t="s">
        <v>55</v>
      </c>
      <c r="E19" s="11"/>
      <c r="F19" s="11"/>
      <c r="G19" s="11"/>
      <c r="H19" s="11"/>
      <c r="I19" s="11"/>
      <c r="J19" s="11"/>
      <c r="K19" s="11"/>
      <c r="L19" s="11"/>
      <c r="M19" s="11"/>
      <c r="N19" s="11"/>
      <c r="O19" s="11"/>
      <c r="P19" s="11"/>
      <c r="Q19" s="11"/>
      <c r="R19" s="11"/>
      <c r="S19" s="11"/>
      <c r="T19" s="11"/>
      <c r="U19" s="11"/>
      <c r="V19" s="11"/>
    </row>
    <row r="20" spans="1:22">
      <c r="A20" s="11"/>
      <c r="B20" s="472">
        <f t="shared" si="0"/>
        <v>17</v>
      </c>
      <c r="C20" s="474" t="s">
        <v>56</v>
      </c>
      <c r="E20" s="11"/>
      <c r="F20" s="11"/>
      <c r="G20" s="11"/>
      <c r="H20" s="11"/>
      <c r="I20" s="11"/>
      <c r="J20" s="11"/>
      <c r="K20" s="11"/>
      <c r="L20" s="11"/>
      <c r="M20" s="11"/>
      <c r="N20" s="11"/>
      <c r="O20" s="11"/>
      <c r="P20" s="11"/>
      <c r="Q20" s="11"/>
      <c r="R20" s="11"/>
      <c r="S20" s="11"/>
      <c r="T20" s="11"/>
      <c r="U20" s="11"/>
      <c r="V20" s="11"/>
    </row>
    <row r="21" spans="1:22">
      <c r="A21" s="11"/>
      <c r="B21" s="472">
        <f t="shared" si="0"/>
        <v>18</v>
      </c>
      <c r="C21" s="471" t="s">
        <v>57</v>
      </c>
      <c r="E21" s="11"/>
      <c r="F21" s="11"/>
      <c r="G21" s="11"/>
      <c r="H21" s="11"/>
      <c r="I21" s="11"/>
      <c r="J21" s="11"/>
      <c r="K21" s="11"/>
      <c r="L21" s="11"/>
      <c r="M21" s="11"/>
      <c r="N21" s="11"/>
      <c r="O21" s="11"/>
      <c r="P21" s="11"/>
      <c r="Q21" s="11"/>
      <c r="R21" s="11"/>
      <c r="S21" s="11"/>
      <c r="T21" s="11"/>
      <c r="U21" s="11"/>
      <c r="V21" s="11"/>
    </row>
    <row r="22" spans="1:22">
      <c r="A22" s="11"/>
      <c r="B22" s="472">
        <f t="shared" si="0"/>
        <v>19</v>
      </c>
      <c r="C22" s="471" t="s">
        <v>58</v>
      </c>
      <c r="E22" s="11"/>
      <c r="F22" s="11"/>
      <c r="G22" s="11"/>
      <c r="H22" s="11"/>
      <c r="I22" s="11"/>
      <c r="J22" s="11"/>
      <c r="K22" s="11"/>
      <c r="L22" s="11"/>
      <c r="M22" s="11"/>
      <c r="N22" s="11"/>
      <c r="O22" s="11"/>
      <c r="P22" s="11"/>
      <c r="Q22" s="11"/>
      <c r="R22" s="11"/>
      <c r="S22" s="11"/>
      <c r="T22" s="11"/>
      <c r="U22" s="11"/>
      <c r="V22" s="11"/>
    </row>
    <row r="23" spans="1:22">
      <c r="A23" s="11"/>
      <c r="B23" s="472">
        <f t="shared" si="0"/>
        <v>20</v>
      </c>
      <c r="C23" s="471" t="s">
        <v>59</v>
      </c>
      <c r="E23" s="11"/>
      <c r="F23" s="11"/>
      <c r="G23" s="11"/>
      <c r="H23" s="11"/>
      <c r="I23" s="11"/>
      <c r="J23" s="11"/>
      <c r="K23" s="11"/>
      <c r="L23" s="11"/>
      <c r="M23" s="11"/>
      <c r="N23" s="11"/>
      <c r="O23" s="11"/>
      <c r="P23" s="11"/>
      <c r="Q23" s="11"/>
      <c r="R23" s="11"/>
      <c r="S23" s="11"/>
      <c r="T23" s="11"/>
      <c r="U23" s="11"/>
      <c r="V23" s="11"/>
    </row>
    <row r="24" spans="1:22">
      <c r="A24" s="11"/>
      <c r="B24" s="472">
        <f t="shared" si="0"/>
        <v>21</v>
      </c>
      <c r="C24" s="474" t="s">
        <v>60</v>
      </c>
      <c r="E24" s="11"/>
      <c r="F24" s="11"/>
      <c r="G24" s="11"/>
      <c r="H24" s="11"/>
      <c r="I24" s="11"/>
      <c r="J24" s="11"/>
      <c r="K24" s="11"/>
      <c r="L24" s="11"/>
      <c r="M24" s="11"/>
      <c r="N24" s="11"/>
      <c r="O24" s="11"/>
      <c r="P24" s="11"/>
      <c r="Q24" s="11"/>
      <c r="R24" s="11"/>
      <c r="S24" s="11"/>
      <c r="T24" s="11"/>
      <c r="U24" s="11"/>
      <c r="V24" s="11"/>
    </row>
    <row r="25" spans="1:22">
      <c r="A25" s="11"/>
      <c r="B25" s="472">
        <f t="shared" si="0"/>
        <v>22</v>
      </c>
      <c r="C25" s="471" t="s">
        <v>418</v>
      </c>
      <c r="E25" s="11"/>
      <c r="F25" s="11"/>
      <c r="G25" s="11"/>
      <c r="H25" s="11"/>
      <c r="I25" s="11"/>
      <c r="J25" s="11"/>
      <c r="K25" s="11"/>
      <c r="L25" s="11"/>
      <c r="M25" s="11"/>
      <c r="N25" s="11"/>
      <c r="O25" s="11"/>
      <c r="P25" s="11"/>
      <c r="Q25" s="11"/>
      <c r="R25" s="11"/>
      <c r="S25" s="11"/>
      <c r="T25" s="11"/>
      <c r="U25" s="11"/>
      <c r="V25" s="11"/>
    </row>
    <row r="26" spans="1:22">
      <c r="A26" s="11"/>
      <c r="B26" s="472">
        <f t="shared" si="0"/>
        <v>23</v>
      </c>
      <c r="C26" s="471" t="s">
        <v>419</v>
      </c>
      <c r="E26" s="11"/>
      <c r="F26" s="11"/>
      <c r="G26" s="11"/>
      <c r="H26" s="11"/>
      <c r="I26" s="11"/>
      <c r="J26" s="11"/>
      <c r="K26" s="11"/>
      <c r="L26" s="11"/>
      <c r="M26" s="11"/>
      <c r="N26" s="11"/>
      <c r="O26" s="11"/>
      <c r="P26" s="11"/>
      <c r="Q26" s="11"/>
      <c r="R26" s="11"/>
      <c r="S26" s="11"/>
      <c r="T26" s="11"/>
      <c r="U26" s="11"/>
      <c r="V26" s="11"/>
    </row>
    <row r="27" spans="1:22">
      <c r="A27" s="11"/>
      <c r="B27" s="472">
        <f t="shared" si="0"/>
        <v>24</v>
      </c>
      <c r="C27" s="471" t="s">
        <v>420</v>
      </c>
      <c r="E27" s="11"/>
      <c r="F27" s="11"/>
      <c r="G27" s="11"/>
      <c r="H27" s="11"/>
      <c r="I27" s="11"/>
      <c r="J27" s="11"/>
      <c r="K27" s="11"/>
      <c r="L27" s="11"/>
      <c r="M27" s="11"/>
      <c r="N27" s="11"/>
      <c r="O27" s="11"/>
      <c r="P27" s="11"/>
      <c r="Q27" s="11"/>
      <c r="R27" s="11"/>
      <c r="S27" s="11"/>
      <c r="T27" s="11"/>
      <c r="U27" s="11"/>
      <c r="V27" s="11"/>
    </row>
    <row r="28" spans="1:22">
      <c r="A28" s="11"/>
      <c r="B28" s="472">
        <f t="shared" si="0"/>
        <v>25</v>
      </c>
      <c r="C28" s="471" t="s">
        <v>421</v>
      </c>
      <c r="E28" s="11"/>
      <c r="F28" s="11"/>
      <c r="G28" s="11"/>
      <c r="H28" s="11"/>
      <c r="I28" s="11"/>
      <c r="J28" s="11"/>
      <c r="K28" s="11"/>
      <c r="L28" s="11"/>
      <c r="M28" s="11"/>
      <c r="N28" s="11"/>
      <c r="O28" s="11"/>
      <c r="P28" s="11"/>
      <c r="Q28" s="11"/>
      <c r="R28" s="11"/>
      <c r="S28" s="11"/>
      <c r="T28" s="11"/>
      <c r="U28" s="11"/>
      <c r="V28" s="11"/>
    </row>
    <row r="29" spans="1:22">
      <c r="A29" s="11"/>
      <c r="B29" s="472">
        <f t="shared" si="0"/>
        <v>26</v>
      </c>
      <c r="C29" s="471" t="s">
        <v>422</v>
      </c>
      <c r="E29" s="11"/>
      <c r="F29" s="11"/>
      <c r="G29" s="11"/>
      <c r="H29" s="11"/>
      <c r="I29" s="11"/>
      <c r="J29" s="11"/>
      <c r="K29" s="11"/>
      <c r="L29" s="11"/>
      <c r="M29" s="11"/>
      <c r="N29" s="11"/>
      <c r="O29" s="11"/>
      <c r="P29" s="11"/>
      <c r="Q29" s="11"/>
      <c r="R29" s="11"/>
      <c r="S29" s="11"/>
      <c r="T29" s="11"/>
      <c r="U29" s="11"/>
      <c r="V29" s="11"/>
    </row>
    <row r="30" spans="1:22">
      <c r="A30" s="11"/>
      <c r="B30" s="472">
        <f t="shared" si="0"/>
        <v>27</v>
      </c>
      <c r="C30" s="471" t="s">
        <v>423</v>
      </c>
      <c r="E30" s="11"/>
      <c r="F30" s="11"/>
      <c r="G30" s="11"/>
      <c r="H30" s="11"/>
      <c r="I30" s="11"/>
      <c r="J30" s="11"/>
      <c r="K30" s="11"/>
      <c r="L30" s="11"/>
      <c r="M30" s="11"/>
      <c r="N30" s="11"/>
      <c r="O30" s="11"/>
      <c r="P30" s="11"/>
      <c r="Q30" s="11"/>
      <c r="R30" s="11"/>
      <c r="S30" s="11"/>
      <c r="T30" s="11"/>
      <c r="U30" s="11"/>
      <c r="V30" s="11"/>
    </row>
    <row r="31" spans="1:22">
      <c r="A31" s="11"/>
      <c r="B31" s="472">
        <f t="shared" si="0"/>
        <v>28</v>
      </c>
      <c r="C31" s="471" t="s">
        <v>424</v>
      </c>
      <c r="E31" s="11"/>
      <c r="F31" s="11"/>
      <c r="G31" s="11"/>
      <c r="H31" s="11"/>
      <c r="I31" s="11"/>
      <c r="J31" s="11"/>
      <c r="K31" s="11"/>
      <c r="L31" s="11"/>
      <c r="M31" s="11"/>
      <c r="N31" s="11"/>
      <c r="O31" s="11"/>
      <c r="P31" s="11"/>
      <c r="Q31" s="11"/>
      <c r="R31" s="11"/>
      <c r="S31" s="11"/>
      <c r="T31" s="11"/>
      <c r="U31" s="11"/>
      <c r="V31" s="11"/>
    </row>
    <row r="32" spans="1:22">
      <c r="A32" s="11"/>
      <c r="B32" s="472">
        <f t="shared" si="0"/>
        <v>29</v>
      </c>
      <c r="C32" s="471" t="s">
        <v>425</v>
      </c>
      <c r="E32" s="11"/>
      <c r="F32" s="11"/>
      <c r="G32" s="11"/>
      <c r="H32" s="11"/>
      <c r="I32" s="11"/>
      <c r="J32" s="11"/>
      <c r="K32" s="11"/>
      <c r="L32" s="11"/>
      <c r="M32" s="11"/>
      <c r="N32" s="11"/>
      <c r="O32" s="11"/>
      <c r="P32" s="11"/>
      <c r="Q32" s="11"/>
      <c r="R32" s="11"/>
      <c r="S32" s="11"/>
      <c r="T32" s="11"/>
      <c r="U32" s="11"/>
      <c r="V32" s="11"/>
    </row>
    <row r="33" spans="1:22">
      <c r="A33" s="11"/>
      <c r="B33" s="472">
        <f t="shared" si="0"/>
        <v>30</v>
      </c>
      <c r="C33" s="471" t="s">
        <v>426</v>
      </c>
      <c r="E33" s="11"/>
      <c r="F33" s="11"/>
      <c r="G33" s="11"/>
      <c r="H33" s="11"/>
      <c r="I33" s="11"/>
      <c r="J33" s="11"/>
      <c r="K33" s="11"/>
      <c r="L33" s="11"/>
      <c r="M33" s="11"/>
      <c r="N33" s="11"/>
      <c r="O33" s="11"/>
      <c r="P33" s="11"/>
      <c r="Q33" s="11"/>
      <c r="R33" s="11"/>
      <c r="S33" s="11"/>
      <c r="T33" s="11"/>
      <c r="U33" s="11"/>
      <c r="V33" s="11"/>
    </row>
    <row r="34" spans="1:22">
      <c r="A34" s="11"/>
      <c r="B34" s="472">
        <f t="shared" si="0"/>
        <v>31</v>
      </c>
      <c r="C34" s="471" t="s">
        <v>427</v>
      </c>
      <c r="E34" s="11"/>
      <c r="F34" s="11"/>
      <c r="G34" s="11"/>
      <c r="H34" s="11"/>
      <c r="I34" s="11"/>
      <c r="J34" s="11"/>
      <c r="K34" s="11"/>
      <c r="L34" s="11"/>
      <c r="M34" s="11"/>
      <c r="N34" s="11"/>
      <c r="O34" s="11"/>
      <c r="P34" s="11"/>
      <c r="Q34" s="11"/>
      <c r="R34" s="11"/>
      <c r="S34" s="11"/>
      <c r="T34" s="11"/>
      <c r="U34" s="11"/>
      <c r="V34" s="11"/>
    </row>
    <row r="35" spans="1:22">
      <c r="A35" s="11"/>
      <c r="B35" s="472">
        <f t="shared" si="0"/>
        <v>32</v>
      </c>
      <c r="C35" s="471" t="s">
        <v>52</v>
      </c>
      <c r="E35" s="11"/>
      <c r="F35" s="11"/>
      <c r="G35" s="11"/>
      <c r="H35" s="11"/>
      <c r="I35" s="11"/>
      <c r="J35" s="11"/>
      <c r="K35" s="11"/>
      <c r="L35" s="11"/>
      <c r="M35" s="11"/>
      <c r="N35" s="11"/>
      <c r="O35" s="11"/>
      <c r="P35" s="11"/>
      <c r="Q35" s="11"/>
      <c r="R35" s="11"/>
      <c r="S35" s="11"/>
      <c r="T35" s="11"/>
      <c r="U35" s="11"/>
      <c r="V35" s="11"/>
    </row>
    <row r="36" spans="1:22">
      <c r="A36" s="11"/>
      <c r="B36" s="472">
        <f t="shared" si="0"/>
        <v>33</v>
      </c>
      <c r="C36" s="471" t="s">
        <v>428</v>
      </c>
      <c r="E36" s="11"/>
      <c r="F36" s="11"/>
      <c r="G36" s="11"/>
      <c r="H36" s="11"/>
      <c r="I36" s="11"/>
      <c r="J36" s="11"/>
      <c r="K36" s="11"/>
      <c r="L36" s="11"/>
      <c r="M36" s="11"/>
      <c r="N36" s="11"/>
      <c r="O36" s="11"/>
      <c r="P36" s="11"/>
      <c r="Q36" s="11"/>
      <c r="R36" s="11"/>
      <c r="S36" s="11"/>
      <c r="T36" s="11"/>
      <c r="U36" s="11"/>
      <c r="V36" s="11"/>
    </row>
    <row r="37" spans="1:22">
      <c r="A37" s="11"/>
      <c r="B37" s="472">
        <f t="shared" si="0"/>
        <v>34</v>
      </c>
      <c r="C37" s="471" t="s">
        <v>429</v>
      </c>
      <c r="E37" s="11"/>
      <c r="F37" s="11"/>
      <c r="G37" s="11"/>
      <c r="H37" s="11"/>
      <c r="I37" s="11"/>
      <c r="J37" s="11"/>
      <c r="K37" s="11"/>
      <c r="L37" s="11"/>
      <c r="M37" s="11"/>
      <c r="N37" s="11"/>
      <c r="O37" s="11"/>
      <c r="P37" s="11"/>
      <c r="Q37" s="11"/>
      <c r="R37" s="11"/>
      <c r="S37" s="11"/>
      <c r="T37" s="11"/>
      <c r="U37" s="11"/>
      <c r="V37" s="11"/>
    </row>
    <row r="38" spans="1:22">
      <c r="A38" s="11"/>
      <c r="B38" s="472">
        <f t="shared" si="0"/>
        <v>35</v>
      </c>
      <c r="C38" s="471" t="s">
        <v>430</v>
      </c>
      <c r="E38" s="11"/>
      <c r="F38" s="11"/>
      <c r="G38" s="11"/>
      <c r="H38" s="11"/>
      <c r="I38" s="11"/>
      <c r="J38" s="11"/>
      <c r="K38" s="11"/>
      <c r="L38" s="11"/>
      <c r="M38" s="11"/>
      <c r="N38" s="11"/>
      <c r="O38" s="11"/>
      <c r="P38" s="11"/>
      <c r="Q38" s="11"/>
      <c r="R38" s="11"/>
      <c r="S38" s="11"/>
      <c r="T38" s="11"/>
      <c r="U38" s="11"/>
      <c r="V38" s="11"/>
    </row>
    <row r="39" spans="1:22">
      <c r="A39" s="11"/>
      <c r="B39" s="472">
        <f t="shared" si="0"/>
        <v>36</v>
      </c>
      <c r="C39" s="471" t="s">
        <v>51</v>
      </c>
      <c r="E39" s="11"/>
      <c r="F39" s="11"/>
      <c r="G39" s="11"/>
      <c r="H39" s="11"/>
      <c r="I39" s="11"/>
      <c r="J39" s="11"/>
      <c r="K39" s="11"/>
      <c r="L39" s="11"/>
      <c r="M39" s="11"/>
      <c r="N39" s="11"/>
      <c r="O39" s="11"/>
      <c r="P39" s="11"/>
      <c r="Q39" s="11"/>
      <c r="R39" s="11"/>
      <c r="S39" s="11"/>
      <c r="T39" s="11"/>
      <c r="U39" s="11"/>
      <c r="V39" s="11"/>
    </row>
    <row r="40" spans="1:22">
      <c r="A40" s="11"/>
      <c r="B40" s="472">
        <f t="shared" si="0"/>
        <v>37</v>
      </c>
      <c r="C40" s="471" t="s">
        <v>431</v>
      </c>
      <c r="E40" s="11"/>
      <c r="F40" s="11"/>
      <c r="G40" s="11"/>
      <c r="H40" s="11"/>
      <c r="I40" s="11"/>
      <c r="J40" s="11"/>
      <c r="K40" s="11"/>
      <c r="L40" s="11"/>
      <c r="M40" s="11"/>
      <c r="N40" s="11"/>
      <c r="O40" s="11"/>
      <c r="P40" s="11"/>
      <c r="Q40" s="11"/>
      <c r="R40" s="11"/>
      <c r="S40" s="11"/>
      <c r="T40" s="11"/>
      <c r="U40" s="11"/>
      <c r="V40" s="11"/>
    </row>
    <row r="41" spans="1:22">
      <c r="A41" s="11"/>
      <c r="B41" s="472">
        <f t="shared" si="0"/>
        <v>38</v>
      </c>
      <c r="C41" s="471" t="s">
        <v>432</v>
      </c>
      <c r="E41" s="11"/>
      <c r="F41" s="11"/>
      <c r="G41" s="11"/>
      <c r="H41" s="11"/>
      <c r="I41" s="11"/>
      <c r="J41" s="11"/>
      <c r="K41" s="11"/>
      <c r="L41" s="11"/>
      <c r="M41" s="11"/>
      <c r="N41" s="11"/>
      <c r="O41" s="11"/>
      <c r="P41" s="11"/>
      <c r="Q41" s="11"/>
      <c r="R41" s="11"/>
      <c r="S41" s="11"/>
      <c r="T41" s="11"/>
      <c r="U41" s="11"/>
      <c r="V41" s="11"/>
    </row>
    <row r="42" spans="1:22">
      <c r="A42" s="11"/>
      <c r="B42" s="472">
        <f t="shared" si="0"/>
        <v>39</v>
      </c>
      <c r="C42" s="471" t="s">
        <v>433</v>
      </c>
      <c r="E42" s="11"/>
      <c r="F42" s="11"/>
      <c r="G42" s="11"/>
      <c r="H42" s="11"/>
      <c r="I42" s="11"/>
      <c r="J42" s="11"/>
      <c r="K42" s="11"/>
      <c r="L42" s="11"/>
      <c r="M42" s="11"/>
      <c r="N42" s="11"/>
      <c r="O42" s="11"/>
      <c r="P42" s="11"/>
      <c r="Q42" s="11"/>
      <c r="R42" s="11"/>
      <c r="S42" s="11"/>
      <c r="T42" s="11"/>
      <c r="U42" s="11"/>
      <c r="V42" s="11"/>
    </row>
    <row r="43" spans="1:22">
      <c r="A43" s="11"/>
      <c r="B43" s="472">
        <f t="shared" si="0"/>
        <v>40</v>
      </c>
      <c r="C43" s="471" t="s">
        <v>434</v>
      </c>
      <c r="E43" s="11"/>
      <c r="F43" s="11"/>
      <c r="G43" s="11"/>
      <c r="H43" s="11"/>
      <c r="I43" s="11"/>
      <c r="J43" s="11"/>
      <c r="K43" s="11"/>
      <c r="L43" s="11"/>
      <c r="M43" s="11"/>
      <c r="N43" s="11"/>
      <c r="O43" s="11"/>
      <c r="P43" s="11"/>
      <c r="Q43" s="11"/>
      <c r="R43" s="11"/>
      <c r="S43" s="11"/>
      <c r="T43" s="11"/>
      <c r="U43" s="11"/>
      <c r="V43" s="11"/>
    </row>
    <row r="44" spans="1:22">
      <c r="A44" s="11"/>
      <c r="B44" s="472">
        <f t="shared" si="0"/>
        <v>41</v>
      </c>
      <c r="C44" s="471" t="s">
        <v>435</v>
      </c>
      <c r="E44" s="11"/>
      <c r="F44" s="11"/>
      <c r="G44" s="11"/>
      <c r="H44" s="11"/>
      <c r="I44" s="11"/>
      <c r="J44" s="11"/>
      <c r="K44" s="11"/>
      <c r="L44" s="11"/>
      <c r="M44" s="11"/>
      <c r="N44" s="11"/>
      <c r="O44" s="11"/>
      <c r="P44" s="11"/>
      <c r="Q44" s="11"/>
      <c r="R44" s="11"/>
      <c r="S44" s="11"/>
      <c r="T44" s="11"/>
      <c r="U44" s="11"/>
      <c r="V44" s="11"/>
    </row>
    <row r="45" spans="1:22">
      <c r="A45" s="11"/>
      <c r="B45" s="472">
        <f t="shared" si="0"/>
        <v>42</v>
      </c>
      <c r="C45" s="471" t="s">
        <v>436</v>
      </c>
      <c r="E45" s="11"/>
      <c r="F45" s="11"/>
      <c r="G45" s="11"/>
      <c r="H45" s="11"/>
      <c r="I45" s="11"/>
      <c r="J45" s="11"/>
      <c r="K45" s="11"/>
      <c r="L45" s="11"/>
      <c r="M45" s="11"/>
      <c r="N45" s="11"/>
      <c r="O45" s="11"/>
      <c r="P45" s="11"/>
      <c r="Q45" s="11"/>
      <c r="R45" s="11"/>
      <c r="S45" s="11"/>
      <c r="T45" s="11"/>
      <c r="U45" s="11"/>
      <c r="V45" s="11"/>
    </row>
    <row r="46" spans="1:22">
      <c r="A46" s="11"/>
      <c r="B46" s="472">
        <f t="shared" si="0"/>
        <v>43</v>
      </c>
      <c r="C46" s="471" t="s">
        <v>437</v>
      </c>
      <c r="E46" s="11"/>
      <c r="F46" s="11"/>
      <c r="G46" s="11"/>
      <c r="H46" s="11"/>
      <c r="I46" s="11"/>
      <c r="J46" s="11"/>
      <c r="K46" s="11"/>
      <c r="L46" s="11"/>
      <c r="M46" s="11"/>
      <c r="N46" s="11"/>
      <c r="O46" s="11"/>
      <c r="P46" s="11"/>
      <c r="Q46" s="11"/>
      <c r="R46" s="11"/>
      <c r="S46" s="11"/>
      <c r="T46" s="11"/>
      <c r="U46" s="11"/>
      <c r="V46" s="11"/>
    </row>
    <row r="47" spans="1:22">
      <c r="A47" s="11" t="s">
        <v>61</v>
      </c>
      <c r="B47" s="472">
        <f t="shared" si="0"/>
        <v>44</v>
      </c>
      <c r="C47" s="471" t="s">
        <v>438</v>
      </c>
      <c r="E47" s="11"/>
      <c r="F47" s="11"/>
      <c r="G47" s="11"/>
      <c r="H47" s="11"/>
      <c r="I47" s="11"/>
      <c r="J47" s="11"/>
      <c r="K47" s="11"/>
      <c r="L47" s="11"/>
      <c r="M47" s="11"/>
      <c r="N47" s="11"/>
      <c r="O47" s="11"/>
      <c r="P47" s="11"/>
      <c r="Q47" s="11"/>
      <c r="R47" s="11"/>
      <c r="S47" s="11"/>
      <c r="T47" s="11"/>
      <c r="U47" s="11"/>
      <c r="V47" s="11"/>
    </row>
    <row r="48" spans="1:22">
      <c r="A48" s="11"/>
      <c r="B48" s="472">
        <f t="shared" si="0"/>
        <v>45</v>
      </c>
      <c r="C48" s="471" t="s">
        <v>439</v>
      </c>
      <c r="E48" s="11"/>
      <c r="F48" s="11"/>
      <c r="G48" s="11"/>
      <c r="H48" s="11"/>
      <c r="I48" s="11"/>
      <c r="J48" s="11"/>
      <c r="K48" s="11"/>
      <c r="L48" s="11"/>
      <c r="M48" s="11"/>
      <c r="N48" s="11"/>
      <c r="O48" s="11"/>
      <c r="P48" s="11"/>
      <c r="Q48" s="11"/>
      <c r="R48" s="11"/>
      <c r="S48" s="11"/>
      <c r="T48" s="11"/>
      <c r="U48" s="11"/>
      <c r="V48" s="11"/>
    </row>
    <row r="49" spans="1:22">
      <c r="A49" s="11"/>
      <c r="B49" s="472">
        <f t="shared" si="0"/>
        <v>46</v>
      </c>
      <c r="C49" s="471" t="s">
        <v>440</v>
      </c>
      <c r="E49" s="11"/>
      <c r="F49" s="11"/>
      <c r="G49" s="11"/>
      <c r="H49" s="11"/>
      <c r="I49" s="11"/>
      <c r="J49" s="11"/>
      <c r="K49" s="11"/>
      <c r="L49" s="11"/>
      <c r="M49" s="11"/>
      <c r="N49" s="11"/>
      <c r="O49" s="11"/>
      <c r="P49" s="11"/>
      <c r="Q49" s="11"/>
      <c r="R49" s="11"/>
      <c r="S49" s="11"/>
      <c r="T49" s="11"/>
      <c r="U49" s="11"/>
      <c r="V49" s="11"/>
    </row>
    <row r="50" spans="1:22">
      <c r="A50" s="11"/>
      <c r="B50" s="472">
        <f t="shared" si="0"/>
        <v>47</v>
      </c>
      <c r="C50" s="471" t="s">
        <v>441</v>
      </c>
      <c r="E50" s="11"/>
      <c r="F50" s="11"/>
      <c r="G50" s="11"/>
      <c r="H50" s="11"/>
      <c r="I50" s="11"/>
      <c r="J50" s="11"/>
      <c r="K50" s="11"/>
      <c r="L50" s="11"/>
      <c r="M50" s="11"/>
      <c r="N50" s="11"/>
      <c r="O50" s="11"/>
      <c r="P50" s="11"/>
      <c r="Q50" s="11"/>
      <c r="R50" s="11"/>
      <c r="S50" s="11"/>
      <c r="T50" s="11"/>
      <c r="U50" s="11"/>
      <c r="V50" s="11"/>
    </row>
    <row r="51" spans="1:22">
      <c r="A51" s="11"/>
      <c r="B51" s="472">
        <f t="shared" si="0"/>
        <v>48</v>
      </c>
      <c r="C51" s="471" t="s">
        <v>442</v>
      </c>
      <c r="E51" s="11"/>
      <c r="F51" s="11"/>
      <c r="G51" s="11"/>
      <c r="H51" s="11"/>
      <c r="I51" s="11"/>
      <c r="J51" s="11"/>
      <c r="K51" s="11"/>
      <c r="L51" s="11"/>
      <c r="M51" s="11"/>
      <c r="N51" s="11"/>
      <c r="O51" s="11"/>
      <c r="P51" s="11"/>
      <c r="Q51" s="11"/>
      <c r="R51" s="11"/>
      <c r="S51" s="11"/>
      <c r="T51" s="11"/>
      <c r="U51" s="11"/>
      <c r="V51" s="11"/>
    </row>
    <row r="52" spans="1:22">
      <c r="A52" s="11"/>
      <c r="B52" s="472">
        <f t="shared" si="0"/>
        <v>49</v>
      </c>
      <c r="C52" s="471" t="s">
        <v>443</v>
      </c>
      <c r="E52" s="11"/>
      <c r="F52" s="11"/>
      <c r="G52" s="11"/>
      <c r="H52" s="11"/>
      <c r="I52" s="11"/>
      <c r="J52" s="11"/>
      <c r="K52" s="11"/>
      <c r="L52" s="11"/>
      <c r="M52" s="11"/>
      <c r="N52" s="11"/>
      <c r="O52" s="11"/>
      <c r="P52" s="11"/>
      <c r="Q52" s="11"/>
      <c r="R52" s="11"/>
      <c r="S52" s="11"/>
      <c r="T52" s="11"/>
      <c r="U52" s="11"/>
      <c r="V52" s="11"/>
    </row>
    <row r="53" spans="1:22">
      <c r="A53" s="11"/>
      <c r="B53" s="472">
        <f t="shared" si="0"/>
        <v>50</v>
      </c>
      <c r="C53" s="471" t="s">
        <v>444</v>
      </c>
      <c r="E53" s="11"/>
      <c r="F53" s="11"/>
      <c r="G53" s="11"/>
      <c r="H53" s="11"/>
      <c r="I53" s="11"/>
      <c r="J53" s="11"/>
      <c r="K53" s="11"/>
      <c r="L53" s="11"/>
      <c r="M53" s="11"/>
      <c r="N53" s="11"/>
      <c r="O53" s="11"/>
      <c r="P53" s="11"/>
      <c r="Q53" s="11"/>
      <c r="R53" s="11"/>
      <c r="S53" s="11"/>
      <c r="T53" s="11"/>
      <c r="U53" s="11"/>
      <c r="V53" s="11"/>
    </row>
    <row r="54" spans="1:22">
      <c r="A54" s="11"/>
      <c r="B54" s="472">
        <f t="shared" si="0"/>
        <v>51</v>
      </c>
      <c r="C54" s="471" t="s">
        <v>445</v>
      </c>
      <c r="E54" s="11"/>
      <c r="F54" s="11"/>
      <c r="G54" s="11"/>
      <c r="H54" s="11"/>
      <c r="I54" s="11"/>
      <c r="J54" s="11"/>
      <c r="K54" s="11"/>
      <c r="L54" s="11"/>
      <c r="M54" s="11"/>
      <c r="N54" s="11"/>
      <c r="O54" s="11"/>
      <c r="P54" s="11"/>
      <c r="Q54" s="11"/>
      <c r="R54" s="11"/>
      <c r="S54" s="11"/>
      <c r="T54" s="11"/>
      <c r="U54" s="11"/>
      <c r="V54" s="11"/>
    </row>
    <row r="55" spans="1:22">
      <c r="A55" s="11"/>
      <c r="B55" s="472">
        <f t="shared" si="0"/>
        <v>52</v>
      </c>
      <c r="C55" s="475" t="s">
        <v>446</v>
      </c>
      <c r="E55" s="11"/>
      <c r="F55" s="11"/>
      <c r="G55" s="11"/>
      <c r="H55" s="11"/>
      <c r="I55" s="11"/>
      <c r="J55" s="11"/>
      <c r="K55" s="11"/>
      <c r="L55" s="11"/>
      <c r="M55" s="11"/>
      <c r="N55" s="11"/>
      <c r="O55" s="11"/>
      <c r="P55" s="11"/>
      <c r="Q55" s="11"/>
      <c r="R55" s="11"/>
      <c r="S55" s="11"/>
      <c r="T55" s="11"/>
      <c r="U55" s="11"/>
      <c r="V55" s="11"/>
    </row>
    <row r="56" spans="1:22">
      <c r="A56" s="11"/>
      <c r="B56" s="472">
        <f t="shared" si="0"/>
        <v>53</v>
      </c>
      <c r="C56" s="471" t="s">
        <v>447</v>
      </c>
      <c r="E56" s="11"/>
      <c r="F56" s="11"/>
      <c r="G56" s="11"/>
      <c r="H56" s="11"/>
      <c r="I56" s="11"/>
      <c r="J56" s="11"/>
      <c r="K56" s="11"/>
      <c r="L56" s="11"/>
      <c r="M56" s="11"/>
      <c r="N56" s="11"/>
      <c r="O56" s="11"/>
      <c r="P56" s="11"/>
      <c r="Q56" s="11"/>
      <c r="R56" s="11"/>
      <c r="S56" s="11"/>
      <c r="T56" s="11"/>
      <c r="U56" s="11"/>
      <c r="V56" s="11"/>
    </row>
    <row r="57" spans="1:22">
      <c r="A57" s="11"/>
      <c r="B57" s="472">
        <f t="shared" si="0"/>
        <v>54</v>
      </c>
      <c r="C57" s="471" t="s">
        <v>448</v>
      </c>
      <c r="E57" s="11"/>
      <c r="F57" s="11"/>
      <c r="G57" s="11"/>
      <c r="H57" s="11"/>
      <c r="I57" s="11"/>
      <c r="J57" s="11"/>
      <c r="K57" s="11"/>
      <c r="L57" s="11"/>
      <c r="M57" s="11"/>
      <c r="N57" s="11"/>
      <c r="O57" s="11"/>
      <c r="P57" s="11"/>
      <c r="Q57" s="11"/>
      <c r="R57" s="11"/>
      <c r="S57" s="11"/>
      <c r="T57" s="11"/>
      <c r="U57" s="11"/>
      <c r="V57" s="11"/>
    </row>
    <row r="58" spans="1:22">
      <c r="A58" s="11"/>
      <c r="B58" s="472">
        <f t="shared" si="0"/>
        <v>55</v>
      </c>
      <c r="C58" s="471" t="s">
        <v>449</v>
      </c>
      <c r="E58" s="11"/>
      <c r="F58" s="11"/>
      <c r="G58" s="11"/>
      <c r="H58" s="11"/>
      <c r="I58" s="11"/>
      <c r="J58" s="11"/>
      <c r="K58" s="11"/>
      <c r="L58" s="11"/>
      <c r="M58" s="11"/>
      <c r="N58" s="11"/>
      <c r="O58" s="11"/>
      <c r="P58" s="11"/>
      <c r="Q58" s="11"/>
      <c r="R58" s="11"/>
      <c r="S58" s="11"/>
      <c r="T58" s="11"/>
      <c r="U58" s="11"/>
      <c r="V58" s="11"/>
    </row>
    <row r="59" spans="1:22">
      <c r="A59" s="11"/>
      <c r="B59" s="472">
        <f t="shared" si="0"/>
        <v>56</v>
      </c>
      <c r="C59" s="471" t="s">
        <v>450</v>
      </c>
      <c r="E59" s="11"/>
      <c r="F59" s="11"/>
      <c r="G59" s="11"/>
      <c r="H59" s="11"/>
      <c r="I59" s="11"/>
      <c r="J59" s="11"/>
      <c r="K59" s="11"/>
      <c r="L59" s="11"/>
      <c r="M59" s="11"/>
      <c r="N59" s="11"/>
      <c r="O59" s="11"/>
      <c r="P59" s="11"/>
      <c r="Q59" s="11"/>
      <c r="R59" s="11"/>
      <c r="S59" s="11"/>
      <c r="T59" s="11"/>
      <c r="U59" s="11"/>
      <c r="V59" s="11"/>
    </row>
    <row r="60" spans="1:22">
      <c r="B60" s="472">
        <f t="shared" si="0"/>
        <v>57</v>
      </c>
      <c r="C60" s="471" t="s">
        <v>451</v>
      </c>
    </row>
    <row r="61" spans="1:22">
      <c r="B61" s="472">
        <f t="shared" si="0"/>
        <v>58</v>
      </c>
      <c r="C61" s="471" t="s">
        <v>452</v>
      </c>
    </row>
    <row r="62" spans="1:22">
      <c r="B62" s="472">
        <f t="shared" si="0"/>
        <v>59</v>
      </c>
      <c r="C62" s="471" t="s">
        <v>453</v>
      </c>
    </row>
    <row r="63" spans="1:22">
      <c r="B63" s="472">
        <f t="shared" si="0"/>
        <v>60</v>
      </c>
      <c r="C63" s="471" t="s">
        <v>454</v>
      </c>
    </row>
    <row r="64" spans="1:22">
      <c r="B64" s="472">
        <f t="shared" si="0"/>
        <v>61</v>
      </c>
      <c r="C64" s="471" t="s">
        <v>455</v>
      </c>
    </row>
    <row r="65" spans="2:3">
      <c r="B65" s="472">
        <f t="shared" si="0"/>
        <v>62</v>
      </c>
      <c r="C65" s="471" t="s">
        <v>456</v>
      </c>
    </row>
    <row r="66" spans="2:3">
      <c r="B66" s="472">
        <f t="shared" si="0"/>
        <v>63</v>
      </c>
      <c r="C66" s="471" t="s">
        <v>457</v>
      </c>
    </row>
    <row r="67" spans="2:3">
      <c r="B67" s="472">
        <f t="shared" si="0"/>
        <v>64</v>
      </c>
      <c r="C67" s="471" t="s">
        <v>458</v>
      </c>
    </row>
    <row r="68" spans="2:3">
      <c r="B68" s="472">
        <f t="shared" si="0"/>
        <v>65</v>
      </c>
      <c r="C68" s="471" t="s">
        <v>459</v>
      </c>
    </row>
    <row r="69" spans="2:3">
      <c r="B69" s="472">
        <v>66</v>
      </c>
      <c r="C69" s="471" t="s">
        <v>460</v>
      </c>
    </row>
    <row r="70" spans="2:3">
      <c r="B70" s="472">
        <v>67</v>
      </c>
      <c r="C70" s="471" t="s">
        <v>461</v>
      </c>
    </row>
    <row r="71" spans="2:3">
      <c r="B71" s="472">
        <v>68</v>
      </c>
      <c r="C71" s="471" t="s">
        <v>462</v>
      </c>
    </row>
    <row r="72" spans="2:3">
      <c r="B72" s="472">
        <v>69</v>
      </c>
      <c r="C72" s="471" t="s">
        <v>463</v>
      </c>
    </row>
    <row r="73" spans="2:3">
      <c r="B73" s="472">
        <v>70</v>
      </c>
      <c r="C73" s="471" t="s">
        <v>464</v>
      </c>
    </row>
    <row r="74" spans="2:3">
      <c r="B74" s="472">
        <v>71</v>
      </c>
      <c r="C74" s="471" t="s">
        <v>465</v>
      </c>
    </row>
    <row r="75" spans="2:3">
      <c r="B75" s="472">
        <v>72</v>
      </c>
      <c r="C75" s="502" t="s">
        <v>466</v>
      </c>
    </row>
    <row r="76" spans="2:3">
      <c r="B76" s="472">
        <v>73</v>
      </c>
      <c r="C76" s="471" t="s">
        <v>467</v>
      </c>
    </row>
    <row r="77" spans="2:3">
      <c r="B77" s="472">
        <v>74</v>
      </c>
      <c r="C77" s="471" t="s">
        <v>468</v>
      </c>
    </row>
    <row r="78" spans="2:3">
      <c r="B78" s="472">
        <v>75</v>
      </c>
      <c r="C78" s="471" t="s">
        <v>469</v>
      </c>
    </row>
    <row r="79" spans="2:3">
      <c r="B79" s="472">
        <v>76</v>
      </c>
      <c r="C79" s="471" t="s">
        <v>470</v>
      </c>
    </row>
    <row r="80" spans="2:3">
      <c r="B80" s="472">
        <v>77</v>
      </c>
      <c r="C80" s="471" t="s">
        <v>471</v>
      </c>
    </row>
    <row r="81" spans="2:3">
      <c r="B81" s="472">
        <v>78</v>
      </c>
      <c r="C81" s="471" t="s">
        <v>472</v>
      </c>
    </row>
    <row r="82" spans="2:3">
      <c r="B82" s="472">
        <v>79</v>
      </c>
      <c r="C82" s="471" t="s">
        <v>473</v>
      </c>
    </row>
    <row r="83" spans="2:3">
      <c r="B83" s="472">
        <v>80</v>
      </c>
      <c r="C83" s="471" t="s">
        <v>474</v>
      </c>
    </row>
  </sheetData>
  <hyperlinks>
    <hyperlink ref="C7" r:id="rId1" xr:uid="{00000000-0004-0000-2B00-000000000000}"/>
    <hyperlink ref="C15" r:id="rId2" xr:uid="{00000000-0004-0000-2B00-000001000000}"/>
    <hyperlink ref="C20" r:id="rId3" xr:uid="{00000000-0004-0000-2B00-000002000000}"/>
    <hyperlink ref="C40" r:id="rId4" xr:uid="{00000000-0004-0000-2B00-000003000000}"/>
  </hyperlinks>
  <pageMargins left="0.7" right="0.7"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B701D-96F3-439E-8779-54613FB63B97}">
  <sheetPr>
    <tabColor rgb="FF7030A0"/>
  </sheetPr>
  <dimension ref="B4:V152"/>
  <sheetViews>
    <sheetView workbookViewId="0">
      <pane xSplit="2" ySplit="5" topLeftCell="C6" activePane="bottomRight" state="frozen"/>
      <selection pane="topRight" activeCell="C1" sqref="C1"/>
      <selection pane="bottomLeft" activeCell="A6" sqref="A6"/>
      <selection pane="bottomRight" activeCell="C31" sqref="C31"/>
    </sheetView>
  </sheetViews>
  <sheetFormatPr defaultRowHeight="13.2"/>
  <cols>
    <col min="2" max="2" width="19.5546875" bestFit="1" customWidth="1"/>
    <col min="3" max="3" width="8.109375" bestFit="1" customWidth="1"/>
    <col min="4" max="4" width="10.5546875" customWidth="1"/>
    <col min="5" max="5" width="12.109375" bestFit="1" customWidth="1"/>
    <col min="6" max="6" width="12" bestFit="1" customWidth="1"/>
    <col min="7" max="8" width="10.33203125" bestFit="1" customWidth="1"/>
    <col min="10" max="10" width="11.5546875" bestFit="1" customWidth="1"/>
    <col min="12" max="12" width="9" bestFit="1" customWidth="1"/>
    <col min="13" max="13" width="10.44140625" bestFit="1" customWidth="1"/>
    <col min="14" max="14" width="10.5546875" bestFit="1" customWidth="1"/>
  </cols>
  <sheetData>
    <row r="4" spans="2:17">
      <c r="B4" s="549" t="s">
        <v>1361</v>
      </c>
      <c r="C4" s="1463" t="s">
        <v>1441</v>
      </c>
      <c r="D4" s="1463" t="s">
        <v>762</v>
      </c>
      <c r="E4" s="1463" t="s">
        <v>28</v>
      </c>
      <c r="F4" s="1463" t="s">
        <v>1442</v>
      </c>
      <c r="G4" s="1526" t="s">
        <v>1443</v>
      </c>
      <c r="H4" s="1463" t="s">
        <v>1444</v>
      </c>
      <c r="I4" s="1463" t="s">
        <v>1445</v>
      </c>
      <c r="J4" s="1463" t="s">
        <v>1447</v>
      </c>
      <c r="K4" s="1463" t="s">
        <v>1446</v>
      </c>
      <c r="L4" s="1463" t="s">
        <v>1374</v>
      </c>
      <c r="M4" s="1463" t="s">
        <v>1375</v>
      </c>
      <c r="N4" s="1463" t="s">
        <v>1369</v>
      </c>
      <c r="O4" s="1463" t="s">
        <v>1370</v>
      </c>
    </row>
    <row r="5" spans="2:17" s="549" customFormat="1">
      <c r="C5" s="1527"/>
      <c r="D5" s="1527"/>
      <c r="E5" s="1527"/>
      <c r="F5" s="1527"/>
      <c r="G5" s="1528" t="s">
        <v>27</v>
      </c>
      <c r="H5" s="1528" t="s">
        <v>27</v>
      </c>
      <c r="I5" s="1528" t="s">
        <v>27</v>
      </c>
      <c r="J5" s="1528" t="s">
        <v>27</v>
      </c>
      <c r="K5" s="1528" t="s">
        <v>27</v>
      </c>
      <c r="L5" s="1528" t="s">
        <v>27</v>
      </c>
      <c r="M5" s="1528" t="s">
        <v>1459</v>
      </c>
      <c r="N5" s="1528" t="s">
        <v>27</v>
      </c>
      <c r="O5" s="1528" t="s">
        <v>27</v>
      </c>
    </row>
    <row r="6" spans="2:17">
      <c r="B6" s="549" t="s">
        <v>1377</v>
      </c>
      <c r="C6" s="1464">
        <v>1</v>
      </c>
      <c r="D6" s="1531" t="s">
        <v>1463</v>
      </c>
      <c r="E6" s="1464">
        <v>2010</v>
      </c>
      <c r="F6" s="1464">
        <v>16524401756.172028</v>
      </c>
      <c r="G6">
        <f>Road!G4</f>
        <v>1.0368562692547556E-4</v>
      </c>
      <c r="H6" s="549">
        <f>Road!H4</f>
        <v>0.54620529014776709</v>
      </c>
      <c r="I6" s="549">
        <f>Road!I4</f>
        <v>8.1519665757747448E-4</v>
      </c>
      <c r="J6" s="979">
        <f>Road!N4+('Non exhaust'!I4+'Non exhaust'!I16+'Non exhaust'!I28)*M6</f>
        <v>63.580702832269978</v>
      </c>
      <c r="K6">
        <f>Road!M4</f>
        <v>6.8457211888943194E-3</v>
      </c>
      <c r="L6" s="549">
        <f>Road!O4</f>
        <v>51.84281346273778</v>
      </c>
      <c r="M6" s="549">
        <f>Road!P4</f>
        <v>2.2136881348589035</v>
      </c>
      <c r="N6">
        <f>Road!J4</f>
        <v>3.2288312219410524E-2</v>
      </c>
      <c r="O6">
        <f>Road!K4</f>
        <v>8.2696197652942144E-2</v>
      </c>
    </row>
    <row r="7" spans="2:17" s="549" customFormat="1">
      <c r="B7" s="1533" t="str">
        <f>B6</f>
        <v>Cars</v>
      </c>
      <c r="C7" s="1533">
        <f>C6</f>
        <v>1</v>
      </c>
      <c r="D7" s="1533" t="str">
        <f>D6</f>
        <v>DieselC</v>
      </c>
      <c r="E7" s="1472">
        <v>2012</v>
      </c>
      <c r="F7" s="1522"/>
      <c r="G7" s="979">
        <f>G6</f>
        <v>1.0368562692547556E-4</v>
      </c>
      <c r="H7" s="979">
        <f t="shared" ref="H7" si="0">H6</f>
        <v>0.54620529014776709</v>
      </c>
      <c r="I7" s="979">
        <f t="shared" ref="I7" si="1">I6</f>
        <v>8.1519665757747448E-4</v>
      </c>
      <c r="J7" s="979">
        <f t="shared" ref="J7" si="2">J6</f>
        <v>63.580702832269978</v>
      </c>
      <c r="K7" s="979">
        <f t="shared" ref="K7" si="3">K6</f>
        <v>6.8457211888943194E-3</v>
      </c>
      <c r="L7" s="979">
        <f t="shared" ref="L7" si="4">L6</f>
        <v>51.84281346273778</v>
      </c>
      <c r="M7" s="979">
        <f t="shared" ref="M7" si="5">M6</f>
        <v>2.2136881348589035</v>
      </c>
      <c r="N7" s="979">
        <f t="shared" ref="N7" si="6">N6</f>
        <v>3.2288312219410524E-2</v>
      </c>
      <c r="O7" s="979">
        <f t="shared" ref="O7" si="7">O6</f>
        <v>8.2696197652942144E-2</v>
      </c>
      <c r="Q7" s="526"/>
    </row>
    <row r="8" spans="2:17">
      <c r="B8" s="549" t="s">
        <v>1377</v>
      </c>
      <c r="C8" s="1464">
        <v>1</v>
      </c>
      <c r="D8" s="1531" t="s">
        <v>1463</v>
      </c>
      <c r="E8" s="1464">
        <v>2020</v>
      </c>
      <c r="F8" s="1464">
        <v>21890821658.138294</v>
      </c>
      <c r="G8" s="549">
        <f>Road!G5</f>
        <v>1.0128608105279752E-4</v>
      </c>
      <c r="H8" s="549">
        <f>Road!H5</f>
        <v>0.29016638312317133</v>
      </c>
      <c r="I8" s="549">
        <f>Road!I5</f>
        <v>6.3710441214636913E-5</v>
      </c>
      <c r="J8" s="979">
        <f>Road!N5+('Non exhaust'!I5+'Non exhaust'!I17+'Non exhaust'!I29)*M8</f>
        <v>42.220198702199262</v>
      </c>
      <c r="K8" s="549">
        <f>Road!M5</f>
        <v>7.0222415328214816E-3</v>
      </c>
      <c r="L8" s="549">
        <f>Road!O5</f>
        <v>50.643040526398764</v>
      </c>
      <c r="M8" s="549">
        <f>Road!P5</f>
        <v>2.1624578304772273</v>
      </c>
      <c r="N8" s="549">
        <f>Road!J5</f>
        <v>3.2632051142001912E-2</v>
      </c>
      <c r="O8" s="549">
        <f>Road!K5</f>
        <v>6.1548590192811989E-2</v>
      </c>
    </row>
    <row r="9" spans="2:17">
      <c r="B9" s="1428" t="s">
        <v>1377</v>
      </c>
      <c r="C9" s="1469">
        <v>1</v>
      </c>
      <c r="D9" s="1532" t="s">
        <v>1463</v>
      </c>
      <c r="E9" s="1469">
        <v>2030</v>
      </c>
      <c r="F9" s="1469">
        <v>25303996690.217682</v>
      </c>
      <c r="G9" s="549">
        <f>Road!G6</f>
        <v>1.0083670072127105E-4</v>
      </c>
      <c r="H9" s="549">
        <f>Road!H6</f>
        <v>0.17738456902533759</v>
      </c>
      <c r="I9" s="549">
        <f>Road!I6</f>
        <v>4.4569848580501763E-6</v>
      </c>
      <c r="J9" s="979">
        <f>Road!N6+('Non exhaust'!I6+'Non exhaust'!I18+'Non exhaust'!I30)*M9</f>
        <v>38.279796928215767</v>
      </c>
      <c r="K9" s="549">
        <f>Road!M6</f>
        <v>6.9778686808112606E-3</v>
      </c>
      <c r="L9" s="549">
        <f>Road!O6</f>
        <v>50.418350360635529</v>
      </c>
      <c r="M9" s="549">
        <f>Road!P6</f>
        <v>2.1528635603991373</v>
      </c>
      <c r="N9" s="549">
        <f>Road!J6</f>
        <v>3.2869206785361482E-2</v>
      </c>
      <c r="O9" s="549">
        <f>Road!K6</f>
        <v>5.9814434169862193E-2</v>
      </c>
    </row>
    <row r="10" spans="2:17">
      <c r="B10" s="549" t="s">
        <v>1377</v>
      </c>
      <c r="C10" s="1472">
        <v>1</v>
      </c>
      <c r="D10" s="1533" t="s">
        <v>1464</v>
      </c>
      <c r="E10" s="1472">
        <v>2010</v>
      </c>
      <c r="F10" s="1472">
        <v>25489943159.094963</v>
      </c>
      <c r="G10" s="549">
        <f>Road!G7</f>
        <v>1.1378576302487069E-4</v>
      </c>
      <c r="H10" s="549">
        <f>Road!H7</f>
        <v>0.28216381946396435</v>
      </c>
      <c r="I10" s="549">
        <f>Road!I7</f>
        <v>1.3782238690746428E-2</v>
      </c>
      <c r="J10" s="979">
        <f>Road!N7+('Non exhaust'!I4+'Non exhaust'!I16+'Non exhaust'!I28)*M10</f>
        <v>36.89396163170035</v>
      </c>
      <c r="K10" s="549">
        <f>Road!M7</f>
        <v>3.8652392642600786E-3</v>
      </c>
      <c r="L10" s="549">
        <f>Road!O7</f>
        <v>56.892881512435345</v>
      </c>
      <c r="M10" s="549">
        <f>Road!P7</f>
        <v>2.4919082102446679</v>
      </c>
      <c r="N10" s="549">
        <f>Road!J7</f>
        <v>0.31904263265809235</v>
      </c>
      <c r="O10" s="549">
        <f>Road!K7</f>
        <v>3.1580089616107032</v>
      </c>
    </row>
    <row r="11" spans="2:17" s="549" customFormat="1">
      <c r="B11" s="1533" t="str">
        <f>B10</f>
        <v>Cars</v>
      </c>
      <c r="C11" s="1533">
        <f>C10</f>
        <v>1</v>
      </c>
      <c r="D11" s="1533" t="str">
        <f>D10</f>
        <v>GasolineC</v>
      </c>
      <c r="E11" s="1472">
        <v>2012</v>
      </c>
      <c r="F11" s="1522"/>
      <c r="G11" s="979">
        <f>G10</f>
        <v>1.1378576302487069E-4</v>
      </c>
      <c r="H11" s="979">
        <f t="shared" ref="H11" si="8">H10</f>
        <v>0.28216381946396435</v>
      </c>
      <c r="I11" s="979">
        <f t="shared" ref="I11" si="9">I10</f>
        <v>1.3782238690746428E-2</v>
      </c>
      <c r="J11" s="979">
        <f t="shared" ref="J11" si="10">J10</f>
        <v>36.89396163170035</v>
      </c>
      <c r="K11" s="979">
        <f t="shared" ref="K11" si="11">K10</f>
        <v>3.8652392642600786E-3</v>
      </c>
      <c r="L11" s="979">
        <f t="shared" ref="L11" si="12">L10</f>
        <v>56.892881512435345</v>
      </c>
      <c r="M11" s="979">
        <f t="shared" ref="M11" si="13">M10</f>
        <v>2.4919082102446679</v>
      </c>
      <c r="N11" s="979">
        <f t="shared" ref="N11" si="14">N10</f>
        <v>0.31904263265809235</v>
      </c>
      <c r="O11" s="979">
        <f t="shared" ref="O11" si="15">O10</f>
        <v>3.1580089616107032</v>
      </c>
      <c r="Q11" s="526"/>
    </row>
    <row r="12" spans="2:17">
      <c r="B12" s="549" t="s">
        <v>1377</v>
      </c>
      <c r="C12" s="1464">
        <v>1</v>
      </c>
      <c r="D12" s="1533" t="s">
        <v>1464</v>
      </c>
      <c r="E12" s="1464">
        <v>2020</v>
      </c>
      <c r="F12" s="1464">
        <v>24145184658.402748</v>
      </c>
      <c r="G12" s="549">
        <f>Road!G8</f>
        <v>1.12341249447608E-4</v>
      </c>
      <c r="H12" s="549">
        <f>Road!H8</f>
        <v>7.494050787500417E-2</v>
      </c>
      <c r="I12" s="549">
        <f>Road!I8</f>
        <v>5.0665166698559165E-3</v>
      </c>
      <c r="J12" s="979">
        <f>Road!N8+('Non exhaust'!I5+'Non exhaust'!I17+'Non exhaust'!I29)*M12</f>
        <v>36.458332889892894</v>
      </c>
      <c r="K12" s="549">
        <f>Road!M8</f>
        <v>1.1611097694909816E-3</v>
      </c>
      <c r="L12" s="549">
        <f>Road!O8</f>
        <v>56.170624723803996</v>
      </c>
      <c r="M12" s="549">
        <f>Road!P8</f>
        <v>2.460273362902615</v>
      </c>
      <c r="N12" s="549">
        <f>Road!J8</f>
        <v>0.13440382840892062</v>
      </c>
      <c r="O12" s="549">
        <f>Road!K8</f>
        <v>1.3575565677363164</v>
      </c>
    </row>
    <row r="13" spans="2:17">
      <c r="B13" s="1475" t="s">
        <v>1377</v>
      </c>
      <c r="C13" s="1469">
        <v>1</v>
      </c>
      <c r="D13" s="1533" t="s">
        <v>1464</v>
      </c>
      <c r="E13" s="1469">
        <v>2030</v>
      </c>
      <c r="F13" s="1469">
        <v>24365106887.936848</v>
      </c>
      <c r="G13" s="549">
        <f>Road!G9</f>
        <v>1.1123987273812315E-4</v>
      </c>
      <c r="H13" s="549">
        <f>Road!H9</f>
        <v>5.2398153868470979E-2</v>
      </c>
      <c r="I13" s="549">
        <f>Road!I9</f>
        <v>3.9872867992168633E-3</v>
      </c>
      <c r="J13" s="979">
        <f>Road!N9+('Non exhaust'!I6+'Non exhaust'!I18+'Non exhaust'!I30)*M13</f>
        <v>36.293760842539385</v>
      </c>
      <c r="K13" s="549">
        <f>Road!M9</f>
        <v>9.5598850424023958E-4</v>
      </c>
      <c r="L13" s="549">
        <f>Road!O9</f>
        <v>55.619936369061577</v>
      </c>
      <c r="M13" s="549">
        <f>Road!P9</f>
        <v>2.4361532129648968</v>
      </c>
      <c r="N13" s="549">
        <f>Road!J9</f>
        <v>0.11451330954266765</v>
      </c>
      <c r="O13" s="549">
        <f>Road!K9</f>
        <v>1.0844489138705107</v>
      </c>
    </row>
    <row r="14" spans="2:17" s="549" customFormat="1">
      <c r="B14" s="501" t="s">
        <v>1377</v>
      </c>
      <c r="C14" s="1539">
        <v>1</v>
      </c>
      <c r="D14" s="1540" t="s">
        <v>1495</v>
      </c>
      <c r="E14" s="1539">
        <v>2010</v>
      </c>
      <c r="F14" s="1539">
        <v>25489943159.094963</v>
      </c>
      <c r="G14" s="501"/>
      <c r="H14" s="501">
        <f>Road!H11</f>
        <v>0.144773132322498</v>
      </c>
      <c r="I14" s="501">
        <f>Road!I11</f>
        <v>7.2141210912198099E-3</v>
      </c>
      <c r="J14" s="1521">
        <f>J22</f>
        <v>30.97370803113132</v>
      </c>
      <c r="K14" s="501">
        <f>Road!M11</f>
        <v>3.2845537734706182E-3</v>
      </c>
      <c r="L14" s="501">
        <f>Road!O11</f>
        <v>87.085560368265163</v>
      </c>
      <c r="M14" s="501">
        <f>Road!P11</f>
        <v>3.8143475441300141</v>
      </c>
      <c r="N14" s="501">
        <f>Road!J11</f>
        <v>0.16072412922419912</v>
      </c>
      <c r="O14" s="501">
        <f>Road!K11</f>
        <v>2.7792034408422994</v>
      </c>
    </row>
    <row r="15" spans="2:17" s="549" customFormat="1">
      <c r="B15" s="1540" t="str">
        <f>B14</f>
        <v>Cars</v>
      </c>
      <c r="C15" s="1540">
        <f>C14</f>
        <v>1</v>
      </c>
      <c r="D15" s="1540" t="s">
        <v>1495</v>
      </c>
      <c r="E15" s="1539">
        <v>2015</v>
      </c>
      <c r="F15" s="1521"/>
      <c r="G15" s="1521"/>
      <c r="H15" s="1521">
        <f t="shared" ref="H15:O15" si="16">H14</f>
        <v>0.144773132322498</v>
      </c>
      <c r="I15" s="1521">
        <f t="shared" si="16"/>
        <v>7.2141210912198099E-3</v>
      </c>
      <c r="J15" s="1521">
        <f t="shared" ref="J15:J17" si="17">J23</f>
        <v>30.97370803113132</v>
      </c>
      <c r="K15" s="1521">
        <f t="shared" si="16"/>
        <v>3.2845537734706182E-3</v>
      </c>
      <c r="L15" s="1521">
        <f t="shared" si="16"/>
        <v>87.085560368265163</v>
      </c>
      <c r="M15" s="1521">
        <f t="shared" si="16"/>
        <v>3.8143475441300141</v>
      </c>
      <c r="N15" s="1521">
        <f t="shared" si="16"/>
        <v>0.16072412922419912</v>
      </c>
      <c r="O15" s="1521">
        <f t="shared" si="16"/>
        <v>2.7792034408422994</v>
      </c>
      <c r="Q15" s="526"/>
    </row>
    <row r="16" spans="2:17" s="549" customFormat="1">
      <c r="B16" s="501" t="s">
        <v>1377</v>
      </c>
      <c r="C16" s="1541">
        <v>1</v>
      </c>
      <c r="D16" s="1540" t="s">
        <v>1495</v>
      </c>
      <c r="E16" s="1541">
        <v>2020</v>
      </c>
      <c r="F16" s="1541">
        <v>24145184658.402748</v>
      </c>
      <c r="G16" s="501"/>
      <c r="H16" s="501">
        <f>Road!H12</f>
        <v>7.2329682502104559E-2</v>
      </c>
      <c r="I16" s="501">
        <f>Road!I12</f>
        <v>4.400844759270277E-3</v>
      </c>
      <c r="J16" s="1521">
        <f t="shared" si="17"/>
        <v>30.991358895356772</v>
      </c>
      <c r="K16" s="501">
        <f>Road!M12</f>
        <v>1.2656897388906353E-3</v>
      </c>
      <c r="L16" s="501">
        <f>Road!O12</f>
        <v>86.891487937602648</v>
      </c>
      <c r="M16" s="501">
        <f>Road!P12</f>
        <v>3.8058471716669962</v>
      </c>
      <c r="N16" s="501">
        <f>Road!J12</f>
        <v>0.10828460505171443</v>
      </c>
      <c r="O16" s="501">
        <f>Road!K12</f>
        <v>1.6452358541806755</v>
      </c>
    </row>
    <row r="17" spans="2:17" s="549" customFormat="1">
      <c r="B17" s="1542" t="s">
        <v>1377</v>
      </c>
      <c r="C17" s="1543">
        <v>1</v>
      </c>
      <c r="D17" s="1540" t="s">
        <v>1495</v>
      </c>
      <c r="E17" s="1543">
        <v>2030</v>
      </c>
      <c r="F17" s="1543">
        <v>24365106887.936848</v>
      </c>
      <c r="G17" s="501"/>
      <c r="H17" s="501">
        <f>Road!H13</f>
        <v>0.59124954647093908</v>
      </c>
      <c r="I17" s="501">
        <f>Road!I13</f>
        <v>1.6423571293480701E-3</v>
      </c>
      <c r="J17" s="1521">
        <f t="shared" si="17"/>
        <v>31.107060299580883</v>
      </c>
      <c r="K17" s="501">
        <f>Road!M13</f>
        <v>6.5762781551382812E-3</v>
      </c>
      <c r="L17" s="501">
        <f>Road!O13</f>
        <v>67.198735484433641</v>
      </c>
      <c r="M17" s="501">
        <f>Road!P13</f>
        <v>2.8693860051853166</v>
      </c>
      <c r="N17" s="501">
        <f>Road!J13</f>
        <v>8.0912312762645974E-2</v>
      </c>
      <c r="O17" s="501">
        <f>Road!K13</f>
        <v>0.3423466706251817</v>
      </c>
    </row>
    <row r="18" spans="2:17" s="549" customFormat="1">
      <c r="B18" s="549" t="s">
        <v>1377</v>
      </c>
      <c r="C18" s="1472">
        <v>1</v>
      </c>
      <c r="D18" s="1524" t="s">
        <v>1496</v>
      </c>
      <c r="E18" s="1472">
        <v>2010</v>
      </c>
      <c r="F18" s="1523">
        <f>F10/2+F22/2</f>
        <v>12744971579.547482</v>
      </c>
      <c r="G18" s="1523">
        <f t="shared" ref="G18:O18" si="18">G10/2+G22/2</f>
        <v>5.6892881512435343E-5</v>
      </c>
      <c r="H18" s="1523">
        <f t="shared" si="18"/>
        <v>0.14108190973198217</v>
      </c>
      <c r="I18" s="1523">
        <f t="shared" si="18"/>
        <v>6.8911193453732138E-3</v>
      </c>
      <c r="J18" s="1523">
        <f t="shared" si="18"/>
        <v>33.933834831415837</v>
      </c>
      <c r="K18" s="1523">
        <f t="shared" si="18"/>
        <v>1.9326196321300393E-3</v>
      </c>
      <c r="L18" s="1523">
        <f t="shared" si="18"/>
        <v>28.446440756217672</v>
      </c>
      <c r="M18" s="1523">
        <f t="shared" si="18"/>
        <v>1.245954105122334</v>
      </c>
      <c r="N18" s="1523">
        <f t="shared" si="18"/>
        <v>0.15952131632904618</v>
      </c>
      <c r="O18" s="1523">
        <f t="shared" si="18"/>
        <v>1.5790044808053516</v>
      </c>
    </row>
    <row r="19" spans="2:17" s="549" customFormat="1">
      <c r="B19" s="1533" t="str">
        <f>B18</f>
        <v>Cars</v>
      </c>
      <c r="C19" s="1533">
        <f>C18</f>
        <v>1</v>
      </c>
      <c r="D19" s="1524" t="s">
        <v>1496</v>
      </c>
      <c r="E19" s="1472">
        <v>2012</v>
      </c>
      <c r="F19" s="1523">
        <f t="shared" ref="F19:O21" si="19">F11/2+F23/2</f>
        <v>0</v>
      </c>
      <c r="G19" s="1523">
        <f t="shared" si="19"/>
        <v>5.6892881512435343E-5</v>
      </c>
      <c r="H19" s="1523">
        <f t="shared" si="19"/>
        <v>0.14108190973198217</v>
      </c>
      <c r="I19" s="1523">
        <f t="shared" si="19"/>
        <v>6.8911193453732138E-3</v>
      </c>
      <c r="J19" s="1523">
        <f t="shared" si="19"/>
        <v>33.933834831415837</v>
      </c>
      <c r="K19" s="1523">
        <f t="shared" si="19"/>
        <v>1.9326196321300393E-3</v>
      </c>
      <c r="L19" s="1523">
        <f t="shared" si="19"/>
        <v>28.446440756217672</v>
      </c>
      <c r="M19" s="1523">
        <f t="shared" si="19"/>
        <v>1.245954105122334</v>
      </c>
      <c r="N19" s="1523">
        <f t="shared" si="19"/>
        <v>0.15952131632904618</v>
      </c>
      <c r="O19" s="1523">
        <f t="shared" si="19"/>
        <v>1.5790044808053516</v>
      </c>
      <c r="Q19" s="526"/>
    </row>
    <row r="20" spans="2:17" s="549" customFormat="1">
      <c r="B20" s="549" t="s">
        <v>1377</v>
      </c>
      <c r="C20" s="1464">
        <v>1</v>
      </c>
      <c r="D20" s="1524" t="s">
        <v>1496</v>
      </c>
      <c r="E20" s="1464">
        <v>2020</v>
      </c>
      <c r="F20" s="1523">
        <f t="shared" si="19"/>
        <v>12072592329.201374</v>
      </c>
      <c r="G20" s="1523">
        <f t="shared" si="19"/>
        <v>5.6170624723803998E-5</v>
      </c>
      <c r="H20" s="1523">
        <f t="shared" si="19"/>
        <v>3.7470253937502085E-2</v>
      </c>
      <c r="I20" s="1523">
        <f t="shared" si="19"/>
        <v>2.5332583349279582E-3</v>
      </c>
      <c r="J20" s="1523">
        <f t="shared" si="19"/>
        <v>33.724845892624835</v>
      </c>
      <c r="K20" s="1523">
        <f t="shared" si="19"/>
        <v>5.8055488474549079E-4</v>
      </c>
      <c r="L20" s="1523">
        <f t="shared" si="19"/>
        <v>28.085312361901998</v>
      </c>
      <c r="M20" s="1523">
        <f t="shared" si="19"/>
        <v>1.2301366814513075</v>
      </c>
      <c r="N20" s="1523">
        <f t="shared" si="19"/>
        <v>6.7201914204460311E-2</v>
      </c>
      <c r="O20" s="1523">
        <f t="shared" si="19"/>
        <v>0.67877828386815819</v>
      </c>
    </row>
    <row r="21" spans="2:17" s="549" customFormat="1">
      <c r="B21" s="1475" t="s">
        <v>1377</v>
      </c>
      <c r="C21" s="1469">
        <v>1</v>
      </c>
      <c r="D21" s="1524" t="s">
        <v>1496</v>
      </c>
      <c r="E21" s="1469">
        <v>2030</v>
      </c>
      <c r="F21" s="1523">
        <f t="shared" si="19"/>
        <v>12182553443.968424</v>
      </c>
      <c r="G21" s="1523">
        <f t="shared" si="19"/>
        <v>5.5619936369061577E-5</v>
      </c>
      <c r="H21" s="1523">
        <f t="shared" si="19"/>
        <v>2.6199076934235489E-2</v>
      </c>
      <c r="I21" s="1523">
        <f t="shared" si="19"/>
        <v>1.9936433996084317E-3</v>
      </c>
      <c r="J21" s="1523">
        <f t="shared" si="19"/>
        <v>33.700410571060132</v>
      </c>
      <c r="K21" s="1523">
        <f t="shared" si="19"/>
        <v>4.7799425212011979E-4</v>
      </c>
      <c r="L21" s="1523">
        <f t="shared" si="19"/>
        <v>27.809968184530788</v>
      </c>
      <c r="M21" s="1523">
        <f t="shared" si="19"/>
        <v>1.2180766064824484</v>
      </c>
      <c r="N21" s="1523">
        <f t="shared" si="19"/>
        <v>5.7256654771333827E-2</v>
      </c>
      <c r="O21" s="1523">
        <f t="shared" si="19"/>
        <v>0.54222445693525534</v>
      </c>
    </row>
    <row r="22" spans="2:17" s="549" customFormat="1">
      <c r="B22" s="549" t="s">
        <v>1377</v>
      </c>
      <c r="C22" s="1472">
        <v>1</v>
      </c>
      <c r="D22" s="1524" t="s">
        <v>1465</v>
      </c>
      <c r="E22" s="1472">
        <v>2012</v>
      </c>
      <c r="F22" s="1523"/>
      <c r="J22" s="979">
        <f>('Non exhaust'!I4+'Non exhaust'!I16+'Non exhaust'!I28)*M6</f>
        <v>30.97370803113132</v>
      </c>
    </row>
    <row r="23" spans="2:17" s="549" customFormat="1">
      <c r="B23" s="1533" t="str">
        <f>B22</f>
        <v>Cars</v>
      </c>
      <c r="C23" s="1533">
        <f>C22</f>
        <v>1</v>
      </c>
      <c r="D23" s="1533" t="str">
        <f>D22</f>
        <v>ElectricC</v>
      </c>
      <c r="E23" s="1472">
        <v>2015</v>
      </c>
      <c r="F23" s="1522"/>
      <c r="G23" s="979">
        <f>G22</f>
        <v>0</v>
      </c>
      <c r="H23" s="979">
        <f t="shared" ref="H23" si="20">H22</f>
        <v>0</v>
      </c>
      <c r="I23" s="979">
        <f t="shared" ref="I23" si="21">I22</f>
        <v>0</v>
      </c>
      <c r="J23" s="979">
        <f t="shared" ref="J23" si="22">J22</f>
        <v>30.97370803113132</v>
      </c>
      <c r="K23" s="979">
        <f t="shared" ref="K23" si="23">K22</f>
        <v>0</v>
      </c>
      <c r="L23" s="979">
        <f t="shared" ref="L23" si="24">L22</f>
        <v>0</v>
      </c>
      <c r="M23" s="979">
        <f t="shared" ref="M23" si="25">M22</f>
        <v>0</v>
      </c>
      <c r="N23" s="979">
        <f t="shared" ref="N23" si="26">N22</f>
        <v>0</v>
      </c>
      <c r="O23" s="979">
        <f t="shared" ref="O23" si="27">O22</f>
        <v>0</v>
      </c>
      <c r="Q23" s="526"/>
    </row>
    <row r="24" spans="2:17" s="549" customFormat="1">
      <c r="B24" s="549" t="s">
        <v>1377</v>
      </c>
      <c r="C24" s="1464">
        <v>1</v>
      </c>
      <c r="D24" s="1524" t="s">
        <v>1465</v>
      </c>
      <c r="E24" s="1464">
        <v>2020</v>
      </c>
      <c r="F24" s="1523"/>
      <c r="J24" s="979">
        <f>('Non exhaust'!I5+'Non exhaust'!I17+'Non exhaust'!I29)*M8</f>
        <v>30.991358895356772</v>
      </c>
    </row>
    <row r="25" spans="2:17" s="549" customFormat="1">
      <c r="B25" s="1475" t="s">
        <v>1377</v>
      </c>
      <c r="C25" s="1469">
        <v>1</v>
      </c>
      <c r="D25" s="1524" t="s">
        <v>1465</v>
      </c>
      <c r="E25" s="1469">
        <v>2030</v>
      </c>
      <c r="F25" s="1523"/>
      <c r="J25" s="979">
        <f>('Non exhaust'!I6+'Non exhaust'!I18+'Non exhaust'!I30)*M9</f>
        <v>31.107060299580883</v>
      </c>
    </row>
    <row r="26" spans="2:17">
      <c r="B26" s="549" t="s">
        <v>1379</v>
      </c>
      <c r="C26" s="1472">
        <v>2</v>
      </c>
      <c r="D26" s="1533" t="s">
        <v>1466</v>
      </c>
      <c r="E26" s="1472">
        <v>2010</v>
      </c>
      <c r="F26" s="1472">
        <v>638037752.59228492</v>
      </c>
      <c r="G26" s="549">
        <f>Road!G10</f>
        <v>1.7361875001350958E-4</v>
      </c>
      <c r="H26" s="549">
        <f>Road!H10</f>
        <v>0.45358117726415226</v>
      </c>
      <c r="I26" s="549">
        <f>Road!I10</f>
        <v>1.7149024767923505E-2</v>
      </c>
      <c r="J26" s="979">
        <f>Road!N10+('Non exhaust'!I7+'Non exhaust'!I19+'Non exhaust'!I31)*M26</f>
        <v>62.730581604907755</v>
      </c>
      <c r="K26" s="549">
        <f>Road!M10</f>
        <v>1.0581793390236181E-2</v>
      </c>
      <c r="L26" s="549">
        <f>Road!O10</f>
        <v>86.809375006754792</v>
      </c>
      <c r="M26" s="549">
        <f>Road!P10</f>
        <v>3.8022506252958594</v>
      </c>
      <c r="N26" s="549">
        <f>Road!J10</f>
        <v>0.38311827533286474</v>
      </c>
      <c r="O26" s="549">
        <f>Road!K10</f>
        <v>5.8724649853693816</v>
      </c>
    </row>
    <row r="27" spans="2:17" s="549" customFormat="1">
      <c r="B27" s="1533" t="str">
        <f>B26</f>
        <v>Vans</v>
      </c>
      <c r="C27" s="1533">
        <f>C26</f>
        <v>2</v>
      </c>
      <c r="D27" s="1533" t="str">
        <f>D26</f>
        <v>GasolineV</v>
      </c>
      <c r="E27" s="1472">
        <v>2012</v>
      </c>
      <c r="F27" s="1522"/>
      <c r="G27" s="979">
        <f>G26</f>
        <v>1.7361875001350958E-4</v>
      </c>
      <c r="H27" s="979">
        <f t="shared" ref="H27" si="28">H26</f>
        <v>0.45358117726415226</v>
      </c>
      <c r="I27" s="979">
        <f t="shared" ref="I27" si="29">I26</f>
        <v>1.7149024767923505E-2</v>
      </c>
      <c r="J27" s="979">
        <f t="shared" ref="J27" si="30">J26</f>
        <v>62.730581604907755</v>
      </c>
      <c r="K27" s="979">
        <f t="shared" ref="K27" si="31">K26</f>
        <v>1.0581793390236181E-2</v>
      </c>
      <c r="L27" s="979">
        <f t="shared" ref="L27" si="32">L26</f>
        <v>86.809375006754792</v>
      </c>
      <c r="M27" s="979">
        <f t="shared" ref="M27" si="33">M26</f>
        <v>3.8022506252958594</v>
      </c>
      <c r="N27" s="979">
        <f t="shared" ref="N27" si="34">N26</f>
        <v>0.38311827533286474</v>
      </c>
      <c r="O27" s="979">
        <f t="shared" ref="O27" si="35">O26</f>
        <v>5.8724649853693816</v>
      </c>
      <c r="Q27" s="526"/>
    </row>
    <row r="28" spans="2:17">
      <c r="B28" s="549" t="s">
        <v>1379</v>
      </c>
      <c r="C28" s="1464">
        <v>2</v>
      </c>
      <c r="D28" s="1533" t="s">
        <v>1466</v>
      </c>
      <c r="E28" s="1464">
        <v>2020</v>
      </c>
      <c r="F28" s="1464">
        <v>299948134.19487673</v>
      </c>
      <c r="G28" s="549">
        <f>Road!G11</f>
        <v>1.7417112073653032E-4</v>
      </c>
      <c r="H28" s="549">
        <f>Road!H11</f>
        <v>0.144773132322498</v>
      </c>
      <c r="I28" s="549">
        <f>Road!I11</f>
        <v>7.2141210912198099E-3</v>
      </c>
      <c r="J28" s="979">
        <f>Road!N11+('Non exhaust'!I8+'Non exhaust'!I20+'Non exhaust'!I32)*M28</f>
        <v>61.584337340578493</v>
      </c>
      <c r="K28" s="549">
        <f>Road!M11</f>
        <v>3.2845537734706182E-3</v>
      </c>
      <c r="L28" s="549">
        <f>Road!O11</f>
        <v>87.085560368265163</v>
      </c>
      <c r="M28" s="549">
        <f>Road!P11</f>
        <v>3.8143475441300141</v>
      </c>
      <c r="N28" s="549">
        <f>Road!J11</f>
        <v>0.16072412922419912</v>
      </c>
      <c r="O28" s="549">
        <f>Road!K11</f>
        <v>2.7792034408422994</v>
      </c>
    </row>
    <row r="29" spans="2:17">
      <c r="B29" s="1475" t="s">
        <v>1379</v>
      </c>
      <c r="C29" s="1469">
        <v>2</v>
      </c>
      <c r="D29" s="1533" t="s">
        <v>1466</v>
      </c>
      <c r="E29" s="1469">
        <v>2030</v>
      </c>
      <c r="F29" s="1469">
        <v>230234288.95504844</v>
      </c>
      <c r="G29" s="549">
        <f>Road!G12</f>
        <v>1.7378297587520531E-4</v>
      </c>
      <c r="H29" s="549">
        <f>Road!H12</f>
        <v>7.2329682502104559E-2</v>
      </c>
      <c r="I29" s="549">
        <f>Road!I12</f>
        <v>4.400844759270277E-3</v>
      </c>
      <c r="J29" s="979">
        <f>Road!N12+('Non exhaust'!I9+'Non exhaust'!I21+'Non exhaust'!I33)*M29</f>
        <v>61.219670238846668</v>
      </c>
      <c r="K29" s="549">
        <f>Road!M12</f>
        <v>1.2656897388906353E-3</v>
      </c>
      <c r="L29" s="549">
        <f>Road!O12</f>
        <v>86.891487937602648</v>
      </c>
      <c r="M29" s="549">
        <f>Road!P12</f>
        <v>3.8058471716669962</v>
      </c>
      <c r="N29" s="549">
        <f>Road!J12</f>
        <v>0.10828460505171443</v>
      </c>
      <c r="O29" s="549">
        <f>Road!K12</f>
        <v>1.6452358541806755</v>
      </c>
    </row>
    <row r="30" spans="2:17" s="549" customFormat="1">
      <c r="B30" s="1475" t="s">
        <v>1379</v>
      </c>
      <c r="C30" s="1469">
        <v>2</v>
      </c>
      <c r="D30" s="1533" t="s">
        <v>1466</v>
      </c>
      <c r="E30" s="1469">
        <v>2050</v>
      </c>
      <c r="F30" s="1472">
        <f>F29</f>
        <v>230234288.95504844</v>
      </c>
      <c r="G30" s="1472">
        <f t="shared" ref="G30" si="36">G29</f>
        <v>1.7378297587520531E-4</v>
      </c>
      <c r="H30" s="1472">
        <f t="shared" ref="H30" si="37">H29</f>
        <v>7.2329682502104559E-2</v>
      </c>
      <c r="I30" s="1472">
        <f t="shared" ref="I30" si="38">I29</f>
        <v>4.400844759270277E-3</v>
      </c>
      <c r="J30" s="1472">
        <f t="shared" ref="J30" si="39">J29</f>
        <v>61.219670238846668</v>
      </c>
      <c r="K30" s="1472">
        <f t="shared" ref="K30" si="40">K29</f>
        <v>1.2656897388906353E-3</v>
      </c>
      <c r="L30" s="1472">
        <f t="shared" ref="L30" si="41">L29</f>
        <v>86.891487937602648</v>
      </c>
      <c r="M30" s="1472">
        <f t="shared" ref="M30" si="42">M29</f>
        <v>3.8058471716669962</v>
      </c>
      <c r="N30" s="1472">
        <f t="shared" ref="N30" si="43">N29</f>
        <v>0.10828460505171443</v>
      </c>
      <c r="O30" s="1472">
        <f t="shared" ref="O30" si="44">O29</f>
        <v>1.6452358541806755</v>
      </c>
    </row>
    <row r="31" spans="2:17">
      <c r="B31" s="549" t="s">
        <v>1379</v>
      </c>
      <c r="C31" s="1472">
        <v>2</v>
      </c>
      <c r="D31" s="1533" t="s">
        <v>1467</v>
      </c>
      <c r="E31" s="1472">
        <v>2010</v>
      </c>
      <c r="F31" s="1472">
        <v>7588940367.6539364</v>
      </c>
      <c r="G31" s="549">
        <f>Road!G13</f>
        <v>1.3439747096886728E-4</v>
      </c>
      <c r="H31" s="549">
        <f>Road!H13</f>
        <v>0.59124954647093908</v>
      </c>
      <c r="I31" s="549">
        <f>Road!I13</f>
        <v>1.6423571293480701E-3</v>
      </c>
      <c r="J31" s="979">
        <f>Road!N13+('Non exhaust'!I7+'Non exhaust'!I19+'Non exhaust'!I31)*M31</f>
        <v>98.349620356319093</v>
      </c>
      <c r="K31" s="549">
        <f>Road!M13</f>
        <v>6.5762781551382812E-3</v>
      </c>
      <c r="L31" s="549">
        <f>Road!O13</f>
        <v>67.198735484433641</v>
      </c>
      <c r="M31" s="549">
        <f>Road!P13</f>
        <v>2.8693860051853166</v>
      </c>
      <c r="N31" s="549">
        <f>Road!J13</f>
        <v>8.0912312762645974E-2</v>
      </c>
      <c r="O31" s="549">
        <f>Road!K13</f>
        <v>0.3423466706251817</v>
      </c>
    </row>
    <row r="32" spans="2:17" s="549" customFormat="1">
      <c r="B32" s="1533" t="str">
        <f>B31</f>
        <v>Vans</v>
      </c>
      <c r="C32" s="1533">
        <f>C31</f>
        <v>2</v>
      </c>
      <c r="D32" s="1533" t="str">
        <f>D31</f>
        <v>DieselV</v>
      </c>
      <c r="E32" s="1472">
        <v>2012</v>
      </c>
      <c r="F32" s="1522"/>
      <c r="G32" s="979">
        <f>G31</f>
        <v>1.3439747096886728E-4</v>
      </c>
      <c r="H32" s="979">
        <f t="shared" ref="H32" si="45">H31</f>
        <v>0.59124954647093908</v>
      </c>
      <c r="I32" s="979">
        <f t="shared" ref="I32" si="46">I31</f>
        <v>1.6423571293480701E-3</v>
      </c>
      <c r="J32" s="979">
        <f t="shared" ref="J32" si="47">J31</f>
        <v>98.349620356319093</v>
      </c>
      <c r="K32" s="979">
        <f t="shared" ref="K32" si="48">K31</f>
        <v>6.5762781551382812E-3</v>
      </c>
      <c r="L32" s="979">
        <f t="shared" ref="L32" si="49">L31</f>
        <v>67.198735484433641</v>
      </c>
      <c r="M32" s="979">
        <f t="shared" ref="M32" si="50">M31</f>
        <v>2.8693860051853166</v>
      </c>
      <c r="N32" s="979">
        <f t="shared" ref="N32" si="51">N31</f>
        <v>8.0912312762645974E-2</v>
      </c>
      <c r="O32" s="979">
        <f t="shared" ref="O32" si="52">O31</f>
        <v>0.3423466706251817</v>
      </c>
      <c r="Q32" s="526"/>
    </row>
    <row r="33" spans="2:17">
      <c r="B33" s="549" t="s">
        <v>1379</v>
      </c>
      <c r="C33" s="1464">
        <v>2</v>
      </c>
      <c r="D33" s="1533" t="s">
        <v>1467</v>
      </c>
      <c r="E33" s="1464">
        <v>2020</v>
      </c>
      <c r="F33" s="1464">
        <v>7395100712.6678047</v>
      </c>
      <c r="G33" s="549">
        <f>Road!G14</f>
        <v>1.3406307062247385E-4</v>
      </c>
      <c r="H33" s="549">
        <f>Road!H14</f>
        <v>0.2126412718296968</v>
      </c>
      <c r="I33" s="549">
        <f>Road!I14</f>
        <v>1.4386053095962603E-4</v>
      </c>
      <c r="J33" s="979">
        <f>Road!N14+('Non exhaust'!I8+'Non exhaust'!I20+'Non exhaust'!I32)*M33</f>
        <v>58.01539221073655</v>
      </c>
      <c r="K33" s="549">
        <f>Road!M14</f>
        <v>7.009780553412566E-3</v>
      </c>
      <c r="L33" s="549">
        <f>Road!O14</f>
        <v>67.031535311236922</v>
      </c>
      <c r="M33" s="549">
        <f>Road!P14</f>
        <v>2.8622465577898168</v>
      </c>
      <c r="N33" s="549">
        <f>Road!J14</f>
        <v>4.1412113936729743E-2</v>
      </c>
      <c r="O33" s="549">
        <f>Road!K14</f>
        <v>0.28427309071642398</v>
      </c>
    </row>
    <row r="34" spans="2:17">
      <c r="B34" s="1475" t="s">
        <v>1379</v>
      </c>
      <c r="C34" s="1469">
        <v>2</v>
      </c>
      <c r="D34" s="1533" t="s">
        <v>1467</v>
      </c>
      <c r="E34" s="1469">
        <v>2030</v>
      </c>
      <c r="F34" s="1469">
        <v>8283959180.0328722</v>
      </c>
      <c r="G34" s="549">
        <f>Road!G15</f>
        <v>1.3393278155901316E-4</v>
      </c>
      <c r="H34" s="549">
        <f>Road!H15</f>
        <v>0.10568769368906548</v>
      </c>
      <c r="I34" s="549">
        <f>Road!I15</f>
        <v>1.0316653923130049E-5</v>
      </c>
      <c r="J34" s="979">
        <f>Road!N15+('Non exhaust'!I9+'Non exhaust'!I21+'Non exhaust'!I33)*M34</f>
        <v>49.648115774971075</v>
      </c>
      <c r="K34" s="549">
        <f>Road!M15</f>
        <v>6.9864321850363056E-3</v>
      </c>
      <c r="L34" s="549">
        <f>Road!O15</f>
        <v>66.966390779506582</v>
      </c>
      <c r="M34" s="549">
        <f>Road!P15</f>
        <v>2.8594648862849312</v>
      </c>
      <c r="N34" s="549">
        <f>Road!J15</f>
        <v>3.5827433430977572E-2</v>
      </c>
      <c r="O34" s="549">
        <f>Road!K15</f>
        <v>0.27714218855924022</v>
      </c>
    </row>
    <row r="35" spans="2:17" s="549" customFormat="1">
      <c r="B35" s="1475" t="s">
        <v>1379</v>
      </c>
      <c r="C35" s="1469">
        <v>2</v>
      </c>
      <c r="D35" s="1533" t="s">
        <v>1467</v>
      </c>
      <c r="E35" s="1469">
        <v>2050</v>
      </c>
      <c r="F35" s="1472">
        <f>F34</f>
        <v>8283959180.0328722</v>
      </c>
      <c r="G35" s="1472">
        <f t="shared" ref="G35" si="53">G34</f>
        <v>1.3393278155901316E-4</v>
      </c>
      <c r="H35" s="1472">
        <f t="shared" ref="H35" si="54">H34</f>
        <v>0.10568769368906548</v>
      </c>
      <c r="I35" s="1472">
        <f t="shared" ref="I35" si="55">I34</f>
        <v>1.0316653923130049E-5</v>
      </c>
      <c r="J35" s="1472">
        <f t="shared" ref="J35" si="56">J34</f>
        <v>49.648115774971075</v>
      </c>
      <c r="K35" s="1472">
        <f t="shared" ref="K35" si="57">K34</f>
        <v>6.9864321850363056E-3</v>
      </c>
      <c r="L35" s="1472">
        <f t="shared" ref="L35" si="58">L34</f>
        <v>66.966390779506582</v>
      </c>
      <c r="M35" s="1472">
        <f t="shared" ref="M35" si="59">M34</f>
        <v>2.8594648862849312</v>
      </c>
      <c r="N35" s="1472">
        <f t="shared" ref="N35" si="60">N34</f>
        <v>3.5827433430977572E-2</v>
      </c>
      <c r="O35" s="1472">
        <f t="shared" ref="O35" si="61">O34</f>
        <v>0.27714218855924022</v>
      </c>
    </row>
    <row r="36" spans="2:17" s="549" customFormat="1">
      <c r="B36" s="549" t="s">
        <v>1379</v>
      </c>
      <c r="C36" s="1472">
        <v>2</v>
      </c>
      <c r="D36" s="1533" t="s">
        <v>1490</v>
      </c>
      <c r="E36" s="1472">
        <v>2010</v>
      </c>
      <c r="F36" s="1472">
        <f>F31</f>
        <v>7588940367.6539364</v>
      </c>
      <c r="G36" s="1472">
        <f t="shared" ref="G36:O36" si="62">G31</f>
        <v>1.3439747096886728E-4</v>
      </c>
      <c r="H36" s="1472">
        <f t="shared" si="62"/>
        <v>0.59124954647093908</v>
      </c>
      <c r="I36" s="1472">
        <f t="shared" si="62"/>
        <v>1.6423571293480701E-3</v>
      </c>
      <c r="J36" s="1472">
        <f t="shared" si="62"/>
        <v>98.349620356319093</v>
      </c>
      <c r="K36" s="1472">
        <f t="shared" si="62"/>
        <v>6.5762781551382812E-3</v>
      </c>
      <c r="L36" s="1472">
        <f t="shared" si="62"/>
        <v>67.198735484433641</v>
      </c>
      <c r="M36" s="1472">
        <f t="shared" si="62"/>
        <v>2.8693860051853166</v>
      </c>
      <c r="N36" s="1472">
        <f t="shared" si="62"/>
        <v>8.0912312762645974E-2</v>
      </c>
      <c r="O36" s="1472">
        <f t="shared" si="62"/>
        <v>0.3423466706251817</v>
      </c>
    </row>
    <row r="37" spans="2:17" s="549" customFormat="1">
      <c r="B37" s="1533" t="str">
        <f>B36</f>
        <v>Vans</v>
      </c>
      <c r="C37" s="1533">
        <f>C36</f>
        <v>2</v>
      </c>
      <c r="D37" s="1533" t="s">
        <v>1490</v>
      </c>
      <c r="E37" s="1472">
        <v>2012</v>
      </c>
      <c r="F37" s="1472">
        <f>F32</f>
        <v>0</v>
      </c>
      <c r="G37" s="1472">
        <f t="shared" ref="G37:O37" si="63">G32</f>
        <v>1.3439747096886728E-4</v>
      </c>
      <c r="H37" s="1472">
        <f t="shared" si="63"/>
        <v>0.59124954647093908</v>
      </c>
      <c r="I37" s="1472">
        <f t="shared" si="63"/>
        <v>1.6423571293480701E-3</v>
      </c>
      <c r="J37" s="1472">
        <f t="shared" si="63"/>
        <v>98.349620356319093</v>
      </c>
      <c r="K37" s="1472">
        <f t="shared" si="63"/>
        <v>6.5762781551382812E-3</v>
      </c>
      <c r="L37" s="1472">
        <f t="shared" si="63"/>
        <v>67.198735484433641</v>
      </c>
      <c r="M37" s="1472">
        <f t="shared" si="63"/>
        <v>2.8693860051853166</v>
      </c>
      <c r="N37" s="1472">
        <f t="shared" si="63"/>
        <v>8.0912312762645974E-2</v>
      </c>
      <c r="O37" s="1472">
        <f t="shared" si="63"/>
        <v>0.3423466706251817</v>
      </c>
      <c r="Q37" s="526"/>
    </row>
    <row r="38" spans="2:17" s="549" customFormat="1">
      <c r="B38" s="549" t="s">
        <v>1379</v>
      </c>
      <c r="C38" s="1464">
        <v>2</v>
      </c>
      <c r="D38" s="1533" t="s">
        <v>1490</v>
      </c>
      <c r="E38" s="1464">
        <v>2020</v>
      </c>
      <c r="F38" s="1472">
        <f>F33</f>
        <v>7395100712.6678047</v>
      </c>
      <c r="G38" s="1472">
        <f t="shared" ref="G38:O38" si="64">G33</f>
        <v>1.3406307062247385E-4</v>
      </c>
      <c r="H38" s="1472">
        <f t="shared" si="64"/>
        <v>0.2126412718296968</v>
      </c>
      <c r="I38" s="1472">
        <f t="shared" si="64"/>
        <v>1.4386053095962603E-4</v>
      </c>
      <c r="J38" s="1472">
        <f t="shared" si="64"/>
        <v>58.01539221073655</v>
      </c>
      <c r="K38" s="1472">
        <f t="shared" si="64"/>
        <v>7.009780553412566E-3</v>
      </c>
      <c r="L38" s="1472">
        <f t="shared" si="64"/>
        <v>67.031535311236922</v>
      </c>
      <c r="M38" s="1472">
        <f t="shared" si="64"/>
        <v>2.8622465577898168</v>
      </c>
      <c r="N38" s="1472">
        <f t="shared" si="64"/>
        <v>4.1412113936729743E-2</v>
      </c>
      <c r="O38" s="1472">
        <f t="shared" si="64"/>
        <v>0.28427309071642398</v>
      </c>
    </row>
    <row r="39" spans="2:17" s="549" customFormat="1">
      <c r="B39" s="1475" t="s">
        <v>1379</v>
      </c>
      <c r="C39" s="1469">
        <v>2</v>
      </c>
      <c r="D39" s="1533" t="s">
        <v>1490</v>
      </c>
      <c r="E39" s="1469">
        <v>2030</v>
      </c>
      <c r="F39" s="1472">
        <f>F34</f>
        <v>8283959180.0328722</v>
      </c>
      <c r="G39" s="1472">
        <f t="shared" ref="G39:O39" si="65">G34</f>
        <v>1.3393278155901316E-4</v>
      </c>
      <c r="H39" s="1472">
        <f t="shared" si="65"/>
        <v>0.10568769368906548</v>
      </c>
      <c r="I39" s="1472">
        <f t="shared" si="65"/>
        <v>1.0316653923130049E-5</v>
      </c>
      <c r="J39" s="1472">
        <f t="shared" si="65"/>
        <v>49.648115774971075</v>
      </c>
      <c r="K39" s="1472">
        <f t="shared" si="65"/>
        <v>6.9864321850363056E-3</v>
      </c>
      <c r="L39" s="1472">
        <f t="shared" si="65"/>
        <v>66.966390779506582</v>
      </c>
      <c r="M39" s="1472">
        <f t="shared" si="65"/>
        <v>2.8594648862849312</v>
      </c>
      <c r="N39" s="1472">
        <f t="shared" si="65"/>
        <v>3.5827433430977572E-2</v>
      </c>
      <c r="O39" s="1472">
        <f t="shared" si="65"/>
        <v>0.27714218855924022</v>
      </c>
    </row>
    <row r="40" spans="2:17" s="549" customFormat="1">
      <c r="B40" s="1475" t="s">
        <v>1379</v>
      </c>
      <c r="C40" s="1469">
        <v>2</v>
      </c>
      <c r="D40" s="1533" t="s">
        <v>1490</v>
      </c>
      <c r="E40" s="1469">
        <v>2050</v>
      </c>
      <c r="F40" s="1472">
        <f>F39</f>
        <v>8283959180.0328722</v>
      </c>
      <c r="G40" s="1472">
        <f t="shared" ref="G40:O40" si="66">G39</f>
        <v>1.3393278155901316E-4</v>
      </c>
      <c r="H40" s="1472">
        <f t="shared" si="66"/>
        <v>0.10568769368906548</v>
      </c>
      <c r="I40" s="1472">
        <f t="shared" si="66"/>
        <v>1.0316653923130049E-5</v>
      </c>
      <c r="J40" s="1472">
        <f t="shared" si="66"/>
        <v>49.648115774971075</v>
      </c>
      <c r="K40" s="1472">
        <f t="shared" si="66"/>
        <v>6.9864321850363056E-3</v>
      </c>
      <c r="L40" s="1472">
        <f t="shared" si="66"/>
        <v>66.966390779506582</v>
      </c>
      <c r="M40" s="1472">
        <f t="shared" si="66"/>
        <v>2.8594648862849312</v>
      </c>
      <c r="N40" s="1472">
        <f t="shared" si="66"/>
        <v>3.5827433430977572E-2</v>
      </c>
      <c r="O40" s="1472">
        <f t="shared" si="66"/>
        <v>0.27714218855924022</v>
      </c>
    </row>
    <row r="41" spans="2:17" s="549" customFormat="1">
      <c r="B41" s="549" t="s">
        <v>1379</v>
      </c>
      <c r="C41" s="1472">
        <v>2</v>
      </c>
      <c r="D41" s="1524" t="s">
        <v>1468</v>
      </c>
      <c r="E41" s="1472">
        <v>2010</v>
      </c>
      <c r="F41" s="1472"/>
      <c r="J41" s="979">
        <f>('Non exhaust'!I7+'Non exhaust'!I19+'Non exhaust'!I31)*M31</f>
        <v>44.620060901642262</v>
      </c>
    </row>
    <row r="42" spans="2:17" s="549" customFormat="1">
      <c r="B42" s="1533" t="str">
        <f>B41</f>
        <v>Vans</v>
      </c>
      <c r="C42" s="1533">
        <f>C41</f>
        <v>2</v>
      </c>
      <c r="D42" s="1533" t="str">
        <f>D41</f>
        <v>ElectricV</v>
      </c>
      <c r="E42" s="1472">
        <v>2012</v>
      </c>
      <c r="F42" s="1522"/>
      <c r="G42" s="979">
        <f>G41</f>
        <v>0</v>
      </c>
      <c r="H42" s="979">
        <f t="shared" ref="H42" si="67">H41</f>
        <v>0</v>
      </c>
      <c r="I42" s="979">
        <f t="shared" ref="I42" si="68">I41</f>
        <v>0</v>
      </c>
      <c r="J42" s="979">
        <f t="shared" ref="J42" si="69">J41</f>
        <v>44.620060901642262</v>
      </c>
      <c r="K42" s="979">
        <f t="shared" ref="K42" si="70">K41</f>
        <v>0</v>
      </c>
      <c r="L42" s="979">
        <f t="shared" ref="L42" si="71">L41</f>
        <v>0</v>
      </c>
      <c r="M42" s="979">
        <f t="shared" ref="M42" si="72">M41</f>
        <v>0</v>
      </c>
      <c r="N42" s="979">
        <f t="shared" ref="N42" si="73">N41</f>
        <v>0</v>
      </c>
      <c r="O42" s="979">
        <f t="shared" ref="O42" si="74">O41</f>
        <v>0</v>
      </c>
      <c r="Q42" s="526"/>
    </row>
    <row r="43" spans="2:17" s="549" customFormat="1">
      <c r="B43" s="549" t="s">
        <v>1379</v>
      </c>
      <c r="C43" s="1464">
        <v>2</v>
      </c>
      <c r="D43" s="1524" t="s">
        <v>1468</v>
      </c>
      <c r="E43" s="1464">
        <v>2020</v>
      </c>
      <c r="F43" s="1464"/>
      <c r="J43" s="979">
        <f>('Non exhaust'!I8+'Non exhaust'!I20+'Non exhaust'!I32)*M33</f>
        <v>45.050172646782613</v>
      </c>
    </row>
    <row r="44" spans="2:17" s="549" customFormat="1">
      <c r="B44" s="1475" t="s">
        <v>1379</v>
      </c>
      <c r="C44" s="1469">
        <v>2</v>
      </c>
      <c r="D44" s="1524" t="s">
        <v>1468</v>
      </c>
      <c r="E44" s="1469">
        <v>2030</v>
      </c>
      <c r="F44" s="1469"/>
      <c r="J44" s="979">
        <f>('Non exhaust'!I9+'Non exhaust'!I21+'Non exhaust'!I33)*M34</f>
        <v>45.112072055429536</v>
      </c>
    </row>
    <row r="45" spans="2:17" s="549" customFormat="1">
      <c r="B45" s="1475" t="s">
        <v>1379</v>
      </c>
      <c r="C45" s="1469">
        <v>2</v>
      </c>
      <c r="D45" s="1533" t="str">
        <f>D44</f>
        <v>ElectricV</v>
      </c>
      <c r="E45" s="1469">
        <v>2050</v>
      </c>
      <c r="F45" s="1472">
        <f>F44</f>
        <v>0</v>
      </c>
      <c r="G45" s="1472">
        <f t="shared" ref="G45" si="75">G44</f>
        <v>0</v>
      </c>
      <c r="H45" s="1472">
        <f t="shared" ref="H45" si="76">H44</f>
        <v>0</v>
      </c>
      <c r="I45" s="1472">
        <f t="shared" ref="I45" si="77">I44</f>
        <v>0</v>
      </c>
      <c r="J45" s="1472">
        <f t="shared" ref="J45" si="78">J44</f>
        <v>45.112072055429536</v>
      </c>
      <c r="K45" s="1472">
        <f t="shared" ref="K45" si="79">K44</f>
        <v>0</v>
      </c>
      <c r="L45" s="1472">
        <f t="shared" ref="L45" si="80">L44</f>
        <v>0</v>
      </c>
      <c r="M45" s="1472">
        <f t="shared" ref="M45" si="81">M44</f>
        <v>0</v>
      </c>
      <c r="N45" s="1472">
        <f t="shared" ref="N45" si="82">N44</f>
        <v>0</v>
      </c>
      <c r="O45" s="1472">
        <f t="shared" ref="O45" si="83">O44</f>
        <v>0</v>
      </c>
    </row>
    <row r="46" spans="2:17" s="549" customFormat="1">
      <c r="B46" s="549" t="s">
        <v>1379</v>
      </c>
      <c r="C46" s="1472">
        <v>2</v>
      </c>
      <c r="D46" s="1524" t="s">
        <v>1491</v>
      </c>
      <c r="E46" s="1472">
        <v>2010</v>
      </c>
      <c r="F46" s="1472">
        <f>(F31+F41)/2</f>
        <v>3794470183.8269682</v>
      </c>
      <c r="G46" s="1472">
        <f t="shared" ref="G46:O46" si="84">(G31+G41)/2</f>
        <v>6.719873548443364E-5</v>
      </c>
      <c r="H46" s="1472">
        <f t="shared" si="84"/>
        <v>0.29562477323546954</v>
      </c>
      <c r="I46" s="1472">
        <f t="shared" si="84"/>
        <v>8.2117856467403506E-4</v>
      </c>
      <c r="J46" s="1472">
        <f t="shared" si="84"/>
        <v>71.484840628980677</v>
      </c>
      <c r="K46" s="1472">
        <f t="shared" si="84"/>
        <v>3.2881390775691406E-3</v>
      </c>
      <c r="L46" s="1472">
        <f t="shared" si="84"/>
        <v>33.59936774221682</v>
      </c>
      <c r="M46" s="1472">
        <f t="shared" si="84"/>
        <v>1.4346930025926583</v>
      </c>
      <c r="N46" s="1472">
        <f t="shared" si="84"/>
        <v>4.0456156381322987E-2</v>
      </c>
      <c r="O46" s="1472">
        <f t="shared" si="84"/>
        <v>0.17117333531259085</v>
      </c>
    </row>
    <row r="47" spans="2:17" s="549" customFormat="1">
      <c r="B47" s="1533" t="str">
        <f>B46</f>
        <v>Vans</v>
      </c>
      <c r="C47" s="1533">
        <f>C46</f>
        <v>2</v>
      </c>
      <c r="D47" s="1524" t="s">
        <v>1491</v>
      </c>
      <c r="E47" s="1472">
        <v>2012</v>
      </c>
      <c r="F47" s="1472">
        <f t="shared" ref="F47:O50" si="85">(F32+F42)/2</f>
        <v>0</v>
      </c>
      <c r="G47" s="1472">
        <f t="shared" si="85"/>
        <v>6.719873548443364E-5</v>
      </c>
      <c r="H47" s="1472">
        <f t="shared" si="85"/>
        <v>0.29562477323546954</v>
      </c>
      <c r="I47" s="1472">
        <f t="shared" si="85"/>
        <v>8.2117856467403506E-4</v>
      </c>
      <c r="J47" s="1472">
        <f t="shared" si="85"/>
        <v>71.484840628980677</v>
      </c>
      <c r="K47" s="1472">
        <f t="shared" si="85"/>
        <v>3.2881390775691406E-3</v>
      </c>
      <c r="L47" s="1472">
        <f t="shared" si="85"/>
        <v>33.59936774221682</v>
      </c>
      <c r="M47" s="1472">
        <f t="shared" si="85"/>
        <v>1.4346930025926583</v>
      </c>
      <c r="N47" s="1472">
        <f t="shared" si="85"/>
        <v>4.0456156381322987E-2</v>
      </c>
      <c r="O47" s="1472">
        <f t="shared" si="85"/>
        <v>0.17117333531259085</v>
      </c>
      <c r="Q47" s="526"/>
    </row>
    <row r="48" spans="2:17" s="549" customFormat="1">
      <c r="B48" s="549" t="s">
        <v>1379</v>
      </c>
      <c r="C48" s="1464">
        <v>2</v>
      </c>
      <c r="D48" s="1524" t="s">
        <v>1491</v>
      </c>
      <c r="E48" s="1464">
        <v>2020</v>
      </c>
      <c r="F48" s="1472">
        <f t="shared" si="85"/>
        <v>3697550356.3339024</v>
      </c>
      <c r="G48" s="1472">
        <f t="shared" si="85"/>
        <v>6.7031535311236923E-5</v>
      </c>
      <c r="H48" s="1472">
        <f t="shared" si="85"/>
        <v>0.1063206359148484</v>
      </c>
      <c r="I48" s="1472">
        <f t="shared" si="85"/>
        <v>7.1930265479813017E-5</v>
      </c>
      <c r="J48" s="1472">
        <f t="shared" si="85"/>
        <v>51.532782428759582</v>
      </c>
      <c r="K48" s="1472">
        <f t="shared" si="85"/>
        <v>3.504890276706283E-3</v>
      </c>
      <c r="L48" s="1472">
        <f t="shared" si="85"/>
        <v>33.515767655618461</v>
      </c>
      <c r="M48" s="1472">
        <f t="shared" si="85"/>
        <v>1.4311232788949084</v>
      </c>
      <c r="N48" s="1472">
        <f t="shared" si="85"/>
        <v>2.0706056968364871E-2</v>
      </c>
      <c r="O48" s="1472">
        <f t="shared" si="85"/>
        <v>0.14213654535821199</v>
      </c>
    </row>
    <row r="49" spans="2:22" s="549" customFormat="1">
      <c r="B49" s="1475" t="s">
        <v>1379</v>
      </c>
      <c r="C49" s="1469">
        <v>2</v>
      </c>
      <c r="D49" s="1524" t="s">
        <v>1491</v>
      </c>
      <c r="E49" s="1469">
        <v>2030</v>
      </c>
      <c r="F49" s="1472">
        <f t="shared" si="85"/>
        <v>4141979590.0164361</v>
      </c>
      <c r="G49" s="1472">
        <f t="shared" si="85"/>
        <v>6.6966390779506582E-5</v>
      </c>
      <c r="H49" s="1472">
        <f t="shared" si="85"/>
        <v>5.2843846844532742E-2</v>
      </c>
      <c r="I49" s="1472">
        <f t="shared" si="85"/>
        <v>5.1583269615650244E-6</v>
      </c>
      <c r="J49" s="1472">
        <f t="shared" si="85"/>
        <v>47.380093915200305</v>
      </c>
      <c r="K49" s="1472">
        <f t="shared" si="85"/>
        <v>3.4932160925181528E-3</v>
      </c>
      <c r="L49" s="1472">
        <f t="shared" si="85"/>
        <v>33.483195389753291</v>
      </c>
      <c r="M49" s="1472">
        <f t="shared" si="85"/>
        <v>1.4297324431424656</v>
      </c>
      <c r="N49" s="1472">
        <f t="shared" si="85"/>
        <v>1.7913716715488786E-2</v>
      </c>
      <c r="O49" s="1472">
        <f t="shared" si="85"/>
        <v>0.13857109427962011</v>
      </c>
    </row>
    <row r="50" spans="2:22" s="549" customFormat="1">
      <c r="B50" s="1475" t="s">
        <v>1379</v>
      </c>
      <c r="C50" s="1469">
        <v>2</v>
      </c>
      <c r="D50" s="1524" t="s">
        <v>1491</v>
      </c>
      <c r="E50" s="1469">
        <v>2050</v>
      </c>
      <c r="F50" s="1472">
        <f t="shared" si="85"/>
        <v>4141979590.0164361</v>
      </c>
      <c r="G50" s="1472">
        <f t="shared" si="85"/>
        <v>6.6966390779506582E-5</v>
      </c>
      <c r="H50" s="1472">
        <f t="shared" si="85"/>
        <v>5.2843846844532742E-2</v>
      </c>
      <c r="I50" s="1472">
        <f t="shared" si="85"/>
        <v>5.1583269615650244E-6</v>
      </c>
      <c r="J50" s="1472">
        <f t="shared" si="85"/>
        <v>47.380093915200305</v>
      </c>
      <c r="K50" s="1472">
        <f t="shared" si="85"/>
        <v>3.4932160925181528E-3</v>
      </c>
      <c r="L50" s="1472">
        <f t="shared" si="85"/>
        <v>33.483195389753291</v>
      </c>
      <c r="M50" s="1472">
        <f t="shared" si="85"/>
        <v>1.4297324431424656</v>
      </c>
      <c r="N50" s="1472">
        <f t="shared" si="85"/>
        <v>1.7913716715488786E-2</v>
      </c>
      <c r="O50" s="1472">
        <f t="shared" si="85"/>
        <v>0.13857109427962011</v>
      </c>
    </row>
    <row r="51" spans="2:22">
      <c r="B51" s="549" t="s">
        <v>1380</v>
      </c>
      <c r="C51" s="1472">
        <v>3</v>
      </c>
      <c r="D51" s="1533" t="s">
        <v>29</v>
      </c>
      <c r="E51" s="1472">
        <v>2010</v>
      </c>
      <c r="F51" s="1472">
        <v>1380532888.1323223</v>
      </c>
      <c r="G51" s="549">
        <f>Road!G16</f>
        <v>5.2050666582732362E-4</v>
      </c>
      <c r="H51" s="549">
        <f>Road!H16</f>
        <v>7.7331454305099898</v>
      </c>
      <c r="I51" s="549">
        <f>Road!I16</f>
        <v>7.2762783826487043E-2</v>
      </c>
      <c r="J51" s="979">
        <f>Road!N16+('Non exhaust'!I10+'Non exhaust'!I22+'Non exhaust'!I34)*M51</f>
        <v>331.29443710775081</v>
      </c>
      <c r="K51" s="549">
        <f>Road!M16</f>
        <v>0.03</v>
      </c>
      <c r="L51" s="549">
        <f>Road!O16</f>
        <v>260.25333291366184</v>
      </c>
      <c r="M51" s="549">
        <f>Road!P16</f>
        <v>11.112817315413359</v>
      </c>
      <c r="N51" s="549">
        <f>Road!J16</f>
        <v>0.34630197523203532</v>
      </c>
      <c r="O51" s="549">
        <f>Road!K16</f>
        <v>1.7650632219902751</v>
      </c>
      <c r="Q51" s="526" t="s">
        <v>1454</v>
      </c>
    </row>
    <row r="52" spans="2:22">
      <c r="B52" s="549" t="s">
        <v>1380</v>
      </c>
      <c r="C52" s="1464">
        <v>3</v>
      </c>
      <c r="D52" s="1533" t="s">
        <v>29</v>
      </c>
      <c r="E52" s="1464">
        <v>2020</v>
      </c>
      <c r="F52" s="1464">
        <v>2698513652.1719179</v>
      </c>
      <c r="G52" s="549">
        <f>Road!G17</f>
        <v>5.0787466103742625E-4</v>
      </c>
      <c r="H52" s="549">
        <f>Road!H17</f>
        <v>0.77588570340044205</v>
      </c>
      <c r="I52" s="549">
        <f>Road!I17</f>
        <v>3.744583716439937E-3</v>
      </c>
      <c r="J52" s="979">
        <f>Road!N17+('Non exhaust'!I11+'Non exhaust'!I23+'Non exhaust'!I35)*M52</f>
        <v>196.26714645704246</v>
      </c>
      <c r="K52" s="549">
        <f>Road!M17</f>
        <v>0.03</v>
      </c>
      <c r="L52" s="549">
        <f>Road!O17</f>
        <v>253.93733051871314</v>
      </c>
      <c r="M52" s="549">
        <f>Road!P17</f>
        <v>10.843124013149053</v>
      </c>
      <c r="N52" s="549">
        <f>Road!J17</f>
        <v>1.5859111407771152E-2</v>
      </c>
      <c r="O52" s="549">
        <f>Road!K17</f>
        <v>0.17331073812583311</v>
      </c>
      <c r="Q52" s="526" t="s">
        <v>1454</v>
      </c>
    </row>
    <row r="53" spans="2:22">
      <c r="B53" s="1475" t="s">
        <v>1380</v>
      </c>
      <c r="C53" s="1469">
        <v>3</v>
      </c>
      <c r="D53" s="1533" t="s">
        <v>29</v>
      </c>
      <c r="E53" s="1469">
        <v>2030</v>
      </c>
      <c r="F53" s="1469">
        <v>4165717622.5813818</v>
      </c>
      <c r="G53" s="549">
        <f>Road!G18</f>
        <v>5.0151485967231402E-4</v>
      </c>
      <c r="H53" s="549">
        <f>Road!H18</f>
        <v>0.55110436847006916</v>
      </c>
      <c r="I53" s="549">
        <f>Road!I18</f>
        <v>1.4829754890210707E-3</v>
      </c>
      <c r="J53" s="979">
        <f>Road!N18+('Non exhaust'!I12+'Non exhaust'!I24+'Non exhaust'!I36)*M53</f>
        <v>189.75493989940995</v>
      </c>
      <c r="K53" s="549">
        <f>Road!M18</f>
        <v>0.03</v>
      </c>
      <c r="L53" s="549">
        <f>Road!O18</f>
        <v>250.757429836157</v>
      </c>
      <c r="M53" s="549">
        <f>Road!P18</f>
        <v>10.707342254003905</v>
      </c>
      <c r="N53" s="549">
        <f>Road!J18</f>
        <v>5.1092690613378476E-3</v>
      </c>
      <c r="O53" s="549">
        <f>Road!K18</f>
        <v>0.12179947160011732</v>
      </c>
      <c r="Q53" s="526" t="s">
        <v>1454</v>
      </c>
      <c r="T53">
        <v>0.03</v>
      </c>
      <c r="U53">
        <v>0.01</v>
      </c>
    </row>
    <row r="54" spans="2:22">
      <c r="B54" s="549" t="s">
        <v>1381</v>
      </c>
      <c r="C54" s="1472">
        <v>4</v>
      </c>
      <c r="D54" s="1533" t="s">
        <v>29</v>
      </c>
      <c r="E54" s="1472">
        <v>2010</v>
      </c>
      <c r="F54" s="1472">
        <v>402524780.54534656</v>
      </c>
      <c r="G54" s="549">
        <f>Road!G19</f>
        <v>4.8445122443106808E-4</v>
      </c>
      <c r="H54" s="549">
        <f>Road!H19</f>
        <v>7.8598889141365031</v>
      </c>
      <c r="I54" s="549">
        <f>Road!I19</f>
        <v>7.9013661747118727E-2</v>
      </c>
      <c r="J54" s="979">
        <f>Road!N19+('Non exhaust'!I13+'Non exhaust'!I25+'Non exhaust'!I37)*M54</f>
        <v>355.60158664844056</v>
      </c>
      <c r="K54" s="549">
        <f>Road!M19</f>
        <v>0.03</v>
      </c>
      <c r="L54" s="549">
        <f>Road!O19</f>
        <v>242.22561221553403</v>
      </c>
      <c r="M54" s="549">
        <f>Road!P19</f>
        <v>10.343033641603304</v>
      </c>
      <c r="N54" s="549">
        <f>Road!J19</f>
        <v>0.44768489578879084</v>
      </c>
      <c r="O54" s="549">
        <f>Road!K19</f>
        <v>1.7758627452741942</v>
      </c>
      <c r="Q54" s="526" t="s">
        <v>1453</v>
      </c>
      <c r="T54" s="549">
        <f>T53*1000</f>
        <v>30</v>
      </c>
      <c r="U54">
        <f>U53*1000</f>
        <v>10</v>
      </c>
      <c r="V54" s="526" t="s">
        <v>1448</v>
      </c>
    </row>
    <row r="55" spans="2:22">
      <c r="B55" s="549" t="s">
        <v>1381</v>
      </c>
      <c r="C55" s="1464">
        <v>4</v>
      </c>
      <c r="D55" s="1533" t="s">
        <v>29</v>
      </c>
      <c r="E55" s="1464">
        <v>2020</v>
      </c>
      <c r="F55" s="1464">
        <v>358979588.37066019</v>
      </c>
      <c r="G55" s="549">
        <f>Road!G20</f>
        <v>4.664255137142567E-4</v>
      </c>
      <c r="H55" s="549">
        <f>Road!H20</f>
        <v>1.4378601329833347</v>
      </c>
      <c r="I55" s="549">
        <f>Road!I20</f>
        <v>1.0502749657263994E-2</v>
      </c>
      <c r="J55" s="979">
        <f>Road!N20+('Non exhaust'!I14+'Non exhaust'!I26+'Non exhaust'!I38)*M55</f>
        <v>217.46442945720673</v>
      </c>
      <c r="K55" s="549">
        <f>Road!M20</f>
        <v>0.03</v>
      </c>
      <c r="L55" s="549">
        <f>Road!O20</f>
        <v>233.21275685712834</v>
      </c>
      <c r="M55" s="549">
        <f>Road!P20</f>
        <v>9.9581847177993801</v>
      </c>
      <c r="N55" s="549">
        <f>Road!J20</f>
        <v>5.9829593713155611E-2</v>
      </c>
      <c r="O55" s="549">
        <f>Road!K20</f>
        <v>0.35429646176503155</v>
      </c>
      <c r="Q55" s="526" t="s">
        <v>1453</v>
      </c>
      <c r="T55" s="549">
        <f>T54*4.1</f>
        <v>122.99999999999999</v>
      </c>
      <c r="U55">
        <f>U54*4.1</f>
        <v>41</v>
      </c>
      <c r="V55" s="526" t="s">
        <v>1449</v>
      </c>
    </row>
    <row r="56" spans="2:22">
      <c r="B56" s="1478" t="s">
        <v>1381</v>
      </c>
      <c r="C56" s="1469">
        <v>4</v>
      </c>
      <c r="D56" s="1533" t="s">
        <v>29</v>
      </c>
      <c r="E56" s="1469">
        <v>2030</v>
      </c>
      <c r="F56" s="1469">
        <v>539987421.5109601</v>
      </c>
      <c r="G56" s="549">
        <f>Road!G21</f>
        <v>4.6248198678145634E-4</v>
      </c>
      <c r="H56" s="549">
        <f>Road!H21</f>
        <v>0.5306376276342073</v>
      </c>
      <c r="I56" s="549">
        <f>Road!I21</f>
        <v>1.3705297958781144E-3</v>
      </c>
      <c r="J56" s="979">
        <f>Road!N21+('Non exhaust'!I15+'Non exhaust'!I27+'Non exhaust'!I39)*M56</f>
        <v>200.39070323521457</v>
      </c>
      <c r="K56" s="549">
        <f>Road!M21</f>
        <v>0.03</v>
      </c>
      <c r="L56" s="549">
        <f>Road!O21</f>
        <v>231.24099339072816</v>
      </c>
      <c r="M56" s="549">
        <f>Road!P21</f>
        <v>9.8739904177840927</v>
      </c>
      <c r="N56" s="549">
        <f>Road!J21</f>
        <v>7.4220238221218487E-3</v>
      </c>
      <c r="O56" s="549">
        <f>Road!K21</f>
        <v>0.14608455588796768</v>
      </c>
      <c r="Q56" s="526" t="s">
        <v>1453</v>
      </c>
    </row>
    <row r="57" spans="2:22">
      <c r="B57" s="549" t="s">
        <v>1382</v>
      </c>
      <c r="C57" s="1472">
        <v>3</v>
      </c>
      <c r="D57" s="1533" t="s">
        <v>29</v>
      </c>
      <c r="E57" s="1472">
        <v>2010</v>
      </c>
      <c r="F57" s="1472">
        <v>1829491513.1258786</v>
      </c>
      <c r="G57" s="549">
        <f>Road!G22</f>
        <v>5.1260490398052395E-4</v>
      </c>
      <c r="H57" s="549">
        <f>Road!H22</f>
        <v>3.8085912564772744</v>
      </c>
      <c r="I57" s="549">
        <f>Road!I22</f>
        <v>4.9051989534047496E-3</v>
      </c>
      <c r="J57" s="979">
        <f>Road!N22+('Non exhaust'!I10+'Non exhaust'!I22+'Non exhaust'!I34)*M57</f>
        <v>203.12377531536862</v>
      </c>
      <c r="K57" s="549">
        <f>Road!M22</f>
        <v>0.03</v>
      </c>
      <c r="L57" s="549">
        <f>Road!O22</f>
        <v>256.302451990262</v>
      </c>
      <c r="M57" s="549">
        <f>Road!P22</f>
        <v>10.944114699984189</v>
      </c>
      <c r="N57" s="549">
        <f>Road!J22</f>
        <v>1.6675329452535491E-2</v>
      </c>
      <c r="O57" s="549">
        <f>Road!K22</f>
        <v>0.1227716741285369</v>
      </c>
      <c r="Q57" s="526" t="s">
        <v>1452</v>
      </c>
    </row>
    <row r="58" spans="2:22">
      <c r="B58" s="549" t="s">
        <v>1382</v>
      </c>
      <c r="C58" s="1464">
        <v>3</v>
      </c>
      <c r="D58" s="1533" t="s">
        <v>29</v>
      </c>
      <c r="E58" s="1464">
        <v>2020</v>
      </c>
      <c r="F58" s="1464">
        <v>884259985.62407732</v>
      </c>
      <c r="G58" s="549">
        <f>Road!G23</f>
        <v>4.8319137637979777E-4</v>
      </c>
      <c r="H58" s="549">
        <f>Road!H23</f>
        <v>2.8076650855544445</v>
      </c>
      <c r="I58" s="549">
        <f>Road!I23</f>
        <v>4.7707333355860174E-3</v>
      </c>
      <c r="J58" s="979">
        <f>Road!N23+('Non exhaust'!I11+'Non exhaust'!I23+'Non exhaust'!I35)*M58</f>
        <v>195.75012687229997</v>
      </c>
      <c r="K58" s="549">
        <f>Road!M23</f>
        <v>0.03</v>
      </c>
      <c r="L58" s="549">
        <f>Road!O23</f>
        <v>241.59568818989888</v>
      </c>
      <c r="M58" s="549">
        <f>Road!P23</f>
        <v>10.316135885708682</v>
      </c>
      <c r="N58" s="549">
        <f>Road!J23</f>
        <v>1.600218841397541E-2</v>
      </c>
      <c r="O58" s="549">
        <f>Road!K23</f>
        <v>0.11636133079494558</v>
      </c>
      <c r="Q58" s="526" t="s">
        <v>1452</v>
      </c>
    </row>
    <row r="59" spans="2:22">
      <c r="B59" s="1475" t="s">
        <v>1382</v>
      </c>
      <c r="C59" s="1469">
        <v>3</v>
      </c>
      <c r="D59" s="1533" t="s">
        <v>29</v>
      </c>
      <c r="E59" s="1469">
        <v>2030</v>
      </c>
      <c r="F59" s="1469">
        <v>55791407.608551584</v>
      </c>
      <c r="G59" s="549">
        <f>Road!G24</f>
        <v>4.5288417326614175E-4</v>
      </c>
      <c r="H59" s="549">
        <f>Road!H24</f>
        <v>2.6008381755640011</v>
      </c>
      <c r="I59" s="549">
        <f>Road!I24</f>
        <v>4.6242423581146662E-3</v>
      </c>
      <c r="J59" s="979">
        <f>Road!N24+('Non exhaust'!I12+'Non exhaust'!I24+'Non exhaust'!I36)*M59</f>
        <v>183.77610638630617</v>
      </c>
      <c r="K59" s="549">
        <f>Road!M24</f>
        <v>0.03</v>
      </c>
      <c r="L59" s="549">
        <f>Road!O24</f>
        <v>226.44208663307089</v>
      </c>
      <c r="M59" s="549">
        <f>Road!P24</f>
        <v>9.669077099232128</v>
      </c>
      <c r="N59" s="549">
        <f>Road!J24</f>
        <v>1.5235117888472196E-2</v>
      </c>
      <c r="O59" s="549">
        <f>Road!K24</f>
        <v>0.10983244340612468</v>
      </c>
      <c r="Q59" s="526" t="s">
        <v>1452</v>
      </c>
    </row>
    <row r="60" spans="2:22">
      <c r="B60" s="549" t="s">
        <v>1383</v>
      </c>
      <c r="C60" s="1472">
        <v>4</v>
      </c>
      <c r="D60" s="1533" t="s">
        <v>29</v>
      </c>
      <c r="E60" s="1472">
        <v>2010</v>
      </c>
      <c r="F60" s="1472">
        <v>248410074.9236975</v>
      </c>
      <c r="G60" s="549">
        <f>Road!G25</f>
        <v>4.6278891662168735E-4</v>
      </c>
      <c r="H60" s="549">
        <f>Road!H25</f>
        <v>3.8927215600566769</v>
      </c>
      <c r="I60" s="549">
        <f>Road!I25</f>
        <v>3.63674538281277E-3</v>
      </c>
      <c r="J60" s="979">
        <f>Road!N25+('Non exhaust'!I13+'Non exhaust'!I25+'Non exhaust'!I37)*M60</f>
        <v>209.42841293332961</v>
      </c>
      <c r="K60" s="549">
        <f>Road!M25</f>
        <v>0.03</v>
      </c>
      <c r="L60" s="549">
        <f>Road!O25</f>
        <v>231.39445831084367</v>
      </c>
      <c r="M60" s="549">
        <f>Road!P25</f>
        <v>9.8805433698730258</v>
      </c>
      <c r="N60" s="549">
        <f>Road!J25</f>
        <v>1.8318506498726322E-2</v>
      </c>
      <c r="O60" s="549">
        <f>Road!K25</f>
        <v>0.14004527521743521</v>
      </c>
      <c r="Q60" s="526" t="s">
        <v>1451</v>
      </c>
    </row>
    <row r="61" spans="2:22">
      <c r="B61" s="549" t="s">
        <v>1383</v>
      </c>
      <c r="C61" s="1464">
        <v>4</v>
      </c>
      <c r="D61" s="1533" t="s">
        <v>29</v>
      </c>
      <c r="E61" s="1464">
        <v>2020</v>
      </c>
      <c r="F61" s="1464">
        <v>235193373.63990819</v>
      </c>
      <c r="G61" s="549">
        <f>Road!G26</f>
        <v>4.6345247928256984E-4</v>
      </c>
      <c r="H61" s="549">
        <f>Road!H26</f>
        <v>2.8788297784336332</v>
      </c>
      <c r="I61" s="549">
        <f>Road!I26</f>
        <v>3.5801578302078292E-3</v>
      </c>
      <c r="J61" s="979">
        <f>Road!N26+('Non exhaust'!I14+'Non exhaust'!I26+'Non exhaust'!I38)*M61</f>
        <v>214.25748939154349</v>
      </c>
      <c r="K61" s="549">
        <f>Road!M26</f>
        <v>0.03</v>
      </c>
      <c r="L61" s="549">
        <f>Road!O26</f>
        <v>231.72623964128493</v>
      </c>
      <c r="M61" s="549">
        <f>Road!P26</f>
        <v>9.8947104326828672</v>
      </c>
      <c r="N61" s="549">
        <f>Road!J26</f>
        <v>1.8625841941190987E-2</v>
      </c>
      <c r="O61" s="549">
        <f>Road!K26</f>
        <v>0.13892767820129009</v>
      </c>
      <c r="Q61" s="526" t="s">
        <v>1451</v>
      </c>
    </row>
    <row r="62" spans="2:22">
      <c r="B62" s="1475" t="s">
        <v>1383</v>
      </c>
      <c r="C62" s="1469">
        <v>4</v>
      </c>
      <c r="D62" s="1533" t="s">
        <v>29</v>
      </c>
      <c r="E62" s="1469">
        <v>2030</v>
      </c>
      <c r="F62" s="1469">
        <v>28278941.219443381</v>
      </c>
      <c r="G62" s="549">
        <f>Road!G27</f>
        <v>4.6576947366666686E-4</v>
      </c>
      <c r="H62" s="549">
        <f>Road!H27</f>
        <v>2.7222866890462818</v>
      </c>
      <c r="I62" s="549">
        <f>Road!I27</f>
        <v>3.4304585923286808E-3</v>
      </c>
      <c r="J62" s="979">
        <f>Road!N27+('Non exhaust'!I15+'Non exhaust'!I27+'Non exhaust'!I39)*M62</f>
        <v>216.50127553058812</v>
      </c>
      <c r="K62" s="549">
        <f>Road!M27</f>
        <v>0.03</v>
      </c>
      <c r="L62" s="549">
        <f>Road!O27</f>
        <v>232.88473683333342</v>
      </c>
      <c r="M62" s="549">
        <f>Road!P27</f>
        <v>9.9441782627833373</v>
      </c>
      <c r="N62" s="549">
        <f>Road!J27</f>
        <v>1.9427730278008665E-2</v>
      </c>
      <c r="O62" s="549">
        <f>Road!K27</f>
        <v>0.13752455076473258</v>
      </c>
      <c r="Q62" s="526" t="s">
        <v>1451</v>
      </c>
    </row>
    <row r="63" spans="2:22">
      <c r="B63" s="501" t="s">
        <v>1384</v>
      </c>
      <c r="C63" s="1519"/>
      <c r="D63" s="1520" t="s">
        <v>29</v>
      </c>
      <c r="E63" s="1519">
        <v>2010</v>
      </c>
      <c r="F63" s="501">
        <f>+F31+F51+F57</f>
        <v>10798964768.912138</v>
      </c>
      <c r="G63" s="501">
        <f>Road!G28</f>
        <v>2.4783091176818752E-4</v>
      </c>
      <c r="H63" s="501">
        <f>Road!H28</f>
        <v>2.0493264864146417</v>
      </c>
      <c r="I63" s="501">
        <f>Road!I28</f>
        <v>1.128711769001063E-2</v>
      </c>
      <c r="J63" s="1521">
        <f>Road!N28</f>
        <v>61.930232782741086</v>
      </c>
      <c r="K63" s="501">
        <f>Road!M28</f>
        <v>1.3539049152109078E-2</v>
      </c>
      <c r="L63" s="501">
        <f>Road!O28</f>
        <v>123.91545588409377</v>
      </c>
      <c r="M63" s="501">
        <f>Road!P28</f>
        <v>5.2911899662508048</v>
      </c>
      <c r="N63" s="501">
        <f>Road!J28</f>
        <v>0.1039569422007455</v>
      </c>
      <c r="O63" s="501">
        <f>Road!K28</f>
        <v>0.48702687196839295</v>
      </c>
      <c r="Q63" s="526" t="s">
        <v>1450</v>
      </c>
    </row>
    <row r="64" spans="2:22">
      <c r="B64" s="501" t="s">
        <v>1384</v>
      </c>
      <c r="C64" s="1519"/>
      <c r="D64" s="1520" t="s">
        <v>29</v>
      </c>
      <c r="E64" s="1519">
        <v>2020</v>
      </c>
      <c r="F64" s="501">
        <f>+F33+F52+F58</f>
        <v>10977874350.463799</v>
      </c>
      <c r="G64" s="501">
        <f>Road!G29</f>
        <v>2.5407317719188601E-4</v>
      </c>
      <c r="H64" s="501">
        <f>Road!H29</f>
        <v>0.56012188479195857</v>
      </c>
      <c r="I64" s="501">
        <f>Road!I29</f>
        <v>1.4016595103067142E-3</v>
      </c>
      <c r="J64" s="1521">
        <f>Road!N29</f>
        <v>15.230499778721217</v>
      </c>
      <c r="K64" s="501">
        <f>Road!M29</f>
        <v>1.4512940958677938E-2</v>
      </c>
      <c r="L64" s="501">
        <f>Road!O29</f>
        <v>127.036588595943</v>
      </c>
      <c r="M64" s="501">
        <f>Road!P29</f>
        <v>5.4244623330467663</v>
      </c>
      <c r="N64" s="501">
        <f>Road!J29</f>
        <v>3.3084080326837371E-2</v>
      </c>
      <c r="O64" s="501">
        <f>Road!K29</f>
        <v>0.24347183361894414</v>
      </c>
      <c r="Q64" s="526" t="s">
        <v>1450</v>
      </c>
    </row>
    <row r="65" spans="2:17">
      <c r="B65" s="501" t="s">
        <v>1384</v>
      </c>
      <c r="C65" s="1519"/>
      <c r="D65" s="1520" t="s">
        <v>29</v>
      </c>
      <c r="E65" s="1519">
        <v>2030</v>
      </c>
      <c r="F65" s="501">
        <f>+F34+F53+F59</f>
        <v>12505468210.222805</v>
      </c>
      <c r="G65" s="501">
        <f>Road!G30</f>
        <v>2.5780162530029933E-4</v>
      </c>
      <c r="H65" s="501">
        <f>Road!H30</f>
        <v>0.26519296095088574</v>
      </c>
      <c r="I65" s="501">
        <f>Road!I30</f>
        <v>5.2146091206697594E-4</v>
      </c>
      <c r="J65" s="1521">
        <f>Road!N30</f>
        <v>7.6283854276916792</v>
      </c>
      <c r="K65" s="501">
        <f>Road!M30</f>
        <v>1.4755192435719213E-2</v>
      </c>
      <c r="L65" s="501">
        <f>Road!O30</f>
        <v>128.90081265014967</v>
      </c>
      <c r="M65" s="501">
        <f>Road!P30</f>
        <v>5.5040647001613925</v>
      </c>
      <c r="N65" s="501">
        <f>Road!J30</f>
        <v>2.55029840982888E-2</v>
      </c>
      <c r="O65" s="501">
        <f>Road!K30</f>
        <v>0.22464928475669524</v>
      </c>
      <c r="Q65" s="526" t="s">
        <v>1450</v>
      </c>
    </row>
    <row r="66" spans="2:17">
      <c r="B66" s="549" t="s">
        <v>1385</v>
      </c>
      <c r="C66" s="1477"/>
      <c r="D66" s="1533" t="s">
        <v>1470</v>
      </c>
      <c r="E66" s="1477">
        <v>2010</v>
      </c>
      <c r="F66" s="1477">
        <f>+F54+F60</f>
        <v>650934855.46904409</v>
      </c>
      <c r="G66" s="549">
        <f>Road!G31</f>
        <v>4.7618444402940867E-4</v>
      </c>
      <c r="H66" s="549">
        <f>Road!H31</f>
        <v>6.3459365863698389</v>
      </c>
      <c r="I66" s="549">
        <f>Road!I31</f>
        <v>5.0248286403863689E-2</v>
      </c>
      <c r="J66" s="979">
        <f>Road!N31+('Non exhaust'!I13+'Non exhaust'!I25+'Non exhaust'!I37)*M66</f>
        <v>299.81890927400372</v>
      </c>
      <c r="K66" s="549">
        <f>Road!M31</f>
        <v>0.03</v>
      </c>
      <c r="L66" s="549">
        <f>Road!O31</f>
        <v>238.09222201470433</v>
      </c>
      <c r="M66" s="549">
        <f>Road!P31</f>
        <v>10.166537880027876</v>
      </c>
      <c r="N66" s="549">
        <f>Road!J31</f>
        <v>0.28382988627880357</v>
      </c>
      <c r="O66" s="549">
        <f>Road!K31</f>
        <v>1.1516012897933894</v>
      </c>
      <c r="Q66" s="526" t="s">
        <v>1457</v>
      </c>
    </row>
    <row r="67" spans="2:17" s="549" customFormat="1">
      <c r="B67" s="1533" t="str">
        <f>B66</f>
        <v>Buses</v>
      </c>
      <c r="C67" s="1533">
        <f>C66</f>
        <v>0</v>
      </c>
      <c r="D67" s="1533" t="str">
        <f>D66</f>
        <v>DieselB</v>
      </c>
      <c r="E67" s="1472">
        <v>2012</v>
      </c>
      <c r="F67" s="1522"/>
      <c r="G67" s="979">
        <f>G66</f>
        <v>4.7618444402940867E-4</v>
      </c>
      <c r="H67" s="979">
        <f t="shared" ref="H67" si="86">H66</f>
        <v>6.3459365863698389</v>
      </c>
      <c r="I67" s="979">
        <f t="shared" ref="I67" si="87">I66</f>
        <v>5.0248286403863689E-2</v>
      </c>
      <c r="J67" s="979">
        <f t="shared" ref="J67" si="88">J66</f>
        <v>299.81890927400372</v>
      </c>
      <c r="K67" s="979">
        <f t="shared" ref="K67" si="89">K66</f>
        <v>0.03</v>
      </c>
      <c r="L67" s="979">
        <f t="shared" ref="L67" si="90">L66</f>
        <v>238.09222201470433</v>
      </c>
      <c r="M67" s="979">
        <f t="shared" ref="M67" si="91">M66</f>
        <v>10.166537880027876</v>
      </c>
      <c r="N67" s="979">
        <f t="shared" ref="N67" si="92">N66</f>
        <v>0.28382988627880357</v>
      </c>
      <c r="O67" s="979">
        <f t="shared" ref="O67" si="93">O66</f>
        <v>1.1516012897933894</v>
      </c>
      <c r="Q67" s="526"/>
    </row>
    <row r="68" spans="2:17">
      <c r="B68" s="549" t="s">
        <v>1385</v>
      </c>
      <c r="C68" s="1477"/>
      <c r="D68" s="1533" t="s">
        <v>1470</v>
      </c>
      <c r="E68" s="1477">
        <v>2020</v>
      </c>
      <c r="F68" s="1477">
        <f>+F55+F61</f>
        <v>594172962.01056838</v>
      </c>
      <c r="G68" s="549">
        <f>Road!G32</f>
        <v>4.6524868803782406E-4</v>
      </c>
      <c r="H68" s="549">
        <f>Road!H32</f>
        <v>2.0082437315223238</v>
      </c>
      <c r="I68" s="549">
        <f>Road!I32</f>
        <v>7.7625581133269348E-3</v>
      </c>
      <c r="J68" s="979">
        <f>Road!N32+('Non exhaust'!I14+'Non exhaust'!I26+'Non exhaust'!I38)*M68</f>
        <v>216.19501616961438</v>
      </c>
      <c r="K68" s="549">
        <f>Road!M32</f>
        <v>0.03</v>
      </c>
      <c r="L68" s="549">
        <f>Road!O32</f>
        <v>232.62434401891204</v>
      </c>
      <c r="M68" s="549">
        <f>Road!P32</f>
        <v>9.9330594896075457</v>
      </c>
      <c r="N68" s="549">
        <f>Road!J32</f>
        <v>4.3519781578524451E-2</v>
      </c>
      <c r="O68" s="549">
        <f>Road!K32</f>
        <v>0.2690463510705321</v>
      </c>
      <c r="Q68" s="526" t="s">
        <v>1457</v>
      </c>
    </row>
    <row r="69" spans="2:17">
      <c r="B69" s="549" t="s">
        <v>1385</v>
      </c>
      <c r="C69" s="1477"/>
      <c r="D69" s="1533" t="s">
        <v>1470</v>
      </c>
      <c r="E69" s="1477">
        <v>2035</v>
      </c>
      <c r="F69" s="1477">
        <f>+F56+F62</f>
        <v>568266362.73040342</v>
      </c>
      <c r="G69" s="549">
        <f>Road!G33</f>
        <v>4.6264558373965012E-4</v>
      </c>
      <c r="H69" s="549">
        <f>Road!H33</f>
        <v>0.63970182542260201</v>
      </c>
      <c r="I69" s="549">
        <f>Road!I33</f>
        <v>1.4730391280708076E-3</v>
      </c>
      <c r="J69" s="979">
        <f>Road!N33+('Non exhaust'!I15+'Non exhaust'!I27+'Non exhaust'!I39)*M69</f>
        <v>201.19242221214546</v>
      </c>
      <c r="K69" s="549">
        <f>Road!M33</f>
        <v>3.0000000000000002E-2</v>
      </c>
      <c r="L69" s="549">
        <f>Road!O33</f>
        <v>231.32279186982507</v>
      </c>
      <c r="M69" s="549">
        <f>Road!P33</f>
        <v>9.8774832128415309</v>
      </c>
      <c r="N69" s="549">
        <f>Road!J33</f>
        <v>8.019470177265316E-3</v>
      </c>
      <c r="O69" s="549">
        <f>Road!K33</f>
        <v>0.1456585798007064</v>
      </c>
      <c r="Q69" s="526" t="s">
        <v>1457</v>
      </c>
    </row>
    <row r="70" spans="2:17" s="549" customFormat="1">
      <c r="B70" s="549" t="s">
        <v>1385</v>
      </c>
      <c r="C70" s="1477"/>
      <c r="D70" s="1533" t="s">
        <v>1494</v>
      </c>
      <c r="E70" s="1477">
        <v>2010</v>
      </c>
      <c r="F70" s="1477">
        <f>F66</f>
        <v>650934855.46904409</v>
      </c>
      <c r="G70" s="1477"/>
      <c r="H70" s="1477">
        <f t="shared" ref="H70:O70" si="94">H66</f>
        <v>6.3459365863698389</v>
      </c>
      <c r="I70" s="1477">
        <f t="shared" si="94"/>
        <v>5.0248286403863689E-2</v>
      </c>
      <c r="J70" s="1477">
        <f>J74</f>
        <v>184.77515886469322</v>
      </c>
      <c r="K70" s="1477">
        <f t="shared" si="94"/>
        <v>0.03</v>
      </c>
      <c r="L70" s="1477">
        <f t="shared" si="94"/>
        <v>238.09222201470433</v>
      </c>
      <c r="M70" s="1477">
        <f t="shared" si="94"/>
        <v>10.166537880027876</v>
      </c>
      <c r="N70" s="1477">
        <f t="shared" si="94"/>
        <v>0.28382988627880357</v>
      </c>
      <c r="O70" s="1477">
        <f t="shared" si="94"/>
        <v>1.1516012897933894</v>
      </c>
      <c r="Q70" s="526" t="s">
        <v>1457</v>
      </c>
    </row>
    <row r="71" spans="2:17" s="549" customFormat="1">
      <c r="B71" s="1533" t="str">
        <f>B70</f>
        <v>Buses</v>
      </c>
      <c r="C71" s="1533">
        <f>C70</f>
        <v>0</v>
      </c>
      <c r="D71" s="1533" t="s">
        <v>1494</v>
      </c>
      <c r="E71" s="1472">
        <v>2012</v>
      </c>
      <c r="F71" s="1477">
        <f t="shared" ref="F71:O73" si="95">F67</f>
        <v>0</v>
      </c>
      <c r="G71" s="1477"/>
      <c r="H71" s="1477">
        <f t="shared" si="95"/>
        <v>6.3459365863698389</v>
      </c>
      <c r="I71" s="1477">
        <f t="shared" si="95"/>
        <v>5.0248286403863689E-2</v>
      </c>
      <c r="J71" s="1477">
        <f t="shared" ref="J71:J72" si="96">J75</f>
        <v>184.77515886469322</v>
      </c>
      <c r="K71" s="1477">
        <f t="shared" si="95"/>
        <v>0.03</v>
      </c>
      <c r="L71" s="1477">
        <f t="shared" si="95"/>
        <v>238.09222201470433</v>
      </c>
      <c r="M71" s="1477">
        <f t="shared" si="95"/>
        <v>10.166537880027876</v>
      </c>
      <c r="N71" s="1477">
        <f t="shared" si="95"/>
        <v>0.28382988627880357</v>
      </c>
      <c r="O71" s="1477">
        <f t="shared" si="95"/>
        <v>1.1516012897933894</v>
      </c>
      <c r="Q71" s="526"/>
    </row>
    <row r="72" spans="2:17" s="549" customFormat="1">
      <c r="B72" s="549" t="s">
        <v>1385</v>
      </c>
      <c r="C72" s="1477"/>
      <c r="D72" s="1533" t="s">
        <v>1494</v>
      </c>
      <c r="E72" s="1477">
        <v>2020</v>
      </c>
      <c r="F72" s="1477">
        <f t="shared" si="95"/>
        <v>594172962.01056838</v>
      </c>
      <c r="G72" s="1477"/>
      <c r="H72" s="1477">
        <f t="shared" si="95"/>
        <v>2.0082437315223238</v>
      </c>
      <c r="I72" s="1477">
        <f t="shared" si="95"/>
        <v>7.7625581133269348E-3</v>
      </c>
      <c r="J72" s="1477">
        <f t="shared" si="96"/>
        <v>184.99469536935541</v>
      </c>
      <c r="K72" s="1477">
        <f t="shared" si="95"/>
        <v>0.03</v>
      </c>
      <c r="L72" s="1477">
        <f t="shared" si="95"/>
        <v>232.62434401891204</v>
      </c>
      <c r="M72" s="1477">
        <f t="shared" si="95"/>
        <v>9.9330594896075457</v>
      </c>
      <c r="N72" s="1477">
        <f t="shared" si="95"/>
        <v>4.3519781578524451E-2</v>
      </c>
      <c r="O72" s="1477">
        <f t="shared" si="95"/>
        <v>0.2690463510705321</v>
      </c>
      <c r="Q72" s="526" t="s">
        <v>1457</v>
      </c>
    </row>
    <row r="73" spans="2:17" s="549" customFormat="1">
      <c r="B73" s="549" t="s">
        <v>1385</v>
      </c>
      <c r="C73" s="1477"/>
      <c r="D73" s="1533" t="s">
        <v>1494</v>
      </c>
      <c r="E73" s="1477">
        <v>2035</v>
      </c>
      <c r="F73" s="1477">
        <f t="shared" si="95"/>
        <v>568266362.73040342</v>
      </c>
      <c r="G73" s="1477"/>
      <c r="H73" s="1477">
        <f t="shared" si="95"/>
        <v>0.63970182542260201</v>
      </c>
      <c r="I73" s="1477">
        <f t="shared" si="95"/>
        <v>1.4730391280708076E-3</v>
      </c>
      <c r="J73" s="1477">
        <f>J77</f>
        <v>184.82536336060386</v>
      </c>
      <c r="K73" s="1477">
        <f t="shared" si="95"/>
        <v>3.0000000000000002E-2</v>
      </c>
      <c r="L73" s="1477">
        <f t="shared" si="95"/>
        <v>231.32279186982507</v>
      </c>
      <c r="M73" s="1477">
        <f t="shared" si="95"/>
        <v>9.8774832128415309</v>
      </c>
      <c r="N73" s="1477">
        <f t="shared" si="95"/>
        <v>8.019470177265316E-3</v>
      </c>
      <c r="O73" s="1477">
        <f t="shared" si="95"/>
        <v>0.1456585798007064</v>
      </c>
      <c r="Q73" s="526" t="s">
        <v>1457</v>
      </c>
    </row>
    <row r="74" spans="2:17" s="549" customFormat="1">
      <c r="B74" s="549" t="s">
        <v>1385</v>
      </c>
      <c r="C74" s="1477"/>
      <c r="D74" s="1524" t="s">
        <v>1471</v>
      </c>
      <c r="E74" s="1477">
        <v>2010</v>
      </c>
      <c r="F74" s="1477"/>
      <c r="J74" s="979">
        <f>('Non exhaust'!I13+'Non exhaust'!I25+'Non exhaust'!I37)*M66</f>
        <v>184.77515886469322</v>
      </c>
      <c r="Q74" s="526" t="s">
        <v>1457</v>
      </c>
    </row>
    <row r="75" spans="2:17" s="549" customFormat="1">
      <c r="B75" s="1533" t="str">
        <f>B74</f>
        <v>Buses</v>
      </c>
      <c r="C75" s="1533">
        <f>C74</f>
        <v>0</v>
      </c>
      <c r="D75" s="1533" t="str">
        <f>D74</f>
        <v>ElectricB</v>
      </c>
      <c r="E75" s="1472">
        <v>2015</v>
      </c>
      <c r="F75" s="1522"/>
      <c r="G75" s="979">
        <f>G74</f>
        <v>0</v>
      </c>
      <c r="H75" s="979">
        <f t="shared" ref="H75" si="97">H74</f>
        <v>0</v>
      </c>
      <c r="I75" s="979">
        <f t="shared" ref="I75" si="98">I74</f>
        <v>0</v>
      </c>
      <c r="J75" s="979">
        <f t="shared" ref="J75" si="99">J74</f>
        <v>184.77515886469322</v>
      </c>
      <c r="K75" s="979">
        <f t="shared" ref="K75" si="100">K74</f>
        <v>0</v>
      </c>
      <c r="L75" s="979">
        <f t="shared" ref="L75" si="101">L74</f>
        <v>0</v>
      </c>
      <c r="M75" s="979">
        <f t="shared" ref="M75" si="102">M74</f>
        <v>0</v>
      </c>
      <c r="N75" s="979">
        <f t="shared" ref="N75" si="103">N74</f>
        <v>0</v>
      </c>
      <c r="O75" s="979">
        <f t="shared" ref="O75" si="104">O74</f>
        <v>0</v>
      </c>
      <c r="Q75" s="526"/>
    </row>
    <row r="76" spans="2:17" s="549" customFormat="1">
      <c r="B76" s="549" t="s">
        <v>1385</v>
      </c>
      <c r="C76" s="1477"/>
      <c r="D76" s="1524" t="s">
        <v>1471</v>
      </c>
      <c r="E76" s="1477">
        <v>2020</v>
      </c>
      <c r="F76" s="1477"/>
      <c r="J76" s="979">
        <f>('Non exhaust'!I14+'Non exhaust'!I26+'Non exhaust'!I38)*M68</f>
        <v>184.99469536935541</v>
      </c>
      <c r="Q76" s="526" t="s">
        <v>1457</v>
      </c>
    </row>
    <row r="77" spans="2:17" s="549" customFormat="1">
      <c r="B77" s="549" t="s">
        <v>1385</v>
      </c>
      <c r="C77" s="1477"/>
      <c r="D77" s="1524" t="s">
        <v>1471</v>
      </c>
      <c r="E77" s="1477">
        <v>2035</v>
      </c>
      <c r="F77" s="1477"/>
      <c r="J77" s="979">
        <f>('Non exhaust'!I15+'Non exhaust'!I27+'Non exhaust'!I39)*M69</f>
        <v>184.82536336060386</v>
      </c>
      <c r="Q77" s="526" t="s">
        <v>1457</v>
      </c>
    </row>
    <row r="78" spans="2:17" s="549" customFormat="1">
      <c r="B78" s="549" t="s">
        <v>1385</v>
      </c>
      <c r="C78" s="1477"/>
      <c r="D78" s="1524" t="s">
        <v>1493</v>
      </c>
      <c r="E78" s="1477">
        <v>2010</v>
      </c>
      <c r="F78" s="1477">
        <f>F66/2+F67/2</f>
        <v>325467427.73452204</v>
      </c>
      <c r="G78" s="1477">
        <f t="shared" ref="G78:O78" si="105">G66/2+G67/2</f>
        <v>4.7618444402940867E-4</v>
      </c>
      <c r="H78" s="1477">
        <f t="shared" si="105"/>
        <v>6.3459365863698389</v>
      </c>
      <c r="I78" s="1477">
        <f t="shared" si="105"/>
        <v>5.0248286403863689E-2</v>
      </c>
      <c r="J78" s="1477">
        <f t="shared" si="105"/>
        <v>299.81890927400372</v>
      </c>
      <c r="K78" s="1477">
        <f t="shared" si="105"/>
        <v>0.03</v>
      </c>
      <c r="L78" s="1477">
        <f t="shared" si="105"/>
        <v>238.09222201470433</v>
      </c>
      <c r="M78" s="1477">
        <f t="shared" si="105"/>
        <v>10.166537880027876</v>
      </c>
      <c r="N78" s="1477">
        <f t="shared" si="105"/>
        <v>0.28382988627880357</v>
      </c>
      <c r="O78" s="1477">
        <f t="shared" si="105"/>
        <v>1.1516012897933894</v>
      </c>
      <c r="Q78" s="526" t="s">
        <v>1457</v>
      </c>
    </row>
    <row r="79" spans="2:17" s="549" customFormat="1">
      <c r="B79" s="1533" t="str">
        <f>B78</f>
        <v>Buses</v>
      </c>
      <c r="C79" s="1533">
        <f>C78</f>
        <v>0</v>
      </c>
      <c r="D79" s="1524" t="s">
        <v>1493</v>
      </c>
      <c r="E79" s="1472">
        <v>2012</v>
      </c>
      <c r="F79" s="1477">
        <f t="shared" ref="F79:O79" si="106">F67/2+F68/2</f>
        <v>297086481.00528419</v>
      </c>
      <c r="G79" s="1477">
        <f t="shared" si="106"/>
        <v>4.7071656603361639E-4</v>
      </c>
      <c r="H79" s="1477">
        <f t="shared" si="106"/>
        <v>4.1770901589460809</v>
      </c>
      <c r="I79" s="1477">
        <f t="shared" si="106"/>
        <v>2.9005422258595311E-2</v>
      </c>
      <c r="J79" s="1477">
        <f t="shared" si="106"/>
        <v>258.00696272180903</v>
      </c>
      <c r="K79" s="1477">
        <f t="shared" si="106"/>
        <v>0.03</v>
      </c>
      <c r="L79" s="1477">
        <f t="shared" si="106"/>
        <v>235.35828301680817</v>
      </c>
      <c r="M79" s="1477">
        <f t="shared" si="106"/>
        <v>10.049798684817711</v>
      </c>
      <c r="N79" s="1477">
        <f t="shared" si="106"/>
        <v>0.163674833928664</v>
      </c>
      <c r="O79" s="1477">
        <f t="shared" si="106"/>
        <v>0.71032382043196074</v>
      </c>
      <c r="Q79" s="526"/>
    </row>
    <row r="80" spans="2:17" s="549" customFormat="1">
      <c r="B80" s="549" t="s">
        <v>1385</v>
      </c>
      <c r="C80" s="1477"/>
      <c r="D80" s="1524" t="s">
        <v>1493</v>
      </c>
      <c r="E80" s="1477">
        <v>2020</v>
      </c>
      <c r="F80" s="1477">
        <f t="shared" ref="F80:O80" si="107">F68/2+F69/2</f>
        <v>581219662.3704859</v>
      </c>
      <c r="G80" s="1477">
        <f t="shared" si="107"/>
        <v>4.6394713588873709E-4</v>
      </c>
      <c r="H80" s="1477">
        <f t="shared" si="107"/>
        <v>1.3239727784724629</v>
      </c>
      <c r="I80" s="1477">
        <f t="shared" si="107"/>
        <v>4.617798620698871E-3</v>
      </c>
      <c r="J80" s="1477">
        <f t="shared" si="107"/>
        <v>208.6937191908799</v>
      </c>
      <c r="K80" s="1477">
        <f t="shared" si="107"/>
        <v>0.03</v>
      </c>
      <c r="L80" s="1477">
        <f t="shared" si="107"/>
        <v>231.97356794436854</v>
      </c>
      <c r="M80" s="1477">
        <f t="shared" si="107"/>
        <v>9.9052713512245383</v>
      </c>
      <c r="N80" s="1477">
        <f t="shared" si="107"/>
        <v>2.5769625877894883E-2</v>
      </c>
      <c r="O80" s="1477">
        <f t="shared" si="107"/>
        <v>0.20735246543561925</v>
      </c>
      <c r="Q80" s="526" t="s">
        <v>1457</v>
      </c>
    </row>
    <row r="81" spans="2:17" s="549" customFormat="1">
      <c r="B81" s="549" t="s">
        <v>1385</v>
      </c>
      <c r="C81" s="1477"/>
      <c r="D81" s="1524" t="s">
        <v>1493</v>
      </c>
      <c r="E81" s="1477">
        <v>2035</v>
      </c>
      <c r="F81" s="1477">
        <f t="shared" ref="F81:O81" si="108">F69/2+F74/2</f>
        <v>284133181.36520171</v>
      </c>
      <c r="G81" s="1477">
        <f t="shared" si="108"/>
        <v>2.3132279186982506E-4</v>
      </c>
      <c r="H81" s="1477">
        <f t="shared" si="108"/>
        <v>0.31985091271130101</v>
      </c>
      <c r="I81" s="1477">
        <f t="shared" si="108"/>
        <v>7.3651956403540382E-4</v>
      </c>
      <c r="J81" s="1477">
        <f t="shared" si="108"/>
        <v>192.98379053841933</v>
      </c>
      <c r="K81" s="1477">
        <f t="shared" si="108"/>
        <v>1.5000000000000001E-2</v>
      </c>
      <c r="L81" s="1477">
        <f t="shared" si="108"/>
        <v>115.66139593491253</v>
      </c>
      <c r="M81" s="1477">
        <f t="shared" si="108"/>
        <v>4.9387416064207654</v>
      </c>
      <c r="N81" s="1477">
        <f t="shared" si="108"/>
        <v>4.009735088632658E-3</v>
      </c>
      <c r="O81" s="1477">
        <f t="shared" si="108"/>
        <v>7.28292899003532E-2</v>
      </c>
      <c r="Q81" s="526" t="s">
        <v>1457</v>
      </c>
    </row>
    <row r="82" spans="2:17">
      <c r="B82" s="526" t="s">
        <v>1455</v>
      </c>
      <c r="C82" s="1472">
        <v>3</v>
      </c>
      <c r="D82" s="1533" t="s">
        <v>1469</v>
      </c>
      <c r="E82" s="1472">
        <v>2010</v>
      </c>
      <c r="F82" s="1522" t="s">
        <v>1458</v>
      </c>
      <c r="G82" s="979">
        <f t="shared" ref="G82:O82" si="109">AVERAGE(G51,G57)</f>
        <v>5.1655578490392379E-4</v>
      </c>
      <c r="H82" s="979">
        <f t="shared" si="109"/>
        <v>5.7708683434936319</v>
      </c>
      <c r="I82" s="979">
        <f t="shared" si="109"/>
        <v>3.8833991389945893E-2</v>
      </c>
      <c r="J82" s="979">
        <f t="shared" si="109"/>
        <v>267.20910621155974</v>
      </c>
      <c r="K82" s="979">
        <f t="shared" si="109"/>
        <v>0.03</v>
      </c>
      <c r="L82" s="979">
        <f t="shared" si="109"/>
        <v>258.27789245196192</v>
      </c>
      <c r="M82" s="979">
        <f t="shared" si="109"/>
        <v>11.028466007698775</v>
      </c>
      <c r="N82" s="979">
        <f t="shared" si="109"/>
        <v>0.18148865234228539</v>
      </c>
      <c r="O82" s="979">
        <f t="shared" si="109"/>
        <v>0.94391744805940603</v>
      </c>
      <c r="Q82" s="526" t="s">
        <v>1456</v>
      </c>
    </row>
    <row r="83" spans="2:17" s="549" customFormat="1">
      <c r="B83" s="1533" t="str">
        <f>B82</f>
        <v>Trucks Euro, estimate</v>
      </c>
      <c r="C83" s="1533">
        <f>C82</f>
        <v>3</v>
      </c>
      <c r="D83" s="1533" t="str">
        <f>D82</f>
        <v>DieselT</v>
      </c>
      <c r="E83" s="1472">
        <v>2012</v>
      </c>
      <c r="F83" s="1522"/>
      <c r="G83" s="979">
        <f>G82</f>
        <v>5.1655578490392379E-4</v>
      </c>
      <c r="H83" s="979">
        <f t="shared" ref="H83:O83" si="110">H82</f>
        <v>5.7708683434936319</v>
      </c>
      <c r="I83" s="979">
        <f t="shared" si="110"/>
        <v>3.8833991389945893E-2</v>
      </c>
      <c r="J83" s="979">
        <f t="shared" si="110"/>
        <v>267.20910621155974</v>
      </c>
      <c r="K83" s="979">
        <f t="shared" si="110"/>
        <v>0.03</v>
      </c>
      <c r="L83" s="979">
        <f t="shared" si="110"/>
        <v>258.27789245196192</v>
      </c>
      <c r="M83" s="979">
        <f t="shared" si="110"/>
        <v>11.028466007698775</v>
      </c>
      <c r="N83" s="979">
        <f t="shared" si="110"/>
        <v>0.18148865234228539</v>
      </c>
      <c r="O83" s="979">
        <f t="shared" si="110"/>
        <v>0.94391744805940603</v>
      </c>
      <c r="Q83" s="526"/>
    </row>
    <row r="84" spans="2:17">
      <c r="B84" s="526" t="s">
        <v>1455</v>
      </c>
      <c r="C84" s="1464">
        <v>3</v>
      </c>
      <c r="D84" s="1533" t="s">
        <v>1469</v>
      </c>
      <c r="E84" s="1464">
        <v>2020</v>
      </c>
      <c r="F84" s="1522" t="s">
        <v>1458</v>
      </c>
      <c r="G84" s="979">
        <f t="shared" ref="G84:O84" si="111">AVERAGE(G52,G58)</f>
        <v>4.9553301870861196E-4</v>
      </c>
      <c r="H84" s="979">
        <f t="shared" si="111"/>
        <v>1.7917753944774433</v>
      </c>
      <c r="I84" s="979">
        <f t="shared" si="111"/>
        <v>4.2576585260129772E-3</v>
      </c>
      <c r="J84" s="979">
        <f t="shared" si="111"/>
        <v>196.0086366646712</v>
      </c>
      <c r="K84" s="979">
        <f t="shared" si="111"/>
        <v>0.03</v>
      </c>
      <c r="L84" s="979">
        <f t="shared" si="111"/>
        <v>247.76650935430601</v>
      </c>
      <c r="M84" s="979">
        <f t="shared" si="111"/>
        <v>10.579629949428867</v>
      </c>
      <c r="N84" s="979">
        <f t="shared" si="111"/>
        <v>1.5930649910873281E-2</v>
      </c>
      <c r="O84" s="979">
        <f t="shared" si="111"/>
        <v>0.14483603446038934</v>
      </c>
      <c r="Q84" s="526" t="s">
        <v>1456</v>
      </c>
    </row>
    <row r="85" spans="2:17">
      <c r="B85" s="526" t="s">
        <v>1455</v>
      </c>
      <c r="C85" s="1469">
        <v>3</v>
      </c>
      <c r="D85" s="1533" t="s">
        <v>1469</v>
      </c>
      <c r="E85" s="1469">
        <v>2030</v>
      </c>
      <c r="F85" s="1522" t="s">
        <v>1458</v>
      </c>
      <c r="G85" s="979">
        <f t="shared" ref="G85:O85" si="112">G53</f>
        <v>5.0151485967231402E-4</v>
      </c>
      <c r="H85" s="979">
        <f t="shared" si="112"/>
        <v>0.55110436847006916</v>
      </c>
      <c r="I85" s="979">
        <f t="shared" si="112"/>
        <v>1.4829754890210707E-3</v>
      </c>
      <c r="J85" s="979">
        <f t="shared" si="112"/>
        <v>189.75493989940995</v>
      </c>
      <c r="K85" s="979">
        <f t="shared" si="112"/>
        <v>0.03</v>
      </c>
      <c r="L85" s="979">
        <f t="shared" si="112"/>
        <v>250.757429836157</v>
      </c>
      <c r="M85" s="979">
        <f t="shared" si="112"/>
        <v>10.707342254003905</v>
      </c>
      <c r="N85" s="979">
        <f t="shared" si="112"/>
        <v>5.1092690613378476E-3</v>
      </c>
      <c r="O85" s="979">
        <f t="shared" si="112"/>
        <v>0.12179947160011732</v>
      </c>
      <c r="Q85" s="526" t="s">
        <v>1456</v>
      </c>
    </row>
    <row r="86" spans="2:17" s="549" customFormat="1">
      <c r="B86" s="526" t="s">
        <v>1455</v>
      </c>
      <c r="C86" s="1469">
        <v>3</v>
      </c>
      <c r="D86" s="1533" t="s">
        <v>1469</v>
      </c>
      <c r="E86" s="1469">
        <v>2035</v>
      </c>
      <c r="F86" s="1522" t="s">
        <v>1458</v>
      </c>
      <c r="G86" s="979">
        <f t="shared" ref="G86:O86" si="113">G85</f>
        <v>5.0151485967231402E-4</v>
      </c>
      <c r="H86" s="979">
        <f t="shared" si="113"/>
        <v>0.55110436847006916</v>
      </c>
      <c r="I86" s="979">
        <f t="shared" si="113"/>
        <v>1.4829754890210707E-3</v>
      </c>
      <c r="J86" s="979">
        <f t="shared" si="113"/>
        <v>189.75493989940995</v>
      </c>
      <c r="K86" s="979">
        <f t="shared" si="113"/>
        <v>0.03</v>
      </c>
      <c r="L86" s="979">
        <f t="shared" si="113"/>
        <v>250.757429836157</v>
      </c>
      <c r="M86" s="979">
        <f t="shared" si="113"/>
        <v>10.707342254003905</v>
      </c>
      <c r="N86" s="979">
        <f t="shared" si="113"/>
        <v>5.1092690613378476E-3</v>
      </c>
      <c r="O86" s="979">
        <f t="shared" si="113"/>
        <v>0.12179947160011732</v>
      </c>
      <c r="Q86" s="526" t="s">
        <v>1456</v>
      </c>
    </row>
    <row r="87" spans="2:17" s="549" customFormat="1">
      <c r="B87" s="526" t="s">
        <v>1455</v>
      </c>
      <c r="C87" s="1472">
        <v>3</v>
      </c>
      <c r="D87" s="1533" t="s">
        <v>1488</v>
      </c>
      <c r="E87" s="1472">
        <v>2010</v>
      </c>
      <c r="F87" s="1522" t="s">
        <v>1458</v>
      </c>
      <c r="G87" s="979"/>
      <c r="H87" s="979">
        <f t="shared" ref="H87:O87" si="114">H82</f>
        <v>5.7708683434936319</v>
      </c>
      <c r="I87" s="979">
        <f t="shared" si="114"/>
        <v>3.8833991389945893E-2</v>
      </c>
      <c r="J87" s="979">
        <f>J92</f>
        <v>177.11775269803164</v>
      </c>
      <c r="K87" s="979">
        <f t="shared" si="114"/>
        <v>0.03</v>
      </c>
      <c r="L87" s="979">
        <f t="shared" si="114"/>
        <v>258.27789245196192</v>
      </c>
      <c r="M87" s="979">
        <f t="shared" si="114"/>
        <v>11.028466007698775</v>
      </c>
      <c r="N87" s="979">
        <f t="shared" si="114"/>
        <v>0.18148865234228539</v>
      </c>
      <c r="O87" s="979">
        <f t="shared" si="114"/>
        <v>0.94391744805940603</v>
      </c>
      <c r="Q87" s="526" t="s">
        <v>1456</v>
      </c>
    </row>
    <row r="88" spans="2:17" s="549" customFormat="1">
      <c r="B88" s="1533" t="str">
        <f>B87</f>
        <v>Trucks Euro, estimate</v>
      </c>
      <c r="C88" s="1533">
        <f>C87</f>
        <v>3</v>
      </c>
      <c r="D88" s="1533" t="s">
        <v>1488</v>
      </c>
      <c r="E88" s="1472">
        <v>2012</v>
      </c>
      <c r="F88" s="1522"/>
      <c r="G88" s="979"/>
      <c r="H88" s="979">
        <f t="shared" ref="H88:O88" si="115">H83</f>
        <v>5.7708683434936319</v>
      </c>
      <c r="I88" s="979">
        <f t="shared" si="115"/>
        <v>3.8833991389945893E-2</v>
      </c>
      <c r="J88" s="979">
        <f>J93</f>
        <v>177.11775269803164</v>
      </c>
      <c r="K88" s="979">
        <f t="shared" si="115"/>
        <v>0.03</v>
      </c>
      <c r="L88" s="979">
        <f t="shared" si="115"/>
        <v>258.27789245196192</v>
      </c>
      <c r="M88" s="979">
        <f t="shared" si="115"/>
        <v>11.028466007698775</v>
      </c>
      <c r="N88" s="979">
        <f t="shared" si="115"/>
        <v>0.18148865234228539</v>
      </c>
      <c r="O88" s="979">
        <f t="shared" si="115"/>
        <v>0.94391744805940603</v>
      </c>
      <c r="Q88" s="526"/>
    </row>
    <row r="89" spans="2:17" s="549" customFormat="1">
      <c r="B89" s="526" t="s">
        <v>1455</v>
      </c>
      <c r="C89" s="1464">
        <v>3</v>
      </c>
      <c r="D89" s="1533" t="s">
        <v>1488</v>
      </c>
      <c r="E89" s="1464">
        <v>2020</v>
      </c>
      <c r="F89" s="1522" t="s">
        <v>1458</v>
      </c>
      <c r="G89" s="979"/>
      <c r="H89" s="979">
        <f t="shared" ref="H89:O89" si="116">H84</f>
        <v>1.7917753944774433</v>
      </c>
      <c r="I89" s="979">
        <f t="shared" si="116"/>
        <v>4.2576585260129772E-3</v>
      </c>
      <c r="J89" s="979">
        <f>J94</f>
        <v>174.0383943909471</v>
      </c>
      <c r="K89" s="979">
        <f t="shared" si="116"/>
        <v>0.03</v>
      </c>
      <c r="L89" s="979">
        <f t="shared" si="116"/>
        <v>247.76650935430601</v>
      </c>
      <c r="M89" s="979">
        <f t="shared" si="116"/>
        <v>10.579629949428867</v>
      </c>
      <c r="N89" s="979">
        <f t="shared" si="116"/>
        <v>1.5930649910873281E-2</v>
      </c>
      <c r="O89" s="979">
        <f t="shared" si="116"/>
        <v>0.14483603446038934</v>
      </c>
      <c r="Q89" s="526" t="s">
        <v>1456</v>
      </c>
    </row>
    <row r="90" spans="2:17" s="549" customFormat="1">
      <c r="B90" s="526" t="s">
        <v>1455</v>
      </c>
      <c r="C90" s="1469">
        <v>3</v>
      </c>
      <c r="D90" s="1533" t="s">
        <v>1488</v>
      </c>
      <c r="E90" s="1469">
        <v>2030</v>
      </c>
      <c r="F90" s="1522" t="s">
        <v>1458</v>
      </c>
      <c r="G90" s="979"/>
      <c r="H90" s="979">
        <f t="shared" ref="H90:O90" si="117">H85</f>
        <v>0.55110436847006916</v>
      </c>
      <c r="I90" s="979">
        <f t="shared" si="117"/>
        <v>1.4829754890210707E-3</v>
      </c>
      <c r="J90" s="979">
        <f>J95</f>
        <v>176.20517963245305</v>
      </c>
      <c r="K90" s="979">
        <f t="shared" si="117"/>
        <v>0.03</v>
      </c>
      <c r="L90" s="979">
        <f t="shared" si="117"/>
        <v>250.757429836157</v>
      </c>
      <c r="M90" s="979">
        <f t="shared" si="117"/>
        <v>10.707342254003905</v>
      </c>
      <c r="N90" s="979">
        <f t="shared" si="117"/>
        <v>5.1092690613378476E-3</v>
      </c>
      <c r="O90" s="979">
        <f t="shared" si="117"/>
        <v>0.12179947160011732</v>
      </c>
      <c r="Q90" s="526" t="s">
        <v>1456</v>
      </c>
    </row>
    <row r="91" spans="2:17" s="549" customFormat="1">
      <c r="B91" s="526" t="s">
        <v>1455</v>
      </c>
      <c r="C91" s="1469">
        <v>3</v>
      </c>
      <c r="D91" s="1533" t="s">
        <v>1488</v>
      </c>
      <c r="E91" s="1469">
        <v>2035</v>
      </c>
      <c r="F91" s="1522" t="s">
        <v>1458</v>
      </c>
      <c r="G91" s="979"/>
      <c r="H91" s="979">
        <f t="shared" ref="H91:O91" si="118">H86</f>
        <v>0.55110436847006916</v>
      </c>
      <c r="I91" s="979">
        <f t="shared" si="118"/>
        <v>1.4829754890210707E-3</v>
      </c>
      <c r="J91" s="979">
        <f>J96</f>
        <v>176.20517963245305</v>
      </c>
      <c r="K91" s="979">
        <f t="shared" si="118"/>
        <v>0.03</v>
      </c>
      <c r="L91" s="979">
        <f t="shared" si="118"/>
        <v>250.757429836157</v>
      </c>
      <c r="M91" s="979">
        <f t="shared" si="118"/>
        <v>10.707342254003905</v>
      </c>
      <c r="N91" s="979">
        <f t="shared" si="118"/>
        <v>5.1092690613378476E-3</v>
      </c>
      <c r="O91" s="979">
        <f t="shared" si="118"/>
        <v>0.12179947160011732</v>
      </c>
      <c r="Q91" s="526" t="s">
        <v>1456</v>
      </c>
    </row>
    <row r="92" spans="2:17">
      <c r="B92" s="526" t="s">
        <v>1455</v>
      </c>
      <c r="C92" s="1472">
        <v>3</v>
      </c>
      <c r="D92" s="1524" t="s">
        <v>1472</v>
      </c>
      <c r="E92" s="1472">
        <v>2010</v>
      </c>
      <c r="F92" s="1522"/>
      <c r="G92" s="979"/>
      <c r="H92" s="979"/>
      <c r="I92" s="979"/>
      <c r="J92" s="979">
        <f>('Non exhaust'!I10+'Non exhaust'!I22+'Non exhaust'!I34)*M82</f>
        <v>177.11775269803164</v>
      </c>
      <c r="K92" s="979"/>
      <c r="L92" s="979"/>
      <c r="M92" s="979"/>
      <c r="N92" s="979"/>
      <c r="O92" s="979"/>
    </row>
    <row r="93" spans="2:17" s="549" customFormat="1">
      <c r="B93" s="1533" t="str">
        <f>B92</f>
        <v>Trucks Euro, estimate</v>
      </c>
      <c r="C93" s="1533">
        <f>C92</f>
        <v>3</v>
      </c>
      <c r="D93" s="1533" t="str">
        <f>D92</f>
        <v>ElectricT</v>
      </c>
      <c r="E93" s="1472">
        <v>2012</v>
      </c>
      <c r="F93" s="1522"/>
      <c r="G93" s="979"/>
      <c r="H93" s="979"/>
      <c r="I93" s="979"/>
      <c r="J93" s="979">
        <f>J92</f>
        <v>177.11775269803164</v>
      </c>
      <c r="K93" s="979"/>
      <c r="L93" s="979"/>
      <c r="M93" s="979"/>
      <c r="N93" s="979"/>
      <c r="O93" s="979"/>
      <c r="Q93" s="526"/>
    </row>
    <row r="94" spans="2:17">
      <c r="B94" s="526" t="s">
        <v>1455</v>
      </c>
      <c r="C94" s="1464">
        <v>3</v>
      </c>
      <c r="D94" s="1524" t="s">
        <v>1472</v>
      </c>
      <c r="E94" s="1464">
        <v>2020</v>
      </c>
      <c r="F94" s="1522"/>
      <c r="G94" s="979"/>
      <c r="H94" s="979"/>
      <c r="I94" s="979"/>
      <c r="J94" s="979">
        <f>('Non exhaust'!I11+'Non exhaust'!I23+'Non exhaust'!I35)*M84</f>
        <v>174.0383943909471</v>
      </c>
      <c r="K94" s="979"/>
      <c r="L94" s="979"/>
      <c r="M94" s="979"/>
      <c r="N94" s="979"/>
      <c r="O94" s="979"/>
    </row>
    <row r="95" spans="2:17">
      <c r="B95" s="526" t="s">
        <v>1455</v>
      </c>
      <c r="C95" s="1469">
        <v>3</v>
      </c>
      <c r="D95" s="1524" t="s">
        <v>1472</v>
      </c>
      <c r="E95" s="1469">
        <v>2030</v>
      </c>
      <c r="F95" s="1522"/>
      <c r="G95" s="979"/>
      <c r="H95" s="979"/>
      <c r="I95" s="979"/>
      <c r="J95" s="979">
        <f>('Non exhaust'!I12+'Non exhaust'!I24+'Non exhaust'!I36)*M85</f>
        <v>176.20517963245305</v>
      </c>
      <c r="K95" s="979"/>
      <c r="L95" s="979"/>
      <c r="M95" s="979"/>
      <c r="N95" s="979"/>
      <c r="O95" s="979"/>
    </row>
    <row r="96" spans="2:17" s="549" customFormat="1">
      <c r="B96" s="526" t="s">
        <v>1455</v>
      </c>
      <c r="C96" s="1469">
        <v>3</v>
      </c>
      <c r="D96" s="1533" t="str">
        <f>D95</f>
        <v>ElectricT</v>
      </c>
      <c r="E96" s="1469">
        <v>2035</v>
      </c>
      <c r="F96" s="1522" t="s">
        <v>1458</v>
      </c>
      <c r="G96" s="979"/>
      <c r="H96" s="979"/>
      <c r="I96" s="979"/>
      <c r="J96" s="979">
        <f>J95</f>
        <v>176.20517963245305</v>
      </c>
      <c r="K96" s="979"/>
      <c r="L96" s="979"/>
      <c r="M96" s="979"/>
      <c r="N96" s="979"/>
      <c r="O96" s="979"/>
      <c r="Q96" s="526" t="s">
        <v>1456</v>
      </c>
    </row>
    <row r="97" spans="2:17" s="549" customFormat="1">
      <c r="B97" s="526" t="s">
        <v>1455</v>
      </c>
      <c r="C97" s="1472">
        <v>3</v>
      </c>
      <c r="D97" s="1524" t="s">
        <v>1489</v>
      </c>
      <c r="E97" s="1472">
        <v>2010</v>
      </c>
      <c r="F97" s="1522"/>
      <c r="G97" s="979">
        <f t="shared" ref="G97:O97" si="119">(G82+G87)/2</f>
        <v>2.5827789245196189E-4</v>
      </c>
      <c r="H97" s="979">
        <f t="shared" si="119"/>
        <v>5.7708683434936319</v>
      </c>
      <c r="I97" s="979">
        <f t="shared" si="119"/>
        <v>3.8833991389945893E-2</v>
      </c>
      <c r="J97" s="979">
        <f t="shared" si="119"/>
        <v>222.16342945479568</v>
      </c>
      <c r="K97" s="979">
        <f t="shared" si="119"/>
        <v>0.03</v>
      </c>
      <c r="L97" s="979">
        <f t="shared" si="119"/>
        <v>258.27789245196192</v>
      </c>
      <c r="M97" s="979">
        <f t="shared" si="119"/>
        <v>11.028466007698775</v>
      </c>
      <c r="N97" s="979">
        <f t="shared" si="119"/>
        <v>0.18148865234228539</v>
      </c>
      <c r="O97" s="979">
        <f t="shared" si="119"/>
        <v>0.94391744805940603</v>
      </c>
    </row>
    <row r="98" spans="2:17" s="549" customFormat="1">
      <c r="B98" s="1533" t="str">
        <f>B97</f>
        <v>Trucks Euro, estimate</v>
      </c>
      <c r="C98" s="1533">
        <f>C97</f>
        <v>3</v>
      </c>
      <c r="D98" s="1524" t="s">
        <v>1489</v>
      </c>
      <c r="E98" s="1472">
        <v>2012</v>
      </c>
      <c r="F98" s="1522"/>
      <c r="G98" s="979">
        <f t="shared" ref="G98:O98" si="120">(G83+G88)/2</f>
        <v>2.5827789245196189E-4</v>
      </c>
      <c r="H98" s="979">
        <f t="shared" si="120"/>
        <v>5.7708683434936319</v>
      </c>
      <c r="I98" s="979">
        <f t="shared" si="120"/>
        <v>3.8833991389945893E-2</v>
      </c>
      <c r="J98" s="979">
        <f t="shared" si="120"/>
        <v>222.16342945479568</v>
      </c>
      <c r="K98" s="979">
        <f t="shared" si="120"/>
        <v>0.03</v>
      </c>
      <c r="L98" s="979">
        <f t="shared" si="120"/>
        <v>258.27789245196192</v>
      </c>
      <c r="M98" s="979">
        <f t="shared" si="120"/>
        <v>11.028466007698775</v>
      </c>
      <c r="N98" s="979">
        <f t="shared" si="120"/>
        <v>0.18148865234228539</v>
      </c>
      <c r="O98" s="979">
        <f t="shared" si="120"/>
        <v>0.94391744805940603</v>
      </c>
      <c r="Q98" s="526"/>
    </row>
    <row r="99" spans="2:17" s="549" customFormat="1">
      <c r="B99" s="526" t="s">
        <v>1455</v>
      </c>
      <c r="C99" s="1464">
        <v>3</v>
      </c>
      <c r="D99" s="1524" t="s">
        <v>1489</v>
      </c>
      <c r="E99" s="1464">
        <v>2020</v>
      </c>
      <c r="F99" s="1522"/>
      <c r="G99" s="979">
        <f t="shared" ref="G99:O99" si="121">(G84+G89)/2</f>
        <v>2.4776650935430598E-4</v>
      </c>
      <c r="H99" s="979">
        <f t="shared" si="121"/>
        <v>1.7917753944774433</v>
      </c>
      <c r="I99" s="979">
        <f t="shared" si="121"/>
        <v>4.2576585260129772E-3</v>
      </c>
      <c r="J99" s="979">
        <f t="shared" si="121"/>
        <v>185.02351552780914</v>
      </c>
      <c r="K99" s="979">
        <f t="shared" si="121"/>
        <v>0.03</v>
      </c>
      <c r="L99" s="979">
        <f t="shared" si="121"/>
        <v>247.76650935430601</v>
      </c>
      <c r="M99" s="979">
        <f t="shared" si="121"/>
        <v>10.579629949428867</v>
      </c>
      <c r="N99" s="979">
        <f t="shared" si="121"/>
        <v>1.5930649910873281E-2</v>
      </c>
      <c r="O99" s="979">
        <f t="shared" si="121"/>
        <v>0.14483603446038934</v>
      </c>
    </row>
    <row r="100" spans="2:17" s="549" customFormat="1">
      <c r="B100" s="526" t="s">
        <v>1455</v>
      </c>
      <c r="C100" s="1469">
        <v>3</v>
      </c>
      <c r="D100" s="1524" t="s">
        <v>1489</v>
      </c>
      <c r="E100" s="1469">
        <v>2030</v>
      </c>
      <c r="F100" s="1522"/>
      <c r="G100" s="979">
        <f t="shared" ref="G100:O100" si="122">(G85+G90)/2</f>
        <v>2.5075742983615701E-4</v>
      </c>
      <c r="H100" s="979">
        <f t="shared" si="122"/>
        <v>0.55110436847006916</v>
      </c>
      <c r="I100" s="979">
        <f t="shared" si="122"/>
        <v>1.4829754890210707E-3</v>
      </c>
      <c r="J100" s="979">
        <f t="shared" si="122"/>
        <v>182.98005976593151</v>
      </c>
      <c r="K100" s="979">
        <f t="shared" si="122"/>
        <v>0.03</v>
      </c>
      <c r="L100" s="979">
        <f t="shared" si="122"/>
        <v>250.757429836157</v>
      </c>
      <c r="M100" s="979">
        <f t="shared" si="122"/>
        <v>10.707342254003905</v>
      </c>
      <c r="N100" s="979">
        <f t="shared" si="122"/>
        <v>5.1092690613378476E-3</v>
      </c>
      <c r="O100" s="979">
        <f t="shared" si="122"/>
        <v>0.12179947160011732</v>
      </c>
    </row>
    <row r="101" spans="2:17" s="549" customFormat="1">
      <c r="B101" s="526" t="s">
        <v>1455</v>
      </c>
      <c r="C101" s="1469">
        <v>3</v>
      </c>
      <c r="D101" s="1524" t="s">
        <v>1489</v>
      </c>
      <c r="E101" s="1469">
        <v>2035</v>
      </c>
      <c r="F101" s="1522" t="s">
        <v>1458</v>
      </c>
      <c r="G101" s="979">
        <f t="shared" ref="G101:O101" si="123">(G86+G91)/2</f>
        <v>2.5075742983615701E-4</v>
      </c>
      <c r="H101" s="979">
        <f t="shared" si="123"/>
        <v>0.55110436847006916</v>
      </c>
      <c r="I101" s="979">
        <f t="shared" si="123"/>
        <v>1.4829754890210707E-3</v>
      </c>
      <c r="J101" s="979">
        <f t="shared" si="123"/>
        <v>182.98005976593151</v>
      </c>
      <c r="K101" s="979">
        <f t="shared" si="123"/>
        <v>0.03</v>
      </c>
      <c r="L101" s="979">
        <f t="shared" si="123"/>
        <v>250.757429836157</v>
      </c>
      <c r="M101" s="979">
        <f t="shared" si="123"/>
        <v>10.707342254003905</v>
      </c>
      <c r="N101" s="979">
        <f t="shared" si="123"/>
        <v>5.1092690613378476E-3</v>
      </c>
      <c r="O101" s="979">
        <f t="shared" si="123"/>
        <v>0.12179947160011732</v>
      </c>
      <c r="Q101" s="526" t="s">
        <v>1456</v>
      </c>
    </row>
    <row r="102" spans="2:17">
      <c r="B102" s="1500" t="s">
        <v>1408</v>
      </c>
      <c r="C102" s="1500" t="s">
        <v>1409</v>
      </c>
      <c r="E102" s="1500" t="s">
        <v>28</v>
      </c>
      <c r="F102" s="1500" t="s">
        <v>1410</v>
      </c>
      <c r="G102" s="1525" t="s">
        <v>173</v>
      </c>
      <c r="H102" s="1525" t="s">
        <v>173</v>
      </c>
      <c r="I102" s="1525" t="s">
        <v>173</v>
      </c>
      <c r="J102" s="1525" t="s">
        <v>173</v>
      </c>
      <c r="K102" s="1525" t="s">
        <v>173</v>
      </c>
      <c r="L102" s="1500"/>
      <c r="M102" s="1500"/>
      <c r="N102" s="1525" t="s">
        <v>173</v>
      </c>
      <c r="O102" s="1525" t="s">
        <v>173</v>
      </c>
    </row>
    <row r="103" spans="2:17">
      <c r="B103" s="1501" t="s">
        <v>1419</v>
      </c>
      <c r="C103" s="1501" t="s">
        <v>1420</v>
      </c>
      <c r="D103" s="1534" t="s">
        <v>1475</v>
      </c>
      <c r="E103" s="1502">
        <v>2010</v>
      </c>
      <c r="F103" s="1503">
        <v>881303.08623213659</v>
      </c>
      <c r="G103">
        <f>Other!F4</f>
        <v>488.99755501222495</v>
      </c>
      <c r="H103" s="549">
        <f>Other!G4</f>
        <v>1544.9939841353532</v>
      </c>
      <c r="I103">
        <f>Other!I4</f>
        <v>1.9312424801691914</v>
      </c>
      <c r="J103">
        <f>Other!M4</f>
        <v>43.323165542578003</v>
      </c>
      <c r="K103">
        <f>Other!L4</f>
        <v>4.8899755501222497</v>
      </c>
      <c r="N103">
        <f>Other!H4</f>
        <v>62.443506858803858</v>
      </c>
      <c r="O103">
        <f>Other!J4</f>
        <v>205.99919788471371</v>
      </c>
    </row>
    <row r="104" spans="2:17" s="549" customFormat="1">
      <c r="B104" s="1535" t="str">
        <f>B103</f>
        <v>Ferries</v>
      </c>
      <c r="C104" s="1535"/>
      <c r="D104" s="501" t="str">
        <f>D103</f>
        <v>HFOF</v>
      </c>
      <c r="E104" s="1529">
        <v>2012</v>
      </c>
      <c r="F104" s="1536">
        <f>F103</f>
        <v>881303.08623213659</v>
      </c>
      <c r="G104" s="1536">
        <f t="shared" ref="G104" si="124">G103</f>
        <v>488.99755501222495</v>
      </c>
      <c r="H104" s="1536">
        <f t="shared" ref="H104" si="125">H103</f>
        <v>1544.9939841353532</v>
      </c>
      <c r="I104" s="1536">
        <f t="shared" ref="I104" si="126">I103</f>
        <v>1.9312424801691914</v>
      </c>
      <c r="J104" s="1536">
        <f t="shared" ref="J104" si="127">J103</f>
        <v>43.323165542578003</v>
      </c>
      <c r="K104" s="1536">
        <f t="shared" ref="K104" si="128">K103</f>
        <v>4.8899755501222497</v>
      </c>
      <c r="L104" s="1536">
        <f t="shared" ref="L104" si="129">L103</f>
        <v>0</v>
      </c>
      <c r="M104" s="1536">
        <f t="shared" ref="M104" si="130">M103</f>
        <v>0</v>
      </c>
      <c r="N104" s="1536">
        <f t="shared" ref="N104" si="131">N103</f>
        <v>62.443506858803858</v>
      </c>
      <c r="O104" s="1536">
        <f t="shared" ref="O104" si="132">O103</f>
        <v>205.99919788471371</v>
      </c>
      <c r="Q104" s="526"/>
    </row>
    <row r="105" spans="2:17">
      <c r="B105" s="1501" t="s">
        <v>1419</v>
      </c>
      <c r="C105" s="1501" t="s">
        <v>1420</v>
      </c>
      <c r="D105" s="1534" t="s">
        <v>1475</v>
      </c>
      <c r="E105" s="1502">
        <v>2020</v>
      </c>
      <c r="F105" s="1503">
        <v>881303.08623213659</v>
      </c>
      <c r="G105" s="549">
        <f>Other!F5</f>
        <v>48.899755501222501</v>
      </c>
      <c r="H105" s="549">
        <f>Other!G5</f>
        <v>1544.9939841353532</v>
      </c>
      <c r="I105" s="549">
        <f>Other!I5</f>
        <v>1.9312424801691914</v>
      </c>
      <c r="J105" s="549">
        <f>Other!M5</f>
        <v>22.157753777933532</v>
      </c>
      <c r="K105" s="549">
        <f>Other!L5</f>
        <v>4.8899755501222497</v>
      </c>
      <c r="L105" s="549"/>
      <c r="M105" s="549"/>
      <c r="N105" s="549">
        <f>Other!H5</f>
        <v>62.443506858803858</v>
      </c>
      <c r="O105" s="549">
        <f>Other!J5</f>
        <v>205.99919788471371</v>
      </c>
    </row>
    <row r="106" spans="2:17">
      <c r="B106" s="1501" t="s">
        <v>1419</v>
      </c>
      <c r="C106" s="1501" t="s">
        <v>1420</v>
      </c>
      <c r="D106" s="1534" t="s">
        <v>1475</v>
      </c>
      <c r="E106" s="1502">
        <v>2030</v>
      </c>
      <c r="F106" s="1503">
        <v>881303.08623213659</v>
      </c>
      <c r="G106" s="549">
        <f>Other!F6</f>
        <v>48.899755501222501</v>
      </c>
      <c r="H106" s="549">
        <f>Other!G6</f>
        <v>1544.9939841353532</v>
      </c>
      <c r="I106" s="549">
        <f>Other!I6</f>
        <v>1.9312424801691914</v>
      </c>
      <c r="J106" s="549">
        <f>Other!M6</f>
        <v>22.157753777933532</v>
      </c>
      <c r="K106" s="549">
        <f>Other!L6</f>
        <v>4.8899755501222497</v>
      </c>
      <c r="L106" s="549"/>
      <c r="M106" s="549"/>
      <c r="N106" s="549">
        <f>Other!H6</f>
        <v>62.443506858803858</v>
      </c>
      <c r="O106" s="549">
        <f>Other!J6</f>
        <v>205.99919788471371</v>
      </c>
    </row>
    <row r="107" spans="2:17" s="549" customFormat="1">
      <c r="B107" s="1535" t="str">
        <f>B106</f>
        <v>Ferries</v>
      </c>
      <c r="C107" s="1535"/>
      <c r="D107" s="501" t="str">
        <f>D106</f>
        <v>HFOF</v>
      </c>
      <c r="E107" s="1529">
        <v>2035</v>
      </c>
      <c r="F107" s="1536">
        <f>F106</f>
        <v>881303.08623213659</v>
      </c>
      <c r="G107" s="1536">
        <f t="shared" ref="G107" si="133">G106</f>
        <v>48.899755501222501</v>
      </c>
      <c r="H107" s="1536">
        <f t="shared" ref="H107" si="134">H106</f>
        <v>1544.9939841353532</v>
      </c>
      <c r="I107" s="1536">
        <f t="shared" ref="I107" si="135">I106</f>
        <v>1.9312424801691914</v>
      </c>
      <c r="J107" s="1536">
        <f t="shared" ref="J107" si="136">J106</f>
        <v>22.157753777933532</v>
      </c>
      <c r="K107" s="1536">
        <f t="shared" ref="K107" si="137">K106</f>
        <v>4.8899755501222497</v>
      </c>
      <c r="L107" s="1536">
        <f t="shared" ref="L107" si="138">L106</f>
        <v>0</v>
      </c>
      <c r="M107" s="1536">
        <f t="shared" ref="M107" si="139">M106</f>
        <v>0</v>
      </c>
      <c r="N107" s="1536">
        <f t="shared" ref="N107" si="140">N106</f>
        <v>62.443506858803858</v>
      </c>
      <c r="O107" s="1536">
        <f t="shared" ref="O107" si="141">O106</f>
        <v>205.99919788471371</v>
      </c>
      <c r="Q107" s="526"/>
    </row>
    <row r="108" spans="2:17">
      <c r="B108" s="1501" t="s">
        <v>1419</v>
      </c>
      <c r="C108" s="1501" t="s">
        <v>1421</v>
      </c>
      <c r="D108" s="1534" t="s">
        <v>1476</v>
      </c>
      <c r="E108" s="1502">
        <v>2010</v>
      </c>
      <c r="F108" s="1503">
        <v>3033936.1110526831</v>
      </c>
      <c r="G108" s="549">
        <f>Other!F7</f>
        <v>46.838407494145187</v>
      </c>
      <c r="H108" s="549">
        <f>Other!G7</f>
        <v>763.50782733290771</v>
      </c>
      <c r="I108" s="549">
        <f>Other!I7</f>
        <v>1.4159961116087596</v>
      </c>
      <c r="J108" s="549">
        <f>Other!M7</f>
        <v>21.223703267388323</v>
      </c>
      <c r="K108" s="549">
        <f>Other!L7</f>
        <v>4.6838407494145198</v>
      </c>
      <c r="L108" s="549"/>
      <c r="M108" s="549"/>
      <c r="N108" s="549">
        <f>Other!H7</f>
        <v>50.672299199824437</v>
      </c>
      <c r="O108" s="549">
        <f>Other!J7</f>
        <v>44.837585347921809</v>
      </c>
    </row>
    <row r="109" spans="2:17" s="549" customFormat="1">
      <c r="B109" s="1535" t="str">
        <f>B108</f>
        <v>Ferries</v>
      </c>
      <c r="C109" s="1535"/>
      <c r="D109" s="501" t="str">
        <f>D108</f>
        <v>FuelOilF</v>
      </c>
      <c r="E109" s="1529">
        <v>2011</v>
      </c>
      <c r="F109" s="1536">
        <f>F108</f>
        <v>3033936.1110526831</v>
      </c>
      <c r="G109" s="1536">
        <f t="shared" ref="G109:O109" si="142">G108</f>
        <v>46.838407494145187</v>
      </c>
      <c r="H109" s="1536">
        <f t="shared" si="142"/>
        <v>763.50782733290771</v>
      </c>
      <c r="I109" s="1536">
        <f t="shared" si="142"/>
        <v>1.4159961116087596</v>
      </c>
      <c r="J109" s="1536">
        <f t="shared" si="142"/>
        <v>21.223703267388323</v>
      </c>
      <c r="K109" s="1536">
        <f t="shared" si="142"/>
        <v>4.6838407494145198</v>
      </c>
      <c r="L109" s="1536">
        <f t="shared" si="142"/>
        <v>0</v>
      </c>
      <c r="M109" s="1536">
        <f t="shared" si="142"/>
        <v>0</v>
      </c>
      <c r="N109" s="1536">
        <f t="shared" si="142"/>
        <v>50.672299199824437</v>
      </c>
      <c r="O109" s="1536">
        <f t="shared" si="142"/>
        <v>44.837585347921809</v>
      </c>
      <c r="Q109" s="526"/>
    </row>
    <row r="110" spans="2:17" s="549" customFormat="1">
      <c r="B110" s="1535" t="str">
        <f>B108</f>
        <v>Ferries</v>
      </c>
      <c r="C110" s="1535"/>
      <c r="D110" s="501" t="str">
        <f>D108</f>
        <v>FuelOilF</v>
      </c>
      <c r="E110" s="1529">
        <v>2012</v>
      </c>
      <c r="F110" s="1536">
        <f>F108</f>
        <v>3033936.1110526831</v>
      </c>
      <c r="G110" s="1536">
        <f t="shared" ref="G110:O110" si="143">G108</f>
        <v>46.838407494145187</v>
      </c>
      <c r="H110" s="1536">
        <f t="shared" si="143"/>
        <v>763.50782733290771</v>
      </c>
      <c r="I110" s="1536">
        <f t="shared" si="143"/>
        <v>1.4159961116087596</v>
      </c>
      <c r="J110" s="1536">
        <f t="shared" si="143"/>
        <v>21.223703267388323</v>
      </c>
      <c r="K110" s="1536">
        <f t="shared" si="143"/>
        <v>4.6838407494145198</v>
      </c>
      <c r="L110" s="1536">
        <f t="shared" si="143"/>
        <v>0</v>
      </c>
      <c r="M110" s="1536">
        <f t="shared" si="143"/>
        <v>0</v>
      </c>
      <c r="N110" s="1536">
        <f t="shared" si="143"/>
        <v>50.672299199824437</v>
      </c>
      <c r="O110" s="1536">
        <f t="shared" si="143"/>
        <v>44.837585347921809</v>
      </c>
      <c r="Q110" s="526"/>
    </row>
    <row r="111" spans="2:17">
      <c r="B111" s="1501" t="s">
        <v>1419</v>
      </c>
      <c r="C111" s="1501" t="s">
        <v>1421</v>
      </c>
      <c r="D111" s="1534" t="s">
        <v>1476</v>
      </c>
      <c r="E111" s="1502">
        <v>2020</v>
      </c>
      <c r="F111" s="1503">
        <v>3018413.883503099</v>
      </c>
      <c r="G111" s="549">
        <f>Other!F8</f>
        <v>46.83840749414518</v>
      </c>
      <c r="H111" s="549">
        <f>Other!G8</f>
        <v>763.09852811817711</v>
      </c>
      <c r="I111" s="549">
        <f>Other!I8</f>
        <v>1.4232778876348522</v>
      </c>
      <c r="J111" s="549">
        <f>Other!M8</f>
        <v>21.223703267388316</v>
      </c>
      <c r="K111" s="549">
        <f>Other!L8</f>
        <v>4.6838407494145189</v>
      </c>
      <c r="L111" s="549"/>
      <c r="M111" s="549"/>
      <c r="N111" s="549">
        <f>Other!H8</f>
        <v>50.932882071821915</v>
      </c>
      <c r="O111" s="549">
        <f>Other!J8</f>
        <v>45.068163137915477</v>
      </c>
    </row>
    <row r="112" spans="2:17">
      <c r="B112" s="1501" t="s">
        <v>1419</v>
      </c>
      <c r="C112" s="1501" t="s">
        <v>1421</v>
      </c>
      <c r="D112" s="1534" t="s">
        <v>1476</v>
      </c>
      <c r="E112" s="1502">
        <v>2030</v>
      </c>
      <c r="F112" s="1503">
        <v>2839593.1704970482</v>
      </c>
      <c r="G112" s="549">
        <f>Other!F9</f>
        <v>46.838407494145187</v>
      </c>
      <c r="H112" s="549">
        <f>Other!G9</f>
        <v>399.39384904263659</v>
      </c>
      <c r="I112" s="549">
        <f>Other!I9</f>
        <v>1.5129074758860661</v>
      </c>
      <c r="J112" s="549">
        <f>Other!M9</f>
        <v>21.223703267388313</v>
      </c>
      <c r="K112" s="549">
        <f>Other!L9</f>
        <v>4.683840749414518</v>
      </c>
      <c r="L112" s="549"/>
      <c r="M112" s="549"/>
      <c r="N112" s="549">
        <f>Other!H9</f>
        <v>48.917341720316138</v>
      </c>
      <c r="O112" s="549">
        <f>Other!J9</f>
        <v>117.20094144251848</v>
      </c>
    </row>
    <row r="113" spans="2:17" s="549" customFormat="1">
      <c r="B113" s="1535" t="str">
        <f>B112</f>
        <v>Ferries</v>
      </c>
      <c r="C113" s="1535"/>
      <c r="D113" s="501" t="str">
        <f>D112</f>
        <v>FuelOilF</v>
      </c>
      <c r="E113" s="1529">
        <v>2035</v>
      </c>
      <c r="F113" s="1536">
        <f>F112</f>
        <v>2839593.1704970482</v>
      </c>
      <c r="G113" s="1536"/>
      <c r="H113" s="1536">
        <f t="shared" ref="H113" si="144">H112</f>
        <v>399.39384904263659</v>
      </c>
      <c r="I113" s="1536">
        <f t="shared" ref="I113" si="145">I112</f>
        <v>1.5129074758860661</v>
      </c>
      <c r="J113" s="1536"/>
      <c r="K113" s="1536">
        <f t="shared" ref="K113" si="146">K112</f>
        <v>4.683840749414518</v>
      </c>
      <c r="L113" s="1536">
        <f t="shared" ref="L113" si="147">L112</f>
        <v>0</v>
      </c>
      <c r="M113" s="1536">
        <f t="shared" ref="M113" si="148">M112</f>
        <v>0</v>
      </c>
      <c r="N113" s="1536">
        <f t="shared" ref="N113" si="149">N112</f>
        <v>48.917341720316138</v>
      </c>
      <c r="O113" s="1536">
        <f t="shared" ref="O113" si="150">O112</f>
        <v>117.20094144251848</v>
      </c>
      <c r="Q113" s="526" t="s">
        <v>1482</v>
      </c>
    </row>
    <row r="114" spans="2:17" s="549" customFormat="1">
      <c r="B114" s="1535" t="s">
        <v>1419</v>
      </c>
      <c r="C114" s="1535" t="s">
        <v>1421</v>
      </c>
      <c r="D114" s="1537" t="s">
        <v>1487</v>
      </c>
      <c r="E114" s="1529">
        <v>2010</v>
      </c>
      <c r="F114" s="1536">
        <v>3033936.1110526831</v>
      </c>
      <c r="G114" s="501"/>
      <c r="H114" s="501">
        <f>Other!G12</f>
        <v>380.44327550338522</v>
      </c>
      <c r="I114" s="501">
        <f>Other!I12</f>
        <v>1.8035533175767393</v>
      </c>
      <c r="J114" s="501"/>
      <c r="K114" s="501">
        <f>Other!L12</f>
        <v>4.6838407494145198</v>
      </c>
      <c r="L114" s="501"/>
      <c r="M114" s="501"/>
      <c r="N114" s="501">
        <f>Other!H12</f>
        <v>58.314890601647903</v>
      </c>
      <c r="O114" s="501">
        <f>Other!J12</f>
        <v>192.37902054151888</v>
      </c>
      <c r="Q114" s="526" t="s">
        <v>1482</v>
      </c>
    </row>
    <row r="115" spans="2:17" s="549" customFormat="1">
      <c r="B115" s="1535" t="str">
        <f>B114</f>
        <v>Ferries</v>
      </c>
      <c r="C115" s="1535"/>
      <c r="D115" s="501" t="str">
        <f>D114</f>
        <v>GasF</v>
      </c>
      <c r="E115" s="1529">
        <v>2012</v>
      </c>
      <c r="F115" s="1536">
        <f>F114</f>
        <v>3033936.1110526831</v>
      </c>
      <c r="G115" s="1536"/>
      <c r="H115" s="1536">
        <f t="shared" ref="H115" si="151">H114</f>
        <v>380.44327550338522</v>
      </c>
      <c r="I115" s="1536">
        <f t="shared" ref="I115" si="152">I114</f>
        <v>1.8035533175767393</v>
      </c>
      <c r="J115" s="1536"/>
      <c r="K115" s="1536">
        <f t="shared" ref="K115" si="153">K114</f>
        <v>4.6838407494145198</v>
      </c>
      <c r="L115" s="1536">
        <f t="shared" ref="L115" si="154">L114</f>
        <v>0</v>
      </c>
      <c r="M115" s="1536">
        <f t="shared" ref="M115" si="155">M114</f>
        <v>0</v>
      </c>
      <c r="N115" s="1536">
        <f t="shared" ref="N115" si="156">N114</f>
        <v>58.314890601647903</v>
      </c>
      <c r="O115" s="1536">
        <f t="shared" ref="O115" si="157">O114</f>
        <v>192.37902054151888</v>
      </c>
      <c r="Q115" s="526" t="s">
        <v>1482</v>
      </c>
    </row>
    <row r="116" spans="2:17" s="549" customFormat="1">
      <c r="B116" s="1535" t="s">
        <v>1419</v>
      </c>
      <c r="C116" s="1535" t="s">
        <v>1421</v>
      </c>
      <c r="D116" s="1537" t="s">
        <v>1487</v>
      </c>
      <c r="E116" s="1529">
        <v>2020</v>
      </c>
      <c r="F116" s="1536">
        <v>3018413.883503099</v>
      </c>
      <c r="G116" s="501"/>
      <c r="H116" s="501">
        <f>Other!G13</f>
        <v>2114.3909535161811</v>
      </c>
      <c r="I116" s="501">
        <f>Other!I13</f>
        <v>1.9355600084592535</v>
      </c>
      <c r="J116" s="501"/>
      <c r="K116" s="501">
        <f>Other!L13</f>
        <v>4.8899755501222506</v>
      </c>
      <c r="L116" s="501"/>
      <c r="M116" s="501"/>
      <c r="N116" s="501">
        <f>Other!H13</f>
        <v>62.583106940182532</v>
      </c>
      <c r="O116" s="501">
        <f>Other!J13</f>
        <v>206.4597342356538</v>
      </c>
      <c r="Q116" s="526" t="s">
        <v>1482</v>
      </c>
    </row>
    <row r="117" spans="2:17" s="549" customFormat="1">
      <c r="B117" s="1535" t="s">
        <v>1419</v>
      </c>
      <c r="C117" s="1535" t="s">
        <v>1421</v>
      </c>
      <c r="D117" s="1537" t="s">
        <v>1487</v>
      </c>
      <c r="E117" s="1529">
        <v>2030</v>
      </c>
      <c r="F117" s="1536">
        <v>2839593.1704970482</v>
      </c>
      <c r="G117" s="501"/>
      <c r="H117" s="501">
        <f>Other!G14</f>
        <v>1841.6905186345921</v>
      </c>
      <c r="I117" s="501">
        <f>Other!I14</f>
        <v>2.0545492605634381</v>
      </c>
      <c r="J117" s="501"/>
      <c r="K117" s="501">
        <f>Other!L14</f>
        <v>4.8899755501222506</v>
      </c>
      <c r="L117" s="501"/>
      <c r="M117" s="501"/>
      <c r="N117" s="501">
        <f>Other!H14</f>
        <v>66.430426091551169</v>
      </c>
      <c r="O117" s="501">
        <f>Other!J14</f>
        <v>219.15192112676684</v>
      </c>
      <c r="Q117" s="526" t="s">
        <v>1482</v>
      </c>
    </row>
    <row r="118" spans="2:17" s="549" customFormat="1">
      <c r="B118" s="1535" t="str">
        <f>B117</f>
        <v>Ferries</v>
      </c>
      <c r="C118" s="1535"/>
      <c r="D118" s="501" t="str">
        <f>D117</f>
        <v>GasF</v>
      </c>
      <c r="E118" s="1529">
        <v>2035</v>
      </c>
      <c r="F118" s="1536">
        <f>F117</f>
        <v>2839593.1704970482</v>
      </c>
      <c r="G118" s="1536"/>
      <c r="H118" s="1536">
        <f t="shared" ref="H118" si="158">H117</f>
        <v>1841.6905186345921</v>
      </c>
      <c r="I118" s="1536">
        <f t="shared" ref="I118" si="159">I117</f>
        <v>2.0545492605634381</v>
      </c>
      <c r="J118" s="1536"/>
      <c r="K118" s="1536">
        <f t="shared" ref="K118" si="160">K117</f>
        <v>4.8899755501222506</v>
      </c>
      <c r="L118" s="1536">
        <f t="shared" ref="L118" si="161">L117</f>
        <v>0</v>
      </c>
      <c r="M118" s="1536">
        <f t="shared" ref="M118" si="162">M117</f>
        <v>0</v>
      </c>
      <c r="N118" s="1536">
        <f t="shared" ref="N118" si="163">N117</f>
        <v>66.430426091551169</v>
      </c>
      <c r="O118" s="1536">
        <f t="shared" ref="O118" si="164">O117</f>
        <v>219.15192112676684</v>
      </c>
      <c r="Q118" s="526" t="s">
        <v>1482</v>
      </c>
    </row>
    <row r="119" spans="2:17">
      <c r="B119" s="1501" t="s">
        <v>1422</v>
      </c>
      <c r="C119" s="1501" t="s">
        <v>1421</v>
      </c>
      <c r="D119" s="526" t="s">
        <v>1474</v>
      </c>
      <c r="E119" s="1502">
        <v>2010</v>
      </c>
      <c r="F119" s="1503">
        <v>6258451.0957039818</v>
      </c>
      <c r="G119" s="549">
        <f>Other!F10</f>
        <v>46.838407494145201</v>
      </c>
      <c r="H119" s="549">
        <f>Other!G10</f>
        <v>1373.1395378483612</v>
      </c>
      <c r="I119" s="549">
        <f>Other!I10</f>
        <v>1.7752351327928297</v>
      </c>
      <c r="J119" s="549">
        <f>Other!M10</f>
        <v>21.223703267388323</v>
      </c>
      <c r="K119" s="549">
        <f>Other!L10</f>
        <v>4.6838407494145207</v>
      </c>
      <c r="L119" s="549"/>
      <c r="M119" s="549"/>
      <c r="N119" s="549">
        <f>Other!H10</f>
        <v>57.399269293634831</v>
      </c>
      <c r="O119" s="549">
        <f>Other!J10</f>
        <v>189.35841416456853</v>
      </c>
    </row>
    <row r="120" spans="2:17">
      <c r="B120" s="1501" t="s">
        <v>1422</v>
      </c>
      <c r="C120" s="1501" t="s">
        <v>1421</v>
      </c>
      <c r="D120" s="526" t="s">
        <v>1474</v>
      </c>
      <c r="E120" s="1502">
        <v>2020</v>
      </c>
      <c r="F120" s="1503">
        <v>6772386.3231162373</v>
      </c>
      <c r="G120" s="549">
        <f>Other!F11</f>
        <v>46.838407494145208</v>
      </c>
      <c r="H120" s="549">
        <f>Other!G11</f>
        <v>872.6604405488913</v>
      </c>
      <c r="I120" s="549">
        <f>Other!I11</f>
        <v>1.8035533175767393</v>
      </c>
      <c r="J120" s="549">
        <f>Other!M11</f>
        <v>21.223703267388323</v>
      </c>
      <c r="K120" s="549">
        <f>Other!L11</f>
        <v>4.6838407494145198</v>
      </c>
      <c r="L120" s="549"/>
      <c r="M120" s="549"/>
      <c r="N120" s="549">
        <f>Other!H11</f>
        <v>58.31489060164791</v>
      </c>
      <c r="O120" s="549">
        <f>Other!J11</f>
        <v>192.37902054151888</v>
      </c>
    </row>
    <row r="121" spans="2:17">
      <c r="B121" s="1501" t="s">
        <v>1422</v>
      </c>
      <c r="C121" s="1501" t="s">
        <v>1421</v>
      </c>
      <c r="D121" s="526" t="s">
        <v>1474</v>
      </c>
      <c r="E121" s="1502">
        <v>2030</v>
      </c>
      <c r="F121" s="1503">
        <v>8102131.7414020989</v>
      </c>
      <c r="G121" s="549">
        <f>Other!F12</f>
        <v>46.838407494145187</v>
      </c>
      <c r="H121" s="549">
        <f>Other!G12</f>
        <v>380.44327550338522</v>
      </c>
      <c r="I121" s="549">
        <f>Other!I12</f>
        <v>1.8035533175767393</v>
      </c>
      <c r="J121" s="549">
        <f>Other!M12</f>
        <v>21.223703267388323</v>
      </c>
      <c r="K121" s="549">
        <f>Other!L12</f>
        <v>4.6838407494145198</v>
      </c>
      <c r="L121" s="549"/>
      <c r="M121" s="549"/>
      <c r="N121" s="549">
        <f>Other!H12</f>
        <v>58.314890601647903</v>
      </c>
      <c r="O121" s="549">
        <f>Other!J12</f>
        <v>192.37902054151888</v>
      </c>
    </row>
    <row r="122" spans="2:17">
      <c r="B122" s="1501" t="s">
        <v>1423</v>
      </c>
      <c r="C122" s="1501" t="s">
        <v>1420</v>
      </c>
      <c r="D122" s="526" t="s">
        <v>1473</v>
      </c>
      <c r="E122" s="1502">
        <v>2010</v>
      </c>
      <c r="F122" s="1502">
        <v>360000</v>
      </c>
      <c r="G122" s="549">
        <f>Other!F13</f>
        <v>488.99755501222495</v>
      </c>
      <c r="H122" s="549">
        <f>Other!G13</f>
        <v>2114.3909535161811</v>
      </c>
      <c r="I122" s="549">
        <f>Other!I13</f>
        <v>1.9355600084592535</v>
      </c>
      <c r="J122" s="549">
        <f>Other!M13</f>
        <v>43.323165542577996</v>
      </c>
      <c r="K122" s="549">
        <f>Other!L13</f>
        <v>4.8899755501222506</v>
      </c>
      <c r="L122" s="549"/>
      <c r="M122" s="549"/>
      <c r="N122" s="549">
        <f>Other!H13</f>
        <v>62.583106940182532</v>
      </c>
      <c r="O122" s="549">
        <f>Other!J13</f>
        <v>206.4597342356538</v>
      </c>
    </row>
    <row r="123" spans="2:17" s="549" customFormat="1">
      <c r="B123" s="1501" t="s">
        <v>1423</v>
      </c>
      <c r="C123" s="1501" t="s">
        <v>1420</v>
      </c>
      <c r="D123" s="526" t="str">
        <f>D122</f>
        <v>HFO</v>
      </c>
      <c r="E123" s="1502">
        <v>2011</v>
      </c>
      <c r="F123" s="1502">
        <f>F122</f>
        <v>360000</v>
      </c>
      <c r="G123" s="1502">
        <f t="shared" ref="G123:O123" si="165">G122</f>
        <v>488.99755501222495</v>
      </c>
      <c r="H123" s="1502">
        <f t="shared" si="165"/>
        <v>2114.3909535161811</v>
      </c>
      <c r="I123" s="1502">
        <f t="shared" si="165"/>
        <v>1.9355600084592535</v>
      </c>
      <c r="J123" s="1502">
        <f t="shared" si="165"/>
        <v>43.323165542577996</v>
      </c>
      <c r="K123" s="1502">
        <f t="shared" si="165"/>
        <v>4.8899755501222506</v>
      </c>
      <c r="L123" s="1502">
        <f t="shared" si="165"/>
        <v>0</v>
      </c>
      <c r="M123" s="1502">
        <f t="shared" si="165"/>
        <v>0</v>
      </c>
      <c r="N123" s="1502">
        <f t="shared" si="165"/>
        <v>62.583106940182532</v>
      </c>
      <c r="O123" s="1502">
        <f t="shared" si="165"/>
        <v>206.4597342356538</v>
      </c>
    </row>
    <row r="124" spans="2:17" s="549" customFormat="1">
      <c r="B124" s="1501" t="s">
        <v>1423</v>
      </c>
      <c r="C124" s="1501" t="s">
        <v>1420</v>
      </c>
      <c r="D124" s="526" t="str">
        <f>D123</f>
        <v>HFO</v>
      </c>
      <c r="E124" s="1502">
        <v>2012</v>
      </c>
      <c r="F124" s="1502">
        <f>F123</f>
        <v>360000</v>
      </c>
      <c r="G124" s="1502">
        <f t="shared" ref="G124" si="166">G123</f>
        <v>488.99755501222495</v>
      </c>
      <c r="H124" s="1502">
        <f t="shared" ref="H124" si="167">H123</f>
        <v>2114.3909535161811</v>
      </c>
      <c r="I124" s="1502">
        <f t="shared" ref="I124" si="168">I123</f>
        <v>1.9355600084592535</v>
      </c>
      <c r="J124" s="1502">
        <f t="shared" ref="J124" si="169">J123</f>
        <v>43.323165542577996</v>
      </c>
      <c r="K124" s="1502">
        <f t="shared" ref="K124" si="170">K123</f>
        <v>4.8899755501222506</v>
      </c>
      <c r="L124" s="1502">
        <f t="shared" ref="L124" si="171">L123</f>
        <v>0</v>
      </c>
      <c r="M124" s="1502">
        <f t="shared" ref="M124" si="172">M123</f>
        <v>0</v>
      </c>
      <c r="N124" s="1502">
        <f t="shared" ref="N124" si="173">N123</f>
        <v>62.583106940182532</v>
      </c>
      <c r="O124" s="1502">
        <f t="shared" ref="O124" si="174">O123</f>
        <v>206.4597342356538</v>
      </c>
    </row>
    <row r="125" spans="2:17">
      <c r="B125" s="1501" t="s">
        <v>1423</v>
      </c>
      <c r="C125" s="1501" t="s">
        <v>1420</v>
      </c>
      <c r="D125" s="526" t="s">
        <v>1473</v>
      </c>
      <c r="E125" s="1502">
        <v>2020</v>
      </c>
      <c r="F125" s="1502">
        <v>360000</v>
      </c>
      <c r="G125" s="549">
        <f>Other!F14</f>
        <v>48.899755501222501</v>
      </c>
      <c r="H125" s="549">
        <f>Other!G14</f>
        <v>1841.6905186345921</v>
      </c>
      <c r="I125" s="549">
        <f>Other!I14</f>
        <v>2.0545492605634381</v>
      </c>
      <c r="J125" s="549">
        <f>Other!M14</f>
        <v>22.157753777933529</v>
      </c>
      <c r="K125" s="549">
        <f>Other!L14</f>
        <v>4.8899755501222506</v>
      </c>
      <c r="L125" s="549"/>
      <c r="M125" s="549"/>
      <c r="N125" s="549">
        <f>Other!H14</f>
        <v>66.430426091551169</v>
      </c>
      <c r="O125" s="549">
        <f>Other!J14</f>
        <v>219.15192112676684</v>
      </c>
    </row>
    <row r="126" spans="2:17">
      <c r="B126" s="1501" t="s">
        <v>1423</v>
      </c>
      <c r="C126" s="1501" t="s">
        <v>1420</v>
      </c>
      <c r="D126" s="526" t="s">
        <v>1473</v>
      </c>
      <c r="E126" s="1502">
        <v>2030</v>
      </c>
      <c r="F126" s="1502">
        <v>360000</v>
      </c>
      <c r="G126" s="549">
        <f>Other!F15</f>
        <v>48.899755501222501</v>
      </c>
      <c r="H126" s="549">
        <f>Other!G15</f>
        <v>1209.2371855827112</v>
      </c>
      <c r="I126" s="549">
        <f>Other!I15</f>
        <v>2.1017305654115797</v>
      </c>
      <c r="J126" s="549">
        <f>Other!M15</f>
        <v>22.157753777933529</v>
      </c>
      <c r="K126" s="549">
        <f>Other!L15</f>
        <v>4.8899755501222506</v>
      </c>
      <c r="L126" s="549"/>
      <c r="M126" s="549"/>
      <c r="N126" s="549">
        <f>Other!H15</f>
        <v>67.955954948307749</v>
      </c>
      <c r="O126" s="549">
        <f>Other!J15</f>
        <v>224.18459364390191</v>
      </c>
    </row>
    <row r="127" spans="2:17" s="549" customFormat="1">
      <c r="B127" s="1501" t="s">
        <v>1423</v>
      </c>
      <c r="C127" s="1501" t="s">
        <v>1420</v>
      </c>
      <c r="D127" s="526" t="str">
        <f>D126</f>
        <v>HFO</v>
      </c>
      <c r="E127" s="1502">
        <v>2035</v>
      </c>
      <c r="F127" s="1502">
        <f>F126</f>
        <v>360000</v>
      </c>
      <c r="G127" s="1502">
        <f t="shared" ref="G127" si="175">G126</f>
        <v>48.899755501222501</v>
      </c>
      <c r="H127" s="1502">
        <f t="shared" ref="H127" si="176">H126</f>
        <v>1209.2371855827112</v>
      </c>
      <c r="I127" s="1502">
        <f t="shared" ref="I127" si="177">I126</f>
        <v>2.1017305654115797</v>
      </c>
      <c r="J127" s="1502">
        <f t="shared" ref="J127" si="178">J126</f>
        <v>22.157753777933529</v>
      </c>
      <c r="K127" s="1502">
        <f t="shared" ref="K127" si="179">K126</f>
        <v>4.8899755501222506</v>
      </c>
      <c r="L127" s="1502">
        <f t="shared" ref="L127" si="180">L126</f>
        <v>0</v>
      </c>
      <c r="M127" s="1502">
        <f t="shared" ref="M127" si="181">M126</f>
        <v>0</v>
      </c>
      <c r="N127" s="1502">
        <f t="shared" ref="N127" si="182">N126</f>
        <v>67.955954948307749</v>
      </c>
      <c r="O127" s="1502">
        <f t="shared" ref="O127" si="183">O126</f>
        <v>224.18459364390191</v>
      </c>
    </row>
    <row r="128" spans="2:17">
      <c r="B128" s="1501" t="s">
        <v>1423</v>
      </c>
      <c r="C128" s="1501" t="s">
        <v>1421</v>
      </c>
      <c r="D128" s="526" t="s">
        <v>1462</v>
      </c>
      <c r="E128" s="1502">
        <v>2010</v>
      </c>
      <c r="F128" s="1502">
        <v>390000</v>
      </c>
      <c r="G128" s="549">
        <f>Other!F16</f>
        <v>46.838407494145208</v>
      </c>
      <c r="H128" s="549">
        <f>Other!G16</f>
        <v>1576.9540522622719</v>
      </c>
      <c r="I128" s="549">
        <f>Other!I16</f>
        <v>1.7612014026457654</v>
      </c>
      <c r="J128" s="549">
        <f>Other!M16</f>
        <v>21.22370326738832</v>
      </c>
      <c r="K128" s="549">
        <f>Other!L16</f>
        <v>4.6838407494145198</v>
      </c>
      <c r="L128" s="549"/>
      <c r="M128" s="549"/>
      <c r="N128" s="549">
        <f>Other!H16</f>
        <v>56.945512018879747</v>
      </c>
      <c r="O128" s="549">
        <f>Other!J16</f>
        <v>187.86148294888176</v>
      </c>
    </row>
    <row r="129" spans="2:17" s="549" customFormat="1">
      <c r="B129" s="1501" t="s">
        <v>1423</v>
      </c>
      <c r="C129" s="1501" t="s">
        <v>1420</v>
      </c>
      <c r="D129" s="526" t="str">
        <f>D128</f>
        <v>FuelOil</v>
      </c>
      <c r="E129" s="1502">
        <v>2011</v>
      </c>
      <c r="F129" s="1502">
        <f>F128</f>
        <v>390000</v>
      </c>
      <c r="G129" s="1502">
        <f t="shared" ref="G129" si="184">G128</f>
        <v>46.838407494145208</v>
      </c>
      <c r="H129" s="1502">
        <f t="shared" ref="H129" si="185">H128</f>
        <v>1576.9540522622719</v>
      </c>
      <c r="I129" s="1502">
        <f t="shared" ref="I129" si="186">I128</f>
        <v>1.7612014026457654</v>
      </c>
      <c r="J129" s="1502">
        <f t="shared" ref="J129" si="187">J128</f>
        <v>21.22370326738832</v>
      </c>
      <c r="K129" s="1502">
        <f t="shared" ref="K129" si="188">K128</f>
        <v>4.6838407494145198</v>
      </c>
      <c r="L129" s="1502">
        <f t="shared" ref="L129" si="189">L128</f>
        <v>0</v>
      </c>
      <c r="M129" s="1502">
        <f t="shared" ref="M129" si="190">M128</f>
        <v>0</v>
      </c>
      <c r="N129" s="1502">
        <f t="shared" ref="N129" si="191">N128</f>
        <v>56.945512018879747</v>
      </c>
      <c r="O129" s="1502">
        <f t="shared" ref="O129" si="192">O128</f>
        <v>187.86148294888176</v>
      </c>
    </row>
    <row r="130" spans="2:17" s="549" customFormat="1">
      <c r="B130" s="1501" t="s">
        <v>1423</v>
      </c>
      <c r="C130" s="1501" t="s">
        <v>1420</v>
      </c>
      <c r="D130" s="526" t="str">
        <f>D129</f>
        <v>FuelOil</v>
      </c>
      <c r="E130" s="1502">
        <v>2012</v>
      </c>
      <c r="F130" s="1502">
        <f>F129</f>
        <v>390000</v>
      </c>
      <c r="G130" s="1502">
        <f t="shared" ref="G130" si="193">G129</f>
        <v>46.838407494145208</v>
      </c>
      <c r="H130" s="1502">
        <f t="shared" ref="H130" si="194">H129</f>
        <v>1576.9540522622719</v>
      </c>
      <c r="I130" s="1502">
        <f t="shared" ref="I130" si="195">I129</f>
        <v>1.7612014026457654</v>
      </c>
      <c r="J130" s="1502">
        <f t="shared" ref="J130" si="196">J129</f>
        <v>21.22370326738832</v>
      </c>
      <c r="K130" s="1502">
        <f t="shared" ref="K130" si="197">K129</f>
        <v>4.6838407494145198</v>
      </c>
      <c r="L130" s="1502">
        <f t="shared" ref="L130" si="198">L129</f>
        <v>0</v>
      </c>
      <c r="M130" s="1502">
        <f t="shared" ref="M130" si="199">M129</f>
        <v>0</v>
      </c>
      <c r="N130" s="1502">
        <f t="shared" ref="N130" si="200">N129</f>
        <v>56.945512018879747</v>
      </c>
      <c r="O130" s="1502">
        <f t="shared" ref="O130" si="201">O129</f>
        <v>187.86148294888176</v>
      </c>
    </row>
    <row r="131" spans="2:17">
      <c r="B131" s="1501" t="s">
        <v>1423</v>
      </c>
      <c r="C131" s="1501" t="s">
        <v>1421</v>
      </c>
      <c r="D131" s="526" t="s">
        <v>1462</v>
      </c>
      <c r="E131" s="1502">
        <v>2020</v>
      </c>
      <c r="F131" s="1502">
        <v>390000</v>
      </c>
      <c r="G131" s="549">
        <f>Other!F17</f>
        <v>46.838407494145208</v>
      </c>
      <c r="H131" s="549">
        <f>Other!G17</f>
        <v>1402.4856581824845</v>
      </c>
      <c r="I131" s="549">
        <f>Other!I17</f>
        <v>1.8637630108223573</v>
      </c>
      <c r="J131" s="549">
        <f>Other!M17</f>
        <v>21.22370326738832</v>
      </c>
      <c r="K131" s="549">
        <f>Other!L17</f>
        <v>4.6838407494145198</v>
      </c>
      <c r="L131" s="549"/>
      <c r="M131" s="549"/>
      <c r="N131" s="549">
        <f>Other!H17</f>
        <v>60.26167068325622</v>
      </c>
      <c r="O131" s="549">
        <f>Other!J17</f>
        <v>198.80138782105155</v>
      </c>
    </row>
    <row r="132" spans="2:17">
      <c r="B132" s="1501" t="s">
        <v>1423</v>
      </c>
      <c r="C132" s="1501" t="s">
        <v>1421</v>
      </c>
      <c r="D132" s="526" t="s">
        <v>1462</v>
      </c>
      <c r="E132" s="1502">
        <v>2030</v>
      </c>
      <c r="F132" s="1502">
        <v>390000</v>
      </c>
      <c r="G132" s="549">
        <f>Other!F18</f>
        <v>46.838407494145208</v>
      </c>
      <c r="H132" s="549">
        <f>Other!G18</f>
        <v>938.56734047344298</v>
      </c>
      <c r="I132" s="549">
        <f>Other!I18</f>
        <v>1.9042584079204421</v>
      </c>
      <c r="J132" s="549">
        <f>Other!M18</f>
        <v>21.22370326738832</v>
      </c>
      <c r="K132" s="549">
        <f>Other!L18</f>
        <v>4.6838407494145198</v>
      </c>
      <c r="L132" s="549"/>
      <c r="M132" s="549"/>
      <c r="N132" s="549">
        <f>Other!H18</f>
        <v>61.571021856094291</v>
      </c>
      <c r="O132" s="549">
        <f>Other!J18</f>
        <v>203.12089684484721</v>
      </c>
    </row>
    <row r="133" spans="2:17" s="549" customFormat="1">
      <c r="B133" s="1501" t="s">
        <v>1423</v>
      </c>
      <c r="C133" s="1501" t="s">
        <v>1420</v>
      </c>
      <c r="D133" s="526" t="str">
        <f>D132</f>
        <v>FuelOil</v>
      </c>
      <c r="E133" s="1502">
        <v>2035</v>
      </c>
      <c r="F133" s="1502">
        <f>F132</f>
        <v>390000</v>
      </c>
      <c r="G133" s="1502">
        <f t="shared" ref="G133" si="202">G132</f>
        <v>46.838407494145208</v>
      </c>
      <c r="H133" s="1502">
        <f t="shared" ref="H133" si="203">H132</f>
        <v>938.56734047344298</v>
      </c>
      <c r="I133" s="1502">
        <f t="shared" ref="I133" si="204">I132</f>
        <v>1.9042584079204421</v>
      </c>
      <c r="J133" s="1502">
        <f t="shared" ref="J133" si="205">J132</f>
        <v>21.22370326738832</v>
      </c>
      <c r="K133" s="1502">
        <f t="shared" ref="K133" si="206">K132</f>
        <v>4.6838407494145198</v>
      </c>
      <c r="L133" s="1502">
        <f t="shared" ref="L133" si="207">L132</f>
        <v>0</v>
      </c>
      <c r="M133" s="1502">
        <f t="shared" ref="M133" si="208">M132</f>
        <v>0</v>
      </c>
      <c r="N133" s="1502">
        <f t="shared" ref="N133" si="209">N132</f>
        <v>61.571021856094291</v>
      </c>
      <c r="O133" s="1502">
        <f t="shared" ref="O133" si="210">O132</f>
        <v>203.12089684484721</v>
      </c>
    </row>
    <row r="134" spans="2:17" s="549" customFormat="1">
      <c r="B134" s="1535" t="s">
        <v>1484</v>
      </c>
      <c r="C134" s="1535"/>
      <c r="D134" s="501" t="s">
        <v>1483</v>
      </c>
      <c r="E134" s="1529">
        <v>2010</v>
      </c>
      <c r="F134" s="1529">
        <v>390000</v>
      </c>
      <c r="G134" s="501"/>
      <c r="H134" s="501">
        <f>Other!G19</f>
        <v>798.14040184111514</v>
      </c>
      <c r="I134" s="501">
        <f>Other!I19</f>
        <v>1.9628285688400839</v>
      </c>
      <c r="J134" s="501"/>
      <c r="K134" s="501">
        <f>Other!L19</f>
        <v>2.04</v>
      </c>
      <c r="L134" s="501"/>
      <c r="M134" s="501"/>
      <c r="N134" s="501">
        <f>Other!H19</f>
        <v>51.08659221062176</v>
      </c>
      <c r="O134" s="501">
        <f>Other!J19</f>
        <v>131.94460754755792</v>
      </c>
      <c r="Q134" s="526" t="s">
        <v>1482</v>
      </c>
    </row>
    <row r="135" spans="2:17" s="549" customFormat="1">
      <c r="B135" s="1535" t="s">
        <v>1484</v>
      </c>
      <c r="C135" s="1535"/>
      <c r="D135" s="501" t="s">
        <v>1483</v>
      </c>
      <c r="E135" s="1529">
        <v>2012</v>
      </c>
      <c r="F135" s="1529">
        <f t="shared" ref="F135:O135" si="211">F134</f>
        <v>390000</v>
      </c>
      <c r="G135" s="1529">
        <f t="shared" si="211"/>
        <v>0</v>
      </c>
      <c r="H135" s="1529">
        <f t="shared" si="211"/>
        <v>798.14040184111514</v>
      </c>
      <c r="I135" s="1529">
        <f t="shared" si="211"/>
        <v>1.9628285688400839</v>
      </c>
      <c r="J135" s="1529">
        <f t="shared" si="211"/>
        <v>0</v>
      </c>
      <c r="K135" s="1529">
        <f t="shared" si="211"/>
        <v>2.04</v>
      </c>
      <c r="L135" s="1529">
        <f t="shared" si="211"/>
        <v>0</v>
      </c>
      <c r="M135" s="1529">
        <f t="shared" si="211"/>
        <v>0</v>
      </c>
      <c r="N135" s="1529">
        <f t="shared" si="211"/>
        <v>51.08659221062176</v>
      </c>
      <c r="O135" s="1529">
        <f t="shared" si="211"/>
        <v>131.94460754755792</v>
      </c>
      <c r="Q135" s="526" t="s">
        <v>1482</v>
      </c>
    </row>
    <row r="136" spans="2:17" s="549" customFormat="1">
      <c r="B136" s="1535" t="s">
        <v>1484</v>
      </c>
      <c r="C136" s="1535"/>
      <c r="D136" s="501" t="s">
        <v>1483</v>
      </c>
      <c r="E136" s="1529">
        <v>2020</v>
      </c>
      <c r="F136" s="1529">
        <v>390000</v>
      </c>
      <c r="G136" s="501"/>
      <c r="H136" s="501">
        <f>Other!G20</f>
        <v>411.41501253398201</v>
      </c>
      <c r="I136" s="501">
        <f>Other!I20</f>
        <v>0.11686473412375831</v>
      </c>
      <c r="J136" s="501"/>
      <c r="K136" s="501">
        <f>Other!L20</f>
        <v>2.04</v>
      </c>
      <c r="L136" s="501"/>
      <c r="M136" s="501"/>
      <c r="N136" s="501">
        <f>Other!H20</f>
        <v>3.0416415935453878</v>
      </c>
      <c r="O136" s="501">
        <f>Other!J20</f>
        <v>4.8050919203388185</v>
      </c>
      <c r="Q136" s="526" t="s">
        <v>1482</v>
      </c>
    </row>
    <row r="137" spans="2:17" s="549" customFormat="1">
      <c r="B137" s="1535" t="s">
        <v>1484</v>
      </c>
      <c r="C137" s="1535"/>
      <c r="D137" s="501" t="s">
        <v>1483</v>
      </c>
      <c r="E137" s="1529">
        <v>2030</v>
      </c>
      <c r="F137" s="1529">
        <v>390000</v>
      </c>
      <c r="G137" s="501"/>
      <c r="H137" s="501">
        <f>Other!G21</f>
        <v>411.41501253398201</v>
      </c>
      <c r="I137" s="501">
        <f>Other!I21</f>
        <v>0.11686473412375831</v>
      </c>
      <c r="J137" s="501"/>
      <c r="K137" s="501">
        <f>Other!L21</f>
        <v>2.04</v>
      </c>
      <c r="L137" s="501"/>
      <c r="M137" s="501"/>
      <c r="N137" s="501">
        <f>Other!H21</f>
        <v>3.0416415935453878</v>
      </c>
      <c r="O137" s="501">
        <f>Other!J21</f>
        <v>4.8050919203388185</v>
      </c>
      <c r="Q137" s="526" t="s">
        <v>1482</v>
      </c>
    </row>
    <row r="138" spans="2:17" s="549" customFormat="1">
      <c r="B138" s="1535" t="s">
        <v>1484</v>
      </c>
      <c r="C138" s="1535"/>
      <c r="D138" s="501" t="s">
        <v>1485</v>
      </c>
      <c r="E138" s="1529">
        <v>2010</v>
      </c>
      <c r="F138" s="1529">
        <v>390000</v>
      </c>
      <c r="G138" s="501"/>
      <c r="H138" s="501"/>
      <c r="I138" s="501"/>
      <c r="J138" s="501"/>
      <c r="K138" s="501"/>
      <c r="L138" s="501"/>
      <c r="M138" s="501"/>
      <c r="N138" s="501"/>
      <c r="O138" s="501"/>
      <c r="Q138" s="526" t="s">
        <v>1486</v>
      </c>
    </row>
    <row r="139" spans="2:17" s="549" customFormat="1">
      <c r="B139" s="1535" t="s">
        <v>1484</v>
      </c>
      <c r="C139" s="1535"/>
      <c r="D139" s="501" t="s">
        <v>1485</v>
      </c>
      <c r="E139" s="1529">
        <v>2020</v>
      </c>
      <c r="F139" s="1529">
        <v>390000</v>
      </c>
      <c r="G139" s="501"/>
      <c r="H139" s="501"/>
      <c r="I139" s="501"/>
      <c r="J139" s="501"/>
      <c r="K139" s="501"/>
      <c r="L139" s="501"/>
      <c r="M139" s="501"/>
      <c r="N139" s="501"/>
      <c r="O139" s="501"/>
      <c r="Q139" s="526" t="s">
        <v>1486</v>
      </c>
    </row>
    <row r="140" spans="2:17" s="549" customFormat="1">
      <c r="B140" s="1535" t="s">
        <v>1484</v>
      </c>
      <c r="C140" s="1535"/>
      <c r="D140" s="501" t="s">
        <v>1485</v>
      </c>
      <c r="E140" s="1529">
        <v>2030</v>
      </c>
      <c r="F140" s="1529">
        <v>390000</v>
      </c>
      <c r="G140" s="501"/>
      <c r="H140" s="501"/>
      <c r="I140" s="501"/>
      <c r="J140" s="501"/>
      <c r="K140" s="501"/>
      <c r="L140" s="501"/>
      <c r="M140" s="501"/>
      <c r="N140" s="501"/>
      <c r="O140" s="501"/>
      <c r="Q140" s="526" t="s">
        <v>1486</v>
      </c>
    </row>
    <row r="141" spans="2:17">
      <c r="B141" s="1505" t="s">
        <v>1424</v>
      </c>
      <c r="C141" s="549"/>
      <c r="D141" s="526" t="s">
        <v>1477</v>
      </c>
      <c r="E141" s="1502">
        <v>2012</v>
      </c>
      <c r="F141" s="549"/>
      <c r="G141" s="549">
        <f>Other!F19</f>
        <v>0.46838407494145234</v>
      </c>
      <c r="H141" s="549">
        <f>Other!G19</f>
        <v>798.14040184111514</v>
      </c>
      <c r="I141" s="549">
        <f>Other!I19</f>
        <v>1.9628285688400839</v>
      </c>
      <c r="J141" s="549">
        <f>Other!M19</f>
        <v>24.692830572834254</v>
      </c>
      <c r="K141" s="549">
        <f>Other!L19</f>
        <v>2.04</v>
      </c>
      <c r="L141" s="549"/>
      <c r="M141" s="549"/>
      <c r="N141" s="549">
        <f>Other!H19</f>
        <v>51.08659221062176</v>
      </c>
      <c r="O141" s="549">
        <f>Other!J19</f>
        <v>131.94460754755792</v>
      </c>
    </row>
    <row r="142" spans="2:17">
      <c r="B142" s="1505" t="s">
        <v>1424</v>
      </c>
      <c r="C142" s="549"/>
      <c r="D142" s="526" t="s">
        <v>1477</v>
      </c>
      <c r="E142" s="1502">
        <v>2020</v>
      </c>
      <c r="F142" s="549"/>
      <c r="G142" s="549">
        <f>Other!F20</f>
        <v>0.46838407494145196</v>
      </c>
      <c r="H142" s="549">
        <f>Other!G20</f>
        <v>411.41501253398201</v>
      </c>
      <c r="I142" s="549">
        <f>Other!I20</f>
        <v>0.11686473412375831</v>
      </c>
      <c r="J142" s="549">
        <f>Other!M20</f>
        <v>0.32565030960718155</v>
      </c>
      <c r="K142" s="549">
        <f>Other!L20</f>
        <v>2.04</v>
      </c>
      <c r="L142" s="549"/>
      <c r="M142" s="549"/>
      <c r="N142" s="549">
        <f>Other!H20</f>
        <v>3.0416415935453878</v>
      </c>
      <c r="O142" s="549">
        <f>Other!J20</f>
        <v>4.8050919203388185</v>
      </c>
    </row>
    <row r="143" spans="2:17">
      <c r="B143" s="1505" t="s">
        <v>1424</v>
      </c>
      <c r="C143" s="549"/>
      <c r="D143" s="526" t="s">
        <v>1477</v>
      </c>
      <c r="E143" s="1502">
        <v>2035</v>
      </c>
      <c r="F143" s="549"/>
      <c r="G143" s="549">
        <f>Other!F21</f>
        <v>0.46838407494145196</v>
      </c>
      <c r="H143" s="549">
        <f>Other!G21</f>
        <v>411.41501253398201</v>
      </c>
      <c r="I143" s="549">
        <f>Other!I21</f>
        <v>0.11686473412375831</v>
      </c>
      <c r="J143" s="549">
        <f>Other!M21</f>
        <v>0.32565030960718155</v>
      </c>
      <c r="K143" s="549">
        <f>Other!L21</f>
        <v>2.04</v>
      </c>
      <c r="L143" s="549"/>
      <c r="M143" s="549"/>
      <c r="N143" s="549">
        <f>Other!H21</f>
        <v>3.0416415935453878</v>
      </c>
      <c r="O143" s="549">
        <f>Other!J21</f>
        <v>4.8050919203388185</v>
      </c>
    </row>
    <row r="144" spans="2:17" s="549" customFormat="1">
      <c r="B144" s="1505" t="s">
        <v>1424</v>
      </c>
      <c r="D144" s="526" t="s">
        <v>1478</v>
      </c>
      <c r="E144" s="1502">
        <v>2012</v>
      </c>
      <c r="G144" s="526"/>
      <c r="J144" s="501">
        <f>J141</f>
        <v>24.692830572834254</v>
      </c>
      <c r="Q144" s="526" t="s">
        <v>1479</v>
      </c>
    </row>
    <row r="145" spans="2:17" s="549" customFormat="1">
      <c r="B145" s="1505" t="s">
        <v>1424</v>
      </c>
      <c r="D145" s="526" t="s">
        <v>1478</v>
      </c>
      <c r="E145" s="1502">
        <v>2020</v>
      </c>
      <c r="J145" s="501">
        <f>J142</f>
        <v>0.32565030960718155</v>
      </c>
      <c r="Q145" s="526" t="s">
        <v>1479</v>
      </c>
    </row>
    <row r="146" spans="2:17" s="549" customFormat="1">
      <c r="B146" s="1505" t="s">
        <v>1424</v>
      </c>
      <c r="D146" s="526" t="s">
        <v>1478</v>
      </c>
      <c r="E146" s="1502">
        <v>2035</v>
      </c>
      <c r="J146" s="501">
        <f>J143</f>
        <v>0.32565030960718155</v>
      </c>
      <c r="Q146" s="526" t="s">
        <v>1479</v>
      </c>
    </row>
    <row r="147" spans="2:17">
      <c r="B147" s="1505" t="s">
        <v>1425</v>
      </c>
      <c r="C147" s="549"/>
      <c r="D147" s="526" t="s">
        <v>1480</v>
      </c>
      <c r="E147" s="1502">
        <v>2012</v>
      </c>
      <c r="F147" s="549"/>
      <c r="G147" s="549">
        <f>Other!F22</f>
        <v>2.3419203747072559</v>
      </c>
      <c r="H147" s="549">
        <f>Other!G22</f>
        <v>583.97559708196741</v>
      </c>
      <c r="I147" s="549">
        <f>Other!I22</f>
        <v>0.9079395051747049</v>
      </c>
      <c r="J147" s="549">
        <f>Other!M22</f>
        <v>44.335282460518499</v>
      </c>
      <c r="K147" s="549">
        <f>Other!L22</f>
        <v>3.1752858846977228</v>
      </c>
      <c r="L147" s="549"/>
      <c r="M147" s="549"/>
      <c r="N147" s="549">
        <f>Other!H22</f>
        <v>55.838279568244282</v>
      </c>
      <c r="O147" s="549">
        <f>Other!J22</f>
        <v>333.80710250993172</v>
      </c>
    </row>
    <row r="148" spans="2:17">
      <c r="B148" s="1505" t="s">
        <v>1425</v>
      </c>
      <c r="C148" s="549"/>
      <c r="D148" s="526" t="s">
        <v>1480</v>
      </c>
      <c r="E148" s="1502">
        <v>2020</v>
      </c>
      <c r="F148" s="549"/>
      <c r="G148" s="549">
        <f>Other!F23</f>
        <v>0.46838407494145157</v>
      </c>
      <c r="H148" s="549">
        <f>Other!G23</f>
        <v>235.19088464460677</v>
      </c>
      <c r="I148" s="549">
        <f>Other!I23</f>
        <v>0.40733536028927481</v>
      </c>
      <c r="J148" s="549">
        <f>Other!M23</f>
        <v>12.075374984000691</v>
      </c>
      <c r="K148" s="549">
        <f>Other!L23</f>
        <v>3.2341722353675051</v>
      </c>
      <c r="L148" s="549"/>
      <c r="M148" s="549"/>
      <c r="N148" s="549">
        <f>Other!H23</f>
        <v>25.051124657790385</v>
      </c>
      <c r="O148" s="549">
        <f>Other!J23</f>
        <v>198.58547727848659</v>
      </c>
    </row>
    <row r="149" spans="2:17">
      <c r="B149" s="1505" t="s">
        <v>1425</v>
      </c>
      <c r="C149" s="549"/>
      <c r="D149" s="526" t="s">
        <v>1480</v>
      </c>
      <c r="E149" s="1502">
        <v>2030</v>
      </c>
      <c r="F149" s="549"/>
      <c r="G149" s="549">
        <f>Other!F24</f>
        <v>0.46838407494145012</v>
      </c>
      <c r="H149" s="549">
        <f>Other!G24</f>
        <v>85.348747728184122</v>
      </c>
      <c r="I149" s="549">
        <f>Other!I24</f>
        <v>0.27980530947346505</v>
      </c>
      <c r="J149" s="549">
        <f>Other!M24</f>
        <v>4.7823532692045587</v>
      </c>
      <c r="K149" s="549">
        <f>Other!L24</f>
        <v>3.2444891545946848</v>
      </c>
      <c r="L149" s="549"/>
      <c r="M149" s="549"/>
      <c r="N149" s="549">
        <f>Other!H24</f>
        <v>17.208026532618092</v>
      </c>
      <c r="O149" s="549">
        <f>Other!J24</f>
        <v>157.78019327331143</v>
      </c>
    </row>
    <row r="150" spans="2:17">
      <c r="B150" s="1508" t="s">
        <v>1426</v>
      </c>
      <c r="C150" s="549"/>
      <c r="D150" s="526" t="s">
        <v>1481</v>
      </c>
      <c r="E150" s="1529">
        <v>2012</v>
      </c>
      <c r="F150" s="549"/>
      <c r="G150" s="549">
        <f>Other!F25</f>
        <v>22.988505747126435</v>
      </c>
      <c r="H150" s="549">
        <f>Other!G25</f>
        <v>311.9413625110904</v>
      </c>
      <c r="I150" s="549">
        <f>Other!I25</f>
        <v>1.8246210075280838</v>
      </c>
      <c r="J150" s="549">
        <f>Other!M25</f>
        <v>1.1599999999999999</v>
      </c>
      <c r="K150" s="549">
        <f>Other!L25</f>
        <v>2.4683712065756485</v>
      </c>
      <c r="L150" s="549"/>
      <c r="M150" s="549"/>
      <c r="N150" s="549">
        <f>Other!H25</f>
        <v>17.181847820889455</v>
      </c>
      <c r="O150" s="549">
        <f>Other!J25</f>
        <v>56.06146600965802</v>
      </c>
    </row>
    <row r="151" spans="2:17">
      <c r="B151" s="1508" t="s">
        <v>1426</v>
      </c>
      <c r="C151" s="549"/>
      <c r="D151" s="526" t="s">
        <v>1481</v>
      </c>
      <c r="E151" s="1529">
        <v>2020</v>
      </c>
      <c r="F151" s="549"/>
      <c r="G151" s="549">
        <f>Other!F26</f>
        <v>22.988505747126435</v>
      </c>
      <c r="H151" s="549">
        <f>Other!G26</f>
        <v>311.9413625110904</v>
      </c>
      <c r="I151" s="549">
        <f>Other!I26</f>
        <v>1.8246210075280838</v>
      </c>
      <c r="J151" s="549">
        <f>Other!M26</f>
        <v>1.1599999999999999</v>
      </c>
      <c r="K151" s="549">
        <f>Other!L26</f>
        <v>2.4683712065756485</v>
      </c>
      <c r="L151" s="549"/>
      <c r="M151" s="549"/>
      <c r="N151" s="549">
        <f>Other!H26</f>
        <v>17.181847820889455</v>
      </c>
      <c r="O151" s="549">
        <f>Other!J26</f>
        <v>56.06146600965802</v>
      </c>
    </row>
    <row r="152" spans="2:17">
      <c r="B152" s="1508" t="s">
        <v>1426</v>
      </c>
      <c r="C152" s="549"/>
      <c r="D152" s="526" t="s">
        <v>1481</v>
      </c>
      <c r="E152" s="1529">
        <v>2035</v>
      </c>
      <c r="F152" s="549"/>
      <c r="G152" s="549">
        <f>Other!F27</f>
        <v>22.988505747126435</v>
      </c>
      <c r="H152" s="549">
        <f>Other!G27</f>
        <v>311.9413625110904</v>
      </c>
      <c r="I152" s="549">
        <f>Other!I27</f>
        <v>1.8246210075280838</v>
      </c>
      <c r="J152" s="549">
        <f>Other!M27</f>
        <v>1.1599999999999999</v>
      </c>
      <c r="K152" s="549">
        <f>Other!L27</f>
        <v>2.4683712065756485</v>
      </c>
      <c r="L152" s="549"/>
      <c r="M152" s="549"/>
      <c r="N152" s="549">
        <f>Other!H27</f>
        <v>17.181847820889455</v>
      </c>
      <c r="O152" s="549">
        <f>Other!J27</f>
        <v>56.06146600965802</v>
      </c>
    </row>
  </sheetData>
  <phoneticPr fontId="42" type="noConversion"/>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4A10-8CCC-4B95-B5AC-184B48B4D562}">
  <sheetPr>
    <tabColor rgb="FF7030A0"/>
  </sheetPr>
  <dimension ref="A1:E12"/>
  <sheetViews>
    <sheetView workbookViewId="0"/>
  </sheetViews>
  <sheetFormatPr defaultColWidth="9.109375" defaultRowHeight="13.2"/>
  <cols>
    <col min="1" max="16384" width="9.109375" style="549"/>
  </cols>
  <sheetData>
    <row r="1" spans="1:5">
      <c r="A1" s="549" t="s">
        <v>1440</v>
      </c>
    </row>
    <row r="3" spans="1:5">
      <c r="A3" s="549" t="s">
        <v>1352</v>
      </c>
      <c r="B3" s="549">
        <v>42.7</v>
      </c>
    </row>
    <row r="4" spans="1:5" ht="13.8" thickBot="1">
      <c r="A4" s="549" t="s">
        <v>1353</v>
      </c>
      <c r="B4" s="549">
        <v>37.6</v>
      </c>
    </row>
    <row r="5" spans="1:5" ht="13.8" thickBot="1">
      <c r="A5" s="1461" t="s">
        <v>1354</v>
      </c>
      <c r="B5" s="1462">
        <v>0</v>
      </c>
    </row>
    <row r="6" spans="1:5">
      <c r="A6" s="549" t="s">
        <v>1355</v>
      </c>
      <c r="B6" s="535">
        <f>+IF($B$5=0,0,1/(($B$4/$B$3*(1/$B$5-1/100)+1/100)))</f>
        <v>0</v>
      </c>
      <c r="E6" s="654" t="s">
        <v>1356</v>
      </c>
    </row>
    <row r="7" spans="1:5">
      <c r="A7" s="549" t="s">
        <v>1357</v>
      </c>
      <c r="B7" s="535">
        <f>+($B$6*$B$4+(100-$B$6)*$B$3)/100</f>
        <v>42.7</v>
      </c>
      <c r="E7" s="654" t="s">
        <v>1358</v>
      </c>
    </row>
    <row r="8" spans="1:5">
      <c r="A8" s="549" t="s">
        <v>1359</v>
      </c>
      <c r="B8" s="535">
        <f>+(100*$B$5*0.84*42.7)/(0.88*37.6*(100-$B$5)+($B$5*0.84*42.7))</f>
        <v>0</v>
      </c>
    </row>
    <row r="12" spans="1:5">
      <c r="E12" s="519"/>
    </row>
  </sheetData>
  <pageMargins left="0.75" right="0.75" top="1" bottom="1" header="0.5" footer="0.5"/>
  <headerFooter alignWithMargins="0"/>
  <drawing r:id="rId1"/>
  <legacyDrawing r:id="rId2"/>
  <oleObjects>
    <mc:AlternateContent xmlns:mc="http://schemas.openxmlformats.org/markup-compatibility/2006">
      <mc:Choice Requires="x14">
        <oleObject progId="Equation.3" shapeId="141313" r:id="rId3">
          <objectPr defaultSize="0" autoPict="0" r:id="rId4">
            <anchor moveWithCells="1" sizeWithCells="1">
              <from>
                <xdr:col>4</xdr:col>
                <xdr:colOff>30480</xdr:colOff>
                <xdr:row>7</xdr:row>
                <xdr:rowOff>152400</xdr:rowOff>
              </from>
              <to>
                <xdr:col>9</xdr:col>
                <xdr:colOff>533400</xdr:colOff>
                <xdr:row>10</xdr:row>
                <xdr:rowOff>114300</xdr:rowOff>
              </to>
            </anchor>
          </objectPr>
        </oleObject>
      </mc:Choice>
      <mc:Fallback>
        <oleObject progId="Equation.3" shapeId="141313" r:id="rId3"/>
      </mc:Fallback>
    </mc:AlternateContent>
  </oleObjec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D0AA2-67D9-4A76-AF5E-5069EFEA35EB}">
  <sheetPr>
    <tabColor rgb="FF7030A0"/>
  </sheetPr>
  <dimension ref="A3:V178"/>
  <sheetViews>
    <sheetView zoomScale="75" workbookViewId="0">
      <pane ySplit="33" topLeftCell="A34" activePane="bottomLeft" state="frozen"/>
      <selection pane="bottomLeft" activeCell="M30" sqref="M30"/>
    </sheetView>
  </sheetViews>
  <sheetFormatPr defaultRowHeight="13.2"/>
  <cols>
    <col min="1" max="1" width="9.109375" style="549"/>
    <col min="2" max="2" width="18.44140625" style="549" customWidth="1"/>
    <col min="3" max="3" width="8.109375" style="549" bestFit="1" customWidth="1"/>
    <col min="4" max="4" width="16.88671875" style="549" bestFit="1" customWidth="1"/>
    <col min="5" max="5" width="12.109375" style="549" bestFit="1" customWidth="1"/>
    <col min="6" max="6" width="12.44140625" style="549" customWidth="1"/>
    <col min="7" max="7" width="12.44140625" style="549" bestFit="1" customWidth="1"/>
    <col min="8" max="11" width="11.6640625" style="549" bestFit="1" customWidth="1"/>
    <col min="12" max="12" width="12.88671875" style="549" bestFit="1" customWidth="1"/>
    <col min="13" max="13" width="11.88671875" style="549" bestFit="1" customWidth="1"/>
    <col min="14" max="15" width="12.88671875" style="549" bestFit="1" customWidth="1"/>
    <col min="16" max="16" width="11.6640625" style="549" bestFit="1" customWidth="1"/>
    <col min="17" max="17" width="12.5546875" style="549" bestFit="1" customWidth="1"/>
    <col min="18" max="257" width="9.109375" style="549"/>
    <col min="258" max="258" width="18.44140625" style="549" customWidth="1"/>
    <col min="259" max="259" width="8.109375" style="549" bestFit="1" customWidth="1"/>
    <col min="260" max="260" width="16.88671875" style="549" bestFit="1" customWidth="1"/>
    <col min="261" max="261" width="12.109375" style="549" bestFit="1" customWidth="1"/>
    <col min="262" max="262" width="12.44140625" style="549" customWidth="1"/>
    <col min="263" max="263" width="12.44140625" style="549" bestFit="1" customWidth="1"/>
    <col min="264" max="267" width="11.6640625" style="549" bestFit="1" customWidth="1"/>
    <col min="268" max="268" width="12.88671875" style="549" bestFit="1" customWidth="1"/>
    <col min="269" max="269" width="11.88671875" style="549" bestFit="1" customWidth="1"/>
    <col min="270" max="271" width="12.88671875" style="549" bestFit="1" customWidth="1"/>
    <col min="272" max="272" width="11.6640625" style="549" bestFit="1" customWidth="1"/>
    <col min="273" max="273" width="12.5546875" style="549" bestFit="1" customWidth="1"/>
    <col min="274" max="513" width="9.109375" style="549"/>
    <col min="514" max="514" width="18.44140625" style="549" customWidth="1"/>
    <col min="515" max="515" width="8.109375" style="549" bestFit="1" customWidth="1"/>
    <col min="516" max="516" width="16.88671875" style="549" bestFit="1" customWidth="1"/>
    <col min="517" max="517" width="12.109375" style="549" bestFit="1" customWidth="1"/>
    <col min="518" max="518" width="12.44140625" style="549" customWidth="1"/>
    <col min="519" max="519" width="12.44140625" style="549" bestFit="1" customWidth="1"/>
    <col min="520" max="523" width="11.6640625" style="549" bestFit="1" customWidth="1"/>
    <col min="524" max="524" width="12.88671875" style="549" bestFit="1" customWidth="1"/>
    <col min="525" max="525" width="11.88671875" style="549" bestFit="1" customWidth="1"/>
    <col min="526" max="527" width="12.88671875" style="549" bestFit="1" customWidth="1"/>
    <col min="528" max="528" width="11.6640625" style="549" bestFit="1" customWidth="1"/>
    <col min="529" max="529" width="12.5546875" style="549" bestFit="1" customWidth="1"/>
    <col min="530" max="769" width="9.109375" style="549"/>
    <col min="770" max="770" width="18.44140625" style="549" customWidth="1"/>
    <col min="771" max="771" width="8.109375" style="549" bestFit="1" customWidth="1"/>
    <col min="772" max="772" width="16.88671875" style="549" bestFit="1" customWidth="1"/>
    <col min="773" max="773" width="12.109375" style="549" bestFit="1" customWidth="1"/>
    <col min="774" max="774" width="12.44140625" style="549" customWidth="1"/>
    <col min="775" max="775" width="12.44140625" style="549" bestFit="1" customWidth="1"/>
    <col min="776" max="779" width="11.6640625" style="549" bestFit="1" customWidth="1"/>
    <col min="780" max="780" width="12.88671875" style="549" bestFit="1" customWidth="1"/>
    <col min="781" max="781" width="11.88671875" style="549" bestFit="1" customWidth="1"/>
    <col min="782" max="783" width="12.88671875" style="549" bestFit="1" customWidth="1"/>
    <col min="784" max="784" width="11.6640625" style="549" bestFit="1" customWidth="1"/>
    <col min="785" max="785" width="12.5546875" style="549" bestFit="1" customWidth="1"/>
    <col min="786" max="1025" width="9.109375" style="549"/>
    <col min="1026" max="1026" width="18.44140625" style="549" customWidth="1"/>
    <col min="1027" max="1027" width="8.109375" style="549" bestFit="1" customWidth="1"/>
    <col min="1028" max="1028" width="16.88671875" style="549" bestFit="1" customWidth="1"/>
    <col min="1029" max="1029" width="12.109375" style="549" bestFit="1" customWidth="1"/>
    <col min="1030" max="1030" width="12.44140625" style="549" customWidth="1"/>
    <col min="1031" max="1031" width="12.44140625" style="549" bestFit="1" customWidth="1"/>
    <col min="1032" max="1035" width="11.6640625" style="549" bestFit="1" customWidth="1"/>
    <col min="1036" max="1036" width="12.88671875" style="549" bestFit="1" customWidth="1"/>
    <col min="1037" max="1037" width="11.88671875" style="549" bestFit="1" customWidth="1"/>
    <col min="1038" max="1039" width="12.88671875" style="549" bestFit="1" customWidth="1"/>
    <col min="1040" max="1040" width="11.6640625" style="549" bestFit="1" customWidth="1"/>
    <col min="1041" max="1041" width="12.5546875" style="549" bestFit="1" customWidth="1"/>
    <col min="1042" max="1281" width="9.109375" style="549"/>
    <col min="1282" max="1282" width="18.44140625" style="549" customWidth="1"/>
    <col min="1283" max="1283" width="8.109375" style="549" bestFit="1" customWidth="1"/>
    <col min="1284" max="1284" width="16.88671875" style="549" bestFit="1" customWidth="1"/>
    <col min="1285" max="1285" width="12.109375" style="549" bestFit="1" customWidth="1"/>
    <col min="1286" max="1286" width="12.44140625" style="549" customWidth="1"/>
    <col min="1287" max="1287" width="12.44140625" style="549" bestFit="1" customWidth="1"/>
    <col min="1288" max="1291" width="11.6640625" style="549" bestFit="1" customWidth="1"/>
    <col min="1292" max="1292" width="12.88671875" style="549" bestFit="1" customWidth="1"/>
    <col min="1293" max="1293" width="11.88671875" style="549" bestFit="1" customWidth="1"/>
    <col min="1294" max="1295" width="12.88671875" style="549" bestFit="1" customWidth="1"/>
    <col min="1296" max="1296" width="11.6640625" style="549" bestFit="1" customWidth="1"/>
    <col min="1297" max="1297" width="12.5546875" style="549" bestFit="1" customWidth="1"/>
    <col min="1298" max="1537" width="9.109375" style="549"/>
    <col min="1538" max="1538" width="18.44140625" style="549" customWidth="1"/>
    <col min="1539" max="1539" width="8.109375" style="549" bestFit="1" customWidth="1"/>
    <col min="1540" max="1540" width="16.88671875" style="549" bestFit="1" customWidth="1"/>
    <col min="1541" max="1541" width="12.109375" style="549" bestFit="1" customWidth="1"/>
    <col min="1542" max="1542" width="12.44140625" style="549" customWidth="1"/>
    <col min="1543" max="1543" width="12.44140625" style="549" bestFit="1" customWidth="1"/>
    <col min="1544" max="1547" width="11.6640625" style="549" bestFit="1" customWidth="1"/>
    <col min="1548" max="1548" width="12.88671875" style="549" bestFit="1" customWidth="1"/>
    <col min="1549" max="1549" width="11.88671875" style="549" bestFit="1" customWidth="1"/>
    <col min="1550" max="1551" width="12.88671875" style="549" bestFit="1" customWidth="1"/>
    <col min="1552" max="1552" width="11.6640625" style="549" bestFit="1" customWidth="1"/>
    <col min="1553" max="1553" width="12.5546875" style="549" bestFit="1" customWidth="1"/>
    <col min="1554" max="1793" width="9.109375" style="549"/>
    <col min="1794" max="1794" width="18.44140625" style="549" customWidth="1"/>
    <col min="1795" max="1795" width="8.109375" style="549" bestFit="1" customWidth="1"/>
    <col min="1796" max="1796" width="16.88671875" style="549" bestFit="1" customWidth="1"/>
    <col min="1797" max="1797" width="12.109375" style="549" bestFit="1" customWidth="1"/>
    <col min="1798" max="1798" width="12.44140625" style="549" customWidth="1"/>
    <col min="1799" max="1799" width="12.44140625" style="549" bestFit="1" customWidth="1"/>
    <col min="1800" max="1803" width="11.6640625" style="549" bestFit="1" customWidth="1"/>
    <col min="1804" max="1804" width="12.88671875" style="549" bestFit="1" customWidth="1"/>
    <col min="1805" max="1805" width="11.88671875" style="549" bestFit="1" customWidth="1"/>
    <col min="1806" max="1807" width="12.88671875" style="549" bestFit="1" customWidth="1"/>
    <col min="1808" max="1808" width="11.6640625" style="549" bestFit="1" customWidth="1"/>
    <col min="1809" max="1809" width="12.5546875" style="549" bestFit="1" customWidth="1"/>
    <col min="1810" max="2049" width="9.109375" style="549"/>
    <col min="2050" max="2050" width="18.44140625" style="549" customWidth="1"/>
    <col min="2051" max="2051" width="8.109375" style="549" bestFit="1" customWidth="1"/>
    <col min="2052" max="2052" width="16.88671875" style="549" bestFit="1" customWidth="1"/>
    <col min="2053" max="2053" width="12.109375" style="549" bestFit="1" customWidth="1"/>
    <col min="2054" max="2054" width="12.44140625" style="549" customWidth="1"/>
    <col min="2055" max="2055" width="12.44140625" style="549" bestFit="1" customWidth="1"/>
    <col min="2056" max="2059" width="11.6640625" style="549" bestFit="1" customWidth="1"/>
    <col min="2060" max="2060" width="12.88671875" style="549" bestFit="1" customWidth="1"/>
    <col min="2061" max="2061" width="11.88671875" style="549" bestFit="1" customWidth="1"/>
    <col min="2062" max="2063" width="12.88671875" style="549" bestFit="1" customWidth="1"/>
    <col min="2064" max="2064" width="11.6640625" style="549" bestFit="1" customWidth="1"/>
    <col min="2065" max="2065" width="12.5546875" style="549" bestFit="1" customWidth="1"/>
    <col min="2066" max="2305" width="9.109375" style="549"/>
    <col min="2306" max="2306" width="18.44140625" style="549" customWidth="1"/>
    <col min="2307" max="2307" width="8.109375" style="549" bestFit="1" customWidth="1"/>
    <col min="2308" max="2308" width="16.88671875" style="549" bestFit="1" customWidth="1"/>
    <col min="2309" max="2309" width="12.109375" style="549" bestFit="1" customWidth="1"/>
    <col min="2310" max="2310" width="12.44140625" style="549" customWidth="1"/>
    <col min="2311" max="2311" width="12.44140625" style="549" bestFit="1" customWidth="1"/>
    <col min="2312" max="2315" width="11.6640625" style="549" bestFit="1" customWidth="1"/>
    <col min="2316" max="2316" width="12.88671875" style="549" bestFit="1" customWidth="1"/>
    <col min="2317" max="2317" width="11.88671875" style="549" bestFit="1" customWidth="1"/>
    <col min="2318" max="2319" width="12.88671875" style="549" bestFit="1" customWidth="1"/>
    <col min="2320" max="2320" width="11.6640625" style="549" bestFit="1" customWidth="1"/>
    <col min="2321" max="2321" width="12.5546875" style="549" bestFit="1" customWidth="1"/>
    <col min="2322" max="2561" width="9.109375" style="549"/>
    <col min="2562" max="2562" width="18.44140625" style="549" customWidth="1"/>
    <col min="2563" max="2563" width="8.109375" style="549" bestFit="1" customWidth="1"/>
    <col min="2564" max="2564" width="16.88671875" style="549" bestFit="1" customWidth="1"/>
    <col min="2565" max="2565" width="12.109375" style="549" bestFit="1" customWidth="1"/>
    <col min="2566" max="2566" width="12.44140625" style="549" customWidth="1"/>
    <col min="2567" max="2567" width="12.44140625" style="549" bestFit="1" customWidth="1"/>
    <col min="2568" max="2571" width="11.6640625" style="549" bestFit="1" customWidth="1"/>
    <col min="2572" max="2572" width="12.88671875" style="549" bestFit="1" customWidth="1"/>
    <col min="2573" max="2573" width="11.88671875" style="549" bestFit="1" customWidth="1"/>
    <col min="2574" max="2575" width="12.88671875" style="549" bestFit="1" customWidth="1"/>
    <col min="2576" max="2576" width="11.6640625" style="549" bestFit="1" customWidth="1"/>
    <col min="2577" max="2577" width="12.5546875" style="549" bestFit="1" customWidth="1"/>
    <col min="2578" max="2817" width="9.109375" style="549"/>
    <col min="2818" max="2818" width="18.44140625" style="549" customWidth="1"/>
    <col min="2819" max="2819" width="8.109375" style="549" bestFit="1" customWidth="1"/>
    <col min="2820" max="2820" width="16.88671875" style="549" bestFit="1" customWidth="1"/>
    <col min="2821" max="2821" width="12.109375" style="549" bestFit="1" customWidth="1"/>
    <col min="2822" max="2822" width="12.44140625" style="549" customWidth="1"/>
    <col min="2823" max="2823" width="12.44140625" style="549" bestFit="1" customWidth="1"/>
    <col min="2824" max="2827" width="11.6640625" style="549" bestFit="1" customWidth="1"/>
    <col min="2828" max="2828" width="12.88671875" style="549" bestFit="1" customWidth="1"/>
    <col min="2829" max="2829" width="11.88671875" style="549" bestFit="1" customWidth="1"/>
    <col min="2830" max="2831" width="12.88671875" style="549" bestFit="1" customWidth="1"/>
    <col min="2832" max="2832" width="11.6640625" style="549" bestFit="1" customWidth="1"/>
    <col min="2833" max="2833" width="12.5546875" style="549" bestFit="1" customWidth="1"/>
    <col min="2834" max="3073" width="9.109375" style="549"/>
    <col min="3074" max="3074" width="18.44140625" style="549" customWidth="1"/>
    <col min="3075" max="3075" width="8.109375" style="549" bestFit="1" customWidth="1"/>
    <col min="3076" max="3076" width="16.88671875" style="549" bestFit="1" customWidth="1"/>
    <col min="3077" max="3077" width="12.109375" style="549" bestFit="1" customWidth="1"/>
    <col min="3078" max="3078" width="12.44140625" style="549" customWidth="1"/>
    <col min="3079" max="3079" width="12.44140625" style="549" bestFit="1" customWidth="1"/>
    <col min="3080" max="3083" width="11.6640625" style="549" bestFit="1" customWidth="1"/>
    <col min="3084" max="3084" width="12.88671875" style="549" bestFit="1" customWidth="1"/>
    <col min="3085" max="3085" width="11.88671875" style="549" bestFit="1" customWidth="1"/>
    <col min="3086" max="3087" width="12.88671875" style="549" bestFit="1" customWidth="1"/>
    <col min="3088" max="3088" width="11.6640625" style="549" bestFit="1" customWidth="1"/>
    <col min="3089" max="3089" width="12.5546875" style="549" bestFit="1" customWidth="1"/>
    <col min="3090" max="3329" width="9.109375" style="549"/>
    <col min="3330" max="3330" width="18.44140625" style="549" customWidth="1"/>
    <col min="3331" max="3331" width="8.109375" style="549" bestFit="1" customWidth="1"/>
    <col min="3332" max="3332" width="16.88671875" style="549" bestFit="1" customWidth="1"/>
    <col min="3333" max="3333" width="12.109375" style="549" bestFit="1" customWidth="1"/>
    <col min="3334" max="3334" width="12.44140625" style="549" customWidth="1"/>
    <col min="3335" max="3335" width="12.44140625" style="549" bestFit="1" customWidth="1"/>
    <col min="3336" max="3339" width="11.6640625" style="549" bestFit="1" customWidth="1"/>
    <col min="3340" max="3340" width="12.88671875" style="549" bestFit="1" customWidth="1"/>
    <col min="3341" max="3341" width="11.88671875" style="549" bestFit="1" customWidth="1"/>
    <col min="3342" max="3343" width="12.88671875" style="549" bestFit="1" customWidth="1"/>
    <col min="3344" max="3344" width="11.6640625" style="549" bestFit="1" customWidth="1"/>
    <col min="3345" max="3345" width="12.5546875" style="549" bestFit="1" customWidth="1"/>
    <col min="3346" max="3585" width="9.109375" style="549"/>
    <col min="3586" max="3586" width="18.44140625" style="549" customWidth="1"/>
    <col min="3587" max="3587" width="8.109375" style="549" bestFit="1" customWidth="1"/>
    <col min="3588" max="3588" width="16.88671875" style="549" bestFit="1" customWidth="1"/>
    <col min="3589" max="3589" width="12.109375" style="549" bestFit="1" customWidth="1"/>
    <col min="3590" max="3590" width="12.44140625" style="549" customWidth="1"/>
    <col min="3591" max="3591" width="12.44140625" style="549" bestFit="1" customWidth="1"/>
    <col min="3592" max="3595" width="11.6640625" style="549" bestFit="1" customWidth="1"/>
    <col min="3596" max="3596" width="12.88671875" style="549" bestFit="1" customWidth="1"/>
    <col min="3597" max="3597" width="11.88671875" style="549" bestFit="1" customWidth="1"/>
    <col min="3598" max="3599" width="12.88671875" style="549" bestFit="1" customWidth="1"/>
    <col min="3600" max="3600" width="11.6640625" style="549" bestFit="1" customWidth="1"/>
    <col min="3601" max="3601" width="12.5546875" style="549" bestFit="1" customWidth="1"/>
    <col min="3602" max="3841" width="9.109375" style="549"/>
    <col min="3842" max="3842" width="18.44140625" style="549" customWidth="1"/>
    <col min="3843" max="3843" width="8.109375" style="549" bestFit="1" customWidth="1"/>
    <col min="3844" max="3844" width="16.88671875" style="549" bestFit="1" customWidth="1"/>
    <col min="3845" max="3845" width="12.109375" style="549" bestFit="1" customWidth="1"/>
    <col min="3846" max="3846" width="12.44140625" style="549" customWidth="1"/>
    <col min="3847" max="3847" width="12.44140625" style="549" bestFit="1" customWidth="1"/>
    <col min="3848" max="3851" width="11.6640625" style="549" bestFit="1" customWidth="1"/>
    <col min="3852" max="3852" width="12.88671875" style="549" bestFit="1" customWidth="1"/>
    <col min="3853" max="3853" width="11.88671875" style="549" bestFit="1" customWidth="1"/>
    <col min="3854" max="3855" width="12.88671875" style="549" bestFit="1" customWidth="1"/>
    <col min="3856" max="3856" width="11.6640625" style="549" bestFit="1" customWidth="1"/>
    <col min="3857" max="3857" width="12.5546875" style="549" bestFit="1" customWidth="1"/>
    <col min="3858" max="4097" width="9.109375" style="549"/>
    <col min="4098" max="4098" width="18.44140625" style="549" customWidth="1"/>
    <col min="4099" max="4099" width="8.109375" style="549" bestFit="1" customWidth="1"/>
    <col min="4100" max="4100" width="16.88671875" style="549" bestFit="1" customWidth="1"/>
    <col min="4101" max="4101" width="12.109375" style="549" bestFit="1" customWidth="1"/>
    <col min="4102" max="4102" width="12.44140625" style="549" customWidth="1"/>
    <col min="4103" max="4103" width="12.44140625" style="549" bestFit="1" customWidth="1"/>
    <col min="4104" max="4107" width="11.6640625" style="549" bestFit="1" customWidth="1"/>
    <col min="4108" max="4108" width="12.88671875" style="549" bestFit="1" customWidth="1"/>
    <col min="4109" max="4109" width="11.88671875" style="549" bestFit="1" customWidth="1"/>
    <col min="4110" max="4111" width="12.88671875" style="549" bestFit="1" customWidth="1"/>
    <col min="4112" max="4112" width="11.6640625" style="549" bestFit="1" customWidth="1"/>
    <col min="4113" max="4113" width="12.5546875" style="549" bestFit="1" customWidth="1"/>
    <col min="4114" max="4353" width="9.109375" style="549"/>
    <col min="4354" max="4354" width="18.44140625" style="549" customWidth="1"/>
    <col min="4355" max="4355" width="8.109375" style="549" bestFit="1" customWidth="1"/>
    <col min="4356" max="4356" width="16.88671875" style="549" bestFit="1" customWidth="1"/>
    <col min="4357" max="4357" width="12.109375" style="549" bestFit="1" customWidth="1"/>
    <col min="4358" max="4358" width="12.44140625" style="549" customWidth="1"/>
    <col min="4359" max="4359" width="12.44140625" style="549" bestFit="1" customWidth="1"/>
    <col min="4360" max="4363" width="11.6640625" style="549" bestFit="1" customWidth="1"/>
    <col min="4364" max="4364" width="12.88671875" style="549" bestFit="1" customWidth="1"/>
    <col min="4365" max="4365" width="11.88671875" style="549" bestFit="1" customWidth="1"/>
    <col min="4366" max="4367" width="12.88671875" style="549" bestFit="1" customWidth="1"/>
    <col min="4368" max="4368" width="11.6640625" style="549" bestFit="1" customWidth="1"/>
    <col min="4369" max="4369" width="12.5546875" style="549" bestFit="1" customWidth="1"/>
    <col min="4370" max="4609" width="9.109375" style="549"/>
    <col min="4610" max="4610" width="18.44140625" style="549" customWidth="1"/>
    <col min="4611" max="4611" width="8.109375" style="549" bestFit="1" customWidth="1"/>
    <col min="4612" max="4612" width="16.88671875" style="549" bestFit="1" customWidth="1"/>
    <col min="4613" max="4613" width="12.109375" style="549" bestFit="1" customWidth="1"/>
    <col min="4614" max="4614" width="12.44140625" style="549" customWidth="1"/>
    <col min="4615" max="4615" width="12.44140625" style="549" bestFit="1" customWidth="1"/>
    <col min="4616" max="4619" width="11.6640625" style="549" bestFit="1" customWidth="1"/>
    <col min="4620" max="4620" width="12.88671875" style="549" bestFit="1" customWidth="1"/>
    <col min="4621" max="4621" width="11.88671875" style="549" bestFit="1" customWidth="1"/>
    <col min="4622" max="4623" width="12.88671875" style="549" bestFit="1" customWidth="1"/>
    <col min="4624" max="4624" width="11.6640625" style="549" bestFit="1" customWidth="1"/>
    <col min="4625" max="4625" width="12.5546875" style="549" bestFit="1" customWidth="1"/>
    <col min="4626" max="4865" width="9.109375" style="549"/>
    <col min="4866" max="4866" width="18.44140625" style="549" customWidth="1"/>
    <col min="4867" max="4867" width="8.109375" style="549" bestFit="1" customWidth="1"/>
    <col min="4868" max="4868" width="16.88671875" style="549" bestFit="1" customWidth="1"/>
    <col min="4869" max="4869" width="12.109375" style="549" bestFit="1" customWidth="1"/>
    <col min="4870" max="4870" width="12.44140625" style="549" customWidth="1"/>
    <col min="4871" max="4871" width="12.44140625" style="549" bestFit="1" customWidth="1"/>
    <col min="4872" max="4875" width="11.6640625" style="549" bestFit="1" customWidth="1"/>
    <col min="4876" max="4876" width="12.88671875" style="549" bestFit="1" customWidth="1"/>
    <col min="4877" max="4877" width="11.88671875" style="549" bestFit="1" customWidth="1"/>
    <col min="4878" max="4879" width="12.88671875" style="549" bestFit="1" customWidth="1"/>
    <col min="4880" max="4880" width="11.6640625" style="549" bestFit="1" customWidth="1"/>
    <col min="4881" max="4881" width="12.5546875" style="549" bestFit="1" customWidth="1"/>
    <col min="4882" max="5121" width="9.109375" style="549"/>
    <col min="5122" max="5122" width="18.44140625" style="549" customWidth="1"/>
    <col min="5123" max="5123" width="8.109375" style="549" bestFit="1" customWidth="1"/>
    <col min="5124" max="5124" width="16.88671875" style="549" bestFit="1" customWidth="1"/>
    <col min="5125" max="5125" width="12.109375" style="549" bestFit="1" customWidth="1"/>
    <col min="5126" max="5126" width="12.44140625" style="549" customWidth="1"/>
    <col min="5127" max="5127" width="12.44140625" style="549" bestFit="1" customWidth="1"/>
    <col min="5128" max="5131" width="11.6640625" style="549" bestFit="1" customWidth="1"/>
    <col min="5132" max="5132" width="12.88671875" style="549" bestFit="1" customWidth="1"/>
    <col min="5133" max="5133" width="11.88671875" style="549" bestFit="1" customWidth="1"/>
    <col min="5134" max="5135" width="12.88671875" style="549" bestFit="1" customWidth="1"/>
    <col min="5136" max="5136" width="11.6640625" style="549" bestFit="1" customWidth="1"/>
    <col min="5137" max="5137" width="12.5546875" style="549" bestFit="1" customWidth="1"/>
    <col min="5138" max="5377" width="9.109375" style="549"/>
    <col min="5378" max="5378" width="18.44140625" style="549" customWidth="1"/>
    <col min="5379" max="5379" width="8.109375" style="549" bestFit="1" customWidth="1"/>
    <col min="5380" max="5380" width="16.88671875" style="549" bestFit="1" customWidth="1"/>
    <col min="5381" max="5381" width="12.109375" style="549" bestFit="1" customWidth="1"/>
    <col min="5382" max="5382" width="12.44140625" style="549" customWidth="1"/>
    <col min="5383" max="5383" width="12.44140625" style="549" bestFit="1" customWidth="1"/>
    <col min="5384" max="5387" width="11.6640625" style="549" bestFit="1" customWidth="1"/>
    <col min="5388" max="5388" width="12.88671875" style="549" bestFit="1" customWidth="1"/>
    <col min="5389" max="5389" width="11.88671875" style="549" bestFit="1" customWidth="1"/>
    <col min="5390" max="5391" width="12.88671875" style="549" bestFit="1" customWidth="1"/>
    <col min="5392" max="5392" width="11.6640625" style="549" bestFit="1" customWidth="1"/>
    <col min="5393" max="5393" width="12.5546875" style="549" bestFit="1" customWidth="1"/>
    <col min="5394" max="5633" width="9.109375" style="549"/>
    <col min="5634" max="5634" width="18.44140625" style="549" customWidth="1"/>
    <col min="5635" max="5635" width="8.109375" style="549" bestFit="1" customWidth="1"/>
    <col min="5636" max="5636" width="16.88671875" style="549" bestFit="1" customWidth="1"/>
    <col min="5637" max="5637" width="12.109375" style="549" bestFit="1" customWidth="1"/>
    <col min="5638" max="5638" width="12.44140625" style="549" customWidth="1"/>
    <col min="5639" max="5639" width="12.44140625" style="549" bestFit="1" customWidth="1"/>
    <col min="5640" max="5643" width="11.6640625" style="549" bestFit="1" customWidth="1"/>
    <col min="5644" max="5644" width="12.88671875" style="549" bestFit="1" customWidth="1"/>
    <col min="5645" max="5645" width="11.88671875" style="549" bestFit="1" customWidth="1"/>
    <col min="5646" max="5647" width="12.88671875" style="549" bestFit="1" customWidth="1"/>
    <col min="5648" max="5648" width="11.6640625" style="549" bestFit="1" customWidth="1"/>
    <col min="5649" max="5649" width="12.5546875" style="549" bestFit="1" customWidth="1"/>
    <col min="5650" max="5889" width="9.109375" style="549"/>
    <col min="5890" max="5890" width="18.44140625" style="549" customWidth="1"/>
    <col min="5891" max="5891" width="8.109375" style="549" bestFit="1" customWidth="1"/>
    <col min="5892" max="5892" width="16.88671875" style="549" bestFit="1" customWidth="1"/>
    <col min="5893" max="5893" width="12.109375" style="549" bestFit="1" customWidth="1"/>
    <col min="5894" max="5894" width="12.44140625" style="549" customWidth="1"/>
    <col min="5895" max="5895" width="12.44140625" style="549" bestFit="1" customWidth="1"/>
    <col min="5896" max="5899" width="11.6640625" style="549" bestFit="1" customWidth="1"/>
    <col min="5900" max="5900" width="12.88671875" style="549" bestFit="1" customWidth="1"/>
    <col min="5901" max="5901" width="11.88671875" style="549" bestFit="1" customWidth="1"/>
    <col min="5902" max="5903" width="12.88671875" style="549" bestFit="1" customWidth="1"/>
    <col min="5904" max="5904" width="11.6640625" style="549" bestFit="1" customWidth="1"/>
    <col min="5905" max="5905" width="12.5546875" style="549" bestFit="1" customWidth="1"/>
    <col min="5906" max="6145" width="9.109375" style="549"/>
    <col min="6146" max="6146" width="18.44140625" style="549" customWidth="1"/>
    <col min="6147" max="6147" width="8.109375" style="549" bestFit="1" customWidth="1"/>
    <col min="6148" max="6148" width="16.88671875" style="549" bestFit="1" customWidth="1"/>
    <col min="6149" max="6149" width="12.109375" style="549" bestFit="1" customWidth="1"/>
    <col min="6150" max="6150" width="12.44140625" style="549" customWidth="1"/>
    <col min="6151" max="6151" width="12.44140625" style="549" bestFit="1" customWidth="1"/>
    <col min="6152" max="6155" width="11.6640625" style="549" bestFit="1" customWidth="1"/>
    <col min="6156" max="6156" width="12.88671875" style="549" bestFit="1" customWidth="1"/>
    <col min="6157" max="6157" width="11.88671875" style="549" bestFit="1" customWidth="1"/>
    <col min="6158" max="6159" width="12.88671875" style="549" bestFit="1" customWidth="1"/>
    <col min="6160" max="6160" width="11.6640625" style="549" bestFit="1" customWidth="1"/>
    <col min="6161" max="6161" width="12.5546875" style="549" bestFit="1" customWidth="1"/>
    <col min="6162" max="6401" width="9.109375" style="549"/>
    <col min="6402" max="6402" width="18.44140625" style="549" customWidth="1"/>
    <col min="6403" max="6403" width="8.109375" style="549" bestFit="1" customWidth="1"/>
    <col min="6404" max="6404" width="16.88671875" style="549" bestFit="1" customWidth="1"/>
    <col min="6405" max="6405" width="12.109375" style="549" bestFit="1" customWidth="1"/>
    <col min="6406" max="6406" width="12.44140625" style="549" customWidth="1"/>
    <col min="6407" max="6407" width="12.44140625" style="549" bestFit="1" customWidth="1"/>
    <col min="6408" max="6411" width="11.6640625" style="549" bestFit="1" customWidth="1"/>
    <col min="6412" max="6412" width="12.88671875" style="549" bestFit="1" customWidth="1"/>
    <col min="6413" max="6413" width="11.88671875" style="549" bestFit="1" customWidth="1"/>
    <col min="6414" max="6415" width="12.88671875" style="549" bestFit="1" customWidth="1"/>
    <col min="6416" max="6416" width="11.6640625" style="549" bestFit="1" customWidth="1"/>
    <col min="6417" max="6417" width="12.5546875" style="549" bestFit="1" customWidth="1"/>
    <col min="6418" max="6657" width="9.109375" style="549"/>
    <col min="6658" max="6658" width="18.44140625" style="549" customWidth="1"/>
    <col min="6659" max="6659" width="8.109375" style="549" bestFit="1" customWidth="1"/>
    <col min="6660" max="6660" width="16.88671875" style="549" bestFit="1" customWidth="1"/>
    <col min="6661" max="6661" width="12.109375" style="549" bestFit="1" customWidth="1"/>
    <col min="6662" max="6662" width="12.44140625" style="549" customWidth="1"/>
    <col min="6663" max="6663" width="12.44140625" style="549" bestFit="1" customWidth="1"/>
    <col min="6664" max="6667" width="11.6640625" style="549" bestFit="1" customWidth="1"/>
    <col min="6668" max="6668" width="12.88671875" style="549" bestFit="1" customWidth="1"/>
    <col min="6669" max="6669" width="11.88671875" style="549" bestFit="1" customWidth="1"/>
    <col min="6670" max="6671" width="12.88671875" style="549" bestFit="1" customWidth="1"/>
    <col min="6672" max="6672" width="11.6640625" style="549" bestFit="1" customWidth="1"/>
    <col min="6673" max="6673" width="12.5546875" style="549" bestFit="1" customWidth="1"/>
    <col min="6674" max="6913" width="9.109375" style="549"/>
    <col min="6914" max="6914" width="18.44140625" style="549" customWidth="1"/>
    <col min="6915" max="6915" width="8.109375" style="549" bestFit="1" customWidth="1"/>
    <col min="6916" max="6916" width="16.88671875" style="549" bestFit="1" customWidth="1"/>
    <col min="6917" max="6917" width="12.109375" style="549" bestFit="1" customWidth="1"/>
    <col min="6918" max="6918" width="12.44140625" style="549" customWidth="1"/>
    <col min="6919" max="6919" width="12.44140625" style="549" bestFit="1" customWidth="1"/>
    <col min="6920" max="6923" width="11.6640625" style="549" bestFit="1" customWidth="1"/>
    <col min="6924" max="6924" width="12.88671875" style="549" bestFit="1" customWidth="1"/>
    <col min="6925" max="6925" width="11.88671875" style="549" bestFit="1" customWidth="1"/>
    <col min="6926" max="6927" width="12.88671875" style="549" bestFit="1" customWidth="1"/>
    <col min="6928" max="6928" width="11.6640625" style="549" bestFit="1" customWidth="1"/>
    <col min="6929" max="6929" width="12.5546875" style="549" bestFit="1" customWidth="1"/>
    <col min="6930" max="7169" width="9.109375" style="549"/>
    <col min="7170" max="7170" width="18.44140625" style="549" customWidth="1"/>
    <col min="7171" max="7171" width="8.109375" style="549" bestFit="1" customWidth="1"/>
    <col min="7172" max="7172" width="16.88671875" style="549" bestFit="1" customWidth="1"/>
    <col min="7173" max="7173" width="12.109375" style="549" bestFit="1" customWidth="1"/>
    <col min="7174" max="7174" width="12.44140625" style="549" customWidth="1"/>
    <col min="7175" max="7175" width="12.44140625" style="549" bestFit="1" customWidth="1"/>
    <col min="7176" max="7179" width="11.6640625" style="549" bestFit="1" customWidth="1"/>
    <col min="7180" max="7180" width="12.88671875" style="549" bestFit="1" customWidth="1"/>
    <col min="7181" max="7181" width="11.88671875" style="549" bestFit="1" customWidth="1"/>
    <col min="7182" max="7183" width="12.88671875" style="549" bestFit="1" customWidth="1"/>
    <col min="7184" max="7184" width="11.6640625" style="549" bestFit="1" customWidth="1"/>
    <col min="7185" max="7185" width="12.5546875" style="549" bestFit="1" customWidth="1"/>
    <col min="7186" max="7425" width="9.109375" style="549"/>
    <col min="7426" max="7426" width="18.44140625" style="549" customWidth="1"/>
    <col min="7427" max="7427" width="8.109375" style="549" bestFit="1" customWidth="1"/>
    <col min="7428" max="7428" width="16.88671875" style="549" bestFit="1" customWidth="1"/>
    <col min="7429" max="7429" width="12.109375" style="549" bestFit="1" customWidth="1"/>
    <col min="7430" max="7430" width="12.44140625" style="549" customWidth="1"/>
    <col min="7431" max="7431" width="12.44140625" style="549" bestFit="1" customWidth="1"/>
    <col min="7432" max="7435" width="11.6640625" style="549" bestFit="1" customWidth="1"/>
    <col min="7436" max="7436" width="12.88671875" style="549" bestFit="1" customWidth="1"/>
    <col min="7437" max="7437" width="11.88671875" style="549" bestFit="1" customWidth="1"/>
    <col min="7438" max="7439" width="12.88671875" style="549" bestFit="1" customWidth="1"/>
    <col min="7440" max="7440" width="11.6640625" style="549" bestFit="1" customWidth="1"/>
    <col min="7441" max="7441" width="12.5546875" style="549" bestFit="1" customWidth="1"/>
    <col min="7442" max="7681" width="9.109375" style="549"/>
    <col min="7682" max="7682" width="18.44140625" style="549" customWidth="1"/>
    <col min="7683" max="7683" width="8.109375" style="549" bestFit="1" customWidth="1"/>
    <col min="7684" max="7684" width="16.88671875" style="549" bestFit="1" customWidth="1"/>
    <col min="7685" max="7685" width="12.109375" style="549" bestFit="1" customWidth="1"/>
    <col min="7686" max="7686" width="12.44140625" style="549" customWidth="1"/>
    <col min="7687" max="7687" width="12.44140625" style="549" bestFit="1" customWidth="1"/>
    <col min="7688" max="7691" width="11.6640625" style="549" bestFit="1" customWidth="1"/>
    <col min="7692" max="7692" width="12.88671875" style="549" bestFit="1" customWidth="1"/>
    <col min="7693" max="7693" width="11.88671875" style="549" bestFit="1" customWidth="1"/>
    <col min="7694" max="7695" width="12.88671875" style="549" bestFit="1" customWidth="1"/>
    <col min="7696" max="7696" width="11.6640625" style="549" bestFit="1" customWidth="1"/>
    <col min="7697" max="7697" width="12.5546875" style="549" bestFit="1" customWidth="1"/>
    <col min="7698" max="7937" width="9.109375" style="549"/>
    <col min="7938" max="7938" width="18.44140625" style="549" customWidth="1"/>
    <col min="7939" max="7939" width="8.109375" style="549" bestFit="1" customWidth="1"/>
    <col min="7940" max="7940" width="16.88671875" style="549" bestFit="1" customWidth="1"/>
    <col min="7941" max="7941" width="12.109375" style="549" bestFit="1" customWidth="1"/>
    <col min="7942" max="7942" width="12.44140625" style="549" customWidth="1"/>
    <col min="7943" max="7943" width="12.44140625" style="549" bestFit="1" customWidth="1"/>
    <col min="7944" max="7947" width="11.6640625" style="549" bestFit="1" customWidth="1"/>
    <col min="7948" max="7948" width="12.88671875" style="549" bestFit="1" customWidth="1"/>
    <col min="7949" max="7949" width="11.88671875" style="549" bestFit="1" customWidth="1"/>
    <col min="7950" max="7951" width="12.88671875" style="549" bestFit="1" customWidth="1"/>
    <col min="7952" max="7952" width="11.6640625" style="549" bestFit="1" customWidth="1"/>
    <col min="7953" max="7953" width="12.5546875" style="549" bestFit="1" customWidth="1"/>
    <col min="7954" max="8193" width="9.109375" style="549"/>
    <col min="8194" max="8194" width="18.44140625" style="549" customWidth="1"/>
    <col min="8195" max="8195" width="8.109375" style="549" bestFit="1" customWidth="1"/>
    <col min="8196" max="8196" width="16.88671875" style="549" bestFit="1" customWidth="1"/>
    <col min="8197" max="8197" width="12.109375" style="549" bestFit="1" customWidth="1"/>
    <col min="8198" max="8198" width="12.44140625" style="549" customWidth="1"/>
    <col min="8199" max="8199" width="12.44140625" style="549" bestFit="1" customWidth="1"/>
    <col min="8200" max="8203" width="11.6640625" style="549" bestFit="1" customWidth="1"/>
    <col min="8204" max="8204" width="12.88671875" style="549" bestFit="1" customWidth="1"/>
    <col min="8205" max="8205" width="11.88671875" style="549" bestFit="1" customWidth="1"/>
    <col min="8206" max="8207" width="12.88671875" style="549" bestFit="1" customWidth="1"/>
    <col min="8208" max="8208" width="11.6640625" style="549" bestFit="1" customWidth="1"/>
    <col min="8209" max="8209" width="12.5546875" style="549" bestFit="1" customWidth="1"/>
    <col min="8210" max="8449" width="9.109375" style="549"/>
    <col min="8450" max="8450" width="18.44140625" style="549" customWidth="1"/>
    <col min="8451" max="8451" width="8.109375" style="549" bestFit="1" customWidth="1"/>
    <col min="8452" max="8452" width="16.88671875" style="549" bestFit="1" customWidth="1"/>
    <col min="8453" max="8453" width="12.109375" style="549" bestFit="1" customWidth="1"/>
    <col min="8454" max="8454" width="12.44140625" style="549" customWidth="1"/>
    <col min="8455" max="8455" width="12.44140625" style="549" bestFit="1" customWidth="1"/>
    <col min="8456" max="8459" width="11.6640625" style="549" bestFit="1" customWidth="1"/>
    <col min="8460" max="8460" width="12.88671875" style="549" bestFit="1" customWidth="1"/>
    <col min="8461" max="8461" width="11.88671875" style="549" bestFit="1" customWidth="1"/>
    <col min="8462" max="8463" width="12.88671875" style="549" bestFit="1" customWidth="1"/>
    <col min="8464" max="8464" width="11.6640625" style="549" bestFit="1" customWidth="1"/>
    <col min="8465" max="8465" width="12.5546875" style="549" bestFit="1" customWidth="1"/>
    <col min="8466" max="8705" width="9.109375" style="549"/>
    <col min="8706" max="8706" width="18.44140625" style="549" customWidth="1"/>
    <col min="8707" max="8707" width="8.109375" style="549" bestFit="1" customWidth="1"/>
    <col min="8708" max="8708" width="16.88671875" style="549" bestFit="1" customWidth="1"/>
    <col min="8709" max="8709" width="12.109375" style="549" bestFit="1" customWidth="1"/>
    <col min="8710" max="8710" width="12.44140625" style="549" customWidth="1"/>
    <col min="8711" max="8711" width="12.44140625" style="549" bestFit="1" customWidth="1"/>
    <col min="8712" max="8715" width="11.6640625" style="549" bestFit="1" customWidth="1"/>
    <col min="8716" max="8716" width="12.88671875" style="549" bestFit="1" customWidth="1"/>
    <col min="8717" max="8717" width="11.88671875" style="549" bestFit="1" customWidth="1"/>
    <col min="8718" max="8719" width="12.88671875" style="549" bestFit="1" customWidth="1"/>
    <col min="8720" max="8720" width="11.6640625" style="549" bestFit="1" customWidth="1"/>
    <col min="8721" max="8721" width="12.5546875" style="549" bestFit="1" customWidth="1"/>
    <col min="8722" max="8961" width="9.109375" style="549"/>
    <col min="8962" max="8962" width="18.44140625" style="549" customWidth="1"/>
    <col min="8963" max="8963" width="8.109375" style="549" bestFit="1" customWidth="1"/>
    <col min="8964" max="8964" width="16.88671875" style="549" bestFit="1" customWidth="1"/>
    <col min="8965" max="8965" width="12.109375" style="549" bestFit="1" customWidth="1"/>
    <col min="8966" max="8966" width="12.44140625" style="549" customWidth="1"/>
    <col min="8967" max="8967" width="12.44140625" style="549" bestFit="1" customWidth="1"/>
    <col min="8968" max="8971" width="11.6640625" style="549" bestFit="1" customWidth="1"/>
    <col min="8972" max="8972" width="12.88671875" style="549" bestFit="1" customWidth="1"/>
    <col min="8973" max="8973" width="11.88671875" style="549" bestFit="1" customWidth="1"/>
    <col min="8974" max="8975" width="12.88671875" style="549" bestFit="1" customWidth="1"/>
    <col min="8976" max="8976" width="11.6640625" style="549" bestFit="1" customWidth="1"/>
    <col min="8977" max="8977" width="12.5546875" style="549" bestFit="1" customWidth="1"/>
    <col min="8978" max="9217" width="9.109375" style="549"/>
    <col min="9218" max="9218" width="18.44140625" style="549" customWidth="1"/>
    <col min="9219" max="9219" width="8.109375" style="549" bestFit="1" customWidth="1"/>
    <col min="9220" max="9220" width="16.88671875" style="549" bestFit="1" customWidth="1"/>
    <col min="9221" max="9221" width="12.109375" style="549" bestFit="1" customWidth="1"/>
    <col min="9222" max="9222" width="12.44140625" style="549" customWidth="1"/>
    <col min="9223" max="9223" width="12.44140625" style="549" bestFit="1" customWidth="1"/>
    <col min="9224" max="9227" width="11.6640625" style="549" bestFit="1" customWidth="1"/>
    <col min="9228" max="9228" width="12.88671875" style="549" bestFit="1" customWidth="1"/>
    <col min="9229" max="9229" width="11.88671875" style="549" bestFit="1" customWidth="1"/>
    <col min="9230" max="9231" width="12.88671875" style="549" bestFit="1" customWidth="1"/>
    <col min="9232" max="9232" width="11.6640625" style="549" bestFit="1" customWidth="1"/>
    <col min="9233" max="9233" width="12.5546875" style="549" bestFit="1" customWidth="1"/>
    <col min="9234" max="9473" width="9.109375" style="549"/>
    <col min="9474" max="9474" width="18.44140625" style="549" customWidth="1"/>
    <col min="9475" max="9475" width="8.109375" style="549" bestFit="1" customWidth="1"/>
    <col min="9476" max="9476" width="16.88671875" style="549" bestFit="1" customWidth="1"/>
    <col min="9477" max="9477" width="12.109375" style="549" bestFit="1" customWidth="1"/>
    <col min="9478" max="9478" width="12.44140625" style="549" customWidth="1"/>
    <col min="9479" max="9479" width="12.44140625" style="549" bestFit="1" customWidth="1"/>
    <col min="9480" max="9483" width="11.6640625" style="549" bestFit="1" customWidth="1"/>
    <col min="9484" max="9484" width="12.88671875" style="549" bestFit="1" customWidth="1"/>
    <col min="9485" max="9485" width="11.88671875" style="549" bestFit="1" customWidth="1"/>
    <col min="9486" max="9487" width="12.88671875" style="549" bestFit="1" customWidth="1"/>
    <col min="9488" max="9488" width="11.6640625" style="549" bestFit="1" customWidth="1"/>
    <col min="9489" max="9489" width="12.5546875" style="549" bestFit="1" customWidth="1"/>
    <col min="9490" max="9729" width="9.109375" style="549"/>
    <col min="9730" max="9730" width="18.44140625" style="549" customWidth="1"/>
    <col min="9731" max="9731" width="8.109375" style="549" bestFit="1" customWidth="1"/>
    <col min="9732" max="9732" width="16.88671875" style="549" bestFit="1" customWidth="1"/>
    <col min="9733" max="9733" width="12.109375" style="549" bestFit="1" customWidth="1"/>
    <col min="9734" max="9734" width="12.44140625" style="549" customWidth="1"/>
    <col min="9735" max="9735" width="12.44140625" style="549" bestFit="1" customWidth="1"/>
    <col min="9736" max="9739" width="11.6640625" style="549" bestFit="1" customWidth="1"/>
    <col min="9740" max="9740" width="12.88671875" style="549" bestFit="1" customWidth="1"/>
    <col min="9741" max="9741" width="11.88671875" style="549" bestFit="1" customWidth="1"/>
    <col min="9742" max="9743" width="12.88671875" style="549" bestFit="1" customWidth="1"/>
    <col min="9744" max="9744" width="11.6640625" style="549" bestFit="1" customWidth="1"/>
    <col min="9745" max="9745" width="12.5546875" style="549" bestFit="1" customWidth="1"/>
    <col min="9746" max="9985" width="9.109375" style="549"/>
    <col min="9986" max="9986" width="18.44140625" style="549" customWidth="1"/>
    <col min="9987" max="9987" width="8.109375" style="549" bestFit="1" customWidth="1"/>
    <col min="9988" max="9988" width="16.88671875" style="549" bestFit="1" customWidth="1"/>
    <col min="9989" max="9989" width="12.109375" style="549" bestFit="1" customWidth="1"/>
    <col min="9990" max="9990" width="12.44140625" style="549" customWidth="1"/>
    <col min="9991" max="9991" width="12.44140625" style="549" bestFit="1" customWidth="1"/>
    <col min="9992" max="9995" width="11.6640625" style="549" bestFit="1" customWidth="1"/>
    <col min="9996" max="9996" width="12.88671875" style="549" bestFit="1" customWidth="1"/>
    <col min="9997" max="9997" width="11.88671875" style="549" bestFit="1" customWidth="1"/>
    <col min="9998" max="9999" width="12.88671875" style="549" bestFit="1" customWidth="1"/>
    <col min="10000" max="10000" width="11.6640625" style="549" bestFit="1" customWidth="1"/>
    <col min="10001" max="10001" width="12.5546875" style="549" bestFit="1" customWidth="1"/>
    <col min="10002" max="10241" width="9.109375" style="549"/>
    <col min="10242" max="10242" width="18.44140625" style="549" customWidth="1"/>
    <col min="10243" max="10243" width="8.109375" style="549" bestFit="1" customWidth="1"/>
    <col min="10244" max="10244" width="16.88671875" style="549" bestFit="1" customWidth="1"/>
    <col min="10245" max="10245" width="12.109375" style="549" bestFit="1" customWidth="1"/>
    <col min="10246" max="10246" width="12.44140625" style="549" customWidth="1"/>
    <col min="10247" max="10247" width="12.44140625" style="549" bestFit="1" customWidth="1"/>
    <col min="10248" max="10251" width="11.6640625" style="549" bestFit="1" customWidth="1"/>
    <col min="10252" max="10252" width="12.88671875" style="549" bestFit="1" customWidth="1"/>
    <col min="10253" max="10253" width="11.88671875" style="549" bestFit="1" customWidth="1"/>
    <col min="10254" max="10255" width="12.88671875" style="549" bestFit="1" customWidth="1"/>
    <col min="10256" max="10256" width="11.6640625" style="549" bestFit="1" customWidth="1"/>
    <col min="10257" max="10257" width="12.5546875" style="549" bestFit="1" customWidth="1"/>
    <col min="10258" max="10497" width="9.109375" style="549"/>
    <col min="10498" max="10498" width="18.44140625" style="549" customWidth="1"/>
    <col min="10499" max="10499" width="8.109375" style="549" bestFit="1" customWidth="1"/>
    <col min="10500" max="10500" width="16.88671875" style="549" bestFit="1" customWidth="1"/>
    <col min="10501" max="10501" width="12.109375" style="549" bestFit="1" customWidth="1"/>
    <col min="10502" max="10502" width="12.44140625" style="549" customWidth="1"/>
    <col min="10503" max="10503" width="12.44140625" style="549" bestFit="1" customWidth="1"/>
    <col min="10504" max="10507" width="11.6640625" style="549" bestFit="1" customWidth="1"/>
    <col min="10508" max="10508" width="12.88671875" style="549" bestFit="1" customWidth="1"/>
    <col min="10509" max="10509" width="11.88671875" style="549" bestFit="1" customWidth="1"/>
    <col min="10510" max="10511" width="12.88671875" style="549" bestFit="1" customWidth="1"/>
    <col min="10512" max="10512" width="11.6640625" style="549" bestFit="1" customWidth="1"/>
    <col min="10513" max="10513" width="12.5546875" style="549" bestFit="1" customWidth="1"/>
    <col min="10514" max="10753" width="9.109375" style="549"/>
    <col min="10754" max="10754" width="18.44140625" style="549" customWidth="1"/>
    <col min="10755" max="10755" width="8.109375" style="549" bestFit="1" customWidth="1"/>
    <col min="10756" max="10756" width="16.88671875" style="549" bestFit="1" customWidth="1"/>
    <col min="10757" max="10757" width="12.109375" style="549" bestFit="1" customWidth="1"/>
    <col min="10758" max="10758" width="12.44140625" style="549" customWidth="1"/>
    <col min="10759" max="10759" width="12.44140625" style="549" bestFit="1" customWidth="1"/>
    <col min="10760" max="10763" width="11.6640625" style="549" bestFit="1" customWidth="1"/>
    <col min="10764" max="10764" width="12.88671875" style="549" bestFit="1" customWidth="1"/>
    <col min="10765" max="10765" width="11.88671875" style="549" bestFit="1" customWidth="1"/>
    <col min="10766" max="10767" width="12.88671875" style="549" bestFit="1" customWidth="1"/>
    <col min="10768" max="10768" width="11.6640625" style="549" bestFit="1" customWidth="1"/>
    <col min="10769" max="10769" width="12.5546875" style="549" bestFit="1" customWidth="1"/>
    <col min="10770" max="11009" width="9.109375" style="549"/>
    <col min="11010" max="11010" width="18.44140625" style="549" customWidth="1"/>
    <col min="11011" max="11011" width="8.109375" style="549" bestFit="1" customWidth="1"/>
    <col min="11012" max="11012" width="16.88671875" style="549" bestFit="1" customWidth="1"/>
    <col min="11013" max="11013" width="12.109375" style="549" bestFit="1" customWidth="1"/>
    <col min="11014" max="11014" width="12.44140625" style="549" customWidth="1"/>
    <col min="11015" max="11015" width="12.44140625" style="549" bestFit="1" customWidth="1"/>
    <col min="11016" max="11019" width="11.6640625" style="549" bestFit="1" customWidth="1"/>
    <col min="11020" max="11020" width="12.88671875" style="549" bestFit="1" customWidth="1"/>
    <col min="11021" max="11021" width="11.88671875" style="549" bestFit="1" customWidth="1"/>
    <col min="11022" max="11023" width="12.88671875" style="549" bestFit="1" customWidth="1"/>
    <col min="11024" max="11024" width="11.6640625" style="549" bestFit="1" customWidth="1"/>
    <col min="11025" max="11025" width="12.5546875" style="549" bestFit="1" customWidth="1"/>
    <col min="11026" max="11265" width="9.109375" style="549"/>
    <col min="11266" max="11266" width="18.44140625" style="549" customWidth="1"/>
    <col min="11267" max="11267" width="8.109375" style="549" bestFit="1" customWidth="1"/>
    <col min="11268" max="11268" width="16.88671875" style="549" bestFit="1" customWidth="1"/>
    <col min="11269" max="11269" width="12.109375" style="549" bestFit="1" customWidth="1"/>
    <col min="11270" max="11270" width="12.44140625" style="549" customWidth="1"/>
    <col min="11271" max="11271" width="12.44140625" style="549" bestFit="1" customWidth="1"/>
    <col min="11272" max="11275" width="11.6640625" style="549" bestFit="1" customWidth="1"/>
    <col min="11276" max="11276" width="12.88671875" style="549" bestFit="1" customWidth="1"/>
    <col min="11277" max="11277" width="11.88671875" style="549" bestFit="1" customWidth="1"/>
    <col min="11278" max="11279" width="12.88671875" style="549" bestFit="1" customWidth="1"/>
    <col min="11280" max="11280" width="11.6640625" style="549" bestFit="1" customWidth="1"/>
    <col min="11281" max="11281" width="12.5546875" style="549" bestFit="1" customWidth="1"/>
    <col min="11282" max="11521" width="9.109375" style="549"/>
    <col min="11522" max="11522" width="18.44140625" style="549" customWidth="1"/>
    <col min="11523" max="11523" width="8.109375" style="549" bestFit="1" customWidth="1"/>
    <col min="11524" max="11524" width="16.88671875" style="549" bestFit="1" customWidth="1"/>
    <col min="11525" max="11525" width="12.109375" style="549" bestFit="1" customWidth="1"/>
    <col min="11526" max="11526" width="12.44140625" style="549" customWidth="1"/>
    <col min="11527" max="11527" width="12.44140625" style="549" bestFit="1" customWidth="1"/>
    <col min="11528" max="11531" width="11.6640625" style="549" bestFit="1" customWidth="1"/>
    <col min="11532" max="11532" width="12.88671875" style="549" bestFit="1" customWidth="1"/>
    <col min="11533" max="11533" width="11.88671875" style="549" bestFit="1" customWidth="1"/>
    <col min="11534" max="11535" width="12.88671875" style="549" bestFit="1" customWidth="1"/>
    <col min="11536" max="11536" width="11.6640625" style="549" bestFit="1" customWidth="1"/>
    <col min="11537" max="11537" width="12.5546875" style="549" bestFit="1" customWidth="1"/>
    <col min="11538" max="11777" width="9.109375" style="549"/>
    <col min="11778" max="11778" width="18.44140625" style="549" customWidth="1"/>
    <col min="11779" max="11779" width="8.109375" style="549" bestFit="1" customWidth="1"/>
    <col min="11780" max="11780" width="16.88671875" style="549" bestFit="1" customWidth="1"/>
    <col min="11781" max="11781" width="12.109375" style="549" bestFit="1" customWidth="1"/>
    <col min="11782" max="11782" width="12.44140625" style="549" customWidth="1"/>
    <col min="11783" max="11783" width="12.44140625" style="549" bestFit="1" customWidth="1"/>
    <col min="11784" max="11787" width="11.6640625" style="549" bestFit="1" customWidth="1"/>
    <col min="11788" max="11788" width="12.88671875" style="549" bestFit="1" customWidth="1"/>
    <col min="11789" max="11789" width="11.88671875" style="549" bestFit="1" customWidth="1"/>
    <col min="11790" max="11791" width="12.88671875" style="549" bestFit="1" customWidth="1"/>
    <col min="11792" max="11792" width="11.6640625" style="549" bestFit="1" customWidth="1"/>
    <col min="11793" max="11793" width="12.5546875" style="549" bestFit="1" customWidth="1"/>
    <col min="11794" max="12033" width="9.109375" style="549"/>
    <col min="12034" max="12034" width="18.44140625" style="549" customWidth="1"/>
    <col min="12035" max="12035" width="8.109375" style="549" bestFit="1" customWidth="1"/>
    <col min="12036" max="12036" width="16.88671875" style="549" bestFit="1" customWidth="1"/>
    <col min="12037" max="12037" width="12.109375" style="549" bestFit="1" customWidth="1"/>
    <col min="12038" max="12038" width="12.44140625" style="549" customWidth="1"/>
    <col min="12039" max="12039" width="12.44140625" style="549" bestFit="1" customWidth="1"/>
    <col min="12040" max="12043" width="11.6640625" style="549" bestFit="1" customWidth="1"/>
    <col min="12044" max="12044" width="12.88671875" style="549" bestFit="1" customWidth="1"/>
    <col min="12045" max="12045" width="11.88671875" style="549" bestFit="1" customWidth="1"/>
    <col min="12046" max="12047" width="12.88671875" style="549" bestFit="1" customWidth="1"/>
    <col min="12048" max="12048" width="11.6640625" style="549" bestFit="1" customWidth="1"/>
    <col min="12049" max="12049" width="12.5546875" style="549" bestFit="1" customWidth="1"/>
    <col min="12050" max="12289" width="9.109375" style="549"/>
    <col min="12290" max="12290" width="18.44140625" style="549" customWidth="1"/>
    <col min="12291" max="12291" width="8.109375" style="549" bestFit="1" customWidth="1"/>
    <col min="12292" max="12292" width="16.88671875" style="549" bestFit="1" customWidth="1"/>
    <col min="12293" max="12293" width="12.109375" style="549" bestFit="1" customWidth="1"/>
    <col min="12294" max="12294" width="12.44140625" style="549" customWidth="1"/>
    <col min="12295" max="12295" width="12.44140625" style="549" bestFit="1" customWidth="1"/>
    <col min="12296" max="12299" width="11.6640625" style="549" bestFit="1" customWidth="1"/>
    <col min="12300" max="12300" width="12.88671875" style="549" bestFit="1" customWidth="1"/>
    <col min="12301" max="12301" width="11.88671875" style="549" bestFit="1" customWidth="1"/>
    <col min="12302" max="12303" width="12.88671875" style="549" bestFit="1" customWidth="1"/>
    <col min="12304" max="12304" width="11.6640625" style="549" bestFit="1" customWidth="1"/>
    <col min="12305" max="12305" width="12.5546875" style="549" bestFit="1" customWidth="1"/>
    <col min="12306" max="12545" width="9.109375" style="549"/>
    <col min="12546" max="12546" width="18.44140625" style="549" customWidth="1"/>
    <col min="12547" max="12547" width="8.109375" style="549" bestFit="1" customWidth="1"/>
    <col min="12548" max="12548" width="16.88671875" style="549" bestFit="1" customWidth="1"/>
    <col min="12549" max="12549" width="12.109375" style="549" bestFit="1" customWidth="1"/>
    <col min="12550" max="12550" width="12.44140625" style="549" customWidth="1"/>
    <col min="12551" max="12551" width="12.44140625" style="549" bestFit="1" customWidth="1"/>
    <col min="12552" max="12555" width="11.6640625" style="549" bestFit="1" customWidth="1"/>
    <col min="12556" max="12556" width="12.88671875" style="549" bestFit="1" customWidth="1"/>
    <col min="12557" max="12557" width="11.88671875" style="549" bestFit="1" customWidth="1"/>
    <col min="12558" max="12559" width="12.88671875" style="549" bestFit="1" customWidth="1"/>
    <col min="12560" max="12560" width="11.6640625" style="549" bestFit="1" customWidth="1"/>
    <col min="12561" max="12561" width="12.5546875" style="549" bestFit="1" customWidth="1"/>
    <col min="12562" max="12801" width="9.109375" style="549"/>
    <col min="12802" max="12802" width="18.44140625" style="549" customWidth="1"/>
    <col min="12803" max="12803" width="8.109375" style="549" bestFit="1" customWidth="1"/>
    <col min="12804" max="12804" width="16.88671875" style="549" bestFit="1" customWidth="1"/>
    <col min="12805" max="12805" width="12.109375" style="549" bestFit="1" customWidth="1"/>
    <col min="12806" max="12806" width="12.44140625" style="549" customWidth="1"/>
    <col min="12807" max="12807" width="12.44140625" style="549" bestFit="1" customWidth="1"/>
    <col min="12808" max="12811" width="11.6640625" style="549" bestFit="1" customWidth="1"/>
    <col min="12812" max="12812" width="12.88671875" style="549" bestFit="1" customWidth="1"/>
    <col min="12813" max="12813" width="11.88671875" style="549" bestFit="1" customWidth="1"/>
    <col min="12814" max="12815" width="12.88671875" style="549" bestFit="1" customWidth="1"/>
    <col min="12816" max="12816" width="11.6640625" style="549" bestFit="1" customWidth="1"/>
    <col min="12817" max="12817" width="12.5546875" style="549" bestFit="1" customWidth="1"/>
    <col min="12818" max="13057" width="9.109375" style="549"/>
    <col min="13058" max="13058" width="18.44140625" style="549" customWidth="1"/>
    <col min="13059" max="13059" width="8.109375" style="549" bestFit="1" customWidth="1"/>
    <col min="13060" max="13060" width="16.88671875" style="549" bestFit="1" customWidth="1"/>
    <col min="13061" max="13061" width="12.109375" style="549" bestFit="1" customWidth="1"/>
    <col min="13062" max="13062" width="12.44140625" style="549" customWidth="1"/>
    <col min="13063" max="13063" width="12.44140625" style="549" bestFit="1" customWidth="1"/>
    <col min="13064" max="13067" width="11.6640625" style="549" bestFit="1" customWidth="1"/>
    <col min="13068" max="13068" width="12.88671875" style="549" bestFit="1" customWidth="1"/>
    <col min="13069" max="13069" width="11.88671875" style="549" bestFit="1" customWidth="1"/>
    <col min="13070" max="13071" width="12.88671875" style="549" bestFit="1" customWidth="1"/>
    <col min="13072" max="13072" width="11.6640625" style="549" bestFit="1" customWidth="1"/>
    <col min="13073" max="13073" width="12.5546875" style="549" bestFit="1" customWidth="1"/>
    <col min="13074" max="13313" width="9.109375" style="549"/>
    <col min="13314" max="13314" width="18.44140625" style="549" customWidth="1"/>
    <col min="13315" max="13315" width="8.109375" style="549" bestFit="1" customWidth="1"/>
    <col min="13316" max="13316" width="16.88671875" style="549" bestFit="1" customWidth="1"/>
    <col min="13317" max="13317" width="12.109375" style="549" bestFit="1" customWidth="1"/>
    <col min="13318" max="13318" width="12.44140625" style="549" customWidth="1"/>
    <col min="13319" max="13319" width="12.44140625" style="549" bestFit="1" customWidth="1"/>
    <col min="13320" max="13323" width="11.6640625" style="549" bestFit="1" customWidth="1"/>
    <col min="13324" max="13324" width="12.88671875" style="549" bestFit="1" customWidth="1"/>
    <col min="13325" max="13325" width="11.88671875" style="549" bestFit="1" customWidth="1"/>
    <col min="13326" max="13327" width="12.88671875" style="549" bestFit="1" customWidth="1"/>
    <col min="13328" max="13328" width="11.6640625" style="549" bestFit="1" customWidth="1"/>
    <col min="13329" max="13329" width="12.5546875" style="549" bestFit="1" customWidth="1"/>
    <col min="13330" max="13569" width="9.109375" style="549"/>
    <col min="13570" max="13570" width="18.44140625" style="549" customWidth="1"/>
    <col min="13571" max="13571" width="8.109375" style="549" bestFit="1" customWidth="1"/>
    <col min="13572" max="13572" width="16.88671875" style="549" bestFit="1" customWidth="1"/>
    <col min="13573" max="13573" width="12.109375" style="549" bestFit="1" customWidth="1"/>
    <col min="13574" max="13574" width="12.44140625" style="549" customWidth="1"/>
    <col min="13575" max="13575" width="12.44140625" style="549" bestFit="1" customWidth="1"/>
    <col min="13576" max="13579" width="11.6640625" style="549" bestFit="1" customWidth="1"/>
    <col min="13580" max="13580" width="12.88671875" style="549" bestFit="1" customWidth="1"/>
    <col min="13581" max="13581" width="11.88671875" style="549" bestFit="1" customWidth="1"/>
    <col min="13582" max="13583" width="12.88671875" style="549" bestFit="1" customWidth="1"/>
    <col min="13584" max="13584" width="11.6640625" style="549" bestFit="1" customWidth="1"/>
    <col min="13585" max="13585" width="12.5546875" style="549" bestFit="1" customWidth="1"/>
    <col min="13586" max="13825" width="9.109375" style="549"/>
    <col min="13826" max="13826" width="18.44140625" style="549" customWidth="1"/>
    <col min="13827" max="13827" width="8.109375" style="549" bestFit="1" customWidth="1"/>
    <col min="13828" max="13828" width="16.88671875" style="549" bestFit="1" customWidth="1"/>
    <col min="13829" max="13829" width="12.109375" style="549" bestFit="1" customWidth="1"/>
    <col min="13830" max="13830" width="12.44140625" style="549" customWidth="1"/>
    <col min="13831" max="13831" width="12.44140625" style="549" bestFit="1" customWidth="1"/>
    <col min="13832" max="13835" width="11.6640625" style="549" bestFit="1" customWidth="1"/>
    <col min="13836" max="13836" width="12.88671875" style="549" bestFit="1" customWidth="1"/>
    <col min="13837" max="13837" width="11.88671875" style="549" bestFit="1" customWidth="1"/>
    <col min="13838" max="13839" width="12.88671875" style="549" bestFit="1" customWidth="1"/>
    <col min="13840" max="13840" width="11.6640625" style="549" bestFit="1" customWidth="1"/>
    <col min="13841" max="13841" width="12.5546875" style="549" bestFit="1" customWidth="1"/>
    <col min="13842" max="14081" width="9.109375" style="549"/>
    <col min="14082" max="14082" width="18.44140625" style="549" customWidth="1"/>
    <col min="14083" max="14083" width="8.109375" style="549" bestFit="1" customWidth="1"/>
    <col min="14084" max="14084" width="16.88671875" style="549" bestFit="1" customWidth="1"/>
    <col min="14085" max="14085" width="12.109375" style="549" bestFit="1" customWidth="1"/>
    <col min="14086" max="14086" width="12.44140625" style="549" customWidth="1"/>
    <col min="14087" max="14087" width="12.44140625" style="549" bestFit="1" customWidth="1"/>
    <col min="14088" max="14091" width="11.6640625" style="549" bestFit="1" customWidth="1"/>
    <col min="14092" max="14092" width="12.88671875" style="549" bestFit="1" customWidth="1"/>
    <col min="14093" max="14093" width="11.88671875" style="549" bestFit="1" customWidth="1"/>
    <col min="14094" max="14095" width="12.88671875" style="549" bestFit="1" customWidth="1"/>
    <col min="14096" max="14096" width="11.6640625" style="549" bestFit="1" customWidth="1"/>
    <col min="14097" max="14097" width="12.5546875" style="549" bestFit="1" customWidth="1"/>
    <col min="14098" max="14337" width="9.109375" style="549"/>
    <col min="14338" max="14338" width="18.44140625" style="549" customWidth="1"/>
    <col min="14339" max="14339" width="8.109375" style="549" bestFit="1" customWidth="1"/>
    <col min="14340" max="14340" width="16.88671875" style="549" bestFit="1" customWidth="1"/>
    <col min="14341" max="14341" width="12.109375" style="549" bestFit="1" customWidth="1"/>
    <col min="14342" max="14342" width="12.44140625" style="549" customWidth="1"/>
    <col min="14343" max="14343" width="12.44140625" style="549" bestFit="1" customWidth="1"/>
    <col min="14344" max="14347" width="11.6640625" style="549" bestFit="1" customWidth="1"/>
    <col min="14348" max="14348" width="12.88671875" style="549" bestFit="1" customWidth="1"/>
    <col min="14349" max="14349" width="11.88671875" style="549" bestFit="1" customWidth="1"/>
    <col min="14350" max="14351" width="12.88671875" style="549" bestFit="1" customWidth="1"/>
    <col min="14352" max="14352" width="11.6640625" style="549" bestFit="1" customWidth="1"/>
    <col min="14353" max="14353" width="12.5546875" style="549" bestFit="1" customWidth="1"/>
    <col min="14354" max="14593" width="9.109375" style="549"/>
    <col min="14594" max="14594" width="18.44140625" style="549" customWidth="1"/>
    <col min="14595" max="14595" width="8.109375" style="549" bestFit="1" customWidth="1"/>
    <col min="14596" max="14596" width="16.88671875" style="549" bestFit="1" customWidth="1"/>
    <col min="14597" max="14597" width="12.109375" style="549" bestFit="1" customWidth="1"/>
    <col min="14598" max="14598" width="12.44140625" style="549" customWidth="1"/>
    <col min="14599" max="14599" width="12.44140625" style="549" bestFit="1" customWidth="1"/>
    <col min="14600" max="14603" width="11.6640625" style="549" bestFit="1" customWidth="1"/>
    <col min="14604" max="14604" width="12.88671875" style="549" bestFit="1" customWidth="1"/>
    <col min="14605" max="14605" width="11.88671875" style="549" bestFit="1" customWidth="1"/>
    <col min="14606" max="14607" width="12.88671875" style="549" bestFit="1" customWidth="1"/>
    <col min="14608" max="14608" width="11.6640625" style="549" bestFit="1" customWidth="1"/>
    <col min="14609" max="14609" width="12.5546875" style="549" bestFit="1" customWidth="1"/>
    <col min="14610" max="14849" width="9.109375" style="549"/>
    <col min="14850" max="14850" width="18.44140625" style="549" customWidth="1"/>
    <col min="14851" max="14851" width="8.109375" style="549" bestFit="1" customWidth="1"/>
    <col min="14852" max="14852" width="16.88671875" style="549" bestFit="1" customWidth="1"/>
    <col min="14853" max="14853" width="12.109375" style="549" bestFit="1" customWidth="1"/>
    <col min="14854" max="14854" width="12.44140625" style="549" customWidth="1"/>
    <col min="14855" max="14855" width="12.44140625" style="549" bestFit="1" customWidth="1"/>
    <col min="14856" max="14859" width="11.6640625" style="549" bestFit="1" customWidth="1"/>
    <col min="14860" max="14860" width="12.88671875" style="549" bestFit="1" customWidth="1"/>
    <col min="14861" max="14861" width="11.88671875" style="549" bestFit="1" customWidth="1"/>
    <col min="14862" max="14863" width="12.88671875" style="549" bestFit="1" customWidth="1"/>
    <col min="14864" max="14864" width="11.6640625" style="549" bestFit="1" customWidth="1"/>
    <col min="14865" max="14865" width="12.5546875" style="549" bestFit="1" customWidth="1"/>
    <col min="14866" max="15105" width="9.109375" style="549"/>
    <col min="15106" max="15106" width="18.44140625" style="549" customWidth="1"/>
    <col min="15107" max="15107" width="8.109375" style="549" bestFit="1" customWidth="1"/>
    <col min="15108" max="15108" width="16.88671875" style="549" bestFit="1" customWidth="1"/>
    <col min="15109" max="15109" width="12.109375" style="549" bestFit="1" customWidth="1"/>
    <col min="15110" max="15110" width="12.44140625" style="549" customWidth="1"/>
    <col min="15111" max="15111" width="12.44140625" style="549" bestFit="1" customWidth="1"/>
    <col min="15112" max="15115" width="11.6640625" style="549" bestFit="1" customWidth="1"/>
    <col min="15116" max="15116" width="12.88671875" style="549" bestFit="1" customWidth="1"/>
    <col min="15117" max="15117" width="11.88671875" style="549" bestFit="1" customWidth="1"/>
    <col min="15118" max="15119" width="12.88671875" style="549" bestFit="1" customWidth="1"/>
    <col min="15120" max="15120" width="11.6640625" style="549" bestFit="1" customWidth="1"/>
    <col min="15121" max="15121" width="12.5546875" style="549" bestFit="1" customWidth="1"/>
    <col min="15122" max="15361" width="9.109375" style="549"/>
    <col min="15362" max="15362" width="18.44140625" style="549" customWidth="1"/>
    <col min="15363" max="15363" width="8.109375" style="549" bestFit="1" customWidth="1"/>
    <col min="15364" max="15364" width="16.88671875" style="549" bestFit="1" customWidth="1"/>
    <col min="15365" max="15365" width="12.109375" style="549" bestFit="1" customWidth="1"/>
    <col min="15366" max="15366" width="12.44140625" style="549" customWidth="1"/>
    <col min="15367" max="15367" width="12.44140625" style="549" bestFit="1" customWidth="1"/>
    <col min="15368" max="15371" width="11.6640625" style="549" bestFit="1" customWidth="1"/>
    <col min="15372" max="15372" width="12.88671875" style="549" bestFit="1" customWidth="1"/>
    <col min="15373" max="15373" width="11.88671875" style="549" bestFit="1" customWidth="1"/>
    <col min="15374" max="15375" width="12.88671875" style="549" bestFit="1" customWidth="1"/>
    <col min="15376" max="15376" width="11.6640625" style="549" bestFit="1" customWidth="1"/>
    <col min="15377" max="15377" width="12.5546875" style="549" bestFit="1" customWidth="1"/>
    <col min="15378" max="15617" width="9.109375" style="549"/>
    <col min="15618" max="15618" width="18.44140625" style="549" customWidth="1"/>
    <col min="15619" max="15619" width="8.109375" style="549" bestFit="1" customWidth="1"/>
    <col min="15620" max="15620" width="16.88671875" style="549" bestFit="1" customWidth="1"/>
    <col min="15621" max="15621" width="12.109375" style="549" bestFit="1" customWidth="1"/>
    <col min="15622" max="15622" width="12.44140625" style="549" customWidth="1"/>
    <col min="15623" max="15623" width="12.44140625" style="549" bestFit="1" customWidth="1"/>
    <col min="15624" max="15627" width="11.6640625" style="549" bestFit="1" customWidth="1"/>
    <col min="15628" max="15628" width="12.88671875" style="549" bestFit="1" customWidth="1"/>
    <col min="15629" max="15629" width="11.88671875" style="549" bestFit="1" customWidth="1"/>
    <col min="15630" max="15631" width="12.88671875" style="549" bestFit="1" customWidth="1"/>
    <col min="15632" max="15632" width="11.6640625" style="549" bestFit="1" customWidth="1"/>
    <col min="15633" max="15633" width="12.5546875" style="549" bestFit="1" customWidth="1"/>
    <col min="15634" max="15873" width="9.109375" style="549"/>
    <col min="15874" max="15874" width="18.44140625" style="549" customWidth="1"/>
    <col min="15875" max="15875" width="8.109375" style="549" bestFit="1" customWidth="1"/>
    <col min="15876" max="15876" width="16.88671875" style="549" bestFit="1" customWidth="1"/>
    <col min="15877" max="15877" width="12.109375" style="549" bestFit="1" customWidth="1"/>
    <col min="15878" max="15878" width="12.44140625" style="549" customWidth="1"/>
    <col min="15879" max="15879" width="12.44140625" style="549" bestFit="1" customWidth="1"/>
    <col min="15880" max="15883" width="11.6640625" style="549" bestFit="1" customWidth="1"/>
    <col min="15884" max="15884" width="12.88671875" style="549" bestFit="1" customWidth="1"/>
    <col min="15885" max="15885" width="11.88671875" style="549" bestFit="1" customWidth="1"/>
    <col min="15886" max="15887" width="12.88671875" style="549" bestFit="1" customWidth="1"/>
    <col min="15888" max="15888" width="11.6640625" style="549" bestFit="1" customWidth="1"/>
    <col min="15889" max="15889" width="12.5546875" style="549" bestFit="1" customWidth="1"/>
    <col min="15890" max="16129" width="9.109375" style="549"/>
    <col min="16130" max="16130" width="18.44140625" style="549" customWidth="1"/>
    <col min="16131" max="16131" width="8.109375" style="549" bestFit="1" customWidth="1"/>
    <col min="16132" max="16132" width="16.88671875" style="549" bestFit="1" customWidth="1"/>
    <col min="16133" max="16133" width="12.109375" style="549" bestFit="1" customWidth="1"/>
    <col min="16134" max="16134" width="12.44140625" style="549" customWidth="1"/>
    <col min="16135" max="16135" width="12.44140625" style="549" bestFit="1" customWidth="1"/>
    <col min="16136" max="16139" width="11.6640625" style="549" bestFit="1" customWidth="1"/>
    <col min="16140" max="16140" width="12.88671875" style="549" bestFit="1" customWidth="1"/>
    <col min="16141" max="16141" width="11.88671875" style="549" bestFit="1" customWidth="1"/>
    <col min="16142" max="16143" width="12.88671875" style="549" bestFit="1" customWidth="1"/>
    <col min="16144" max="16144" width="11.6640625" style="549" bestFit="1" customWidth="1"/>
    <col min="16145" max="16145" width="12.5546875" style="549" bestFit="1" customWidth="1"/>
    <col min="16146" max="16384" width="9.109375" style="549"/>
  </cols>
  <sheetData>
    <row r="3" spans="1:22">
      <c r="A3" s="549" t="s">
        <v>1360</v>
      </c>
      <c r="B3" s="549" t="s">
        <v>1361</v>
      </c>
      <c r="C3" s="1463" t="s">
        <v>1362</v>
      </c>
      <c r="D3" s="1463" t="s">
        <v>1363</v>
      </c>
      <c r="E3" s="1463" t="s">
        <v>1364</v>
      </c>
      <c r="F3" s="1463" t="s">
        <v>1365</v>
      </c>
      <c r="G3" s="1463" t="s">
        <v>1366</v>
      </c>
      <c r="H3" s="1463" t="s">
        <v>1367</v>
      </c>
      <c r="I3" s="1463" t="s">
        <v>1368</v>
      </c>
      <c r="J3" s="1463" t="s">
        <v>1369</v>
      </c>
      <c r="K3" s="1463" t="s">
        <v>1370</v>
      </c>
      <c r="L3" s="1463" t="s">
        <v>1371</v>
      </c>
      <c r="M3" s="1463" t="s">
        <v>1372</v>
      </c>
      <c r="N3" s="1463" t="s">
        <v>1373</v>
      </c>
      <c r="O3" s="1463" t="s">
        <v>1374</v>
      </c>
      <c r="P3" s="1463" t="s">
        <v>1375</v>
      </c>
    </row>
    <row r="4" spans="1:22">
      <c r="A4" s="549" t="s">
        <v>1376</v>
      </c>
      <c r="B4" s="549" t="s">
        <v>1377</v>
      </c>
      <c r="C4" s="1464">
        <v>1</v>
      </c>
      <c r="D4" s="1465" t="s">
        <v>29</v>
      </c>
      <c r="E4" s="1464">
        <v>2010</v>
      </c>
      <c r="F4" s="1464">
        <v>16524401756.172028</v>
      </c>
      <c r="G4" s="1466">
        <f>+O4*2/1000000</f>
        <v>1.0368562692547556E-4</v>
      </c>
      <c r="H4" s="1466">
        <v>0.54620529014776709</v>
      </c>
      <c r="I4" s="1466">
        <v>8.1519665757747448E-4</v>
      </c>
      <c r="J4" s="1466">
        <v>3.2288312219410524E-2</v>
      </c>
      <c r="K4" s="1466">
        <v>8.2696197652942144E-2</v>
      </c>
      <c r="L4" s="1466">
        <f>+P4*74</f>
        <v>163.81292197955887</v>
      </c>
      <c r="M4" s="1466">
        <v>6.8457211888943194E-3</v>
      </c>
      <c r="N4" s="1466">
        <v>32.606994801138654</v>
      </c>
      <c r="O4" s="1466">
        <f>+P4/42.7*1000</f>
        <v>51.84281346273778</v>
      </c>
      <c r="P4" s="1466">
        <v>2.2136881348589035</v>
      </c>
      <c r="Q4" s="1467" t="s">
        <v>1378</v>
      </c>
      <c r="T4" s="1468"/>
    </row>
    <row r="5" spans="1:22">
      <c r="A5" s="549" t="s">
        <v>1376</v>
      </c>
      <c r="B5" s="549" t="s">
        <v>1377</v>
      </c>
      <c r="C5" s="1464">
        <v>1</v>
      </c>
      <c r="D5" s="1465" t="s">
        <v>29</v>
      </c>
      <c r="E5" s="1464">
        <v>2020</v>
      </c>
      <c r="F5" s="1464">
        <v>21890821658.138294</v>
      </c>
      <c r="G5" s="1466">
        <f t="shared" ref="G5:G33" si="0">+O5*2/1000000</f>
        <v>1.0128608105279752E-4</v>
      </c>
      <c r="H5" s="1466">
        <v>0.29016638312317133</v>
      </c>
      <c r="I5" s="1466">
        <v>6.3710441214636913E-5</v>
      </c>
      <c r="J5" s="1466">
        <v>3.2632051142001912E-2</v>
      </c>
      <c r="K5" s="1466">
        <v>6.1548590192811989E-2</v>
      </c>
      <c r="L5" s="1466">
        <f t="shared" ref="L5:L15" si="1">+P5*74</f>
        <v>160.02187945531483</v>
      </c>
      <c r="M5" s="1466">
        <v>7.0222415328214816E-3</v>
      </c>
      <c r="N5" s="1466">
        <v>11.228839806842489</v>
      </c>
      <c r="O5" s="1466">
        <f>+P5/42.7*1000</f>
        <v>50.643040526398764</v>
      </c>
      <c r="P5" s="1466">
        <v>2.1624578304772273</v>
      </c>
      <c r="T5" s="1468"/>
    </row>
    <row r="6" spans="1:22">
      <c r="A6" s="1428" t="s">
        <v>1376</v>
      </c>
      <c r="B6" s="1428" t="s">
        <v>1377</v>
      </c>
      <c r="C6" s="1469">
        <v>1</v>
      </c>
      <c r="D6" s="1470" t="s">
        <v>29</v>
      </c>
      <c r="E6" s="1469">
        <v>2030</v>
      </c>
      <c r="F6" s="1469">
        <v>25303996690.217682</v>
      </c>
      <c r="G6" s="1471">
        <f t="shared" si="0"/>
        <v>1.0083670072127105E-4</v>
      </c>
      <c r="H6" s="1471">
        <v>0.17738456902533759</v>
      </c>
      <c r="I6" s="1471">
        <v>4.4569848580501763E-6</v>
      </c>
      <c r="J6" s="1471">
        <v>3.2869206785361482E-2</v>
      </c>
      <c r="K6" s="1471">
        <v>5.9814434169862193E-2</v>
      </c>
      <c r="L6" s="1471">
        <f t="shared" si="1"/>
        <v>159.31190346953616</v>
      </c>
      <c r="M6" s="1471">
        <v>6.9778686808112606E-3</v>
      </c>
      <c r="N6" s="1471">
        <v>7.1727366286348859</v>
      </c>
      <c r="O6" s="1471">
        <f>+P6/42.7*1000</f>
        <v>50.418350360635529</v>
      </c>
      <c r="P6" s="1471">
        <v>2.1528635603991373</v>
      </c>
      <c r="T6" s="1468"/>
    </row>
    <row r="7" spans="1:22">
      <c r="A7" s="549" t="s">
        <v>1376</v>
      </c>
      <c r="B7" s="549" t="s">
        <v>1377</v>
      </c>
      <c r="C7" s="1472">
        <v>1</v>
      </c>
      <c r="D7" s="1473" t="s">
        <v>810</v>
      </c>
      <c r="E7" s="1472">
        <v>2010</v>
      </c>
      <c r="F7" s="1472">
        <v>25489943159.094963</v>
      </c>
      <c r="G7" s="1474">
        <f t="shared" si="0"/>
        <v>1.1378576302487069E-4</v>
      </c>
      <c r="H7" s="1474">
        <v>0.28216381946396435</v>
      </c>
      <c r="I7" s="1474">
        <v>1.3782238690746428E-2</v>
      </c>
      <c r="J7" s="1474">
        <v>0.31904263265809235</v>
      </c>
      <c r="K7" s="1474">
        <v>3.1580089616107032</v>
      </c>
      <c r="L7" s="1474">
        <f t="shared" ref="L7:L12" si="2">+P7*73</f>
        <v>181.90929934786075</v>
      </c>
      <c r="M7" s="1474">
        <v>3.8652392642600786E-3</v>
      </c>
      <c r="N7" s="1474">
        <v>2.0274254972340158</v>
      </c>
      <c r="O7" s="1474">
        <f t="shared" ref="O7:O12" si="3">+P7/43.8*1000</f>
        <v>56.892881512435345</v>
      </c>
      <c r="P7" s="1474">
        <v>2.4919082102446679</v>
      </c>
      <c r="T7" s="1468"/>
    </row>
    <row r="8" spans="1:22">
      <c r="A8" s="549" t="s">
        <v>1376</v>
      </c>
      <c r="B8" s="549" t="s">
        <v>1377</v>
      </c>
      <c r="C8" s="1464">
        <v>1</v>
      </c>
      <c r="D8" s="1465" t="s">
        <v>810</v>
      </c>
      <c r="E8" s="1464">
        <v>2020</v>
      </c>
      <c r="F8" s="1464">
        <v>24145184658.402748</v>
      </c>
      <c r="G8" s="1466">
        <f t="shared" si="0"/>
        <v>1.12341249447608E-4</v>
      </c>
      <c r="H8" s="1466">
        <v>7.494050787500417E-2</v>
      </c>
      <c r="I8" s="1466">
        <v>5.0665166698559165E-3</v>
      </c>
      <c r="J8" s="1466">
        <v>0.13440382840892062</v>
      </c>
      <c r="K8" s="1466">
        <v>1.3575565677363164</v>
      </c>
      <c r="L8" s="1466">
        <f t="shared" si="2"/>
        <v>179.59995549189088</v>
      </c>
      <c r="M8" s="1466">
        <v>1.1611097694909816E-3</v>
      </c>
      <c r="N8" s="1466">
        <v>1.1988176772542798</v>
      </c>
      <c r="O8" s="1466">
        <f t="shared" si="3"/>
        <v>56.170624723803996</v>
      </c>
      <c r="P8" s="1466">
        <v>2.460273362902615</v>
      </c>
      <c r="T8" s="1468"/>
    </row>
    <row r="9" spans="1:22">
      <c r="A9" s="1475" t="s">
        <v>1376</v>
      </c>
      <c r="B9" s="1475" t="s">
        <v>1377</v>
      </c>
      <c r="C9" s="1469">
        <v>1</v>
      </c>
      <c r="D9" s="1470" t="s">
        <v>810</v>
      </c>
      <c r="E9" s="1469">
        <v>2030</v>
      </c>
      <c r="F9" s="1469">
        <v>24365106887.936848</v>
      </c>
      <c r="G9" s="1471">
        <f t="shared" si="0"/>
        <v>1.1123987273812315E-4</v>
      </c>
      <c r="H9" s="1471">
        <v>5.2398153868470979E-2</v>
      </c>
      <c r="I9" s="1471">
        <v>3.9872867992168633E-3</v>
      </c>
      <c r="J9" s="1471">
        <v>0.11451330954266765</v>
      </c>
      <c r="K9" s="1471">
        <v>1.0844489138705107</v>
      </c>
      <c r="L9" s="1471">
        <f t="shared" si="2"/>
        <v>177.83918454643748</v>
      </c>
      <c r="M9" s="1471">
        <v>9.5598850424023958E-4</v>
      </c>
      <c r="N9" s="1471">
        <v>1.0934043087203165</v>
      </c>
      <c r="O9" s="1471">
        <f t="shared" si="3"/>
        <v>55.619936369061577</v>
      </c>
      <c r="P9" s="1471">
        <v>2.4361532129648968</v>
      </c>
      <c r="T9" s="1468"/>
    </row>
    <row r="10" spans="1:22">
      <c r="A10" s="549" t="s">
        <v>1376</v>
      </c>
      <c r="B10" s="549" t="s">
        <v>1379</v>
      </c>
      <c r="C10" s="1472">
        <v>2</v>
      </c>
      <c r="D10" s="1473" t="s">
        <v>810</v>
      </c>
      <c r="E10" s="1472">
        <v>2010</v>
      </c>
      <c r="F10" s="1472">
        <v>638037752.59228492</v>
      </c>
      <c r="G10" s="1474">
        <f t="shared" si="0"/>
        <v>1.7361875001350958E-4</v>
      </c>
      <c r="H10" s="1474">
        <v>0.45358117726415226</v>
      </c>
      <c r="I10" s="1474">
        <v>1.7149024767923505E-2</v>
      </c>
      <c r="J10" s="1474">
        <v>0.38311827533286474</v>
      </c>
      <c r="K10" s="1474">
        <v>5.8724649853693816</v>
      </c>
      <c r="L10" s="1474">
        <f t="shared" si="2"/>
        <v>277.56429564659771</v>
      </c>
      <c r="M10" s="1474">
        <v>1.0581793390236181E-2</v>
      </c>
      <c r="N10" s="1474">
        <v>3.6041154698463971</v>
      </c>
      <c r="O10" s="1474">
        <f t="shared" si="3"/>
        <v>86.809375006754792</v>
      </c>
      <c r="P10" s="1474">
        <v>3.8022506252958594</v>
      </c>
      <c r="T10" s="1468"/>
    </row>
    <row r="11" spans="1:22">
      <c r="A11" s="549" t="s">
        <v>1376</v>
      </c>
      <c r="B11" s="549" t="s">
        <v>1379</v>
      </c>
      <c r="C11" s="1464">
        <v>2</v>
      </c>
      <c r="D11" s="1465" t="s">
        <v>810</v>
      </c>
      <c r="E11" s="1464">
        <v>2020</v>
      </c>
      <c r="F11" s="1464">
        <v>299948134.19487673</v>
      </c>
      <c r="G11" s="1466">
        <f t="shared" si="0"/>
        <v>1.7417112073653032E-4</v>
      </c>
      <c r="H11" s="1466">
        <v>0.144773132322498</v>
      </c>
      <c r="I11" s="1466">
        <v>7.2141210912198099E-3</v>
      </c>
      <c r="J11" s="1466">
        <v>0.16072412922419912</v>
      </c>
      <c r="K11" s="1466">
        <v>2.7792034408422994</v>
      </c>
      <c r="L11" s="1466">
        <f t="shared" si="2"/>
        <v>278.44737072149104</v>
      </c>
      <c r="M11" s="1466">
        <v>3.2845537734706182E-3</v>
      </c>
      <c r="N11" s="1466">
        <v>1.5486234604373266</v>
      </c>
      <c r="O11" s="1466">
        <f t="shared" si="3"/>
        <v>87.085560368265163</v>
      </c>
      <c r="P11" s="1466">
        <v>3.8143475441300141</v>
      </c>
      <c r="T11" s="1468"/>
    </row>
    <row r="12" spans="1:22">
      <c r="A12" s="1475" t="s">
        <v>1376</v>
      </c>
      <c r="B12" s="1475" t="s">
        <v>1379</v>
      </c>
      <c r="C12" s="1469">
        <v>2</v>
      </c>
      <c r="D12" s="1470" t="s">
        <v>810</v>
      </c>
      <c r="E12" s="1469">
        <v>2030</v>
      </c>
      <c r="F12" s="1469">
        <v>230234288.95504844</v>
      </c>
      <c r="G12" s="1471">
        <f t="shared" si="0"/>
        <v>1.7378297587520531E-4</v>
      </c>
      <c r="H12" s="1471">
        <v>7.2329682502104559E-2</v>
      </c>
      <c r="I12" s="1471">
        <v>4.400844759270277E-3</v>
      </c>
      <c r="J12" s="1471">
        <v>0.10828460505171443</v>
      </c>
      <c r="K12" s="1471">
        <v>1.6452358541806755</v>
      </c>
      <c r="L12" s="1471">
        <f t="shared" si="2"/>
        <v>277.82684353169071</v>
      </c>
      <c r="M12" s="1471">
        <v>1.2656897388906353E-3</v>
      </c>
      <c r="N12" s="1471">
        <v>1.1770893127152247</v>
      </c>
      <c r="O12" s="1471">
        <f t="shared" si="3"/>
        <v>86.891487937602648</v>
      </c>
      <c r="P12" s="1471">
        <v>3.8058471716669962</v>
      </c>
      <c r="T12" s="1468"/>
    </row>
    <row r="13" spans="1:22">
      <c r="A13" s="549" t="s">
        <v>1376</v>
      </c>
      <c r="B13" s="549" t="s">
        <v>1379</v>
      </c>
      <c r="C13" s="1472">
        <v>2</v>
      </c>
      <c r="D13" s="1473" t="s">
        <v>29</v>
      </c>
      <c r="E13" s="1472">
        <v>2010</v>
      </c>
      <c r="F13" s="1472">
        <v>7588940367.6539364</v>
      </c>
      <c r="G13" s="1474">
        <f t="shared" si="0"/>
        <v>1.3439747096886728E-4</v>
      </c>
      <c r="H13" s="1474">
        <v>0.59124954647093908</v>
      </c>
      <c r="I13" s="1474">
        <v>1.6423571293480701E-3</v>
      </c>
      <c r="J13" s="1474">
        <v>8.0912312762645974E-2</v>
      </c>
      <c r="K13" s="1474">
        <v>0.3423466706251817</v>
      </c>
      <c r="L13" s="1474">
        <f t="shared" si="1"/>
        <v>212.33456438371343</v>
      </c>
      <c r="M13" s="1474">
        <v>6.5762781551382812E-3</v>
      </c>
      <c r="N13" s="1474">
        <v>53.729559454676824</v>
      </c>
      <c r="O13" s="1474">
        <f>+P13/42.7*1000</f>
        <v>67.198735484433641</v>
      </c>
      <c r="P13" s="1474">
        <v>2.8693860051853166</v>
      </c>
      <c r="T13" s="1468"/>
    </row>
    <row r="14" spans="1:22">
      <c r="A14" s="549" t="s">
        <v>1376</v>
      </c>
      <c r="B14" s="549" t="s">
        <v>1379</v>
      </c>
      <c r="C14" s="1464">
        <v>2</v>
      </c>
      <c r="D14" s="1465" t="s">
        <v>29</v>
      </c>
      <c r="E14" s="1464">
        <v>2020</v>
      </c>
      <c r="F14" s="1464">
        <v>7395100712.6678047</v>
      </c>
      <c r="G14" s="1466">
        <f t="shared" si="0"/>
        <v>1.3406307062247385E-4</v>
      </c>
      <c r="H14" s="1466">
        <v>0.2126412718296968</v>
      </c>
      <c r="I14" s="1466">
        <v>1.4386053095962603E-4</v>
      </c>
      <c r="J14" s="1466">
        <v>4.1412113936729743E-2</v>
      </c>
      <c r="K14" s="1466">
        <v>0.28427309071642398</v>
      </c>
      <c r="L14" s="1466">
        <f t="shared" si="1"/>
        <v>211.80624527644645</v>
      </c>
      <c r="M14" s="1466">
        <v>7.009780553412566E-3</v>
      </c>
      <c r="N14" s="1466">
        <v>12.965219563953941</v>
      </c>
      <c r="O14" s="1466">
        <f>+P14/42.7*1000</f>
        <v>67.031535311236922</v>
      </c>
      <c r="P14" s="1466">
        <v>2.8622465577898168</v>
      </c>
      <c r="T14" s="1468"/>
    </row>
    <row r="15" spans="1:22">
      <c r="A15" s="1475" t="s">
        <v>1376</v>
      </c>
      <c r="B15" s="1475" t="s">
        <v>1379</v>
      </c>
      <c r="C15" s="1469">
        <v>2</v>
      </c>
      <c r="D15" s="1470" t="s">
        <v>29</v>
      </c>
      <c r="E15" s="1469">
        <v>2030</v>
      </c>
      <c r="F15" s="1469">
        <v>8283959180.0328722</v>
      </c>
      <c r="G15" s="1471">
        <f t="shared" si="0"/>
        <v>1.3393278155901316E-4</v>
      </c>
      <c r="H15" s="1471">
        <v>0.10568769368906548</v>
      </c>
      <c r="I15" s="1471">
        <v>1.0316653923130049E-5</v>
      </c>
      <c r="J15" s="1471">
        <v>3.5827433430977572E-2</v>
      </c>
      <c r="K15" s="1471">
        <v>0.27714218855924022</v>
      </c>
      <c r="L15" s="1471">
        <f t="shared" si="1"/>
        <v>211.60040158508491</v>
      </c>
      <c r="M15" s="1471">
        <v>6.9864321850363056E-3</v>
      </c>
      <c r="N15" s="1471">
        <v>4.5360437195415395</v>
      </c>
      <c r="O15" s="1471">
        <f>+P15/42.7*1000</f>
        <v>66.966390779506582</v>
      </c>
      <c r="P15" s="1471">
        <v>2.8594648862849312</v>
      </c>
      <c r="T15" s="1468"/>
      <c r="U15" s="1476"/>
      <c r="V15" s="1476"/>
    </row>
    <row r="16" spans="1:22">
      <c r="A16" s="549" t="s">
        <v>1376</v>
      </c>
      <c r="B16" s="549" t="s">
        <v>1380</v>
      </c>
      <c r="C16" s="1472">
        <v>3</v>
      </c>
      <c r="D16" s="1473" t="s">
        <v>29</v>
      </c>
      <c r="E16" s="1472">
        <v>2010</v>
      </c>
      <c r="F16" s="1472">
        <v>1380532888.1323223</v>
      </c>
      <c r="G16" s="1474">
        <f t="shared" si="0"/>
        <v>5.2050666582732362E-4</v>
      </c>
      <c r="H16" s="1474">
        <v>7.7331454305099898</v>
      </c>
      <c r="I16" s="1474">
        <v>7.2762783826487043E-2</v>
      </c>
      <c r="J16" s="1474">
        <v>0.34630197523203532</v>
      </c>
      <c r="K16" s="1474">
        <v>1.7650632219902751</v>
      </c>
      <c r="L16" s="1474">
        <v>816.51302563915704</v>
      </c>
      <c r="M16" s="1474">
        <v>0.03</v>
      </c>
      <c r="N16" s="1474">
        <v>152.82199790580125</v>
      </c>
      <c r="O16" s="1466">
        <f t="shared" ref="O16:O33" si="4">+P16/42.7*1000</f>
        <v>260.25333291366184</v>
      </c>
      <c r="P16" s="1474">
        <v>11.112817315413359</v>
      </c>
      <c r="T16" s="1468"/>
      <c r="U16" s="1477"/>
      <c r="V16" s="1477"/>
    </row>
    <row r="17" spans="1:22">
      <c r="A17" s="549" t="s">
        <v>1376</v>
      </c>
      <c r="B17" s="549" t="s">
        <v>1380</v>
      </c>
      <c r="C17" s="1464">
        <v>3</v>
      </c>
      <c r="D17" s="1465" t="s">
        <v>29</v>
      </c>
      <c r="E17" s="1464">
        <v>2020</v>
      </c>
      <c r="F17" s="1464">
        <v>2698513652.1719179</v>
      </c>
      <c r="G17" s="1466">
        <f t="shared" si="0"/>
        <v>5.0787466103742625E-4</v>
      </c>
      <c r="H17" s="1466">
        <v>0.77588570340044205</v>
      </c>
      <c r="I17" s="1466">
        <v>3.744583716439937E-3</v>
      </c>
      <c r="J17" s="1466">
        <v>1.5859111407771152E-2</v>
      </c>
      <c r="K17" s="1466">
        <v>0.17331073812583311</v>
      </c>
      <c r="L17" s="1466">
        <v>758.57549229653716</v>
      </c>
      <c r="M17" s="1466">
        <v>0.03</v>
      </c>
      <c r="N17" s="1466">
        <v>17.894188002833108</v>
      </c>
      <c r="O17" s="1466">
        <f t="shared" si="4"/>
        <v>253.93733051871314</v>
      </c>
      <c r="P17" s="1466">
        <v>10.843124013149053</v>
      </c>
      <c r="T17" s="1468"/>
      <c r="U17" s="1477"/>
      <c r="V17" s="1477"/>
    </row>
    <row r="18" spans="1:22">
      <c r="A18" s="1475" t="s">
        <v>1376</v>
      </c>
      <c r="B18" s="1475" t="s">
        <v>1380</v>
      </c>
      <c r="C18" s="1469">
        <v>3</v>
      </c>
      <c r="D18" s="1470" t="s">
        <v>29</v>
      </c>
      <c r="E18" s="1469">
        <v>2030</v>
      </c>
      <c r="F18" s="1469">
        <v>4165717622.5813818</v>
      </c>
      <c r="G18" s="1471">
        <f t="shared" si="0"/>
        <v>5.0151485967231402E-4</v>
      </c>
      <c r="H18" s="1471">
        <v>0.55110436847006916</v>
      </c>
      <c r="I18" s="1471">
        <v>1.4829754890210707E-3</v>
      </c>
      <c r="J18" s="1471">
        <v>5.1092690613378476E-3</v>
      </c>
      <c r="K18" s="1471">
        <v>0.12179947160011732</v>
      </c>
      <c r="L18" s="1471">
        <v>748.91563561460612</v>
      </c>
      <c r="M18" s="1471">
        <v>0.03</v>
      </c>
      <c r="N18" s="1471">
        <v>13.549760266956888</v>
      </c>
      <c r="O18" s="1471">
        <f t="shared" si="4"/>
        <v>250.757429836157</v>
      </c>
      <c r="P18" s="1471">
        <v>10.707342254003905</v>
      </c>
      <c r="T18" s="1468"/>
      <c r="U18" s="1477"/>
      <c r="V18" s="1477"/>
    </row>
    <row r="19" spans="1:22">
      <c r="A19" s="549" t="s">
        <v>1376</v>
      </c>
      <c r="B19" s="549" t="s">
        <v>1381</v>
      </c>
      <c r="C19" s="1472">
        <v>4</v>
      </c>
      <c r="D19" s="1473" t="s">
        <v>29</v>
      </c>
      <c r="E19" s="1472">
        <v>2010</v>
      </c>
      <c r="F19" s="1472">
        <v>402524780.54534656</v>
      </c>
      <c r="G19" s="1474">
        <f t="shared" si="0"/>
        <v>4.8445122443106808E-4</v>
      </c>
      <c r="H19" s="1474">
        <v>7.8598889141365031</v>
      </c>
      <c r="I19" s="1474">
        <v>7.9013661747118727E-2</v>
      </c>
      <c r="J19" s="1474">
        <v>0.44768489578879084</v>
      </c>
      <c r="K19" s="1474">
        <v>1.7758627452741942</v>
      </c>
      <c r="L19" s="1474">
        <v>759.95325517316599</v>
      </c>
      <c r="M19" s="1474">
        <v>0.03</v>
      </c>
      <c r="N19" s="1474">
        <v>167.6186462588183</v>
      </c>
      <c r="O19" s="1466">
        <f t="shared" si="4"/>
        <v>242.22561221553403</v>
      </c>
      <c r="P19" s="1474">
        <v>10.343033641603304</v>
      </c>
      <c r="T19" s="1468"/>
      <c r="U19" s="1477"/>
      <c r="V19" s="1477"/>
    </row>
    <row r="20" spans="1:22">
      <c r="A20" s="549" t="s">
        <v>1376</v>
      </c>
      <c r="B20" s="549" t="s">
        <v>1381</v>
      </c>
      <c r="C20" s="1464">
        <v>4</v>
      </c>
      <c r="D20" s="1465" t="s">
        <v>29</v>
      </c>
      <c r="E20" s="1464">
        <v>2020</v>
      </c>
      <c r="F20" s="1464">
        <v>358979588.37066019</v>
      </c>
      <c r="G20" s="1466">
        <f t="shared" si="0"/>
        <v>4.664255137142567E-4</v>
      </c>
      <c r="H20" s="1466">
        <v>1.4378601329833347</v>
      </c>
      <c r="I20" s="1466">
        <v>1.0502749657263994E-2</v>
      </c>
      <c r="J20" s="1466">
        <v>5.9829593713155611E-2</v>
      </c>
      <c r="K20" s="1466">
        <v>0.35429646176503155</v>
      </c>
      <c r="L20" s="1466">
        <v>696.66591155132267</v>
      </c>
      <c r="M20" s="1466">
        <v>0.03</v>
      </c>
      <c r="N20" s="1466">
        <v>32.001798308316623</v>
      </c>
      <c r="O20" s="1466">
        <f t="shared" si="4"/>
        <v>233.21275685712834</v>
      </c>
      <c r="P20" s="1466">
        <v>9.9581847177993801</v>
      </c>
      <c r="T20" s="1468"/>
      <c r="U20" s="1477"/>
      <c r="V20" s="1477"/>
    </row>
    <row r="21" spans="1:22">
      <c r="A21" s="1475" t="s">
        <v>1376</v>
      </c>
      <c r="B21" s="1478" t="s">
        <v>1381</v>
      </c>
      <c r="C21" s="1469">
        <v>4</v>
      </c>
      <c r="D21" s="1470" t="s">
        <v>29</v>
      </c>
      <c r="E21" s="1469">
        <v>2030</v>
      </c>
      <c r="F21" s="1469">
        <v>539987421.5109601</v>
      </c>
      <c r="G21" s="1471">
        <f t="shared" si="0"/>
        <v>4.6248198678145634E-4</v>
      </c>
      <c r="H21" s="1471">
        <v>0.5306376276342073</v>
      </c>
      <c r="I21" s="1471">
        <v>1.3705297958781144E-3</v>
      </c>
      <c r="J21" s="1471">
        <v>7.4220238221218487E-3</v>
      </c>
      <c r="K21" s="1471">
        <v>0.14608455588796768</v>
      </c>
      <c r="L21" s="1471">
        <v>690.62757445920772</v>
      </c>
      <c r="M21" s="1471">
        <v>0.03</v>
      </c>
      <c r="N21" s="1471">
        <v>15.630696312250185</v>
      </c>
      <c r="O21" s="1471">
        <f t="shared" si="4"/>
        <v>231.24099339072816</v>
      </c>
      <c r="P21" s="1471">
        <v>9.8739904177840927</v>
      </c>
      <c r="T21" s="1468"/>
      <c r="U21" s="1477"/>
      <c r="V21" s="1477"/>
    </row>
    <row r="22" spans="1:22">
      <c r="A22" s="549" t="s">
        <v>1376</v>
      </c>
      <c r="B22" s="549" t="s">
        <v>1382</v>
      </c>
      <c r="C22" s="1472">
        <v>3</v>
      </c>
      <c r="D22" s="1473" t="s">
        <v>29</v>
      </c>
      <c r="E22" s="1472">
        <v>2010</v>
      </c>
      <c r="F22" s="1472">
        <v>1829491513.1258786</v>
      </c>
      <c r="G22" s="1474">
        <f t="shared" si="0"/>
        <v>5.1260490398052395E-4</v>
      </c>
      <c r="H22" s="1474">
        <v>3.8085912564772744</v>
      </c>
      <c r="I22" s="1474">
        <v>4.9051989534047496E-3</v>
      </c>
      <c r="J22" s="1474">
        <v>1.6675329452535491E-2</v>
      </c>
      <c r="K22" s="1474">
        <v>0.1227716741285369</v>
      </c>
      <c r="L22" s="1474">
        <v>804.11761959156036</v>
      </c>
      <c r="M22" s="1474">
        <v>0.03</v>
      </c>
      <c r="N22" s="1474">
        <v>27.360709121254956</v>
      </c>
      <c r="O22" s="1466">
        <f t="shared" si="4"/>
        <v>256.302451990262</v>
      </c>
      <c r="P22" s="1474">
        <v>10.944114699984189</v>
      </c>
      <c r="T22" s="1468"/>
    </row>
    <row r="23" spans="1:22">
      <c r="A23" s="549" t="s">
        <v>1376</v>
      </c>
      <c r="B23" s="549" t="s">
        <v>1382</v>
      </c>
      <c r="C23" s="1464">
        <v>3</v>
      </c>
      <c r="D23" s="1465" t="s">
        <v>29</v>
      </c>
      <c r="E23" s="1464">
        <v>2020</v>
      </c>
      <c r="F23" s="1464">
        <v>884259985.62407732</v>
      </c>
      <c r="G23" s="1466">
        <f t="shared" si="0"/>
        <v>4.8319137637979777E-4</v>
      </c>
      <c r="H23" s="1466">
        <v>2.8076650855544445</v>
      </c>
      <c r="I23" s="1466">
        <v>4.7707333355860174E-3</v>
      </c>
      <c r="J23" s="1466">
        <v>1.600218841397541E-2</v>
      </c>
      <c r="K23" s="1466">
        <v>0.11636133079494558</v>
      </c>
      <c r="L23" s="1466">
        <v>721.7078628455846</v>
      </c>
      <c r="M23" s="1466">
        <v>0.03</v>
      </c>
      <c r="N23" s="1466">
        <v>26.04629654461506</v>
      </c>
      <c r="O23" s="1466">
        <f t="shared" si="4"/>
        <v>241.59568818989888</v>
      </c>
      <c r="P23" s="1466">
        <v>10.316135885708682</v>
      </c>
      <c r="T23" s="1468"/>
    </row>
    <row r="24" spans="1:22">
      <c r="A24" s="1475" t="s">
        <v>1376</v>
      </c>
      <c r="B24" s="1475" t="s">
        <v>1382</v>
      </c>
      <c r="C24" s="1469">
        <v>3</v>
      </c>
      <c r="D24" s="1470" t="s">
        <v>29</v>
      </c>
      <c r="E24" s="1469">
        <v>2030</v>
      </c>
      <c r="F24" s="1469">
        <v>55791407.608551584</v>
      </c>
      <c r="G24" s="1471">
        <f t="shared" si="0"/>
        <v>4.5288417326614175E-4</v>
      </c>
      <c r="H24" s="1471">
        <v>2.6008381755640011</v>
      </c>
      <c r="I24" s="1471">
        <v>4.6242423581146662E-3</v>
      </c>
      <c r="J24" s="1471">
        <v>1.5235117888472196E-2</v>
      </c>
      <c r="K24" s="1471">
        <v>0.10983244340612468</v>
      </c>
      <c r="L24" s="1471">
        <v>676.29509263797343</v>
      </c>
      <c r="M24" s="1471">
        <v>0.03</v>
      </c>
      <c r="N24" s="1471">
        <v>24.657118057233401</v>
      </c>
      <c r="O24" s="1471">
        <f t="shared" si="4"/>
        <v>226.44208663307089</v>
      </c>
      <c r="P24" s="1471">
        <v>9.669077099232128</v>
      </c>
      <c r="T24" s="1468"/>
    </row>
    <row r="25" spans="1:22">
      <c r="A25" s="549" t="s">
        <v>1376</v>
      </c>
      <c r="B25" s="549" t="s">
        <v>1383</v>
      </c>
      <c r="C25" s="1472">
        <v>4</v>
      </c>
      <c r="D25" s="1473" t="s">
        <v>29</v>
      </c>
      <c r="E25" s="1472">
        <v>2010</v>
      </c>
      <c r="F25" s="1472">
        <v>248410074.9236975</v>
      </c>
      <c r="G25" s="1474">
        <f t="shared" si="0"/>
        <v>4.6278891662168735E-4</v>
      </c>
      <c r="H25" s="1474">
        <v>3.8927215600566769</v>
      </c>
      <c r="I25" s="1474">
        <v>3.63674538281277E-3</v>
      </c>
      <c r="J25" s="1474">
        <v>1.8318506498726322E-2</v>
      </c>
      <c r="K25" s="1474">
        <v>0.14004527521743521</v>
      </c>
      <c r="L25" s="1474">
        <v>725.971833506547</v>
      </c>
      <c r="M25" s="1474">
        <v>0.03</v>
      </c>
      <c r="N25" s="1474">
        <v>29.851157393435482</v>
      </c>
      <c r="O25" s="1466">
        <f t="shared" si="4"/>
        <v>231.39445831084367</v>
      </c>
      <c r="P25" s="1474">
        <v>9.8805433698730258</v>
      </c>
      <c r="T25" s="1468"/>
    </row>
    <row r="26" spans="1:22">
      <c r="A26" s="549" t="s">
        <v>1376</v>
      </c>
      <c r="B26" s="549" t="s">
        <v>1383</v>
      </c>
      <c r="C26" s="1464">
        <v>4</v>
      </c>
      <c r="D26" s="1465" t="s">
        <v>29</v>
      </c>
      <c r="E26" s="1464">
        <v>2020</v>
      </c>
      <c r="F26" s="1464">
        <v>235193373.63990819</v>
      </c>
      <c r="G26" s="1466">
        <f t="shared" si="0"/>
        <v>4.6345247928256984E-4</v>
      </c>
      <c r="H26" s="1466">
        <v>2.8788297784336332</v>
      </c>
      <c r="I26" s="1466">
        <v>3.5801578302078292E-3</v>
      </c>
      <c r="J26" s="1466">
        <v>1.8625841941190987E-2</v>
      </c>
      <c r="K26" s="1466">
        <v>0.13892767820129009</v>
      </c>
      <c r="L26" s="1466">
        <v>692.22530596366755</v>
      </c>
      <c r="M26" s="1466">
        <v>0.03</v>
      </c>
      <c r="N26" s="1466">
        <v>29.977012245778237</v>
      </c>
      <c r="O26" s="1466">
        <f t="shared" si="4"/>
        <v>231.72623964128493</v>
      </c>
      <c r="P26" s="1466">
        <v>9.8947104326828672</v>
      </c>
      <c r="T26" s="1468"/>
    </row>
    <row r="27" spans="1:22">
      <c r="A27" s="1475" t="s">
        <v>1376</v>
      </c>
      <c r="B27" s="1475" t="s">
        <v>1383</v>
      </c>
      <c r="C27" s="1469">
        <v>4</v>
      </c>
      <c r="D27" s="1470" t="s">
        <v>29</v>
      </c>
      <c r="E27" s="1469">
        <v>2030</v>
      </c>
      <c r="F27" s="1469">
        <v>28278941.219443381</v>
      </c>
      <c r="G27" s="1471">
        <f t="shared" si="0"/>
        <v>4.6576947366666686E-4</v>
      </c>
      <c r="H27" s="1471">
        <v>2.7222866890462818</v>
      </c>
      <c r="I27" s="1471">
        <v>3.4304585923286808E-3</v>
      </c>
      <c r="J27" s="1471">
        <v>1.9427730278008665E-2</v>
      </c>
      <c r="K27" s="1471">
        <v>0.13752455076473258</v>
      </c>
      <c r="L27" s="1471">
        <v>695.53680153937978</v>
      </c>
      <c r="M27" s="1471">
        <v>0.03</v>
      </c>
      <c r="N27" s="1471">
        <v>30.427928592161312</v>
      </c>
      <c r="O27" s="1471">
        <f t="shared" si="4"/>
        <v>232.88473683333342</v>
      </c>
      <c r="P27" s="1471">
        <v>9.9441782627833373</v>
      </c>
      <c r="T27" s="1468"/>
    </row>
    <row r="28" spans="1:22">
      <c r="A28" s="549" t="s">
        <v>1376</v>
      </c>
      <c r="B28" s="549" t="s">
        <v>1384</v>
      </c>
      <c r="C28" s="1477"/>
      <c r="D28" s="1479" t="s">
        <v>29</v>
      </c>
      <c r="E28" s="1477">
        <v>2010</v>
      </c>
      <c r="F28" s="549">
        <f>+F13+F16+F22</f>
        <v>10798964768.912138</v>
      </c>
      <c r="G28" s="1474">
        <f t="shared" si="0"/>
        <v>2.4783091176818752E-4</v>
      </c>
      <c r="H28" s="1480">
        <f t="shared" ref="H28:P30" si="5">+($F13*H13+$F16*H16+$F22*H22)/$F28</f>
        <v>2.0493264864146417</v>
      </c>
      <c r="I28" s="1480">
        <f t="shared" si="5"/>
        <v>1.128711769001063E-2</v>
      </c>
      <c r="J28" s="1480">
        <f t="shared" si="5"/>
        <v>0.1039569422007455</v>
      </c>
      <c r="K28" s="1480">
        <f t="shared" si="5"/>
        <v>0.48702687196839295</v>
      </c>
      <c r="L28" s="1480">
        <f t="shared" si="5"/>
        <v>389.82845886299583</v>
      </c>
      <c r="M28" s="1480">
        <f t="shared" si="5"/>
        <v>1.3539049152109078E-2</v>
      </c>
      <c r="N28" s="1480">
        <f t="shared" si="5"/>
        <v>61.930232782741086</v>
      </c>
      <c r="O28" s="1466">
        <f t="shared" si="4"/>
        <v>123.91545588409377</v>
      </c>
      <c r="P28" s="1480">
        <f t="shared" si="5"/>
        <v>5.2911899662508048</v>
      </c>
      <c r="T28" s="1468"/>
    </row>
    <row r="29" spans="1:22">
      <c r="A29" s="549" t="s">
        <v>1376</v>
      </c>
      <c r="B29" s="549" t="s">
        <v>1384</v>
      </c>
      <c r="C29" s="1477"/>
      <c r="D29" s="1479" t="s">
        <v>29</v>
      </c>
      <c r="E29" s="1477">
        <v>2020</v>
      </c>
      <c r="F29" s="549">
        <f>+F14+F17+F23</f>
        <v>10977874350.463799</v>
      </c>
      <c r="G29" s="1481">
        <f t="shared" si="0"/>
        <v>2.5407317719188601E-4</v>
      </c>
      <c r="H29" s="1480">
        <f t="shared" si="5"/>
        <v>0.56012188479195857</v>
      </c>
      <c r="I29" s="1480">
        <f t="shared" si="5"/>
        <v>1.4016595103067142E-3</v>
      </c>
      <c r="J29" s="1480">
        <f t="shared" si="5"/>
        <v>3.3084080326837371E-2</v>
      </c>
      <c r="K29" s="1480">
        <f t="shared" si="5"/>
        <v>0.24347183361894414</v>
      </c>
      <c r="L29" s="1480">
        <f t="shared" si="5"/>
        <v>387.28191690421193</v>
      </c>
      <c r="M29" s="1480">
        <f t="shared" si="5"/>
        <v>1.4512940958677938E-2</v>
      </c>
      <c r="N29" s="1480">
        <f t="shared" si="5"/>
        <v>15.230499778721217</v>
      </c>
      <c r="O29" s="1481">
        <f t="shared" si="4"/>
        <v>127.036588595943</v>
      </c>
      <c r="P29" s="1480">
        <f t="shared" si="5"/>
        <v>5.4244623330467663</v>
      </c>
      <c r="T29" s="1468"/>
    </row>
    <row r="30" spans="1:22">
      <c r="A30" s="549" t="s">
        <v>1376</v>
      </c>
      <c r="B30" s="549" t="s">
        <v>1384</v>
      </c>
      <c r="C30" s="1477"/>
      <c r="D30" s="1479" t="s">
        <v>29</v>
      </c>
      <c r="E30" s="1477">
        <v>2030</v>
      </c>
      <c r="F30" s="549">
        <f>+F15+F18+F24</f>
        <v>12505468210.222805</v>
      </c>
      <c r="G30" s="1482">
        <f t="shared" si="0"/>
        <v>2.5780162530029933E-4</v>
      </c>
      <c r="H30" s="1480">
        <f t="shared" si="5"/>
        <v>0.26519296095088574</v>
      </c>
      <c r="I30" s="1480">
        <f t="shared" si="5"/>
        <v>5.2146091206697594E-4</v>
      </c>
      <c r="J30" s="1480">
        <f t="shared" si="5"/>
        <v>2.55029840982888E-2</v>
      </c>
      <c r="K30" s="1480">
        <f t="shared" si="5"/>
        <v>0.22464928475669524</v>
      </c>
      <c r="L30" s="1480">
        <f t="shared" si="5"/>
        <v>392.65955683921169</v>
      </c>
      <c r="M30" s="1480">
        <f t="shared" si="5"/>
        <v>1.4755192435719213E-2</v>
      </c>
      <c r="N30" s="1480">
        <f t="shared" si="5"/>
        <v>7.6283854276916792</v>
      </c>
      <c r="O30" s="1482">
        <f t="shared" si="4"/>
        <v>128.90081265014967</v>
      </c>
      <c r="P30" s="1480">
        <f t="shared" si="5"/>
        <v>5.5040647001613925</v>
      </c>
      <c r="T30" s="1468"/>
    </row>
    <row r="31" spans="1:22">
      <c r="A31" s="549" t="s">
        <v>1376</v>
      </c>
      <c r="B31" s="549" t="s">
        <v>1385</v>
      </c>
      <c r="C31" s="1477"/>
      <c r="D31" s="1479" t="s">
        <v>29</v>
      </c>
      <c r="E31" s="1477">
        <v>2010</v>
      </c>
      <c r="F31" s="1477">
        <f>+F19+F25</f>
        <v>650934855.46904409</v>
      </c>
      <c r="G31" s="1482">
        <f t="shared" si="0"/>
        <v>4.7618444402940867E-4</v>
      </c>
      <c r="H31" s="1480">
        <f t="shared" ref="H31:P33" si="6">+($F19*H19+$F25*H25)/$F31</f>
        <v>6.3459365863698389</v>
      </c>
      <c r="I31" s="1480">
        <f t="shared" si="6"/>
        <v>5.0248286403863689E-2</v>
      </c>
      <c r="J31" s="1480">
        <f t="shared" si="6"/>
        <v>0.28382988627880357</v>
      </c>
      <c r="K31" s="1480">
        <f t="shared" si="6"/>
        <v>1.1516012897933894</v>
      </c>
      <c r="L31" s="1480">
        <f t="shared" si="6"/>
        <v>746.98524857266511</v>
      </c>
      <c r="M31" s="1480">
        <f t="shared" si="6"/>
        <v>0.03</v>
      </c>
      <c r="N31" s="1480">
        <f t="shared" si="6"/>
        <v>115.04375040931048</v>
      </c>
      <c r="O31" s="1482">
        <f t="shared" si="4"/>
        <v>238.09222201470433</v>
      </c>
      <c r="P31" s="1480">
        <f t="shared" si="6"/>
        <v>10.166537880027876</v>
      </c>
      <c r="T31" s="1468"/>
    </row>
    <row r="32" spans="1:22">
      <c r="A32" s="549" t="s">
        <v>1376</v>
      </c>
      <c r="B32" s="549" t="s">
        <v>1385</v>
      </c>
      <c r="C32" s="1477"/>
      <c r="D32" s="1479" t="s">
        <v>29</v>
      </c>
      <c r="E32" s="1477">
        <v>2020</v>
      </c>
      <c r="F32" s="1477">
        <f>+F20+F26</f>
        <v>594172962.01056838</v>
      </c>
      <c r="G32" s="1474">
        <f t="shared" si="0"/>
        <v>4.6524868803782406E-4</v>
      </c>
      <c r="H32" s="1480">
        <f t="shared" si="6"/>
        <v>2.0082437315223238</v>
      </c>
      <c r="I32" s="1480">
        <f t="shared" si="6"/>
        <v>7.7625581133269348E-3</v>
      </c>
      <c r="J32" s="1480">
        <f t="shared" si="6"/>
        <v>4.3519781578524451E-2</v>
      </c>
      <c r="K32" s="1480">
        <f t="shared" si="6"/>
        <v>0.2690463510705321</v>
      </c>
      <c r="L32" s="1480">
        <f t="shared" si="6"/>
        <v>694.90817251582234</v>
      </c>
      <c r="M32" s="1480">
        <f t="shared" si="6"/>
        <v>0.03</v>
      </c>
      <c r="N32" s="1480">
        <f t="shared" si="6"/>
        <v>31.200320800258964</v>
      </c>
      <c r="O32" s="1474">
        <f t="shared" si="4"/>
        <v>232.62434401891204</v>
      </c>
      <c r="P32" s="1480">
        <f t="shared" si="6"/>
        <v>9.9330594896075457</v>
      </c>
      <c r="T32" s="1468"/>
    </row>
    <row r="33" spans="1:20">
      <c r="A33" s="549" t="s">
        <v>1376</v>
      </c>
      <c r="B33" s="549" t="s">
        <v>1385</v>
      </c>
      <c r="C33" s="1477"/>
      <c r="D33" s="1479" t="s">
        <v>29</v>
      </c>
      <c r="E33" s="1477">
        <v>2030</v>
      </c>
      <c r="F33" s="1477">
        <f>+F21+F27</f>
        <v>568266362.73040342</v>
      </c>
      <c r="G33" s="1471">
        <f t="shared" si="0"/>
        <v>4.6264558373965012E-4</v>
      </c>
      <c r="H33" s="1480">
        <f t="shared" si="6"/>
        <v>0.63970182542260201</v>
      </c>
      <c r="I33" s="1480">
        <f t="shared" si="6"/>
        <v>1.4730391280708076E-3</v>
      </c>
      <c r="J33" s="1480">
        <f t="shared" si="6"/>
        <v>8.019470177265316E-3</v>
      </c>
      <c r="K33" s="1480">
        <f t="shared" si="6"/>
        <v>0.1456585798007064</v>
      </c>
      <c r="L33" s="1480">
        <f t="shared" si="6"/>
        <v>690.87187493718443</v>
      </c>
      <c r="M33" s="1480">
        <f t="shared" si="6"/>
        <v>3.0000000000000002E-2</v>
      </c>
      <c r="N33" s="1480">
        <f t="shared" si="6"/>
        <v>16.3670588515416</v>
      </c>
      <c r="O33" s="1471">
        <f t="shared" si="4"/>
        <v>231.32279186982507</v>
      </c>
      <c r="P33" s="1480">
        <f t="shared" si="6"/>
        <v>9.8774832128415309</v>
      </c>
      <c r="T33" s="1468"/>
    </row>
    <row r="34" spans="1:20">
      <c r="C34" s="1477"/>
      <c r="D34" s="1479"/>
      <c r="E34" s="1477"/>
      <c r="F34" s="1477"/>
      <c r="G34" s="1482"/>
      <c r="H34" s="1482"/>
      <c r="I34" s="1482"/>
      <c r="J34" s="1482"/>
      <c r="K34" s="1482"/>
      <c r="L34" s="1482"/>
      <c r="M34" s="1482"/>
      <c r="N34" s="1482"/>
      <c r="O34" s="1482"/>
      <c r="P34" s="1482"/>
    </row>
    <row r="35" spans="1:20">
      <c r="A35" s="1467"/>
      <c r="B35" s="1467"/>
      <c r="C35" s="1483"/>
      <c r="D35" s="1484"/>
      <c r="E35" s="1483"/>
      <c r="F35" s="1483"/>
      <c r="G35" s="1485" t="s">
        <v>23</v>
      </c>
      <c r="H35" s="1485" t="s">
        <v>37</v>
      </c>
      <c r="I35" s="1485" t="s">
        <v>21</v>
      </c>
      <c r="J35" s="1485" t="s">
        <v>1386</v>
      </c>
      <c r="K35" s="1485" t="s">
        <v>189</v>
      </c>
      <c r="L35" s="1485" t="s">
        <v>20</v>
      </c>
      <c r="M35" s="1485" t="s">
        <v>22</v>
      </c>
      <c r="N35" s="1485" t="s">
        <v>286</v>
      </c>
      <c r="O35" s="1482"/>
      <c r="P35" s="1482"/>
    </row>
    <row r="36" spans="1:20">
      <c r="A36" s="1467"/>
      <c r="B36" s="1467"/>
      <c r="C36" s="1483"/>
      <c r="D36" s="1484"/>
      <c r="E36" s="1483"/>
      <c r="F36" s="1483"/>
      <c r="G36" s="1485" t="s">
        <v>173</v>
      </c>
      <c r="H36" s="1485" t="s">
        <v>173</v>
      </c>
      <c r="I36" s="1485" t="s">
        <v>173</v>
      </c>
      <c r="J36" s="1485" t="s">
        <v>173</v>
      </c>
      <c r="K36" s="1485" t="s">
        <v>173</v>
      </c>
      <c r="L36" s="1485" t="s">
        <v>1387</v>
      </c>
      <c r="M36" s="1485" t="s">
        <v>173</v>
      </c>
      <c r="N36" s="1485" t="s">
        <v>173</v>
      </c>
      <c r="O36" s="1482"/>
      <c r="P36" s="1482"/>
    </row>
    <row r="37" spans="1:20">
      <c r="A37" s="549" t="s">
        <v>1376</v>
      </c>
      <c r="B37" s="549" t="s">
        <v>1380</v>
      </c>
      <c r="C37" s="1477">
        <v>3</v>
      </c>
      <c r="D37" s="1479" t="s">
        <v>29</v>
      </c>
      <c r="E37" s="1477">
        <v>2010</v>
      </c>
      <c r="F37" s="1477"/>
      <c r="G37" s="1482">
        <f t="shared" ref="G37:N49" si="7">+G16/$P16*1000</f>
        <v>4.6838407494145196E-2</v>
      </c>
      <c r="H37" s="1482">
        <f t="shared" si="7"/>
        <v>695.87623111415678</v>
      </c>
      <c r="I37" s="1482">
        <f t="shared" si="7"/>
        <v>6.5476450985625254</v>
      </c>
      <c r="J37" s="1482">
        <f t="shared" si="7"/>
        <v>31.162392524145805</v>
      </c>
      <c r="K37" s="1482">
        <f t="shared" si="7"/>
        <v>158.83130010084403</v>
      </c>
      <c r="L37" s="1486">
        <v>74</v>
      </c>
      <c r="M37" s="1482">
        <f t="shared" ref="M37:N48" si="8">+M16/$P16*1000</f>
        <v>2.6995854560112602</v>
      </c>
      <c r="N37" s="1482">
        <f t="shared" si="8"/>
        <v>13751.868096836144</v>
      </c>
      <c r="O37" s="1482"/>
      <c r="P37" s="1482"/>
    </row>
    <row r="38" spans="1:20">
      <c r="A38" s="549" t="s">
        <v>1376</v>
      </c>
      <c r="B38" s="549" t="s">
        <v>1380</v>
      </c>
      <c r="C38" s="1477">
        <v>3</v>
      </c>
      <c r="D38" s="1479" t="s">
        <v>29</v>
      </c>
      <c r="E38" s="1477">
        <v>2020</v>
      </c>
      <c r="F38" s="1477"/>
      <c r="G38" s="1482">
        <f t="shared" si="7"/>
        <v>4.6838407494145189E-2</v>
      </c>
      <c r="H38" s="1482">
        <f t="shared" si="7"/>
        <v>71.555550084971301</v>
      </c>
      <c r="I38" s="1482">
        <f t="shared" si="7"/>
        <v>0.34534177713904401</v>
      </c>
      <c r="J38" s="1482">
        <f t="shared" si="7"/>
        <v>1.4625961474331011</v>
      </c>
      <c r="K38" s="1482">
        <f t="shared" si="7"/>
        <v>15.983469147421502</v>
      </c>
      <c r="L38" s="1486">
        <v>74</v>
      </c>
      <c r="M38" s="1482">
        <f t="shared" si="8"/>
        <v>2.7667303227022133</v>
      </c>
      <c r="N38" s="1482">
        <f t="shared" si="8"/>
        <v>1650.2797515857508</v>
      </c>
      <c r="O38" s="1482"/>
      <c r="P38" s="1482"/>
    </row>
    <row r="39" spans="1:20">
      <c r="A39" s="549" t="s">
        <v>1376</v>
      </c>
      <c r="B39" s="549" t="s">
        <v>1380</v>
      </c>
      <c r="C39" s="1477">
        <v>3</v>
      </c>
      <c r="D39" s="1479" t="s">
        <v>29</v>
      </c>
      <c r="E39" s="1477">
        <v>2030</v>
      </c>
      <c r="F39" s="1477"/>
      <c r="G39" s="1482">
        <f t="shared" si="7"/>
        <v>4.6838407494145196E-2</v>
      </c>
      <c r="H39" s="1482">
        <f t="shared" si="7"/>
        <v>51.469763027700843</v>
      </c>
      <c r="I39" s="1482">
        <f t="shared" si="7"/>
        <v>0.1385008019582569</v>
      </c>
      <c r="J39" s="1482">
        <f t="shared" si="7"/>
        <v>0.47717434823074673</v>
      </c>
      <c r="K39" s="1482">
        <f t="shared" si="7"/>
        <v>11.375322532029049</v>
      </c>
      <c r="L39" s="1486">
        <v>74</v>
      </c>
      <c r="M39" s="1482">
        <f t="shared" si="8"/>
        <v>2.8018157343183638</v>
      </c>
      <c r="N39" s="1482">
        <f t="shared" si="8"/>
        <v>1265.4643837400536</v>
      </c>
      <c r="O39" s="1482"/>
      <c r="P39" s="1482"/>
    </row>
    <row r="40" spans="1:20">
      <c r="A40" s="549" t="s">
        <v>1376</v>
      </c>
      <c r="B40" s="549" t="s">
        <v>1381</v>
      </c>
      <c r="C40" s="1477">
        <v>4</v>
      </c>
      <c r="D40" s="1479" t="s">
        <v>29</v>
      </c>
      <c r="E40" s="1477">
        <v>2010</v>
      </c>
      <c r="F40" s="1477"/>
      <c r="G40" s="1482">
        <f t="shared" si="7"/>
        <v>4.6838407494145196E-2</v>
      </c>
      <c r="H40" s="1482">
        <f t="shared" si="7"/>
        <v>759.92104313779635</v>
      </c>
      <c r="I40" s="1482">
        <f t="shared" si="7"/>
        <v>7.6393120708123874</v>
      </c>
      <c r="J40" s="1482">
        <f t="shared" si="7"/>
        <v>43.283712622575777</v>
      </c>
      <c r="K40" s="1482">
        <f t="shared" si="7"/>
        <v>171.69650673193715</v>
      </c>
      <c r="L40" s="1486">
        <v>74</v>
      </c>
      <c r="M40" s="1482">
        <f t="shared" si="8"/>
        <v>2.9005029896963199</v>
      </c>
      <c r="N40" s="1482">
        <f t="shared" si="8"/>
        <v>16205.946153418414</v>
      </c>
      <c r="O40" s="1482"/>
      <c r="P40" s="1482"/>
    </row>
    <row r="41" spans="1:20">
      <c r="A41" s="549" t="s">
        <v>1376</v>
      </c>
      <c r="B41" s="549" t="s">
        <v>1381</v>
      </c>
      <c r="C41" s="1477">
        <v>4</v>
      </c>
      <c r="D41" s="1479" t="s">
        <v>29</v>
      </c>
      <c r="E41" s="1477">
        <v>2020</v>
      </c>
      <c r="F41" s="1477"/>
      <c r="G41" s="1482">
        <f t="shared" si="7"/>
        <v>4.6838407494145196E-2</v>
      </c>
      <c r="H41" s="1482">
        <f t="shared" si="7"/>
        <v>144.38978325168904</v>
      </c>
      <c r="I41" s="1482">
        <f t="shared" si="7"/>
        <v>1.0546851614924608</v>
      </c>
      <c r="J41" s="1482">
        <f t="shared" si="7"/>
        <v>6.0080823371568384</v>
      </c>
      <c r="K41" s="1482">
        <f t="shared" si="7"/>
        <v>35.578418336803672</v>
      </c>
      <c r="L41" s="1486">
        <v>74</v>
      </c>
      <c r="M41" s="1482">
        <f t="shared" si="8"/>
        <v>3.0125972604602964</v>
      </c>
      <c r="N41" s="1482">
        <f t="shared" si="8"/>
        <v>3213.6176637812532</v>
      </c>
      <c r="O41" s="1482"/>
      <c r="P41" s="1482"/>
    </row>
    <row r="42" spans="1:20">
      <c r="A42" s="549" t="s">
        <v>1376</v>
      </c>
      <c r="B42" s="549" t="s">
        <v>1381</v>
      </c>
      <c r="C42" s="1477">
        <v>4</v>
      </c>
      <c r="D42" s="1479" t="s">
        <v>29</v>
      </c>
      <c r="E42" s="1477">
        <v>2030</v>
      </c>
      <c r="F42" s="1477"/>
      <c r="G42" s="1482">
        <f t="shared" si="7"/>
        <v>4.6838407494145196E-2</v>
      </c>
      <c r="H42" s="1482">
        <f t="shared" si="7"/>
        <v>53.740950232083804</v>
      </c>
      <c r="I42" s="1482">
        <f t="shared" si="7"/>
        <v>0.13880201801792783</v>
      </c>
      <c r="J42" s="1482">
        <f t="shared" si="7"/>
        <v>0.75167419736948549</v>
      </c>
      <c r="K42" s="1482">
        <f t="shared" si="7"/>
        <v>14.794885320615064</v>
      </c>
      <c r="L42" s="1486">
        <v>74</v>
      </c>
      <c r="M42" s="1482">
        <f t="shared" si="8"/>
        <v>3.03828530620881</v>
      </c>
      <c r="N42" s="1482">
        <f t="shared" si="8"/>
        <v>1583.0171643773992</v>
      </c>
      <c r="O42" s="1482"/>
      <c r="P42" s="1482"/>
    </row>
    <row r="43" spans="1:20">
      <c r="A43" s="549" t="s">
        <v>1376</v>
      </c>
      <c r="B43" s="549" t="s">
        <v>1382</v>
      </c>
      <c r="C43" s="1477">
        <v>3</v>
      </c>
      <c r="D43" s="1479" t="s">
        <v>29</v>
      </c>
      <c r="E43" s="1477">
        <v>2010</v>
      </c>
      <c r="F43" s="1477"/>
      <c r="G43" s="1482">
        <f t="shared" si="7"/>
        <v>4.6838407494145196E-2</v>
      </c>
      <c r="H43" s="1482">
        <f t="shared" si="7"/>
        <v>348.00359470673095</v>
      </c>
      <c r="I43" s="1482">
        <f t="shared" si="7"/>
        <v>0.44820427123372858</v>
      </c>
      <c r="J43" s="1482">
        <f t="shared" si="7"/>
        <v>1.5236800700343156</v>
      </c>
      <c r="K43" s="1482">
        <f t="shared" si="7"/>
        <v>11.218054405872982</v>
      </c>
      <c r="L43" s="1486">
        <v>74</v>
      </c>
      <c r="M43" s="1482">
        <f t="shared" si="8"/>
        <v>2.7411993406870399</v>
      </c>
      <c r="N43" s="1482">
        <f t="shared" si="8"/>
        <v>2500.0385934637989</v>
      </c>
      <c r="O43" s="1482"/>
      <c r="P43" s="1482"/>
    </row>
    <row r="44" spans="1:20">
      <c r="A44" s="549" t="s">
        <v>1376</v>
      </c>
      <c r="B44" s="549" t="s">
        <v>1382</v>
      </c>
      <c r="C44" s="1477">
        <v>3</v>
      </c>
      <c r="D44" s="1479" t="s">
        <v>29</v>
      </c>
      <c r="E44" s="1477">
        <v>2020</v>
      </c>
      <c r="F44" s="1477"/>
      <c r="G44" s="1482">
        <f t="shared" si="7"/>
        <v>4.6838407494145196E-2</v>
      </c>
      <c r="H44" s="1482">
        <f t="shared" si="7"/>
        <v>272.16247601429961</v>
      </c>
      <c r="I44" s="1482">
        <f t="shared" si="7"/>
        <v>0.46245351829797898</v>
      </c>
      <c r="J44" s="1482">
        <f t="shared" si="7"/>
        <v>1.5511804605195074</v>
      </c>
      <c r="K44" s="1482">
        <f t="shared" si="7"/>
        <v>11.2795461482962</v>
      </c>
      <c r="L44" s="1486">
        <v>74</v>
      </c>
      <c r="M44" s="1482">
        <f t="shared" si="8"/>
        <v>2.9080656102601448</v>
      </c>
      <c r="N44" s="1482">
        <f t="shared" si="8"/>
        <v>2524.8113085344235</v>
      </c>
      <c r="O44" s="1482"/>
      <c r="P44" s="1482"/>
    </row>
    <row r="45" spans="1:20">
      <c r="A45" s="549" t="s">
        <v>1376</v>
      </c>
      <c r="B45" s="549" t="s">
        <v>1382</v>
      </c>
      <c r="C45" s="1477">
        <v>3</v>
      </c>
      <c r="D45" s="1479" t="s">
        <v>29</v>
      </c>
      <c r="E45" s="1477">
        <v>2030</v>
      </c>
      <c r="F45" s="1477"/>
      <c r="G45" s="1482">
        <f t="shared" si="7"/>
        <v>4.6838407494145196E-2</v>
      </c>
      <c r="H45" s="1482">
        <f t="shared" si="7"/>
        <v>268.98515224069808</v>
      </c>
      <c r="I45" s="1482">
        <f t="shared" si="7"/>
        <v>0.47825064488128877</v>
      </c>
      <c r="J45" s="1482">
        <f t="shared" si="7"/>
        <v>1.5756537808227939</v>
      </c>
      <c r="K45" s="1482">
        <f t="shared" si="7"/>
        <v>11.359144443562979</v>
      </c>
      <c r="L45" s="1486">
        <v>74</v>
      </c>
      <c r="M45" s="1482">
        <f t="shared" si="8"/>
        <v>3.1026746081466716</v>
      </c>
      <c r="N45" s="1482">
        <f t="shared" si="8"/>
        <v>2550.1004702084288</v>
      </c>
      <c r="O45" s="1482"/>
      <c r="P45" s="1482"/>
    </row>
    <row r="46" spans="1:20">
      <c r="A46" s="549" t="s">
        <v>1376</v>
      </c>
      <c r="B46" s="549" t="s">
        <v>1383</v>
      </c>
      <c r="C46" s="1477">
        <v>4</v>
      </c>
      <c r="D46" s="1479" t="s">
        <v>29</v>
      </c>
      <c r="E46" s="1477">
        <v>2010</v>
      </c>
      <c r="F46" s="1477"/>
      <c r="G46" s="1482">
        <f t="shared" si="7"/>
        <v>4.6838407494145196E-2</v>
      </c>
      <c r="H46" s="1482">
        <f t="shared" si="7"/>
        <v>393.97849028486195</v>
      </c>
      <c r="I46" s="1482">
        <f t="shared" si="7"/>
        <v>0.36807139513213893</v>
      </c>
      <c r="J46" s="1482">
        <f t="shared" si="7"/>
        <v>1.8539978838189881</v>
      </c>
      <c r="K46" s="1482">
        <f t="shared" si="7"/>
        <v>14.173843479544882</v>
      </c>
      <c r="L46" s="1486">
        <v>74</v>
      </c>
      <c r="M46" s="1482">
        <f t="shared" si="8"/>
        <v>3.0362702613576533</v>
      </c>
      <c r="N46" s="1482">
        <f t="shared" si="8"/>
        <v>3021.20604869316</v>
      </c>
      <c r="O46" s="1482"/>
      <c r="P46" s="1482"/>
    </row>
    <row r="47" spans="1:20">
      <c r="A47" s="549" t="s">
        <v>1376</v>
      </c>
      <c r="B47" s="549" t="s">
        <v>1383</v>
      </c>
      <c r="C47" s="1477">
        <v>4</v>
      </c>
      <c r="D47" s="1479" t="s">
        <v>29</v>
      </c>
      <c r="E47" s="1477">
        <v>2020</v>
      </c>
      <c r="F47" s="1477"/>
      <c r="G47" s="1482">
        <f t="shared" si="7"/>
        <v>4.6838407494145196E-2</v>
      </c>
      <c r="H47" s="1482">
        <f t="shared" si="7"/>
        <v>290.94633926068946</v>
      </c>
      <c r="I47" s="1482">
        <f t="shared" si="7"/>
        <v>0.36182542728914396</v>
      </c>
      <c r="J47" s="1482">
        <f t="shared" si="7"/>
        <v>1.8824039437949218</v>
      </c>
      <c r="K47" s="1482">
        <f t="shared" si="7"/>
        <v>14.040600697358762</v>
      </c>
      <c r="L47" s="1486">
        <v>74</v>
      </c>
      <c r="M47" s="1482">
        <f t="shared" si="8"/>
        <v>3.031922985932773</v>
      </c>
      <c r="N47" s="1482">
        <f t="shared" si="8"/>
        <v>3029.5997492521087</v>
      </c>
      <c r="O47" s="1482"/>
      <c r="P47" s="1482"/>
    </row>
    <row r="48" spans="1:20">
      <c r="A48" s="549" t="s">
        <v>1376</v>
      </c>
      <c r="B48" s="549" t="s">
        <v>1383</v>
      </c>
      <c r="C48" s="1477">
        <v>4</v>
      </c>
      <c r="D48" s="1479" t="s">
        <v>29</v>
      </c>
      <c r="E48" s="1477">
        <v>2030</v>
      </c>
      <c r="F48" s="1477"/>
      <c r="G48" s="1482">
        <f t="shared" si="7"/>
        <v>4.6838407494145196E-2</v>
      </c>
      <c r="H48" s="1482">
        <f t="shared" si="7"/>
        <v>273.75682707082973</v>
      </c>
      <c r="I48" s="1482">
        <f t="shared" si="7"/>
        <v>0.34497155035598775</v>
      </c>
      <c r="J48" s="1482">
        <f t="shared" si="7"/>
        <v>1.9536788022714826</v>
      </c>
      <c r="K48" s="1482">
        <f t="shared" si="7"/>
        <v>13.829654611022628</v>
      </c>
      <c r="L48" s="1486">
        <v>74</v>
      </c>
      <c r="M48" s="1482">
        <f t="shared" si="8"/>
        <v>3.0168405279173984</v>
      </c>
      <c r="N48" s="1482">
        <f t="shared" si="8"/>
        <v>3059.8736052469612</v>
      </c>
      <c r="O48" s="1482"/>
      <c r="P48" s="1482"/>
    </row>
    <row r="49" spans="1:16">
      <c r="A49" s="1467" t="s">
        <v>1376</v>
      </c>
      <c r="B49" s="1467" t="s">
        <v>1384</v>
      </c>
      <c r="C49" s="1487"/>
      <c r="D49" s="1488" t="s">
        <v>29</v>
      </c>
      <c r="E49" s="1487">
        <v>2010</v>
      </c>
      <c r="F49" s="1483"/>
      <c r="G49" s="1489">
        <f>+G28/$P28*1000</f>
        <v>4.6838407494145189E-2</v>
      </c>
      <c r="H49" s="1489">
        <f t="shared" si="7"/>
        <v>387.30918743912332</v>
      </c>
      <c r="I49" s="1489">
        <f t="shared" si="7"/>
        <v>2.1331907873283895</v>
      </c>
      <c r="J49" s="1489">
        <f t="shared" si="7"/>
        <v>19.647176318337063</v>
      </c>
      <c r="K49" s="1489">
        <f t="shared" si="7"/>
        <v>92.0448661028678</v>
      </c>
      <c r="L49" s="1490">
        <v>74</v>
      </c>
      <c r="M49" s="1489">
        <f t="shared" si="7"/>
        <v>2.5587909786770489</v>
      </c>
      <c r="N49" s="1489">
        <f t="shared" si="7"/>
        <v>11704.405469800811</v>
      </c>
      <c r="O49" s="1482"/>
      <c r="P49" s="1482"/>
    </row>
    <row r="50" spans="1:16">
      <c r="A50" s="1467" t="s">
        <v>1376</v>
      </c>
      <c r="B50" s="1467" t="s">
        <v>1384</v>
      </c>
      <c r="C50" s="1487"/>
      <c r="D50" s="1488" t="s">
        <v>29</v>
      </c>
      <c r="E50" s="1487">
        <v>2020</v>
      </c>
      <c r="F50" s="1483"/>
      <c r="G50" s="1489">
        <f t="shared" ref="G50:N54" si="9">+G29/$P29*1000</f>
        <v>4.6838407494145196E-2</v>
      </c>
      <c r="H50" s="1489">
        <f t="shared" si="9"/>
        <v>103.25850755375309</v>
      </c>
      <c r="I50" s="1489">
        <f t="shared" si="9"/>
        <v>0.25839602604806766</v>
      </c>
      <c r="J50" s="1489">
        <f t="shared" si="9"/>
        <v>6.0990524582101733</v>
      </c>
      <c r="K50" s="1489">
        <f t="shared" si="9"/>
        <v>44.884049085505019</v>
      </c>
      <c r="L50" s="1490">
        <v>74</v>
      </c>
      <c r="M50" s="1489">
        <f t="shared" si="9"/>
        <v>2.6754616527176496</v>
      </c>
      <c r="N50" s="1489">
        <f t="shared" si="9"/>
        <v>2807.7436699918385</v>
      </c>
      <c r="O50" s="1482"/>
      <c r="P50" s="1482"/>
    </row>
    <row r="51" spans="1:16">
      <c r="A51" s="1467" t="s">
        <v>1376</v>
      </c>
      <c r="B51" s="1467" t="s">
        <v>1384</v>
      </c>
      <c r="C51" s="1487"/>
      <c r="D51" s="1488" t="s">
        <v>29</v>
      </c>
      <c r="E51" s="1487">
        <v>2030</v>
      </c>
      <c r="F51" s="1483"/>
      <c r="G51" s="1489">
        <f t="shared" si="9"/>
        <v>4.6838407494145189E-2</v>
      </c>
      <c r="H51" s="1489">
        <f t="shared" si="9"/>
        <v>48.181294261150249</v>
      </c>
      <c r="I51" s="1489">
        <f t="shared" si="9"/>
        <v>9.4741057831621317E-2</v>
      </c>
      <c r="J51" s="1489">
        <f t="shared" si="9"/>
        <v>4.6334818879474637</v>
      </c>
      <c r="K51" s="1489">
        <f t="shared" si="9"/>
        <v>40.815160612139607</v>
      </c>
      <c r="L51" s="1490">
        <v>74</v>
      </c>
      <c r="M51" s="1489">
        <f t="shared" si="9"/>
        <v>2.6807810662702702</v>
      </c>
      <c r="N51" s="1489">
        <f t="shared" si="9"/>
        <v>1385.9548975628859</v>
      </c>
      <c r="O51" s="1482"/>
      <c r="P51" s="1482"/>
    </row>
    <row r="52" spans="1:16">
      <c r="A52" s="1467" t="s">
        <v>1376</v>
      </c>
      <c r="B52" s="1467" t="s">
        <v>1385</v>
      </c>
      <c r="C52" s="1487"/>
      <c r="D52" s="1488" t="s">
        <v>29</v>
      </c>
      <c r="E52" s="1487">
        <v>2010</v>
      </c>
      <c r="F52" s="1483"/>
      <c r="G52" s="1489">
        <f t="shared" si="9"/>
        <v>4.6838407494145196E-2</v>
      </c>
      <c r="H52" s="1489">
        <f t="shared" si="9"/>
        <v>624.19839096221801</v>
      </c>
      <c r="I52" s="1489">
        <f t="shared" si="9"/>
        <v>4.942517009903268</v>
      </c>
      <c r="J52" s="1489">
        <f t="shared" si="9"/>
        <v>27.918047385274221</v>
      </c>
      <c r="K52" s="1489">
        <f t="shared" si="9"/>
        <v>113.27369291130127</v>
      </c>
      <c r="L52" s="1490">
        <v>74</v>
      </c>
      <c r="M52" s="1489">
        <f t="shared" si="9"/>
        <v>2.9508570522257025</v>
      </c>
      <c r="N52" s="1489">
        <f t="shared" si="9"/>
        <v>11315.922073660244</v>
      </c>
      <c r="O52" s="1482"/>
      <c r="P52" s="1482"/>
    </row>
    <row r="53" spans="1:16">
      <c r="A53" s="1467" t="s">
        <v>1376</v>
      </c>
      <c r="B53" s="1467" t="s">
        <v>1385</v>
      </c>
      <c r="C53" s="1487"/>
      <c r="D53" s="1488" t="s">
        <v>29</v>
      </c>
      <c r="E53" s="1487">
        <v>2020</v>
      </c>
      <c r="F53" s="1483"/>
      <c r="G53" s="1489">
        <f t="shared" si="9"/>
        <v>4.6838407494145196E-2</v>
      </c>
      <c r="H53" s="1489">
        <f t="shared" si="9"/>
        <v>202.1777614060851</v>
      </c>
      <c r="I53" s="1489">
        <f t="shared" si="9"/>
        <v>0.78148712604092463</v>
      </c>
      <c r="J53" s="1489">
        <f t="shared" si="9"/>
        <v>4.3813068495217395</v>
      </c>
      <c r="K53" s="1489">
        <f t="shared" si="9"/>
        <v>27.085949837713304</v>
      </c>
      <c r="L53" s="1490">
        <v>74</v>
      </c>
      <c r="M53" s="1489">
        <f t="shared" si="9"/>
        <v>3.0202174900278682</v>
      </c>
      <c r="N53" s="1489">
        <f t="shared" si="9"/>
        <v>3141.058485847414</v>
      </c>
      <c r="O53" s="1482"/>
      <c r="P53" s="1482"/>
    </row>
    <row r="54" spans="1:16">
      <c r="A54" s="1467" t="s">
        <v>1376</v>
      </c>
      <c r="B54" s="1467" t="s">
        <v>1385</v>
      </c>
      <c r="C54" s="1487"/>
      <c r="D54" s="1488" t="s">
        <v>29</v>
      </c>
      <c r="E54" s="1487">
        <v>2030</v>
      </c>
      <c r="F54" s="1483"/>
      <c r="G54" s="1489">
        <f t="shared" si="9"/>
        <v>4.6838407494145196E-2</v>
      </c>
      <c r="H54" s="1489">
        <f t="shared" si="9"/>
        <v>64.76364592459521</v>
      </c>
      <c r="I54" s="1489">
        <f t="shared" si="9"/>
        <v>0.14913101812774907</v>
      </c>
      <c r="J54" s="1489">
        <f t="shared" si="9"/>
        <v>0.81189408318501144</v>
      </c>
      <c r="K54" s="1489">
        <f t="shared" si="9"/>
        <v>14.74652769962073</v>
      </c>
      <c r="L54" s="1490">
        <v>74</v>
      </c>
      <c r="M54" s="1489">
        <f t="shared" si="9"/>
        <v>3.0372109325377101</v>
      </c>
      <c r="N54" s="1489">
        <f t="shared" si="9"/>
        <v>1657.0070025796747</v>
      </c>
      <c r="O54" s="1482"/>
      <c r="P54" s="1482"/>
    </row>
    <row r="55" spans="1:16">
      <c r="C55" s="1477"/>
      <c r="D55" s="1479"/>
      <c r="E55" s="1477"/>
      <c r="F55" s="1477"/>
      <c r="G55" s="1482"/>
      <c r="H55" s="1482"/>
      <c r="I55" s="1482"/>
      <c r="J55" s="1482"/>
      <c r="K55" s="1482"/>
      <c r="L55" s="1482"/>
      <c r="M55" s="1482"/>
      <c r="N55" s="1482"/>
      <c r="O55" s="1482"/>
      <c r="P55" s="1482"/>
    </row>
    <row r="56" spans="1:16">
      <c r="H56" s="1243" t="s">
        <v>37</v>
      </c>
      <c r="I56" s="1243" t="s">
        <v>21</v>
      </c>
      <c r="J56" s="1243" t="s">
        <v>1386</v>
      </c>
      <c r="K56" s="1243" t="s">
        <v>189</v>
      </c>
      <c r="L56" s="1243"/>
      <c r="M56" s="1243" t="s">
        <v>22</v>
      </c>
      <c r="N56" s="1243" t="s">
        <v>286</v>
      </c>
      <c r="O56" s="1243" t="s">
        <v>1388</v>
      </c>
      <c r="P56" s="1243" t="s">
        <v>1388</v>
      </c>
    </row>
    <row r="57" spans="1:16">
      <c r="H57" s="1243" t="s">
        <v>27</v>
      </c>
      <c r="I57" s="1243" t="s">
        <v>27</v>
      </c>
      <c r="J57" s="1243" t="s">
        <v>27</v>
      </c>
      <c r="K57" s="1243" t="s">
        <v>27</v>
      </c>
      <c r="L57" s="1243"/>
      <c r="M57" s="1243" t="s">
        <v>27</v>
      </c>
      <c r="N57" s="1243" t="s">
        <v>27</v>
      </c>
      <c r="O57" s="1243" t="s">
        <v>27</v>
      </c>
      <c r="P57" s="1243" t="s">
        <v>152</v>
      </c>
    </row>
    <row r="58" spans="1:16">
      <c r="E58" s="549" t="s">
        <v>1389</v>
      </c>
      <c r="G58" s="535"/>
      <c r="H58" s="1477">
        <v>6.7</v>
      </c>
      <c r="I58" s="1477">
        <v>-4.8</v>
      </c>
      <c r="J58" s="1477">
        <v>-4.8</v>
      </c>
      <c r="K58" s="1477">
        <v>0.5</v>
      </c>
      <c r="L58" s="535"/>
      <c r="M58" s="1477">
        <v>0</v>
      </c>
      <c r="N58" s="1477">
        <v>0</v>
      </c>
      <c r="O58" s="527">
        <f>100/((0.05*26.7 + 0.95*43.8)/43.8)-100</f>
        <v>1.9909186168354864</v>
      </c>
      <c r="P58" s="1477">
        <v>0</v>
      </c>
    </row>
    <row r="59" spans="1:16">
      <c r="A59" s="549" t="s">
        <v>1390</v>
      </c>
      <c r="B59" s="549" t="s">
        <v>1377</v>
      </c>
      <c r="C59" s="1477">
        <v>1</v>
      </c>
      <c r="D59" s="1479" t="s">
        <v>810</v>
      </c>
      <c r="E59" s="1477">
        <v>2010</v>
      </c>
      <c r="H59" s="1386">
        <f t="shared" ref="H59:K64" si="10">+(100+H$58)/100*H7</f>
        <v>0.30106879536804992</v>
      </c>
      <c r="I59" s="1386">
        <f t="shared" si="10"/>
        <v>1.31206912335906E-2</v>
      </c>
      <c r="J59" s="1386">
        <f t="shared" si="10"/>
        <v>0.30372858629050392</v>
      </c>
      <c r="K59" s="1386">
        <f t="shared" si="10"/>
        <v>3.1737990064187565</v>
      </c>
      <c r="L59" s="1386"/>
      <c r="M59" s="1386">
        <f t="shared" ref="M59:P64" si="11">+(100+M$58)/100*M7</f>
        <v>3.8652392642600786E-3</v>
      </c>
      <c r="N59" s="1386">
        <f t="shared" si="11"/>
        <v>2.0274254972340158</v>
      </c>
      <c r="O59" s="1386">
        <f t="shared" si="11"/>
        <v>58.02557248212058</v>
      </c>
      <c r="P59" s="1386">
        <f t="shared" si="11"/>
        <v>2.4919082102446679</v>
      </c>
    </row>
    <row r="60" spans="1:16">
      <c r="B60" s="549" t="s">
        <v>1377</v>
      </c>
      <c r="C60" s="1477">
        <v>1</v>
      </c>
      <c r="D60" s="1479" t="s">
        <v>810</v>
      </c>
      <c r="E60" s="1477">
        <v>2020</v>
      </c>
      <c r="H60" s="1386">
        <f t="shared" si="10"/>
        <v>7.9961521902629451E-2</v>
      </c>
      <c r="I60" s="1386">
        <f t="shared" si="10"/>
        <v>4.8233238697028332E-3</v>
      </c>
      <c r="J60" s="1386">
        <f t="shared" si="10"/>
        <v>0.12795244464529243</v>
      </c>
      <c r="K60" s="1386">
        <f t="shared" si="10"/>
        <v>1.3643443505749979</v>
      </c>
      <c r="L60" s="1386"/>
      <c r="M60" s="1386">
        <f t="shared" si="11"/>
        <v>1.1611097694909816E-3</v>
      </c>
      <c r="N60" s="1386">
        <f t="shared" si="11"/>
        <v>1.1988176772542798</v>
      </c>
      <c r="O60" s="1386">
        <f t="shared" si="11"/>
        <v>57.288936148623009</v>
      </c>
      <c r="P60" s="1386">
        <f t="shared" si="11"/>
        <v>2.460273362902615</v>
      </c>
    </row>
    <row r="61" spans="1:16">
      <c r="B61" s="549" t="s">
        <v>1377</v>
      </c>
      <c r="C61" s="1477">
        <v>1</v>
      </c>
      <c r="D61" s="1479" t="s">
        <v>810</v>
      </c>
      <c r="E61" s="1477">
        <v>2030</v>
      </c>
      <c r="H61" s="1386">
        <f t="shared" si="10"/>
        <v>5.5908830177658533E-2</v>
      </c>
      <c r="I61" s="1386">
        <f t="shared" si="10"/>
        <v>3.7958970328544543E-3</v>
      </c>
      <c r="J61" s="1386">
        <f t="shared" si="10"/>
        <v>0.10901667068461962</v>
      </c>
      <c r="K61" s="1386">
        <f t="shared" si="10"/>
        <v>1.089871158439863</v>
      </c>
      <c r="L61" s="1386"/>
      <c r="M61" s="1386">
        <f t="shared" si="11"/>
        <v>9.5598850424023958E-4</v>
      </c>
      <c r="N61" s="1386">
        <f t="shared" si="11"/>
        <v>1.0934043087203165</v>
      </c>
      <c r="O61" s="1386">
        <f t="shared" si="11"/>
        <v>56.727284036905274</v>
      </c>
      <c r="P61" s="1386">
        <f t="shared" si="11"/>
        <v>2.4361532129648968</v>
      </c>
    </row>
    <row r="62" spans="1:16">
      <c r="B62" s="549" t="s">
        <v>1379</v>
      </c>
      <c r="C62" s="1477">
        <v>2</v>
      </c>
      <c r="D62" s="1479" t="s">
        <v>810</v>
      </c>
      <c r="E62" s="1477">
        <v>2010</v>
      </c>
      <c r="H62" s="1386">
        <f t="shared" si="10"/>
        <v>0.48397111614085042</v>
      </c>
      <c r="I62" s="1386">
        <f t="shared" si="10"/>
        <v>1.6325871579063178E-2</v>
      </c>
      <c r="J62" s="1386">
        <f t="shared" si="10"/>
        <v>0.36472859811688724</v>
      </c>
      <c r="K62" s="1386">
        <f t="shared" si="10"/>
        <v>5.9018273102962278</v>
      </c>
      <c r="L62" s="1386"/>
      <c r="M62" s="1386">
        <f t="shared" si="11"/>
        <v>1.0581793390236181E-2</v>
      </c>
      <c r="N62" s="1386">
        <f t="shared" si="11"/>
        <v>3.6041154698463971</v>
      </c>
      <c r="O62" s="1386">
        <f t="shared" si="11"/>
        <v>88.537679014922801</v>
      </c>
      <c r="P62" s="1386">
        <f t="shared" si="11"/>
        <v>3.8022506252958594</v>
      </c>
    </row>
    <row r="63" spans="1:16">
      <c r="B63" s="549" t="s">
        <v>1379</v>
      </c>
      <c r="C63" s="1477">
        <v>2</v>
      </c>
      <c r="D63" s="1479" t="s">
        <v>810</v>
      </c>
      <c r="E63" s="1477">
        <v>2020</v>
      </c>
      <c r="H63" s="1386">
        <f t="shared" si="10"/>
        <v>0.15447293218810534</v>
      </c>
      <c r="I63" s="1386">
        <f t="shared" si="10"/>
        <v>6.8678432788412593E-3</v>
      </c>
      <c r="J63" s="1386">
        <f t="shared" si="10"/>
        <v>0.15300937102143758</v>
      </c>
      <c r="K63" s="1386">
        <f t="shared" si="10"/>
        <v>2.7930994580465107</v>
      </c>
      <c r="L63" s="1386"/>
      <c r="M63" s="1386">
        <f t="shared" si="11"/>
        <v>3.2845537734706182E-3</v>
      </c>
      <c r="N63" s="1386">
        <f t="shared" si="11"/>
        <v>1.5486234604373266</v>
      </c>
      <c r="O63" s="1386">
        <f t="shared" si="11"/>
        <v>88.819363002212469</v>
      </c>
      <c r="P63" s="1386">
        <f t="shared" si="11"/>
        <v>3.8143475441300141</v>
      </c>
    </row>
    <row r="64" spans="1:16">
      <c r="B64" s="549" t="s">
        <v>1379</v>
      </c>
      <c r="C64" s="1477">
        <v>2</v>
      </c>
      <c r="D64" s="1479" t="s">
        <v>810</v>
      </c>
      <c r="E64" s="1477">
        <v>2030</v>
      </c>
      <c r="H64" s="1386">
        <f t="shared" si="10"/>
        <v>7.717577122974556E-2</v>
      </c>
      <c r="I64" s="1386">
        <f t="shared" si="10"/>
        <v>4.1896042108253038E-3</v>
      </c>
      <c r="J64" s="1386">
        <f t="shared" si="10"/>
        <v>0.10308694400923214</v>
      </c>
      <c r="K64" s="1386">
        <f t="shared" si="10"/>
        <v>1.6534620334515788</v>
      </c>
      <c r="L64" s="1386"/>
      <c r="M64" s="1386">
        <f t="shared" si="11"/>
        <v>1.2656897388906353E-3</v>
      </c>
      <c r="N64" s="1386">
        <f t="shared" si="11"/>
        <v>1.1770893127152247</v>
      </c>
      <c r="O64" s="1386">
        <f t="shared" si="11"/>
        <v>88.621426747397749</v>
      </c>
      <c r="P64" s="1386">
        <f t="shared" si="11"/>
        <v>3.8058471716669962</v>
      </c>
    </row>
    <row r="65" spans="1:16">
      <c r="C65" s="1477"/>
      <c r="D65" s="1479"/>
      <c r="E65" s="549" t="s">
        <v>1389</v>
      </c>
      <c r="H65" s="549">
        <v>-18.5</v>
      </c>
      <c r="I65" s="549">
        <v>-10.6</v>
      </c>
      <c r="J65" s="549">
        <v>-10.6</v>
      </c>
      <c r="K65" s="549">
        <v>1.2</v>
      </c>
      <c r="M65" s="549">
        <v>0</v>
      </c>
      <c r="N65" s="549">
        <v>11.3</v>
      </c>
      <c r="O65" s="549">
        <v>40.4</v>
      </c>
      <c r="P65" s="549">
        <v>-4.5999999999999996</v>
      </c>
    </row>
    <row r="66" spans="1:16">
      <c r="A66" s="549" t="s">
        <v>1391</v>
      </c>
      <c r="B66" s="549" t="s">
        <v>1377</v>
      </c>
      <c r="C66" s="1477">
        <v>1</v>
      </c>
      <c r="D66" s="1479" t="s">
        <v>810</v>
      </c>
      <c r="E66" s="1477">
        <v>2010</v>
      </c>
      <c r="H66" s="1386">
        <f t="shared" ref="H66:K71" si="12">+(100+H$65)/100*H7</f>
        <v>0.22996351286313094</v>
      </c>
      <c r="I66" s="1386">
        <f t="shared" si="12"/>
        <v>1.2321321389527306E-2</v>
      </c>
      <c r="J66" s="1386">
        <f t="shared" si="12"/>
        <v>0.28522411359633459</v>
      </c>
      <c r="K66" s="1386">
        <f t="shared" si="12"/>
        <v>3.1959050691500317</v>
      </c>
      <c r="L66" s="1386"/>
      <c r="M66" s="1386">
        <f t="shared" ref="M66:P71" si="13">+(100+M$65)/100*M7</f>
        <v>3.8652392642600786E-3</v>
      </c>
      <c r="N66" s="1386">
        <f t="shared" si="13"/>
        <v>2.2565245784214594</v>
      </c>
      <c r="O66" s="1386">
        <f t="shared" si="13"/>
        <v>79.877605643459233</v>
      </c>
      <c r="P66" s="1386">
        <f t="shared" si="13"/>
        <v>2.3772804325734134</v>
      </c>
    </row>
    <row r="67" spans="1:16">
      <c r="B67" s="549" t="s">
        <v>1377</v>
      </c>
      <c r="C67" s="1477">
        <v>1</v>
      </c>
      <c r="D67" s="1479" t="s">
        <v>810</v>
      </c>
      <c r="E67" s="1477">
        <v>2020</v>
      </c>
      <c r="H67" s="1386">
        <f t="shared" si="12"/>
        <v>6.1076513918128392E-2</v>
      </c>
      <c r="I67" s="1386">
        <f t="shared" si="12"/>
        <v>4.5294659028511895E-3</v>
      </c>
      <c r="J67" s="1386">
        <f t="shared" si="12"/>
        <v>0.12015702259757503</v>
      </c>
      <c r="K67" s="1386">
        <f t="shared" si="12"/>
        <v>1.3738472465491522</v>
      </c>
      <c r="L67" s="1386"/>
      <c r="M67" s="1386">
        <f t="shared" si="13"/>
        <v>1.1611097694909816E-3</v>
      </c>
      <c r="N67" s="1386">
        <f t="shared" si="13"/>
        <v>1.3342840747840135</v>
      </c>
      <c r="O67" s="1386">
        <f t="shared" si="13"/>
        <v>78.863557112220818</v>
      </c>
      <c r="P67" s="1386">
        <f t="shared" si="13"/>
        <v>2.3471007882090951</v>
      </c>
    </row>
    <row r="68" spans="1:16">
      <c r="B68" s="549" t="s">
        <v>1377</v>
      </c>
      <c r="C68" s="1477">
        <v>1</v>
      </c>
      <c r="D68" s="1479" t="s">
        <v>810</v>
      </c>
      <c r="E68" s="1477">
        <v>2030</v>
      </c>
      <c r="H68" s="1386">
        <f t="shared" si="12"/>
        <v>4.2704495402803848E-2</v>
      </c>
      <c r="I68" s="1386">
        <f t="shared" si="12"/>
        <v>3.564634398499876E-3</v>
      </c>
      <c r="J68" s="1386">
        <f t="shared" si="12"/>
        <v>0.10237489873114489</v>
      </c>
      <c r="K68" s="1386">
        <f t="shared" si="12"/>
        <v>1.0974623008369568</v>
      </c>
      <c r="L68" s="1386"/>
      <c r="M68" s="1386">
        <f t="shared" si="13"/>
        <v>9.5598850424023958E-4</v>
      </c>
      <c r="N68" s="1386">
        <f t="shared" si="13"/>
        <v>1.2169589956057123</v>
      </c>
      <c r="O68" s="1386">
        <f t="shared" si="13"/>
        <v>78.090390662162463</v>
      </c>
      <c r="P68" s="1386">
        <f t="shared" si="13"/>
        <v>2.3240901651685117</v>
      </c>
    </row>
    <row r="69" spans="1:16">
      <c r="B69" s="549" t="s">
        <v>1379</v>
      </c>
      <c r="C69" s="1477">
        <v>2</v>
      </c>
      <c r="D69" s="1479" t="s">
        <v>810</v>
      </c>
      <c r="E69" s="1477">
        <v>2010</v>
      </c>
      <c r="H69" s="1386">
        <f t="shared" si="12"/>
        <v>0.36966865947028404</v>
      </c>
      <c r="I69" s="1386">
        <f t="shared" si="12"/>
        <v>1.5331228142523613E-2</v>
      </c>
      <c r="J69" s="1386">
        <f t="shared" si="12"/>
        <v>0.34250773814758106</v>
      </c>
      <c r="K69" s="1386">
        <f t="shared" si="12"/>
        <v>5.9429345651938146</v>
      </c>
      <c r="L69" s="1386"/>
      <c r="M69" s="1386">
        <f t="shared" si="13"/>
        <v>1.0581793390236181E-2</v>
      </c>
      <c r="N69" s="1386">
        <f t="shared" si="13"/>
        <v>4.01138051793904</v>
      </c>
      <c r="O69" s="1386">
        <f t="shared" si="13"/>
        <v>121.88036250948375</v>
      </c>
      <c r="P69" s="1386">
        <f t="shared" si="13"/>
        <v>3.6273470965322501</v>
      </c>
    </row>
    <row r="70" spans="1:16">
      <c r="B70" s="549" t="s">
        <v>1379</v>
      </c>
      <c r="C70" s="1477">
        <v>2</v>
      </c>
      <c r="D70" s="1479" t="s">
        <v>810</v>
      </c>
      <c r="E70" s="1477">
        <v>2020</v>
      </c>
      <c r="H70" s="1386">
        <f t="shared" si="12"/>
        <v>0.11799010284283586</v>
      </c>
      <c r="I70" s="1386">
        <f t="shared" si="12"/>
        <v>6.44942425555051E-3</v>
      </c>
      <c r="J70" s="1386">
        <f t="shared" si="12"/>
        <v>0.14368737152643402</v>
      </c>
      <c r="K70" s="1386">
        <f t="shared" si="12"/>
        <v>2.812553882132407</v>
      </c>
      <c r="L70" s="1386"/>
      <c r="M70" s="1386">
        <f t="shared" si="13"/>
        <v>3.2845537734706182E-3</v>
      </c>
      <c r="N70" s="1386">
        <f t="shared" si="13"/>
        <v>1.7236179114667445</v>
      </c>
      <c r="O70" s="1386">
        <f t="shared" si="13"/>
        <v>122.2681267570443</v>
      </c>
      <c r="P70" s="1386">
        <f t="shared" si="13"/>
        <v>3.6388875571000336</v>
      </c>
    </row>
    <row r="71" spans="1:16">
      <c r="B71" s="549" t="s">
        <v>1379</v>
      </c>
      <c r="C71" s="1477">
        <v>2</v>
      </c>
      <c r="D71" s="1479" t="s">
        <v>810</v>
      </c>
      <c r="E71" s="1477">
        <v>2030</v>
      </c>
      <c r="H71" s="1386">
        <f t="shared" si="12"/>
        <v>5.8948691239215215E-2</v>
      </c>
      <c r="I71" s="1386">
        <f t="shared" si="12"/>
        <v>3.9343552147876274E-3</v>
      </c>
      <c r="J71" s="1386">
        <f t="shared" si="12"/>
        <v>9.6806436916232697E-2</v>
      </c>
      <c r="K71" s="1386">
        <f t="shared" si="12"/>
        <v>1.6649786844308436</v>
      </c>
      <c r="L71" s="1386"/>
      <c r="M71" s="1386">
        <f t="shared" si="13"/>
        <v>1.2656897388906353E-3</v>
      </c>
      <c r="N71" s="1386">
        <f t="shared" si="13"/>
        <v>1.3101004050520451</v>
      </c>
      <c r="O71" s="1386">
        <f t="shared" si="13"/>
        <v>121.99564906439413</v>
      </c>
      <c r="P71" s="1386">
        <f t="shared" si="13"/>
        <v>3.6307782017703145</v>
      </c>
    </row>
    <row r="72" spans="1:16">
      <c r="C72" s="1477"/>
      <c r="D72" s="1479"/>
      <c r="E72" s="549" t="s">
        <v>1389</v>
      </c>
      <c r="H72" s="549">
        <v>-18.5</v>
      </c>
      <c r="I72" s="549">
        <v>-10.6</v>
      </c>
      <c r="J72" s="549">
        <v>-10.6</v>
      </c>
      <c r="K72" s="549">
        <v>1.2</v>
      </c>
      <c r="M72" s="549">
        <v>0</v>
      </c>
      <c r="N72" s="549">
        <v>11.3</v>
      </c>
      <c r="O72" s="527">
        <f>43.8/26.7*100-100</f>
        <v>64.044943820224717</v>
      </c>
      <c r="P72" s="549">
        <v>-4.5999999999999996</v>
      </c>
    </row>
    <row r="73" spans="1:16">
      <c r="A73" s="549" t="s">
        <v>1392</v>
      </c>
      <c r="B73" s="549" t="s">
        <v>1377</v>
      </c>
      <c r="C73" s="1477">
        <v>1</v>
      </c>
      <c r="D73" s="1479" t="s">
        <v>810</v>
      </c>
      <c r="E73" s="1477">
        <v>2010</v>
      </c>
      <c r="H73" s="1386">
        <f t="shared" ref="H73:K78" si="14">+(100+H$72)/100*H7</f>
        <v>0.22996351286313094</v>
      </c>
      <c r="I73" s="1386">
        <f t="shared" si="14"/>
        <v>1.2321321389527306E-2</v>
      </c>
      <c r="J73" s="1386">
        <f t="shared" si="14"/>
        <v>0.28522411359633459</v>
      </c>
      <c r="K73" s="1386">
        <f t="shared" si="14"/>
        <v>3.1959050691500317</v>
      </c>
      <c r="L73" s="1386"/>
      <c r="M73" s="1386">
        <f t="shared" ref="M73:P78" si="15">+(100+M$72)/100*M7</f>
        <v>3.8652392642600786E-3</v>
      </c>
      <c r="N73" s="1386">
        <f t="shared" si="15"/>
        <v>2.2565245784214594</v>
      </c>
      <c r="O73" s="1386">
        <f t="shared" si="15"/>
        <v>93.329895514781583</v>
      </c>
      <c r="P73" s="1386">
        <f t="shared" si="15"/>
        <v>2.3772804325734134</v>
      </c>
    </row>
    <row r="74" spans="1:16">
      <c r="B74" s="549" t="s">
        <v>1377</v>
      </c>
      <c r="C74" s="1477">
        <v>1</v>
      </c>
      <c r="D74" s="1479" t="s">
        <v>810</v>
      </c>
      <c r="E74" s="1477">
        <v>2020</v>
      </c>
      <c r="H74" s="1386">
        <f t="shared" si="14"/>
        <v>6.1076513918128392E-2</v>
      </c>
      <c r="I74" s="1386">
        <f t="shared" si="14"/>
        <v>4.5294659028511895E-3</v>
      </c>
      <c r="J74" s="1386">
        <f t="shared" si="14"/>
        <v>0.12015702259757503</v>
      </c>
      <c r="K74" s="1386">
        <f t="shared" si="14"/>
        <v>1.3738472465491522</v>
      </c>
      <c r="L74" s="1386"/>
      <c r="M74" s="1386">
        <f t="shared" si="15"/>
        <v>1.1611097694909816E-3</v>
      </c>
      <c r="N74" s="1386">
        <f t="shared" si="15"/>
        <v>1.3342840747840135</v>
      </c>
      <c r="O74" s="1386">
        <f t="shared" si="15"/>
        <v>92.14506977163353</v>
      </c>
      <c r="P74" s="1386">
        <f t="shared" si="15"/>
        <v>2.3471007882090951</v>
      </c>
    </row>
    <row r="75" spans="1:16">
      <c r="B75" s="549" t="s">
        <v>1377</v>
      </c>
      <c r="C75" s="1477">
        <v>1</v>
      </c>
      <c r="D75" s="1479" t="s">
        <v>810</v>
      </c>
      <c r="E75" s="1477">
        <v>2030</v>
      </c>
      <c r="H75" s="1386">
        <f t="shared" si="14"/>
        <v>4.2704495402803848E-2</v>
      </c>
      <c r="I75" s="1386">
        <f t="shared" si="14"/>
        <v>3.564634398499876E-3</v>
      </c>
      <c r="J75" s="1386">
        <f t="shared" si="14"/>
        <v>0.10237489873114489</v>
      </c>
      <c r="K75" s="1386">
        <f t="shared" si="14"/>
        <v>1.0974623008369568</v>
      </c>
      <c r="L75" s="1386"/>
      <c r="M75" s="1386">
        <f t="shared" si="15"/>
        <v>9.5598850424023958E-4</v>
      </c>
      <c r="N75" s="1386">
        <f t="shared" si="15"/>
        <v>1.2169589956057123</v>
      </c>
      <c r="O75" s="1386">
        <f t="shared" si="15"/>
        <v>91.241693369471804</v>
      </c>
      <c r="P75" s="1386">
        <f t="shared" si="15"/>
        <v>2.3240901651685117</v>
      </c>
    </row>
    <row r="76" spans="1:16">
      <c r="B76" s="549" t="s">
        <v>1379</v>
      </c>
      <c r="C76" s="1477">
        <v>2</v>
      </c>
      <c r="D76" s="1479" t="s">
        <v>810</v>
      </c>
      <c r="E76" s="1477">
        <v>2010</v>
      </c>
      <c r="H76" s="1386">
        <f t="shared" si="14"/>
        <v>0.36966865947028404</v>
      </c>
      <c r="I76" s="1386">
        <f t="shared" si="14"/>
        <v>1.5331228142523613E-2</v>
      </c>
      <c r="J76" s="1386">
        <f t="shared" si="14"/>
        <v>0.34250773814758106</v>
      </c>
      <c r="K76" s="1386">
        <f t="shared" si="14"/>
        <v>5.9429345651938146</v>
      </c>
      <c r="L76" s="1386"/>
      <c r="M76" s="1386">
        <f t="shared" si="15"/>
        <v>1.0581793390236181E-2</v>
      </c>
      <c r="N76" s="1386">
        <f t="shared" si="15"/>
        <v>4.01138051793904</v>
      </c>
      <c r="O76" s="1386">
        <f t="shared" si="15"/>
        <v>142.40639046051911</v>
      </c>
      <c r="P76" s="1386">
        <f t="shared" si="15"/>
        <v>3.6273470965322501</v>
      </c>
    </row>
    <row r="77" spans="1:16">
      <c r="B77" s="549" t="s">
        <v>1379</v>
      </c>
      <c r="C77" s="1477">
        <v>2</v>
      </c>
      <c r="D77" s="1479" t="s">
        <v>810</v>
      </c>
      <c r="E77" s="1477">
        <v>2020</v>
      </c>
      <c r="H77" s="1386">
        <f t="shared" si="14"/>
        <v>0.11799010284283586</v>
      </c>
      <c r="I77" s="1386">
        <f t="shared" si="14"/>
        <v>6.44942425555051E-3</v>
      </c>
      <c r="J77" s="1386">
        <f t="shared" si="14"/>
        <v>0.14368737152643402</v>
      </c>
      <c r="K77" s="1386">
        <f t="shared" si="14"/>
        <v>2.812553882132407</v>
      </c>
      <c r="L77" s="1386"/>
      <c r="M77" s="1386">
        <f t="shared" si="15"/>
        <v>3.2845537734706182E-3</v>
      </c>
      <c r="N77" s="1386">
        <f t="shared" si="15"/>
        <v>1.7236179114667445</v>
      </c>
      <c r="O77" s="1386">
        <f t="shared" si="15"/>
        <v>142.85945858164848</v>
      </c>
      <c r="P77" s="1386">
        <f t="shared" si="15"/>
        <v>3.6388875571000336</v>
      </c>
    </row>
    <row r="78" spans="1:16">
      <c r="B78" s="549" t="s">
        <v>1379</v>
      </c>
      <c r="C78" s="1477">
        <v>2</v>
      </c>
      <c r="D78" s="1479" t="s">
        <v>810</v>
      </c>
      <c r="E78" s="1477">
        <v>2030</v>
      </c>
      <c r="H78" s="1386">
        <f t="shared" si="14"/>
        <v>5.8948691239215215E-2</v>
      </c>
      <c r="I78" s="1386">
        <f t="shared" si="14"/>
        <v>3.9343552147876274E-3</v>
      </c>
      <c r="J78" s="1386">
        <f t="shared" si="14"/>
        <v>9.6806436916232697E-2</v>
      </c>
      <c r="K78" s="1386">
        <f t="shared" si="14"/>
        <v>1.6649786844308436</v>
      </c>
      <c r="L78" s="1386"/>
      <c r="M78" s="1386">
        <f t="shared" si="15"/>
        <v>1.2656897388906353E-3</v>
      </c>
      <c r="N78" s="1386">
        <f t="shared" si="15"/>
        <v>1.3101004050520451</v>
      </c>
      <c r="O78" s="1386">
        <f t="shared" si="15"/>
        <v>142.54109257179761</v>
      </c>
      <c r="P78" s="1386">
        <f t="shared" si="15"/>
        <v>3.6307782017703145</v>
      </c>
    </row>
    <row r="79" spans="1:16">
      <c r="C79" s="1477"/>
      <c r="D79" s="1479"/>
      <c r="E79" s="1477"/>
      <c r="H79" s="1386"/>
      <c r="I79" s="1386"/>
      <c r="J79" s="1386"/>
      <c r="K79" s="1386"/>
      <c r="L79" s="1386"/>
      <c r="M79" s="1386"/>
      <c r="N79" s="1386"/>
      <c r="O79" s="1386"/>
      <c r="P79" s="1386"/>
    </row>
    <row r="80" spans="1:16">
      <c r="A80" s="1467"/>
      <c r="B80" s="1467"/>
      <c r="C80" s="1483"/>
      <c r="D80" s="1484"/>
      <c r="E80" s="1483"/>
      <c r="F80" s="1467"/>
      <c r="G80" s="1485" t="s">
        <v>23</v>
      </c>
      <c r="H80" s="1485" t="s">
        <v>37</v>
      </c>
      <c r="I80" s="1485" t="s">
        <v>21</v>
      </c>
      <c r="J80" s="1485" t="s">
        <v>1386</v>
      </c>
      <c r="K80" s="1485" t="s">
        <v>189</v>
      </c>
      <c r="L80" s="1485" t="s">
        <v>20</v>
      </c>
      <c r="M80" s="1485" t="s">
        <v>22</v>
      </c>
      <c r="N80" s="1485" t="s">
        <v>286</v>
      </c>
      <c r="O80" s="1243" t="s">
        <v>1388</v>
      </c>
      <c r="P80" s="1243" t="s">
        <v>1388</v>
      </c>
    </row>
    <row r="81" spans="1:16">
      <c r="A81" s="1467"/>
      <c r="B81" s="1467"/>
      <c r="C81" s="1467"/>
      <c r="D81" s="1467"/>
      <c r="E81" s="1467"/>
      <c r="F81" s="1467"/>
      <c r="G81" s="1485" t="s">
        <v>173</v>
      </c>
      <c r="H81" s="1485" t="s">
        <v>173</v>
      </c>
      <c r="I81" s="1485" t="s">
        <v>173</v>
      </c>
      <c r="J81" s="1485" t="s">
        <v>173</v>
      </c>
      <c r="K81" s="1485" t="s">
        <v>173</v>
      </c>
      <c r="L81" s="1485" t="s">
        <v>1387</v>
      </c>
      <c r="M81" s="1485" t="s">
        <v>173</v>
      </c>
      <c r="N81" s="1485" t="s">
        <v>173</v>
      </c>
      <c r="O81" s="1243" t="s">
        <v>173</v>
      </c>
      <c r="P81" s="1243" t="s">
        <v>152</v>
      </c>
    </row>
    <row r="82" spans="1:16">
      <c r="A82" s="1467" t="s">
        <v>1376</v>
      </c>
      <c r="B82" s="1467" t="s">
        <v>1377</v>
      </c>
      <c r="C82" s="1483">
        <v>1</v>
      </c>
      <c r="D82" s="1484" t="s">
        <v>810</v>
      </c>
      <c r="E82" s="1483">
        <v>2010</v>
      </c>
      <c r="F82" s="1467"/>
      <c r="G82" s="1491">
        <f t="shared" ref="G82:G87" si="16">+G7/P7*1000</f>
        <v>4.5662100456621009E-2</v>
      </c>
      <c r="H82" s="1492">
        <f t="shared" ref="H82:K87" si="17">+H7/$P7*1000</f>
        <v>113.23202769024149</v>
      </c>
      <c r="I82" s="1492">
        <f t="shared" si="17"/>
        <v>5.5307970952081016</v>
      </c>
      <c r="J82" s="1492">
        <f t="shared" si="17"/>
        <v>128.03145450801622</v>
      </c>
      <c r="K82" s="1492">
        <f t="shared" si="17"/>
        <v>1267.3054924846667</v>
      </c>
      <c r="L82" s="1492">
        <v>73</v>
      </c>
      <c r="M82" s="1492">
        <f t="shared" ref="M82:N87" si="18">+M7/$P7*1000</f>
        <v>1.5511162282661166</v>
      </c>
      <c r="N82" s="1492">
        <f t="shared" si="18"/>
        <v>813.60360261221388</v>
      </c>
      <c r="O82" s="1243"/>
      <c r="P82" s="1243"/>
    </row>
    <row r="83" spans="1:16">
      <c r="A83" s="1467"/>
      <c r="B83" s="1467" t="s">
        <v>1377</v>
      </c>
      <c r="C83" s="1483">
        <v>1</v>
      </c>
      <c r="D83" s="1484" t="s">
        <v>810</v>
      </c>
      <c r="E83" s="1483">
        <v>2020</v>
      </c>
      <c r="F83" s="1467"/>
      <c r="G83" s="1491">
        <f t="shared" si="16"/>
        <v>4.5662100456621009E-2</v>
      </c>
      <c r="H83" s="1492">
        <f t="shared" si="17"/>
        <v>30.46023625057251</v>
      </c>
      <c r="I83" s="1492">
        <f t="shared" si="17"/>
        <v>2.0593307826080238</v>
      </c>
      <c r="J83" s="1492">
        <f t="shared" si="17"/>
        <v>54.629631989492353</v>
      </c>
      <c r="K83" s="1492">
        <f t="shared" si="17"/>
        <v>551.79094656972586</v>
      </c>
      <c r="L83" s="1492">
        <v>73</v>
      </c>
      <c r="M83" s="1492">
        <f t="shared" si="18"/>
        <v>0.47194339742845143</v>
      </c>
      <c r="N83" s="1492">
        <f t="shared" si="18"/>
        <v>487.27011206588941</v>
      </c>
      <c r="O83" s="1243"/>
      <c r="P83" s="1243"/>
    </row>
    <row r="84" spans="1:16">
      <c r="A84" s="1467"/>
      <c r="B84" s="1467" t="s">
        <v>1377</v>
      </c>
      <c r="C84" s="1483">
        <v>1</v>
      </c>
      <c r="D84" s="1484" t="s">
        <v>810</v>
      </c>
      <c r="E84" s="1483">
        <v>2030</v>
      </c>
      <c r="F84" s="1467"/>
      <c r="G84" s="1491">
        <f t="shared" si="16"/>
        <v>4.5662100456621009E-2</v>
      </c>
      <c r="H84" s="1492">
        <f t="shared" si="17"/>
        <v>21.508562593524367</v>
      </c>
      <c r="I84" s="1492">
        <f t="shared" si="17"/>
        <v>1.6367142994114785</v>
      </c>
      <c r="J84" s="1492">
        <f t="shared" si="17"/>
        <v>47.005791316097209</v>
      </c>
      <c r="K84" s="1492">
        <f t="shared" si="17"/>
        <v>445.14807529313498</v>
      </c>
      <c r="L84" s="1492">
        <v>73</v>
      </c>
      <c r="M84" s="1492">
        <f t="shared" si="18"/>
        <v>0.39241723351084434</v>
      </c>
      <c r="N84" s="1492">
        <f t="shared" si="18"/>
        <v>448.82411455131728</v>
      </c>
      <c r="O84" s="1243"/>
      <c r="P84" s="1243"/>
    </row>
    <row r="85" spans="1:16">
      <c r="A85" s="1467"/>
      <c r="B85" s="1467" t="s">
        <v>1379</v>
      </c>
      <c r="C85" s="1483">
        <v>2</v>
      </c>
      <c r="D85" s="1484" t="s">
        <v>810</v>
      </c>
      <c r="E85" s="1483">
        <v>2010</v>
      </c>
      <c r="F85" s="1467"/>
      <c r="G85" s="1491">
        <f t="shared" si="16"/>
        <v>4.5662100456621009E-2</v>
      </c>
      <c r="H85" s="1492">
        <f t="shared" si="17"/>
        <v>119.29281416815031</v>
      </c>
      <c r="I85" s="1492">
        <f t="shared" si="17"/>
        <v>4.5102299816412312</v>
      </c>
      <c r="J85" s="1492">
        <f t="shared" si="17"/>
        <v>100.76092111972594</v>
      </c>
      <c r="K85" s="1492">
        <f t="shared" si="17"/>
        <v>1544.4707790435132</v>
      </c>
      <c r="L85" s="1492">
        <v>73</v>
      </c>
      <c r="M85" s="1492">
        <f t="shared" si="18"/>
        <v>2.7830341639861769</v>
      </c>
      <c r="N85" s="1492">
        <f t="shared" si="18"/>
        <v>947.89003277919232</v>
      </c>
      <c r="O85" s="1243"/>
      <c r="P85" s="1243"/>
    </row>
    <row r="86" spans="1:16">
      <c r="A86" s="1467"/>
      <c r="B86" s="1467" t="s">
        <v>1379</v>
      </c>
      <c r="C86" s="1483">
        <v>2</v>
      </c>
      <c r="D86" s="1484" t="s">
        <v>810</v>
      </c>
      <c r="E86" s="1483">
        <v>2020</v>
      </c>
      <c r="F86" s="1467"/>
      <c r="G86" s="1491">
        <f t="shared" si="16"/>
        <v>4.5662100456621009E-2</v>
      </c>
      <c r="H86" s="1492">
        <f t="shared" si="17"/>
        <v>37.954887604642281</v>
      </c>
      <c r="I86" s="1492">
        <f t="shared" si="17"/>
        <v>1.8913119498829583</v>
      </c>
      <c r="J86" s="1492">
        <f t="shared" si="17"/>
        <v>42.136729116763661</v>
      </c>
      <c r="K86" s="1492">
        <f t="shared" si="17"/>
        <v>728.61830462179012</v>
      </c>
      <c r="L86" s="1492">
        <v>73</v>
      </c>
      <c r="M86" s="1492">
        <f t="shared" si="18"/>
        <v>0.86110500825371628</v>
      </c>
      <c r="N86" s="1492">
        <f t="shared" si="18"/>
        <v>405.99956939438783</v>
      </c>
      <c r="O86" s="1243"/>
      <c r="P86" s="1243"/>
    </row>
    <row r="87" spans="1:16">
      <c r="A87" s="1467"/>
      <c r="B87" s="1467" t="s">
        <v>1379</v>
      </c>
      <c r="C87" s="1483">
        <v>2</v>
      </c>
      <c r="D87" s="1484" t="s">
        <v>810</v>
      </c>
      <c r="E87" s="1483">
        <v>2030</v>
      </c>
      <c r="F87" s="1467"/>
      <c r="G87" s="1491">
        <f t="shared" si="16"/>
        <v>4.5662100456621009E-2</v>
      </c>
      <c r="H87" s="1492">
        <f t="shared" si="17"/>
        <v>19.004883601362135</v>
      </c>
      <c r="I87" s="1492">
        <f t="shared" si="17"/>
        <v>1.1563377510355117</v>
      </c>
      <c r="J87" s="1492">
        <f t="shared" si="17"/>
        <v>28.452168510036302</v>
      </c>
      <c r="K87" s="1492">
        <f t="shared" si="17"/>
        <v>432.29162390670751</v>
      </c>
      <c r="L87" s="1492">
        <v>73</v>
      </c>
      <c r="M87" s="1492">
        <f t="shared" si="18"/>
        <v>0.33256452027637556</v>
      </c>
      <c r="N87" s="1492">
        <f t="shared" si="18"/>
        <v>309.28444039429172</v>
      </c>
      <c r="O87" s="1243"/>
      <c r="P87" s="1243"/>
    </row>
    <row r="88" spans="1:16">
      <c r="A88" s="1467"/>
      <c r="B88" s="1467"/>
      <c r="C88" s="1483"/>
      <c r="D88" s="1484"/>
      <c r="E88" s="1467"/>
      <c r="F88" s="1467"/>
      <c r="G88" s="1467"/>
      <c r="H88" s="1485"/>
      <c r="I88" s="1485"/>
      <c r="J88" s="1485"/>
      <c r="K88" s="1485"/>
      <c r="L88" s="1485"/>
      <c r="M88" s="1485"/>
      <c r="N88" s="1485"/>
      <c r="O88" s="1243"/>
      <c r="P88" s="1243"/>
    </row>
    <row r="89" spans="1:16">
      <c r="A89" s="1467" t="s">
        <v>1390</v>
      </c>
      <c r="B89" s="1467" t="s">
        <v>1377</v>
      </c>
      <c r="C89" s="1483">
        <v>1</v>
      </c>
      <c r="D89" s="1484" t="s">
        <v>810</v>
      </c>
      <c r="E89" s="1483">
        <v>2010</v>
      </c>
      <c r="F89" s="1467"/>
      <c r="G89" s="1491">
        <f t="shared" ref="G89:G94" si="19">+G7/P7*0.95*1000</f>
        <v>4.3378995433789952E-2</v>
      </c>
      <c r="H89" s="1493">
        <f t="shared" ref="H89:K94" si="20">+H59/$P59*1000</f>
        <v>120.81857354548765</v>
      </c>
      <c r="I89" s="1493">
        <f t="shared" si="20"/>
        <v>5.265318834638113</v>
      </c>
      <c r="J89" s="1493">
        <f t="shared" si="20"/>
        <v>121.88594469163145</v>
      </c>
      <c r="K89" s="1493">
        <f t="shared" si="20"/>
        <v>1273.6420199470899</v>
      </c>
      <c r="L89" s="1493">
        <f t="shared" ref="L89:L94" si="21">0.95*73</f>
        <v>69.349999999999994</v>
      </c>
      <c r="M89" s="1493">
        <f t="shared" ref="M89:N94" si="22">+M59/$P59*1000</f>
        <v>1.5511162282661166</v>
      </c>
      <c r="N89" s="1493">
        <f t="shared" si="22"/>
        <v>813.60360261221388</v>
      </c>
      <c r="O89" s="519"/>
      <c r="P89" s="519"/>
    </row>
    <row r="90" spans="1:16">
      <c r="A90" s="1467"/>
      <c r="B90" s="1467" t="s">
        <v>1377</v>
      </c>
      <c r="C90" s="1483">
        <v>1</v>
      </c>
      <c r="D90" s="1484" t="s">
        <v>810</v>
      </c>
      <c r="E90" s="1483">
        <v>2020</v>
      </c>
      <c r="F90" s="1467"/>
      <c r="G90" s="1491">
        <f t="shared" si="19"/>
        <v>4.3378995433789952E-2</v>
      </c>
      <c r="H90" s="1493">
        <f t="shared" si="20"/>
        <v>32.501072079360874</v>
      </c>
      <c r="I90" s="1493">
        <f t="shared" si="20"/>
        <v>1.9604829050428387</v>
      </c>
      <c r="J90" s="1493">
        <f t="shared" si="20"/>
        <v>52.007409653996717</v>
      </c>
      <c r="K90" s="1493">
        <f t="shared" si="20"/>
        <v>554.54990130257443</v>
      </c>
      <c r="L90" s="1493">
        <f t="shared" si="21"/>
        <v>69.349999999999994</v>
      </c>
      <c r="M90" s="1493">
        <f t="shared" si="22"/>
        <v>0.47194339742845143</v>
      </c>
      <c r="N90" s="1493">
        <f t="shared" si="22"/>
        <v>487.27011206588941</v>
      </c>
      <c r="O90" s="519"/>
      <c r="P90" s="519"/>
    </row>
    <row r="91" spans="1:16">
      <c r="A91" s="1467"/>
      <c r="B91" s="1467" t="s">
        <v>1377</v>
      </c>
      <c r="C91" s="1483">
        <v>1</v>
      </c>
      <c r="D91" s="1484" t="s">
        <v>810</v>
      </c>
      <c r="E91" s="1483">
        <v>2030</v>
      </c>
      <c r="F91" s="1467"/>
      <c r="G91" s="1491">
        <f t="shared" si="19"/>
        <v>4.3378995433789952E-2</v>
      </c>
      <c r="H91" s="1493">
        <f t="shared" si="20"/>
        <v>22.949636287290499</v>
      </c>
      <c r="I91" s="1493">
        <f t="shared" si="20"/>
        <v>1.5581520130397277</v>
      </c>
      <c r="J91" s="1493">
        <f t="shared" si="20"/>
        <v>44.749513332924543</v>
      </c>
      <c r="K91" s="1493">
        <f t="shared" si="20"/>
        <v>447.37381566960062</v>
      </c>
      <c r="L91" s="1493">
        <f t="shared" si="21"/>
        <v>69.349999999999994</v>
      </c>
      <c r="M91" s="1493">
        <f t="shared" si="22"/>
        <v>0.39241723351084434</v>
      </c>
      <c r="N91" s="1493">
        <f t="shared" si="22"/>
        <v>448.82411455131728</v>
      </c>
      <c r="O91" s="519"/>
      <c r="P91" s="519"/>
    </row>
    <row r="92" spans="1:16">
      <c r="A92" s="1467"/>
      <c r="B92" s="1467" t="s">
        <v>1379</v>
      </c>
      <c r="C92" s="1483">
        <v>2</v>
      </c>
      <c r="D92" s="1484" t="s">
        <v>810</v>
      </c>
      <c r="E92" s="1483">
        <v>2010</v>
      </c>
      <c r="F92" s="1467"/>
      <c r="G92" s="1491">
        <f t="shared" si="19"/>
        <v>4.3378995433789952E-2</v>
      </c>
      <c r="H92" s="1493">
        <f t="shared" si="20"/>
        <v>127.28543271741636</v>
      </c>
      <c r="I92" s="1493">
        <f t="shared" si="20"/>
        <v>4.2937389425224524</v>
      </c>
      <c r="J92" s="1493">
        <f t="shared" si="20"/>
        <v>95.924396905979108</v>
      </c>
      <c r="K92" s="1493">
        <f t="shared" si="20"/>
        <v>1552.1931329387305</v>
      </c>
      <c r="L92" s="1493">
        <f t="shared" si="21"/>
        <v>69.349999999999994</v>
      </c>
      <c r="M92" s="1493">
        <f t="shared" si="22"/>
        <v>2.7830341639861769</v>
      </c>
      <c r="N92" s="1493">
        <f t="shared" si="22"/>
        <v>947.89003277919232</v>
      </c>
      <c r="O92" s="519"/>
      <c r="P92" s="519"/>
    </row>
    <row r="93" spans="1:16">
      <c r="A93" s="1467"/>
      <c r="B93" s="1467" t="s">
        <v>1379</v>
      </c>
      <c r="C93" s="1483">
        <v>2</v>
      </c>
      <c r="D93" s="1484" t="s">
        <v>810</v>
      </c>
      <c r="E93" s="1483">
        <v>2020</v>
      </c>
      <c r="F93" s="1467"/>
      <c r="G93" s="1491">
        <f t="shared" si="19"/>
        <v>4.3378995433789952E-2</v>
      </c>
      <c r="H93" s="1493">
        <f t="shared" si="20"/>
        <v>40.49786507415331</v>
      </c>
      <c r="I93" s="1493">
        <f t="shared" si="20"/>
        <v>1.8005289762885763</v>
      </c>
      <c r="J93" s="1493">
        <f t="shared" si="20"/>
        <v>40.114166119159009</v>
      </c>
      <c r="K93" s="1493">
        <f t="shared" si="20"/>
        <v>732.26139614489898</v>
      </c>
      <c r="L93" s="1493">
        <f t="shared" si="21"/>
        <v>69.349999999999994</v>
      </c>
      <c r="M93" s="1493">
        <f t="shared" si="22"/>
        <v>0.86110500825371628</v>
      </c>
      <c r="N93" s="1493">
        <f t="shared" si="22"/>
        <v>405.99956939438783</v>
      </c>
      <c r="O93" s="519"/>
      <c r="P93" s="519"/>
    </row>
    <row r="94" spans="1:16">
      <c r="A94" s="1467"/>
      <c r="B94" s="1467" t="s">
        <v>1379</v>
      </c>
      <c r="C94" s="1483">
        <v>2</v>
      </c>
      <c r="D94" s="1484" t="s">
        <v>810</v>
      </c>
      <c r="E94" s="1483">
        <v>2030</v>
      </c>
      <c r="F94" s="1467"/>
      <c r="G94" s="1491">
        <f t="shared" si="19"/>
        <v>4.3378995433789952E-2</v>
      </c>
      <c r="H94" s="1493">
        <f t="shared" si="20"/>
        <v>20.278210802653398</v>
      </c>
      <c r="I94" s="1493">
        <f t="shared" si="20"/>
        <v>1.100833538985807</v>
      </c>
      <c r="J94" s="1493">
        <f t="shared" si="20"/>
        <v>27.08646442155456</v>
      </c>
      <c r="K94" s="1493">
        <f t="shared" si="20"/>
        <v>434.45308202624102</v>
      </c>
      <c r="L94" s="1493">
        <f t="shared" si="21"/>
        <v>69.349999999999994</v>
      </c>
      <c r="M94" s="1493">
        <f t="shared" si="22"/>
        <v>0.33256452027637556</v>
      </c>
      <c r="N94" s="1493">
        <f t="shared" si="22"/>
        <v>309.28444039429172</v>
      </c>
      <c r="O94" s="519"/>
      <c r="P94" s="519"/>
    </row>
    <row r="95" spans="1:16">
      <c r="A95" s="1467"/>
      <c r="B95" s="1467"/>
      <c r="C95" s="1483"/>
      <c r="D95" s="1484"/>
      <c r="E95" s="1467"/>
      <c r="F95" s="1467"/>
      <c r="G95" s="1491"/>
      <c r="H95" s="1493"/>
      <c r="I95" s="1493"/>
      <c r="J95" s="1493"/>
      <c r="K95" s="1493"/>
      <c r="L95" s="1493"/>
      <c r="M95" s="1493"/>
      <c r="N95" s="1493"/>
      <c r="O95" s="519"/>
      <c r="P95" s="519"/>
    </row>
    <row r="96" spans="1:16">
      <c r="A96" s="1467" t="s">
        <v>1391</v>
      </c>
      <c r="B96" s="1467" t="s">
        <v>1377</v>
      </c>
      <c r="C96" s="1483">
        <v>1</v>
      </c>
      <c r="D96" s="1484" t="s">
        <v>810</v>
      </c>
      <c r="E96" s="1483">
        <v>2010</v>
      </c>
      <c r="F96" s="1467"/>
      <c r="G96" s="1491">
        <f t="shared" ref="G96:G101" si="23">+G10/P10*0.15*1000</f>
        <v>6.8493150684931512E-3</v>
      </c>
      <c r="H96" s="1493">
        <f t="shared" ref="H96:K101" si="24">+H66/$P66*1000</f>
        <v>96.733860133696865</v>
      </c>
      <c r="I96" s="1493">
        <f t="shared" si="24"/>
        <v>5.182948221295641</v>
      </c>
      <c r="J96" s="1493">
        <f t="shared" si="24"/>
        <v>119.97916177166302</v>
      </c>
      <c r="K96" s="1493">
        <f t="shared" si="24"/>
        <v>1344.3534155078435</v>
      </c>
      <c r="L96" s="1493">
        <f t="shared" ref="L96:L101" si="25">0.15*73</f>
        <v>10.95</v>
      </c>
      <c r="M96" s="1493">
        <f t="shared" ref="M96:N101" si="26">+M66/$P66*1000</f>
        <v>1.6259079960860761</v>
      </c>
      <c r="N96" s="1493">
        <f t="shared" si="26"/>
        <v>949.20420304758272</v>
      </c>
      <c r="O96" s="519"/>
      <c r="P96" s="519"/>
    </row>
    <row r="97" spans="1:18">
      <c r="A97" s="1467"/>
      <c r="B97" s="1467" t="s">
        <v>1377</v>
      </c>
      <c r="C97" s="1483">
        <v>1</v>
      </c>
      <c r="D97" s="1484" t="s">
        <v>810</v>
      </c>
      <c r="E97" s="1483">
        <v>2020</v>
      </c>
      <c r="F97" s="1467"/>
      <c r="G97" s="1491">
        <f t="shared" si="23"/>
        <v>6.8493150684931512E-3</v>
      </c>
      <c r="H97" s="1493">
        <f t="shared" si="24"/>
        <v>26.022109585132693</v>
      </c>
      <c r="I97" s="1493">
        <f t="shared" si="24"/>
        <v>1.9298131233244999</v>
      </c>
      <c r="J97" s="1493">
        <f t="shared" si="24"/>
        <v>51.193806078203515</v>
      </c>
      <c r="K97" s="1493">
        <f t="shared" si="24"/>
        <v>585.33798525006546</v>
      </c>
      <c r="L97" s="1493">
        <f t="shared" si="25"/>
        <v>10.95</v>
      </c>
      <c r="M97" s="1493">
        <f t="shared" si="26"/>
        <v>0.49469957801724468</v>
      </c>
      <c r="N97" s="1493">
        <f t="shared" si="26"/>
        <v>568.48179741020419</v>
      </c>
      <c r="O97" s="519"/>
      <c r="P97" s="519"/>
    </row>
    <row r="98" spans="1:18">
      <c r="A98" s="1467"/>
      <c r="B98" s="1467" t="s">
        <v>1377</v>
      </c>
      <c r="C98" s="1483">
        <v>1</v>
      </c>
      <c r="D98" s="1484" t="s">
        <v>810</v>
      </c>
      <c r="E98" s="1483">
        <v>2030</v>
      </c>
      <c r="F98" s="1467"/>
      <c r="G98" s="1491">
        <f t="shared" si="23"/>
        <v>6.8493150684931512E-3</v>
      </c>
      <c r="H98" s="1493">
        <f t="shared" si="24"/>
        <v>18.374715423189052</v>
      </c>
      <c r="I98" s="1493">
        <f t="shared" si="24"/>
        <v>1.5337762931591841</v>
      </c>
      <c r="J98" s="1493">
        <f t="shared" si="24"/>
        <v>44.049452239613103</v>
      </c>
      <c r="K98" s="1493">
        <f t="shared" si="24"/>
        <v>472.21158511179516</v>
      </c>
      <c r="L98" s="1493">
        <f t="shared" si="25"/>
        <v>10.95</v>
      </c>
      <c r="M98" s="1493">
        <f t="shared" si="26"/>
        <v>0.41133881919375714</v>
      </c>
      <c r="N98" s="1493">
        <f t="shared" si="26"/>
        <v>523.62813364320345</v>
      </c>
      <c r="O98" s="519"/>
      <c r="P98" s="519"/>
    </row>
    <row r="99" spans="1:18">
      <c r="A99" s="1467"/>
      <c r="B99" s="1467" t="s">
        <v>1379</v>
      </c>
      <c r="C99" s="1483">
        <v>2</v>
      </c>
      <c r="D99" s="1484" t="s">
        <v>810</v>
      </c>
      <c r="E99" s="1483">
        <v>2010</v>
      </c>
      <c r="F99" s="1467"/>
      <c r="G99" s="1491">
        <f t="shared" si="23"/>
        <v>7.025761124121779E-3</v>
      </c>
      <c r="H99" s="1493">
        <f t="shared" si="24"/>
        <v>101.9115760451179</v>
      </c>
      <c r="I99" s="1493">
        <f t="shared" si="24"/>
        <v>4.2265677186449269</v>
      </c>
      <c r="J99" s="1493">
        <f t="shared" si="24"/>
        <v>94.423756269428708</v>
      </c>
      <c r="K99" s="1493">
        <f t="shared" si="24"/>
        <v>1638.3694217945865</v>
      </c>
      <c r="L99" s="1493">
        <f t="shared" si="25"/>
        <v>10.95</v>
      </c>
      <c r="M99" s="1493">
        <f t="shared" si="26"/>
        <v>2.9172265869876068</v>
      </c>
      <c r="N99" s="1493">
        <f t="shared" si="26"/>
        <v>1105.8717049090578</v>
      </c>
      <c r="O99" s="519"/>
      <c r="P99" s="519"/>
    </row>
    <row r="100" spans="1:18">
      <c r="A100" s="1467"/>
      <c r="B100" s="1467" t="s">
        <v>1379</v>
      </c>
      <c r="C100" s="1483">
        <v>2</v>
      </c>
      <c r="D100" s="1484" t="s">
        <v>810</v>
      </c>
      <c r="E100" s="1483">
        <v>2020</v>
      </c>
      <c r="F100" s="1467"/>
      <c r="G100" s="1491">
        <f t="shared" si="23"/>
        <v>7.0257611241217781E-3</v>
      </c>
      <c r="H100" s="1493">
        <f t="shared" si="24"/>
        <v>32.42477295365142</v>
      </c>
      <c r="I100" s="1493">
        <f t="shared" si="24"/>
        <v>1.7723615127834009</v>
      </c>
      <c r="J100" s="1493">
        <f t="shared" si="24"/>
        <v>39.486620367281667</v>
      </c>
      <c r="K100" s="1493">
        <f t="shared" si="24"/>
        <v>772.91585354009601</v>
      </c>
      <c r="L100" s="1493">
        <f t="shared" si="25"/>
        <v>10.95</v>
      </c>
      <c r="M100" s="1493">
        <f t="shared" si="26"/>
        <v>0.9026257948152161</v>
      </c>
      <c r="N100" s="1493">
        <f t="shared" si="26"/>
        <v>473.66616429345248</v>
      </c>
      <c r="O100" s="519"/>
      <c r="P100" s="519"/>
    </row>
    <row r="101" spans="1:18">
      <c r="A101" s="1467"/>
      <c r="B101" s="1467" t="s">
        <v>1379</v>
      </c>
      <c r="C101" s="1483">
        <v>2</v>
      </c>
      <c r="D101" s="1484" t="s">
        <v>810</v>
      </c>
      <c r="E101" s="1483">
        <v>2030</v>
      </c>
      <c r="F101" s="1467"/>
      <c r="G101" s="1491">
        <f t="shared" si="23"/>
        <v>7.025761124121779E-3</v>
      </c>
      <c r="H101" s="1493">
        <f t="shared" si="24"/>
        <v>16.235828233868073</v>
      </c>
      <c r="I101" s="1493">
        <f t="shared" si="24"/>
        <v>1.0836121063162969</v>
      </c>
      <c r="J101" s="1493">
        <f t="shared" si="24"/>
        <v>26.662723949656659</v>
      </c>
      <c r="K101" s="1493">
        <f t="shared" si="24"/>
        <v>458.57350460543813</v>
      </c>
      <c r="L101" s="1493">
        <f t="shared" si="25"/>
        <v>10.95</v>
      </c>
      <c r="M101" s="1493">
        <f t="shared" si="26"/>
        <v>0.34860012607586532</v>
      </c>
      <c r="N101" s="1493">
        <f t="shared" si="26"/>
        <v>360.83184712667361</v>
      </c>
      <c r="O101" s="519"/>
      <c r="P101" s="519"/>
    </row>
    <row r="102" spans="1:18">
      <c r="A102" s="1467"/>
      <c r="B102" s="1467"/>
      <c r="C102" s="1483"/>
      <c r="D102" s="1484"/>
      <c r="E102" s="1467"/>
      <c r="F102" s="1467"/>
      <c r="G102" s="1467"/>
      <c r="H102" s="1493"/>
      <c r="I102" s="1493"/>
      <c r="J102" s="1493"/>
      <c r="K102" s="1493"/>
      <c r="L102" s="1493"/>
      <c r="M102" s="1493"/>
      <c r="N102" s="1493"/>
      <c r="O102" s="519"/>
      <c r="P102" s="519"/>
    </row>
    <row r="103" spans="1:18">
      <c r="A103" s="1467" t="s">
        <v>1392</v>
      </c>
      <c r="B103" s="1467" t="s">
        <v>1377</v>
      </c>
      <c r="C103" s="1483">
        <v>1</v>
      </c>
      <c r="D103" s="1484" t="s">
        <v>810</v>
      </c>
      <c r="E103" s="1483">
        <v>2010</v>
      </c>
      <c r="F103" s="1467"/>
      <c r="G103" s="1467">
        <v>0</v>
      </c>
      <c r="H103" s="1493">
        <f t="shared" ref="H103:K108" si="27">+H73/$P73*1000</f>
        <v>96.733860133696865</v>
      </c>
      <c r="I103" s="1493">
        <f t="shared" si="27"/>
        <v>5.182948221295641</v>
      </c>
      <c r="J103" s="1493">
        <f t="shared" si="27"/>
        <v>119.97916177166302</v>
      </c>
      <c r="K103" s="1493">
        <f t="shared" si="27"/>
        <v>1344.3534155078435</v>
      </c>
      <c r="L103" s="1493">
        <v>0</v>
      </c>
      <c r="M103" s="1493">
        <f t="shared" ref="M103:N108" si="28">+M73/$P73*1000</f>
        <v>1.6259079960860761</v>
      </c>
      <c r="N103" s="1493">
        <f t="shared" si="28"/>
        <v>949.20420304758272</v>
      </c>
      <c r="O103" s="519"/>
      <c r="P103" s="519"/>
    </row>
    <row r="104" spans="1:18">
      <c r="A104" s="1467"/>
      <c r="B104" s="1467" t="s">
        <v>1377</v>
      </c>
      <c r="C104" s="1483">
        <v>1</v>
      </c>
      <c r="D104" s="1484" t="s">
        <v>810</v>
      </c>
      <c r="E104" s="1483">
        <v>2020</v>
      </c>
      <c r="F104" s="1467"/>
      <c r="G104" s="1467">
        <v>0</v>
      </c>
      <c r="H104" s="1493">
        <f t="shared" si="27"/>
        <v>26.022109585132693</v>
      </c>
      <c r="I104" s="1493">
        <f t="shared" si="27"/>
        <v>1.9298131233244999</v>
      </c>
      <c r="J104" s="1493">
        <f t="shared" si="27"/>
        <v>51.193806078203515</v>
      </c>
      <c r="K104" s="1493">
        <f t="shared" si="27"/>
        <v>585.33798525006546</v>
      </c>
      <c r="L104" s="1493">
        <v>0</v>
      </c>
      <c r="M104" s="1493">
        <f t="shared" si="28"/>
        <v>0.49469957801724468</v>
      </c>
      <c r="N104" s="1493">
        <f t="shared" si="28"/>
        <v>568.48179741020419</v>
      </c>
      <c r="O104" s="519"/>
      <c r="P104" s="519"/>
    </row>
    <row r="105" spans="1:18">
      <c r="A105" s="1467"/>
      <c r="B105" s="1467" t="s">
        <v>1377</v>
      </c>
      <c r="C105" s="1483">
        <v>1</v>
      </c>
      <c r="D105" s="1484" t="s">
        <v>810</v>
      </c>
      <c r="E105" s="1483">
        <v>2030</v>
      </c>
      <c r="F105" s="1467"/>
      <c r="G105" s="1467">
        <v>0</v>
      </c>
      <c r="H105" s="1493">
        <f t="shared" si="27"/>
        <v>18.374715423189052</v>
      </c>
      <c r="I105" s="1493">
        <f t="shared" si="27"/>
        <v>1.5337762931591841</v>
      </c>
      <c r="J105" s="1493">
        <f t="shared" si="27"/>
        <v>44.049452239613103</v>
      </c>
      <c r="K105" s="1493">
        <f t="shared" si="27"/>
        <v>472.21158511179516</v>
      </c>
      <c r="L105" s="1493">
        <v>0</v>
      </c>
      <c r="M105" s="1493">
        <f t="shared" si="28"/>
        <v>0.41133881919375714</v>
      </c>
      <c r="N105" s="1493">
        <f t="shared" si="28"/>
        <v>523.62813364320345</v>
      </c>
      <c r="O105" s="519"/>
      <c r="P105" s="519"/>
    </row>
    <row r="106" spans="1:18">
      <c r="A106" s="1467"/>
      <c r="B106" s="1467" t="s">
        <v>1379</v>
      </c>
      <c r="C106" s="1483">
        <v>2</v>
      </c>
      <c r="D106" s="1484" t="s">
        <v>810</v>
      </c>
      <c r="E106" s="1483">
        <v>2010</v>
      </c>
      <c r="F106" s="1467"/>
      <c r="G106" s="1467">
        <v>0</v>
      </c>
      <c r="H106" s="1493">
        <f t="shared" si="27"/>
        <v>101.9115760451179</v>
      </c>
      <c r="I106" s="1493">
        <f t="shared" si="27"/>
        <v>4.2265677186449269</v>
      </c>
      <c r="J106" s="1493">
        <f t="shared" si="27"/>
        <v>94.423756269428708</v>
      </c>
      <c r="K106" s="1493">
        <f t="shared" si="27"/>
        <v>1638.3694217945865</v>
      </c>
      <c r="L106" s="1493">
        <v>0</v>
      </c>
      <c r="M106" s="1493">
        <f t="shared" si="28"/>
        <v>2.9172265869876068</v>
      </c>
      <c r="N106" s="1493">
        <f t="shared" si="28"/>
        <v>1105.8717049090578</v>
      </c>
      <c r="O106" s="519"/>
      <c r="P106" s="519"/>
    </row>
    <row r="107" spans="1:18">
      <c r="A107" s="1467"/>
      <c r="B107" s="1467" t="s">
        <v>1379</v>
      </c>
      <c r="C107" s="1483">
        <v>2</v>
      </c>
      <c r="D107" s="1484" t="s">
        <v>810</v>
      </c>
      <c r="E107" s="1483">
        <v>2020</v>
      </c>
      <c r="F107" s="1467"/>
      <c r="G107" s="1467">
        <v>0</v>
      </c>
      <c r="H107" s="1493">
        <f t="shared" si="27"/>
        <v>32.42477295365142</v>
      </c>
      <c r="I107" s="1493">
        <f t="shared" si="27"/>
        <v>1.7723615127834009</v>
      </c>
      <c r="J107" s="1493">
        <f t="shared" si="27"/>
        <v>39.486620367281667</v>
      </c>
      <c r="K107" s="1493">
        <f t="shared" si="27"/>
        <v>772.91585354009601</v>
      </c>
      <c r="L107" s="1493">
        <v>0</v>
      </c>
      <c r="M107" s="1493">
        <f t="shared" si="28"/>
        <v>0.9026257948152161</v>
      </c>
      <c r="N107" s="1493">
        <f t="shared" si="28"/>
        <v>473.66616429345248</v>
      </c>
      <c r="O107" s="519"/>
      <c r="R107" s="519"/>
    </row>
    <row r="108" spans="1:18">
      <c r="A108" s="1467"/>
      <c r="B108" s="1467" t="s">
        <v>1379</v>
      </c>
      <c r="C108" s="1483">
        <v>2</v>
      </c>
      <c r="D108" s="1484" t="s">
        <v>810</v>
      </c>
      <c r="E108" s="1483">
        <v>2030</v>
      </c>
      <c r="F108" s="1467"/>
      <c r="G108" s="1467">
        <v>0</v>
      </c>
      <c r="H108" s="1493">
        <f t="shared" si="27"/>
        <v>16.235828233868073</v>
      </c>
      <c r="I108" s="1493">
        <f t="shared" si="27"/>
        <v>1.0836121063162969</v>
      </c>
      <c r="J108" s="1493">
        <f t="shared" si="27"/>
        <v>26.662723949656659</v>
      </c>
      <c r="K108" s="1493">
        <f t="shared" si="27"/>
        <v>458.57350460543813</v>
      </c>
      <c r="L108" s="1493">
        <v>0</v>
      </c>
      <c r="M108" s="1493">
        <f t="shared" si="28"/>
        <v>0.34860012607586532</v>
      </c>
      <c r="N108" s="1493">
        <f t="shared" si="28"/>
        <v>360.83184712667361</v>
      </c>
      <c r="O108" s="519"/>
      <c r="R108" s="519"/>
    </row>
    <row r="111" spans="1:18">
      <c r="F111" s="1243" t="s">
        <v>1393</v>
      </c>
      <c r="H111" s="1243" t="s">
        <v>37</v>
      </c>
      <c r="I111" s="1243" t="s">
        <v>21</v>
      </c>
      <c r="J111" s="1243" t="s">
        <v>1386</v>
      </c>
      <c r="K111" s="1243" t="s">
        <v>189</v>
      </c>
      <c r="L111" s="1243"/>
      <c r="M111" s="1243" t="s">
        <v>22</v>
      </c>
      <c r="N111" s="1243" t="s">
        <v>286</v>
      </c>
      <c r="O111" s="1243" t="s">
        <v>1388</v>
      </c>
      <c r="P111" s="1243" t="s">
        <v>1388</v>
      </c>
    </row>
    <row r="112" spans="1:18">
      <c r="F112" s="1243" t="s">
        <v>334</v>
      </c>
      <c r="H112" s="1243" t="s">
        <v>27</v>
      </c>
      <c r="I112" s="1243" t="s">
        <v>27</v>
      </c>
      <c r="J112" s="1243" t="s">
        <v>27</v>
      </c>
      <c r="K112" s="1243" t="s">
        <v>27</v>
      </c>
      <c r="L112" s="1243"/>
      <c r="M112" s="1243" t="s">
        <v>27</v>
      </c>
      <c r="N112" s="1243" t="s">
        <v>27</v>
      </c>
      <c r="O112" s="1243" t="s">
        <v>27</v>
      </c>
      <c r="P112" s="1243" t="s">
        <v>152</v>
      </c>
    </row>
    <row r="113" spans="1:22">
      <c r="E113" s="549" t="s">
        <v>1394</v>
      </c>
      <c r="H113" s="1464">
        <v>5.1900000000000002E-2</v>
      </c>
      <c r="I113" s="1464">
        <v>0.85860000000000003</v>
      </c>
      <c r="J113" s="1464">
        <v>0.85860000000000003</v>
      </c>
      <c r="K113" s="1464">
        <v>0.7117</v>
      </c>
      <c r="M113" s="1494">
        <v>0</v>
      </c>
      <c r="N113" s="1464">
        <v>-0.59119999999999995</v>
      </c>
      <c r="O113" s="1464">
        <v>8.1890000000000001E-4</v>
      </c>
    </row>
    <row r="114" spans="1:22">
      <c r="A114" s="549" t="s">
        <v>1395</v>
      </c>
      <c r="B114" s="549" t="s">
        <v>1377</v>
      </c>
      <c r="C114" s="1464">
        <v>1</v>
      </c>
      <c r="D114" s="1465" t="s">
        <v>29</v>
      </c>
      <c r="E114" s="1464">
        <v>2010</v>
      </c>
      <c r="F114" s="549">
        <f>+F4</f>
        <v>16524401756.172028</v>
      </c>
      <c r="H114" s="1386">
        <f>+H4*(100+H$113*'Input B%'!$B$8)/100</f>
        <v>0.54620529014776709</v>
      </c>
      <c r="I114" s="1386">
        <f>+I4*(100+I$113*'Input B%'!$B$8)/100</f>
        <v>8.1519665757747448E-4</v>
      </c>
      <c r="J114" s="1386">
        <f>+J4*(100+J$113*'Input B%'!$B$8)/100</f>
        <v>3.2288312219410524E-2</v>
      </c>
      <c r="K114" s="1386">
        <f>+K4*(100+K$113*'Input B%'!$B$8)/100</f>
        <v>8.2696197652942144E-2</v>
      </c>
      <c r="M114" s="1386">
        <f>+M4*(100+M$113*'Input B%'!$B$8)/100</f>
        <v>6.8457211888943194E-3</v>
      </c>
      <c r="N114" s="1386">
        <f>+N4*(100+N$113*'Input B%'!$B$8)/100</f>
        <v>32.606994801138654</v>
      </c>
      <c r="O114" s="1386">
        <f>+O4*(100+O$113*'Input B%'!$B$8)/100</f>
        <v>51.84281346273778</v>
      </c>
      <c r="P114" s="1386">
        <f>+O114*'Input B%'!$B$7/1000</f>
        <v>2.213688134858903</v>
      </c>
    </row>
    <row r="115" spans="1:22">
      <c r="B115" s="549" t="s">
        <v>1377</v>
      </c>
      <c r="C115" s="1464">
        <v>1</v>
      </c>
      <c r="D115" s="1465" t="s">
        <v>29</v>
      </c>
      <c r="E115" s="1464">
        <v>2020</v>
      </c>
      <c r="F115" s="549">
        <f>+F5</f>
        <v>21890821658.138294</v>
      </c>
      <c r="H115" s="1386">
        <f>+H5*(100+H$113*'Input B%'!$B$8)/100</f>
        <v>0.29016638312317133</v>
      </c>
      <c r="I115" s="1386">
        <f>+I5*(100+I$113*'Input B%'!$B$8)/100</f>
        <v>6.3710441214636913E-5</v>
      </c>
      <c r="J115" s="1386">
        <f>+J5*(100+J$113*'Input B%'!$B$8)/100</f>
        <v>3.2632051142001912E-2</v>
      </c>
      <c r="K115" s="1386">
        <f>+K5*(100+K$113*'Input B%'!$B$8)/100</f>
        <v>6.1548590192811989E-2</v>
      </c>
      <c r="M115" s="1386">
        <f>+M5*(100+M$113*'Input B%'!$B$8)/100</f>
        <v>7.0222415328214816E-3</v>
      </c>
      <c r="N115" s="1386">
        <f>+N5*(100+N$113*'Input B%'!$B$8)/100</f>
        <v>11.228839806842489</v>
      </c>
      <c r="O115" s="1386">
        <f>+O5*(100+O$113*'Input B%'!$B$8)/100</f>
        <v>50.643040526398764</v>
      </c>
      <c r="P115" s="1386">
        <f>+O115*'Input B%'!$B$7/1000</f>
        <v>2.1624578304772273</v>
      </c>
    </row>
    <row r="116" spans="1:22">
      <c r="B116" s="549" t="s">
        <v>1377</v>
      </c>
      <c r="C116" s="1464">
        <v>1</v>
      </c>
      <c r="D116" s="1465" t="s">
        <v>29</v>
      </c>
      <c r="E116" s="1464">
        <v>2030</v>
      </c>
      <c r="F116" s="549">
        <f>+F6</f>
        <v>25303996690.217682</v>
      </c>
      <c r="H116" s="1386">
        <f>+H6*(100+H$113*'Input B%'!$B$8)/100</f>
        <v>0.17738456902533759</v>
      </c>
      <c r="I116" s="1386">
        <f>+I6*(100+I$113*'Input B%'!$B$8)/100</f>
        <v>4.4569848580501763E-6</v>
      </c>
      <c r="J116" s="1386">
        <f>+J6*(100+J$113*'Input B%'!$B$8)/100</f>
        <v>3.2869206785361482E-2</v>
      </c>
      <c r="K116" s="1386">
        <f>+K6*(100+K$113*'Input B%'!$B$8)/100</f>
        <v>5.9814434169862193E-2</v>
      </c>
      <c r="M116" s="1386">
        <f>+M6*(100+M$113*'Input B%'!$B$8)/100</f>
        <v>6.9778686808112615E-3</v>
      </c>
      <c r="N116" s="1386">
        <f>+N6*(100+N$113*'Input B%'!$B$8)/100</f>
        <v>7.172736628634885</v>
      </c>
      <c r="O116" s="1386">
        <f>+O6*(100+O$113*'Input B%'!$B$8)/100</f>
        <v>50.418350360635529</v>
      </c>
      <c r="P116" s="1386">
        <f>+O116*'Input B%'!$B$7/1000</f>
        <v>2.1528635603991373</v>
      </c>
    </row>
    <row r="117" spans="1:22">
      <c r="B117" s="549" t="s">
        <v>1379</v>
      </c>
      <c r="C117" s="1464">
        <v>2</v>
      </c>
      <c r="D117" s="1465" t="s">
        <v>29</v>
      </c>
      <c r="E117" s="1464">
        <v>2010</v>
      </c>
      <c r="F117" s="549">
        <f>+F13</f>
        <v>7588940367.6539364</v>
      </c>
      <c r="H117" s="1386">
        <f>+H13*(100+H$113*'Input B%'!$B$8)/100</f>
        <v>0.59124954647093908</v>
      </c>
      <c r="I117" s="1386">
        <f>+I13*(100+I$113*'Input B%'!$B$8)/100</f>
        <v>1.6423571293480701E-3</v>
      </c>
      <c r="J117" s="1386">
        <f>+J13*(100+J$113*'Input B%'!$B$8)/100</f>
        <v>8.0912312762645974E-2</v>
      </c>
      <c r="K117" s="1386">
        <f>+K13*(100+K$113*'Input B%'!$B$8)/100</f>
        <v>0.3423466706251817</v>
      </c>
      <c r="M117" s="1386">
        <f>+M13*(100+M$113*'Input B%'!$B$8)/100</f>
        <v>6.5762781551382812E-3</v>
      </c>
      <c r="N117" s="1386">
        <f>+N13*(100+N$113*'Input B%'!$B$8)/100</f>
        <v>53.729559454676831</v>
      </c>
      <c r="O117" s="1386">
        <f>+O13*(100+O$113*'Input B%'!$B$8)/100</f>
        <v>67.198735484433641</v>
      </c>
      <c r="P117" s="1386">
        <f>+O117*'Input B%'!$B$7/1000</f>
        <v>2.8693860051853166</v>
      </c>
    </row>
    <row r="118" spans="1:22">
      <c r="B118" s="549" t="s">
        <v>1379</v>
      </c>
      <c r="C118" s="1464">
        <v>2</v>
      </c>
      <c r="D118" s="1465" t="s">
        <v>29</v>
      </c>
      <c r="E118" s="1464">
        <v>2020</v>
      </c>
      <c r="F118" s="549">
        <f>+F14</f>
        <v>7395100712.6678047</v>
      </c>
      <c r="H118" s="1386">
        <f>+H14*(100+H$113*'Input B%'!$B$8)/100</f>
        <v>0.2126412718296968</v>
      </c>
      <c r="I118" s="1386">
        <f>+I14*(100+I$113*'Input B%'!$B$8)/100</f>
        <v>1.4386053095962603E-4</v>
      </c>
      <c r="J118" s="1386">
        <f>+J14*(100+J$113*'Input B%'!$B$8)/100</f>
        <v>4.1412113936729743E-2</v>
      </c>
      <c r="K118" s="1386">
        <f>+K14*(100+K$113*'Input B%'!$B$8)/100</f>
        <v>0.28427309071642398</v>
      </c>
      <c r="M118" s="1386">
        <f>+M14*(100+M$113*'Input B%'!$B$8)/100</f>
        <v>7.009780553412566E-3</v>
      </c>
      <c r="N118" s="1386">
        <f>+N14*(100+N$113*'Input B%'!$B$8)/100</f>
        <v>12.965219563953941</v>
      </c>
      <c r="O118" s="1386">
        <f>+O14*(100+O$113*'Input B%'!$B$8)/100</f>
        <v>67.031535311236922</v>
      </c>
      <c r="P118" s="1386">
        <f>+O118*'Input B%'!$B$7/1000</f>
        <v>2.8622465577898168</v>
      </c>
    </row>
    <row r="119" spans="1:22">
      <c r="B119" s="549" t="s">
        <v>1379</v>
      </c>
      <c r="C119" s="1464">
        <v>2</v>
      </c>
      <c r="D119" s="1465" t="s">
        <v>29</v>
      </c>
      <c r="E119" s="1464">
        <v>2030</v>
      </c>
      <c r="F119" s="549">
        <f>+F15</f>
        <v>8283959180.0328722</v>
      </c>
      <c r="H119" s="1386">
        <f>+H15*(100+H$113*'Input B%'!$B$8)/100</f>
        <v>0.10568769368906547</v>
      </c>
      <c r="I119" s="1386">
        <f>+I15*(100+I$113*'Input B%'!$B$8)/100</f>
        <v>1.0316653923130049E-5</v>
      </c>
      <c r="J119" s="1386">
        <f>+J15*(100+J$113*'Input B%'!$B$8)/100</f>
        <v>3.5827433430977572E-2</v>
      </c>
      <c r="K119" s="1386">
        <f>+K15*(100+K$113*'Input B%'!$B$8)/100</f>
        <v>0.27714218855924022</v>
      </c>
      <c r="M119" s="1386">
        <f>+M15*(100+M$113*'Input B%'!$B$8)/100</f>
        <v>6.9864321850363056E-3</v>
      </c>
      <c r="N119" s="1386">
        <f>+N15*(100+N$113*'Input B%'!$B$8)/100</f>
        <v>4.5360437195415395</v>
      </c>
      <c r="O119" s="1386">
        <f>+O15*(100+O$113*'Input B%'!$B$8)/100</f>
        <v>66.966390779506582</v>
      </c>
      <c r="P119" s="1386">
        <f>+O119*'Input B%'!$B$7/1000</f>
        <v>2.8594648862849312</v>
      </c>
    </row>
    <row r="121" spans="1:22">
      <c r="G121" s="1243" t="s">
        <v>23</v>
      </c>
      <c r="H121" s="1243" t="s">
        <v>37</v>
      </c>
      <c r="I121" s="1243" t="s">
        <v>21</v>
      </c>
      <c r="J121" s="1243" t="s">
        <v>1386</v>
      </c>
      <c r="K121" s="1243" t="s">
        <v>189</v>
      </c>
      <c r="L121" s="1243" t="s">
        <v>20</v>
      </c>
      <c r="M121" s="1243" t="s">
        <v>22</v>
      </c>
      <c r="N121" s="1243" t="s">
        <v>286</v>
      </c>
      <c r="O121" s="1243" t="s">
        <v>1388</v>
      </c>
      <c r="P121" s="1243" t="s">
        <v>1388</v>
      </c>
    </row>
    <row r="122" spans="1:22">
      <c r="A122" s="1475"/>
      <c r="B122" s="1475"/>
      <c r="C122" s="1475"/>
      <c r="D122" s="1475"/>
      <c r="E122" s="1475"/>
      <c r="F122" s="1475"/>
      <c r="G122" s="1495" t="s">
        <v>173</v>
      </c>
      <c r="H122" s="1495" t="s">
        <v>173</v>
      </c>
      <c r="I122" s="1495" t="s">
        <v>173</v>
      </c>
      <c r="J122" s="1495" t="s">
        <v>173</v>
      </c>
      <c r="K122" s="1495" t="s">
        <v>173</v>
      </c>
      <c r="L122" s="1495" t="s">
        <v>1387</v>
      </c>
      <c r="M122" s="1495" t="s">
        <v>173</v>
      </c>
      <c r="N122" s="1495" t="s">
        <v>173</v>
      </c>
      <c r="O122" s="1495" t="s">
        <v>173</v>
      </c>
      <c r="P122" s="1495" t="s">
        <v>152</v>
      </c>
    </row>
    <row r="123" spans="1:22">
      <c r="A123" s="549" t="s">
        <v>1395</v>
      </c>
      <c r="B123" s="549" t="s">
        <v>1377</v>
      </c>
      <c r="C123" s="1472">
        <v>1</v>
      </c>
      <c r="D123" s="1473" t="s">
        <v>29</v>
      </c>
      <c r="E123" s="1472">
        <v>2010</v>
      </c>
      <c r="G123" s="513">
        <f>+G4/P4*(100-'Input B%'!$B$5)</f>
        <v>4.683840749414519E-3</v>
      </c>
      <c r="H123" s="519">
        <f t="shared" ref="H123:K128" si="29">+H114/$P114*1000</f>
        <v>246.73994568009977</v>
      </c>
      <c r="I123" s="519">
        <f t="shared" si="29"/>
        <v>0.36825271127427073</v>
      </c>
      <c r="J123" s="519">
        <f t="shared" si="29"/>
        <v>14.585754746103172</v>
      </c>
      <c r="K123" s="519">
        <f t="shared" si="29"/>
        <v>37.356751545408216</v>
      </c>
      <c r="L123" s="519">
        <f>(100-'Input B%'!$B$5)*74/100</f>
        <v>74</v>
      </c>
      <c r="M123" s="519">
        <f t="shared" ref="M123:N128" si="30">+M114/$P114*1000</f>
        <v>3.0924505945959071</v>
      </c>
      <c r="N123" s="519">
        <f t="shared" si="30"/>
        <v>14729.714763194035</v>
      </c>
    </row>
    <row r="124" spans="1:22">
      <c r="B124" s="549" t="s">
        <v>1377</v>
      </c>
      <c r="C124" s="1464">
        <v>1</v>
      </c>
      <c r="D124" s="1465" t="s">
        <v>29</v>
      </c>
      <c r="E124" s="1464">
        <v>2020</v>
      </c>
      <c r="G124" s="513">
        <f>+G5/P5*(100-'Input B%'!$B$5)</f>
        <v>4.683840749414519E-3</v>
      </c>
      <c r="H124" s="519">
        <f t="shared" si="29"/>
        <v>134.1836030435494</v>
      </c>
      <c r="I124" s="519">
        <f t="shared" si="29"/>
        <v>2.9462050226698212E-2</v>
      </c>
      <c r="J124" s="519">
        <f t="shared" si="29"/>
        <v>15.090260111477146</v>
      </c>
      <c r="K124" s="519">
        <f t="shared" si="29"/>
        <v>28.46233083732735</v>
      </c>
      <c r="L124" s="519">
        <f>(100-'Input B%'!$B$5)*74/100</f>
        <v>74</v>
      </c>
      <c r="M124" s="519">
        <f t="shared" si="30"/>
        <v>3.2473426458779828</v>
      </c>
      <c r="N124" s="519">
        <f t="shared" si="30"/>
        <v>5192.6283364168185</v>
      </c>
      <c r="V124" s="519"/>
    </row>
    <row r="125" spans="1:22">
      <c r="B125" s="549" t="s">
        <v>1377</v>
      </c>
      <c r="C125" s="1464">
        <v>1</v>
      </c>
      <c r="D125" s="1465" t="s">
        <v>29</v>
      </c>
      <c r="E125" s="1464">
        <v>2030</v>
      </c>
      <c r="G125" s="513">
        <f>+G6/P6*(100-'Input B%'!$B$5)</f>
        <v>4.683840749414519E-3</v>
      </c>
      <c r="H125" s="519">
        <f t="shared" si="29"/>
        <v>82.39471013780863</v>
      </c>
      <c r="I125" s="519">
        <f t="shared" si="29"/>
        <v>2.0702588589607872E-3</v>
      </c>
      <c r="J125" s="519">
        <f t="shared" si="29"/>
        <v>15.267668323239018</v>
      </c>
      <c r="K125" s="519">
        <f t="shared" si="29"/>
        <v>27.783662313822013</v>
      </c>
      <c r="L125" s="519">
        <f>(100-'Input B%'!$B$5)*74/100</f>
        <v>74</v>
      </c>
      <c r="M125" s="519">
        <f t="shared" si="30"/>
        <v>3.2412033949413757</v>
      </c>
      <c r="N125" s="519">
        <f t="shared" si="30"/>
        <v>3331.7190929206267</v>
      </c>
      <c r="V125" s="519"/>
    </row>
    <row r="126" spans="1:22">
      <c r="B126" s="549" t="s">
        <v>1379</v>
      </c>
      <c r="C126" s="1464">
        <v>2</v>
      </c>
      <c r="D126" s="1465" t="s">
        <v>29</v>
      </c>
      <c r="E126" s="1464">
        <v>2010</v>
      </c>
      <c r="G126" s="513">
        <f>+G13/P13*(100-'Input B%'!$B$5)</f>
        <v>4.6838407494145199E-3</v>
      </c>
      <c r="H126" s="519">
        <f t="shared" si="29"/>
        <v>206.05437727879129</v>
      </c>
      <c r="I126" s="519">
        <f t="shared" si="29"/>
        <v>0.57237232159776985</v>
      </c>
      <c r="J126" s="519">
        <f t="shared" si="29"/>
        <v>28.198476125703532</v>
      </c>
      <c r="K126" s="519">
        <f t="shared" si="29"/>
        <v>119.31007888325976</v>
      </c>
      <c r="L126" s="519">
        <f>(100-'Input B%'!$B$5)*74/100</f>
        <v>74</v>
      </c>
      <c r="M126" s="519">
        <f t="shared" si="30"/>
        <v>2.291876430446854</v>
      </c>
      <c r="N126" s="519">
        <f t="shared" si="30"/>
        <v>18725.106819919394</v>
      </c>
      <c r="V126" s="519"/>
    </row>
    <row r="127" spans="1:22">
      <c r="B127" s="549" t="s">
        <v>1379</v>
      </c>
      <c r="C127" s="1464">
        <v>2</v>
      </c>
      <c r="D127" s="1465" t="s">
        <v>29</v>
      </c>
      <c r="E127" s="1464">
        <v>2020</v>
      </c>
      <c r="G127" s="513">
        <f>+G14/P14*(100-'Input B%'!$B$5)</f>
        <v>4.683840749414519E-3</v>
      </c>
      <c r="H127" s="519">
        <f t="shared" si="29"/>
        <v>74.291738163149418</v>
      </c>
      <c r="I127" s="519">
        <f t="shared" si="29"/>
        <v>5.0261404129598446E-2</v>
      </c>
      <c r="J127" s="519">
        <f t="shared" si="29"/>
        <v>14.468395052838336</v>
      </c>
      <c r="K127" s="519">
        <f t="shared" si="29"/>
        <v>99.318170177462036</v>
      </c>
      <c r="L127" s="519">
        <f>(100-'Input B%'!$B$5)*74/100</f>
        <v>74</v>
      </c>
      <c r="M127" s="519">
        <f t="shared" si="30"/>
        <v>2.4490484701029431</v>
      </c>
      <c r="N127" s="519">
        <f t="shared" si="30"/>
        <v>4529.7354026570947</v>
      </c>
      <c r="V127" s="519"/>
    </row>
    <row r="128" spans="1:22">
      <c r="A128" s="1475"/>
      <c r="B128" s="1475" t="s">
        <v>1379</v>
      </c>
      <c r="C128" s="1469">
        <v>2</v>
      </c>
      <c r="D128" s="1470" t="s">
        <v>29</v>
      </c>
      <c r="E128" s="1469">
        <v>2030</v>
      </c>
      <c r="F128" s="1475"/>
      <c r="G128" s="1496">
        <f>+G15/P15*(100-'Input B%'!$B$5)</f>
        <v>4.6838407494145199E-3</v>
      </c>
      <c r="H128" s="1497">
        <f t="shared" si="29"/>
        <v>36.96065449028012</v>
      </c>
      <c r="I128" s="1497">
        <f t="shared" si="29"/>
        <v>3.6078966986489679E-3</v>
      </c>
      <c r="J128" s="1497">
        <f t="shared" si="29"/>
        <v>12.529418914293865</v>
      </c>
      <c r="K128" s="1497">
        <f t="shared" si="29"/>
        <v>96.920997312650485</v>
      </c>
      <c r="L128" s="1497">
        <f>(100-'Input B%'!$B$5)*74/100</f>
        <v>74</v>
      </c>
      <c r="M128" s="1497">
        <f t="shared" si="30"/>
        <v>2.4432655978906621</v>
      </c>
      <c r="N128" s="1497">
        <f t="shared" si="30"/>
        <v>1586.3260784554868</v>
      </c>
      <c r="O128" s="1475"/>
      <c r="P128" s="1475"/>
      <c r="V128" s="519"/>
    </row>
    <row r="129" spans="1:22">
      <c r="V129" s="519"/>
    </row>
    <row r="130" spans="1:22">
      <c r="V130" s="519"/>
    </row>
    <row r="131" spans="1:22">
      <c r="G131" s="1463" t="s">
        <v>1396</v>
      </c>
      <c r="H131" s="1463" t="s">
        <v>1397</v>
      </c>
      <c r="I131" s="1463" t="s">
        <v>1398</v>
      </c>
      <c r="J131" s="1463" t="s">
        <v>1398</v>
      </c>
      <c r="K131" s="1463" t="s">
        <v>1399</v>
      </c>
      <c r="N131" s="1463" t="s">
        <v>1400</v>
      </c>
      <c r="O131" s="1463" t="s">
        <v>1401</v>
      </c>
    </row>
    <row r="132" spans="1:22">
      <c r="F132" s="549" t="s">
        <v>1402</v>
      </c>
      <c r="G132" s="1465" t="s">
        <v>1403</v>
      </c>
      <c r="H132" s="1464">
        <v>9.7940000000000006E-4</v>
      </c>
      <c r="I132" s="1464">
        <v>-1.1195E-2</v>
      </c>
      <c r="J132" s="1464">
        <v>-1.1195E-2</v>
      </c>
      <c r="K132" s="1464">
        <v>-6.561E-3</v>
      </c>
      <c r="N132" s="1464">
        <v>-6.3839999999999999E-3</v>
      </c>
      <c r="O132" s="1464">
        <v>8.1890000000000001E-4</v>
      </c>
    </row>
    <row r="134" spans="1:22">
      <c r="G134" s="1463" t="s">
        <v>1396</v>
      </c>
      <c r="H134" s="1463" t="s">
        <v>1397</v>
      </c>
      <c r="I134" s="1463" t="s">
        <v>1398</v>
      </c>
      <c r="J134" s="1463" t="s">
        <v>1398</v>
      </c>
      <c r="K134" s="1463" t="s">
        <v>1399</v>
      </c>
      <c r="N134" s="1463" t="s">
        <v>1400</v>
      </c>
      <c r="O134" s="1463" t="s">
        <v>1401</v>
      </c>
      <c r="V134" s="549" t="s">
        <v>1404</v>
      </c>
    </row>
    <row r="135" spans="1:22">
      <c r="F135" s="549" t="s">
        <v>1405</v>
      </c>
      <c r="G135" s="1498" t="s">
        <v>1406</v>
      </c>
      <c r="H135" s="1499">
        <v>0.3</v>
      </c>
      <c r="I135" s="1499">
        <v>-0.25</v>
      </c>
      <c r="J135" s="1499">
        <v>-0.25</v>
      </c>
      <c r="K135" s="1499">
        <v>-0.4</v>
      </c>
      <c r="N135" s="1499">
        <v>-0.8</v>
      </c>
      <c r="O135" s="1499">
        <v>8.1890000000000001E-4</v>
      </c>
      <c r="V135" s="519"/>
    </row>
    <row r="137" spans="1:22">
      <c r="F137" s="1243" t="s">
        <v>1393</v>
      </c>
      <c r="H137" s="1243" t="s">
        <v>37</v>
      </c>
      <c r="I137" s="1243" t="s">
        <v>21</v>
      </c>
      <c r="J137" s="1243" t="s">
        <v>1386</v>
      </c>
      <c r="K137" s="1243" t="s">
        <v>189</v>
      </c>
      <c r="L137" s="1243"/>
      <c r="M137" s="1243" t="s">
        <v>22</v>
      </c>
      <c r="N137" s="1243" t="s">
        <v>286</v>
      </c>
      <c r="O137" s="1243" t="s">
        <v>1388</v>
      </c>
      <c r="P137" s="1243" t="s">
        <v>1388</v>
      </c>
    </row>
    <row r="138" spans="1:22">
      <c r="F138" s="1243" t="s">
        <v>334</v>
      </c>
      <c r="H138" s="1243" t="s">
        <v>27</v>
      </c>
      <c r="I138" s="1243" t="s">
        <v>27</v>
      </c>
      <c r="J138" s="1243" t="s">
        <v>27</v>
      </c>
      <c r="K138" s="1243" t="s">
        <v>27</v>
      </c>
      <c r="L138" s="1243"/>
      <c r="M138" s="1243" t="s">
        <v>27</v>
      </c>
      <c r="N138" s="1243" t="s">
        <v>27</v>
      </c>
      <c r="O138" s="1243" t="s">
        <v>27</v>
      </c>
      <c r="P138" s="1243" t="s">
        <v>152</v>
      </c>
    </row>
    <row r="139" spans="1:22">
      <c r="A139" s="549" t="s">
        <v>1407</v>
      </c>
      <c r="B139" s="549" t="s">
        <v>1380</v>
      </c>
      <c r="C139" s="1477">
        <v>3</v>
      </c>
      <c r="D139" s="1479" t="s">
        <v>29</v>
      </c>
      <c r="E139" s="1477">
        <v>2010</v>
      </c>
      <c r="F139" s="527">
        <f>+F16</f>
        <v>1380532888.1323223</v>
      </c>
      <c r="H139" s="535">
        <f>EXP(H$132*'Input B%'!$B$8)*H16</f>
        <v>7.7331454305099898</v>
      </c>
      <c r="I139" s="535">
        <f>EXP(I$132*'Input B%'!$B$8)*I16</f>
        <v>7.2762783826487043E-2</v>
      </c>
      <c r="J139" s="1386">
        <f>EXP(J$132*'Input B%'!$B$8)*J16</f>
        <v>0.34630197523203532</v>
      </c>
      <c r="K139" s="535">
        <f>EXP(K$132*'Input B%'!$B$8)*K16</f>
        <v>1.7650632219902751</v>
      </c>
      <c r="M139" s="1386">
        <f t="shared" ref="M139:M150" si="31">+M16</f>
        <v>0.03</v>
      </c>
      <c r="N139" s="535">
        <f>EXP(N$132*'Input B%'!$B$8)*N16</f>
        <v>152.82199790580125</v>
      </c>
      <c r="O139" s="535">
        <f>EXP(O$132*'Input B%'!$B$8)*O16</f>
        <v>260.25333291366184</v>
      </c>
      <c r="P139" s="1386">
        <f>+O139*'Input B%'!$B$7/1000</f>
        <v>11.112817315413363</v>
      </c>
    </row>
    <row r="140" spans="1:22">
      <c r="A140" s="549" t="s">
        <v>1407</v>
      </c>
      <c r="B140" s="549" t="s">
        <v>1380</v>
      </c>
      <c r="C140" s="1477">
        <v>3</v>
      </c>
      <c r="D140" s="1479" t="s">
        <v>29</v>
      </c>
      <c r="E140" s="1477">
        <v>2020</v>
      </c>
      <c r="F140" s="527">
        <f t="shared" ref="F140:F156" si="32">+F17</f>
        <v>2698513652.1719179</v>
      </c>
      <c r="H140" s="535">
        <f>EXP(H$132*'Input B%'!$B$8)*H17</f>
        <v>0.77588570340044205</v>
      </c>
      <c r="I140" s="535">
        <f>EXP(I$132*'Input B%'!$B$8)*I17</f>
        <v>3.744583716439937E-3</v>
      </c>
      <c r="J140" s="535">
        <f>EXP(J$132*'Input B%'!$B$8)*J17</f>
        <v>1.5859111407771152E-2</v>
      </c>
      <c r="K140" s="535">
        <f>EXP(K$132*'Input B%'!$B$8)*K17</f>
        <v>0.17331073812583311</v>
      </c>
      <c r="M140" s="1386">
        <f t="shared" si="31"/>
        <v>0.03</v>
      </c>
      <c r="N140" s="535">
        <f>EXP(N$132*'Input B%'!$B$8)*N17</f>
        <v>17.894188002833108</v>
      </c>
      <c r="O140" s="535">
        <f>EXP(O$132*'Input B%'!$B$8)*O17</f>
        <v>253.93733051871314</v>
      </c>
      <c r="P140" s="1386">
        <f>+O140*'Input B%'!$B$7/1000</f>
        <v>10.843124013149053</v>
      </c>
    </row>
    <row r="141" spans="1:22">
      <c r="A141" s="549" t="s">
        <v>1407</v>
      </c>
      <c r="B141" s="549" t="s">
        <v>1380</v>
      </c>
      <c r="C141" s="1477">
        <v>3</v>
      </c>
      <c r="D141" s="1479" t="s">
        <v>29</v>
      </c>
      <c r="E141" s="1477">
        <v>2030</v>
      </c>
      <c r="F141" s="527">
        <f t="shared" si="32"/>
        <v>4165717622.5813818</v>
      </c>
      <c r="H141" s="535">
        <f>EXP(H$132*'Input B%'!$B$8)*H18</f>
        <v>0.55110436847006916</v>
      </c>
      <c r="I141" s="535">
        <f>EXP(I$132*'Input B%'!$B$8)*I18</f>
        <v>1.4829754890210707E-3</v>
      </c>
      <c r="J141" s="535">
        <f>EXP(J$132*'Input B%'!$B$8)*J18</f>
        <v>5.1092690613378476E-3</v>
      </c>
      <c r="K141" s="535">
        <f>EXP(K$132*'Input B%'!$B$8)*K18</f>
        <v>0.12179947160011732</v>
      </c>
      <c r="M141" s="1386">
        <f t="shared" si="31"/>
        <v>0.03</v>
      </c>
      <c r="N141" s="535">
        <f>EXP(N$132*'Input B%'!$B$8)*N18</f>
        <v>13.549760266956888</v>
      </c>
      <c r="O141" s="535">
        <f>EXP(O$132*'Input B%'!$B$8)*O18</f>
        <v>250.757429836157</v>
      </c>
      <c r="P141" s="1386">
        <f>+O141*'Input B%'!$B$7/1000</f>
        <v>10.707342254003905</v>
      </c>
    </row>
    <row r="142" spans="1:22">
      <c r="A142" s="549" t="s">
        <v>1407</v>
      </c>
      <c r="B142" s="549" t="s">
        <v>1381</v>
      </c>
      <c r="C142" s="1477">
        <v>4</v>
      </c>
      <c r="D142" s="1479" t="s">
        <v>29</v>
      </c>
      <c r="E142" s="1477">
        <v>2010</v>
      </c>
      <c r="F142" s="527">
        <f t="shared" si="32"/>
        <v>402524780.54534656</v>
      </c>
      <c r="H142" s="535">
        <f>EXP(H$132*'Input B%'!$B$8)*H19</f>
        <v>7.8598889141365031</v>
      </c>
      <c r="I142" s="535">
        <f>EXP(I$132*'Input B%'!$B$8)*I19</f>
        <v>7.9013661747118727E-2</v>
      </c>
      <c r="J142" s="535">
        <f>EXP(J$132*'Input B%'!$B$8)*J19</f>
        <v>0.44768489578879084</v>
      </c>
      <c r="K142" s="535">
        <f>EXP(K$132*'Input B%'!$B$8)*K19</f>
        <v>1.7758627452741942</v>
      </c>
      <c r="M142" s="1386">
        <f t="shared" si="31"/>
        <v>0.03</v>
      </c>
      <c r="N142" s="535">
        <f>EXP(N$132*'Input B%'!$B$8)*N19</f>
        <v>167.6186462588183</v>
      </c>
      <c r="O142" s="535">
        <f>EXP(O$132*'Input B%'!$B$8)*O19</f>
        <v>242.22561221553403</v>
      </c>
      <c r="P142" s="1386">
        <f>+O142*'Input B%'!$B$7/1000</f>
        <v>10.343033641603304</v>
      </c>
    </row>
    <row r="143" spans="1:22">
      <c r="A143" s="549" t="s">
        <v>1407</v>
      </c>
      <c r="B143" s="549" t="s">
        <v>1381</v>
      </c>
      <c r="C143" s="1477">
        <v>4</v>
      </c>
      <c r="D143" s="1479" t="s">
        <v>29</v>
      </c>
      <c r="E143" s="1477">
        <v>2020</v>
      </c>
      <c r="F143" s="527">
        <f t="shared" si="32"/>
        <v>358979588.37066019</v>
      </c>
      <c r="H143" s="535">
        <f>EXP(H$132*'Input B%'!$B$8)*H20</f>
        <v>1.4378601329833347</v>
      </c>
      <c r="I143" s="535">
        <f>EXP(I$132*'Input B%'!$B$8)*I20</f>
        <v>1.0502749657263994E-2</v>
      </c>
      <c r="J143" s="535">
        <f>EXP(J$132*'Input B%'!$B$8)*J20</f>
        <v>5.9829593713155611E-2</v>
      </c>
      <c r="K143" s="535">
        <f>EXP(K$132*'Input B%'!$B$8)*K20</f>
        <v>0.35429646176503155</v>
      </c>
      <c r="M143" s="1386">
        <f t="shared" si="31"/>
        <v>0.03</v>
      </c>
      <c r="N143" s="535">
        <f>EXP(N$132*'Input B%'!$B$8)*N20</f>
        <v>32.001798308316623</v>
      </c>
      <c r="O143" s="535">
        <f>EXP(O$132*'Input B%'!$B$8)*O20</f>
        <v>233.21275685712834</v>
      </c>
      <c r="P143" s="1386">
        <f>+O143*'Input B%'!$B$7/1000</f>
        <v>9.9581847177993801</v>
      </c>
    </row>
    <row r="144" spans="1:22">
      <c r="A144" s="549" t="s">
        <v>1407</v>
      </c>
      <c r="B144" s="549" t="s">
        <v>1381</v>
      </c>
      <c r="C144" s="1477">
        <v>4</v>
      </c>
      <c r="D144" s="1479" t="s">
        <v>29</v>
      </c>
      <c r="E144" s="1477">
        <v>2030</v>
      </c>
      <c r="F144" s="527">
        <f t="shared" si="32"/>
        <v>539987421.5109601</v>
      </c>
      <c r="H144" s="535">
        <f>EXP(H$132*'Input B%'!$B$8)*H21</f>
        <v>0.5306376276342073</v>
      </c>
      <c r="I144" s="535">
        <f>EXP(I$132*'Input B%'!$B$8)*I21</f>
        <v>1.3705297958781144E-3</v>
      </c>
      <c r="J144" s="535">
        <f>EXP(J$132*'Input B%'!$B$8)*J21</f>
        <v>7.4220238221218487E-3</v>
      </c>
      <c r="K144" s="535">
        <f>EXP(K$132*'Input B%'!$B$8)*K21</f>
        <v>0.14608455588796768</v>
      </c>
      <c r="M144" s="1386">
        <f t="shared" si="31"/>
        <v>0.03</v>
      </c>
      <c r="N144" s="535">
        <f>EXP(N$132*'Input B%'!$B$8)*N21</f>
        <v>15.630696312250185</v>
      </c>
      <c r="O144" s="535">
        <f>EXP(O$132*'Input B%'!$B$8)*O21</f>
        <v>231.24099339072816</v>
      </c>
      <c r="P144" s="1386">
        <f>+O144*'Input B%'!$B$7/1000</f>
        <v>9.8739904177840927</v>
      </c>
    </row>
    <row r="145" spans="1:16">
      <c r="A145" s="549" t="s">
        <v>1407</v>
      </c>
      <c r="B145" s="549" t="s">
        <v>1382</v>
      </c>
      <c r="C145" s="1477">
        <v>3</v>
      </c>
      <c r="D145" s="1479" t="s">
        <v>29</v>
      </c>
      <c r="E145" s="1477">
        <v>2010</v>
      </c>
      <c r="F145" s="527">
        <f t="shared" si="32"/>
        <v>1829491513.1258786</v>
      </c>
      <c r="H145" s="1386">
        <f>+H22*(100+H$135*'Input B%'!$B$8)/100</f>
        <v>3.8085912564772739</v>
      </c>
      <c r="I145" s="1386">
        <f>+I22*(100+I$135*'Input B%'!$B$8)/100</f>
        <v>4.9051989534047496E-3</v>
      </c>
      <c r="J145" s="1386">
        <f>+J22*(100+J$135*'Input B%'!$B$8)/100</f>
        <v>1.6675329452535491E-2</v>
      </c>
      <c r="K145" s="1386">
        <f>+K22*(100+K$135*'Input B%'!$B$8)/100</f>
        <v>0.1227716741285369</v>
      </c>
      <c r="M145" s="1386">
        <f t="shared" si="31"/>
        <v>0.03</v>
      </c>
      <c r="N145" s="1386">
        <f>+N22*(100+N$135*'Input B%'!$B$8)/100</f>
        <v>27.36070912125496</v>
      </c>
      <c r="O145" s="1386">
        <f>+O22*(100+O$135*'Input B%'!$B$8)/100</f>
        <v>256.302451990262</v>
      </c>
      <c r="P145" s="1386">
        <f>+O145*'Input B%'!$B$7/1000</f>
        <v>10.944114699984187</v>
      </c>
    </row>
    <row r="146" spans="1:16">
      <c r="A146" s="549" t="s">
        <v>1407</v>
      </c>
      <c r="B146" s="549" t="s">
        <v>1382</v>
      </c>
      <c r="C146" s="1477">
        <v>3</v>
      </c>
      <c r="D146" s="1479" t="s">
        <v>29</v>
      </c>
      <c r="E146" s="1477">
        <v>2020</v>
      </c>
      <c r="F146" s="527">
        <f t="shared" si="32"/>
        <v>884259985.62407732</v>
      </c>
      <c r="H146" s="1386">
        <f>+H23*(100+H$135*'Input B%'!$B$8)/100</f>
        <v>2.8076650855544445</v>
      </c>
      <c r="I146" s="1386">
        <f>+I23*(100+I$135*'Input B%'!$B$8)/100</f>
        <v>4.7707333355860174E-3</v>
      </c>
      <c r="J146" s="1386">
        <f>+J23*(100+J$135*'Input B%'!$B$8)/100</f>
        <v>1.600218841397541E-2</v>
      </c>
      <c r="K146" s="1386">
        <f>+K23*(100+K$135*'Input B%'!$B$8)/100</f>
        <v>0.11636133079494558</v>
      </c>
      <c r="M146" s="1386">
        <f t="shared" si="31"/>
        <v>0.03</v>
      </c>
      <c r="N146" s="1386">
        <f>+N23*(100+N$135*'Input B%'!$B$8)/100</f>
        <v>26.04629654461506</v>
      </c>
      <c r="O146" s="1386">
        <f>+O23*(100+O$135*'Input B%'!$B$8)/100</f>
        <v>241.59568818989885</v>
      </c>
      <c r="P146" s="1386">
        <f>+O146*'Input B%'!$B$7/1000</f>
        <v>10.316135885708682</v>
      </c>
    </row>
    <row r="147" spans="1:16">
      <c r="A147" s="549" t="s">
        <v>1407</v>
      </c>
      <c r="B147" s="549" t="s">
        <v>1382</v>
      </c>
      <c r="C147" s="1477">
        <v>3</v>
      </c>
      <c r="D147" s="1479" t="s">
        <v>29</v>
      </c>
      <c r="E147" s="1477">
        <v>2030</v>
      </c>
      <c r="F147" s="527">
        <f t="shared" si="32"/>
        <v>55791407.608551584</v>
      </c>
      <c r="H147" s="1386">
        <f>+H24*(100+H$135*'Input B%'!$B$8)/100</f>
        <v>2.6008381755640011</v>
      </c>
      <c r="I147" s="1386">
        <f>+I24*(100+I$135*'Input B%'!$B$8)/100</f>
        <v>4.6242423581146662E-3</v>
      </c>
      <c r="J147" s="1386">
        <f>+J24*(100+J$135*'Input B%'!$B$8)/100</f>
        <v>1.5235117888472196E-2</v>
      </c>
      <c r="K147" s="1386">
        <f>+K24*(100+K$135*'Input B%'!$B$8)/100</f>
        <v>0.10983244340612468</v>
      </c>
      <c r="M147" s="1386">
        <f t="shared" si="31"/>
        <v>0.03</v>
      </c>
      <c r="N147" s="1386">
        <f>+N24*(100+N$135*'Input B%'!$B$8)/100</f>
        <v>24.657118057233401</v>
      </c>
      <c r="O147" s="1386">
        <f>+O24*(100+O$135*'Input B%'!$B$8)/100</f>
        <v>226.44208663307091</v>
      </c>
      <c r="P147" s="1386">
        <f>+O147*'Input B%'!$B$7/1000</f>
        <v>9.669077099232128</v>
      </c>
    </row>
    <row r="148" spans="1:16">
      <c r="A148" s="549" t="s">
        <v>1407</v>
      </c>
      <c r="B148" s="549" t="s">
        <v>1383</v>
      </c>
      <c r="C148" s="1477">
        <v>4</v>
      </c>
      <c r="D148" s="1479" t="s">
        <v>29</v>
      </c>
      <c r="E148" s="1477">
        <v>2010</v>
      </c>
      <c r="F148" s="527">
        <f t="shared" si="32"/>
        <v>248410074.9236975</v>
      </c>
      <c r="H148" s="1386">
        <f>+H25*(100+H$135*'Input B%'!$B$8)/100</f>
        <v>3.8927215600566769</v>
      </c>
      <c r="I148" s="1386">
        <f>+I25*(100+I$135*'Input B%'!$B$8)/100</f>
        <v>3.63674538281277E-3</v>
      </c>
      <c r="J148" s="1386">
        <f>+J25*(100+J$135*'Input B%'!$B$8)/100</f>
        <v>1.8318506498726322E-2</v>
      </c>
      <c r="K148" s="1386">
        <f>+K25*(100+K$135*'Input B%'!$B$8)/100</f>
        <v>0.14004527521743521</v>
      </c>
      <c r="M148" s="1386">
        <f t="shared" si="31"/>
        <v>0.03</v>
      </c>
      <c r="N148" s="1386">
        <f>+N25*(100+N$135*'Input B%'!$B$8)/100</f>
        <v>29.851157393435482</v>
      </c>
      <c r="O148" s="1386">
        <f>+O25*(100+O$135*'Input B%'!$B$8)/100</f>
        <v>231.3944583108437</v>
      </c>
      <c r="P148" s="1386">
        <f>+O148*'Input B%'!$B$7/1000</f>
        <v>9.8805433698730258</v>
      </c>
    </row>
    <row r="149" spans="1:16">
      <c r="A149" s="549" t="s">
        <v>1407</v>
      </c>
      <c r="B149" s="549" t="s">
        <v>1383</v>
      </c>
      <c r="C149" s="1477">
        <v>4</v>
      </c>
      <c r="D149" s="1479" t="s">
        <v>29</v>
      </c>
      <c r="E149" s="1477">
        <v>2020</v>
      </c>
      <c r="F149" s="527">
        <f t="shared" si="32"/>
        <v>235193373.63990819</v>
      </c>
      <c r="H149" s="1386">
        <f>+H26*(100+H$135*'Input B%'!$B$8)/100</f>
        <v>2.8788297784336332</v>
      </c>
      <c r="I149" s="1386">
        <f>+I26*(100+I$135*'Input B%'!$B$8)/100</f>
        <v>3.5801578302078292E-3</v>
      </c>
      <c r="J149" s="1386">
        <f>+J26*(100+J$135*'Input B%'!$B$8)/100</f>
        <v>1.8625841941190987E-2</v>
      </c>
      <c r="K149" s="1386">
        <f>+K26*(100+K$135*'Input B%'!$B$8)/100</f>
        <v>0.13892767820129009</v>
      </c>
      <c r="M149" s="1386">
        <f t="shared" si="31"/>
        <v>0.03</v>
      </c>
      <c r="N149" s="1386">
        <f>+N26*(100+N$135*'Input B%'!$B$8)/100</f>
        <v>29.977012245778237</v>
      </c>
      <c r="O149" s="1386">
        <f>+O26*(100+O$135*'Input B%'!$B$8)/100</f>
        <v>231.72623964128491</v>
      </c>
      <c r="P149" s="1386">
        <f>+O149*'Input B%'!$B$7/1000</f>
        <v>9.8947104326828672</v>
      </c>
    </row>
    <row r="150" spans="1:16">
      <c r="A150" s="549" t="s">
        <v>1407</v>
      </c>
      <c r="B150" s="549" t="s">
        <v>1383</v>
      </c>
      <c r="C150" s="1477">
        <v>4</v>
      </c>
      <c r="D150" s="1479" t="s">
        <v>29</v>
      </c>
      <c r="E150" s="1477">
        <v>2030</v>
      </c>
      <c r="F150" s="527">
        <f t="shared" si="32"/>
        <v>28278941.219443381</v>
      </c>
      <c r="H150" s="1386">
        <f>+H27*(100+H$135*'Input B%'!$B$8)/100</f>
        <v>2.7222866890462818</v>
      </c>
      <c r="I150" s="1386">
        <f>+I27*(100+I$135*'Input B%'!$B$8)/100</f>
        <v>3.4304585923286808E-3</v>
      </c>
      <c r="J150" s="1386">
        <f>+J27*(100+J$135*'Input B%'!$B$8)/100</f>
        <v>1.9427730278008665E-2</v>
      </c>
      <c r="K150" s="1386">
        <f>+K27*(100+K$135*'Input B%'!$B$8)/100</f>
        <v>0.13752455076473258</v>
      </c>
      <c r="M150" s="1386">
        <f t="shared" si="31"/>
        <v>0.03</v>
      </c>
      <c r="N150" s="1386">
        <f>+N27*(100+N$135*'Input B%'!$B$8)/100</f>
        <v>30.427928592161312</v>
      </c>
      <c r="O150" s="1386">
        <f>+O27*(100+O$135*'Input B%'!$B$8)/100</f>
        <v>232.88473683333342</v>
      </c>
      <c r="P150" s="1386">
        <f>+O150*'Input B%'!$B$7/1000</f>
        <v>9.9441782627833373</v>
      </c>
    </row>
    <row r="151" spans="1:16">
      <c r="A151" s="549" t="s">
        <v>1407</v>
      </c>
      <c r="B151" s="549" t="s">
        <v>1384</v>
      </c>
      <c r="C151" s="1477"/>
      <c r="D151" s="1479" t="s">
        <v>29</v>
      </c>
      <c r="E151" s="1477">
        <v>2010</v>
      </c>
      <c r="F151" s="527">
        <f t="shared" si="32"/>
        <v>10798964768.912138</v>
      </c>
      <c r="G151" s="1480"/>
      <c r="H151" s="1480">
        <f t="shared" ref="H151:K153" si="33">+($F117*H117+$F139*H139+$F145*H145)/$F151</f>
        <v>2.0493264864146417</v>
      </c>
      <c r="I151" s="1480">
        <f t="shared" si="33"/>
        <v>1.128711769001063E-2</v>
      </c>
      <c r="J151" s="1480">
        <f t="shared" si="33"/>
        <v>0.1039569422007455</v>
      </c>
      <c r="K151" s="1480">
        <f t="shared" si="33"/>
        <v>0.48702687196839295</v>
      </c>
      <c r="M151" s="1480">
        <f t="shared" ref="M151:P153" si="34">+($F117*M117+$F139*M139+$F145*M145)/$F151</f>
        <v>1.3539049152109078E-2</v>
      </c>
      <c r="N151" s="1480">
        <f t="shared" si="34"/>
        <v>61.930232782741086</v>
      </c>
      <c r="O151" s="1480">
        <f t="shared" si="34"/>
        <v>123.91545588409379</v>
      </c>
      <c r="P151" s="1480">
        <f t="shared" si="34"/>
        <v>5.2911899662508048</v>
      </c>
    </row>
    <row r="152" spans="1:16">
      <c r="A152" s="549" t="s">
        <v>1407</v>
      </c>
      <c r="B152" s="549" t="s">
        <v>1384</v>
      </c>
      <c r="C152" s="1477"/>
      <c r="D152" s="1479" t="s">
        <v>29</v>
      </c>
      <c r="E152" s="1477">
        <v>2020</v>
      </c>
      <c r="F152" s="527">
        <f t="shared" si="32"/>
        <v>10977874350.463799</v>
      </c>
      <c r="G152" s="1480"/>
      <c r="H152" s="1480">
        <f t="shared" si="33"/>
        <v>0.56012188479195857</v>
      </c>
      <c r="I152" s="1480">
        <f t="shared" si="33"/>
        <v>1.4016595103067142E-3</v>
      </c>
      <c r="J152" s="1480">
        <f t="shared" si="33"/>
        <v>3.3084080326837371E-2</v>
      </c>
      <c r="K152" s="1480">
        <f t="shared" si="33"/>
        <v>0.24347183361894414</v>
      </c>
      <c r="M152" s="1480">
        <f t="shared" si="34"/>
        <v>1.4512940958677938E-2</v>
      </c>
      <c r="N152" s="1480">
        <f t="shared" si="34"/>
        <v>15.230499778721217</v>
      </c>
      <c r="O152" s="1480">
        <f t="shared" si="34"/>
        <v>127.03658859594297</v>
      </c>
      <c r="P152" s="1480">
        <f t="shared" si="34"/>
        <v>5.4244623330467663</v>
      </c>
    </row>
    <row r="153" spans="1:16">
      <c r="A153" s="549" t="s">
        <v>1407</v>
      </c>
      <c r="B153" s="549" t="s">
        <v>1384</v>
      </c>
      <c r="C153" s="1477"/>
      <c r="D153" s="1479" t="s">
        <v>29</v>
      </c>
      <c r="E153" s="1477">
        <v>2030</v>
      </c>
      <c r="F153" s="527">
        <f t="shared" si="32"/>
        <v>12505468210.222805</v>
      </c>
      <c r="G153" s="1480"/>
      <c r="H153" s="1480">
        <f t="shared" si="33"/>
        <v>0.26519296095088574</v>
      </c>
      <c r="I153" s="1480">
        <f t="shared" si="33"/>
        <v>5.2146091206697594E-4</v>
      </c>
      <c r="J153" s="1480">
        <f t="shared" si="33"/>
        <v>2.55029840982888E-2</v>
      </c>
      <c r="K153" s="1480">
        <f t="shared" si="33"/>
        <v>0.22464928475669524</v>
      </c>
      <c r="M153" s="1480">
        <f t="shared" si="34"/>
        <v>1.4755192435719213E-2</v>
      </c>
      <c r="N153" s="1480">
        <f t="shared" si="34"/>
        <v>7.6283854276916792</v>
      </c>
      <c r="O153" s="1480">
        <f t="shared" si="34"/>
        <v>128.90081265014967</v>
      </c>
      <c r="P153" s="1480">
        <f t="shared" si="34"/>
        <v>5.5040647001613925</v>
      </c>
    </row>
    <row r="154" spans="1:16">
      <c r="A154" s="549" t="s">
        <v>1407</v>
      </c>
      <c r="B154" s="549" t="s">
        <v>1385</v>
      </c>
      <c r="C154" s="1477"/>
      <c r="D154" s="1479" t="s">
        <v>29</v>
      </c>
      <c r="E154" s="1477">
        <v>2010</v>
      </c>
      <c r="F154" s="527">
        <f t="shared" si="32"/>
        <v>650934855.46904409</v>
      </c>
      <c r="G154" s="1480"/>
      <c r="H154" s="1480">
        <f t="shared" ref="H154:K156" si="35">+($F142*H142+$F148*H148)/$F154</f>
        <v>6.3459365863698389</v>
      </c>
      <c r="I154" s="1480">
        <f t="shared" si="35"/>
        <v>5.0248286403863689E-2</v>
      </c>
      <c r="J154" s="1480">
        <f t="shared" si="35"/>
        <v>0.28382988627880357</v>
      </c>
      <c r="K154" s="1480">
        <f t="shared" si="35"/>
        <v>1.1516012897933894</v>
      </c>
      <c r="M154" s="1480">
        <f t="shared" ref="M154:P156" si="36">+($F142*M142+$F148*M148)/$F154</f>
        <v>0.03</v>
      </c>
      <c r="N154" s="1480">
        <f t="shared" si="36"/>
        <v>115.04375040931048</v>
      </c>
      <c r="O154" s="1480">
        <f t="shared" si="36"/>
        <v>238.09222201470433</v>
      </c>
      <c r="P154" s="1480">
        <f t="shared" si="36"/>
        <v>10.166537880027876</v>
      </c>
    </row>
    <row r="155" spans="1:16">
      <c r="A155" s="549" t="s">
        <v>1407</v>
      </c>
      <c r="B155" s="549" t="s">
        <v>1385</v>
      </c>
      <c r="C155" s="1477"/>
      <c r="D155" s="1479" t="s">
        <v>29</v>
      </c>
      <c r="E155" s="1477">
        <v>2020</v>
      </c>
      <c r="F155" s="527">
        <f t="shared" si="32"/>
        <v>594172962.01056838</v>
      </c>
      <c r="G155" s="1480"/>
      <c r="H155" s="1480">
        <f t="shared" si="35"/>
        <v>2.0082437315223238</v>
      </c>
      <c r="I155" s="1480">
        <f t="shared" si="35"/>
        <v>7.7625581133269348E-3</v>
      </c>
      <c r="J155" s="1480">
        <f t="shared" si="35"/>
        <v>4.3519781578524451E-2</v>
      </c>
      <c r="K155" s="1480">
        <f t="shared" si="35"/>
        <v>0.2690463510705321</v>
      </c>
      <c r="M155" s="1480">
        <f t="shared" si="36"/>
        <v>0.03</v>
      </c>
      <c r="N155" s="1480">
        <f t="shared" si="36"/>
        <v>31.200320800258964</v>
      </c>
      <c r="O155" s="1480">
        <f t="shared" si="36"/>
        <v>232.62434401891204</v>
      </c>
      <c r="P155" s="1480">
        <f t="shared" si="36"/>
        <v>9.9330594896075457</v>
      </c>
    </row>
    <row r="156" spans="1:16">
      <c r="A156" s="549" t="s">
        <v>1407</v>
      </c>
      <c r="B156" s="549" t="s">
        <v>1385</v>
      </c>
      <c r="C156" s="1477"/>
      <c r="D156" s="1479" t="s">
        <v>29</v>
      </c>
      <c r="E156" s="1477">
        <v>2030</v>
      </c>
      <c r="F156" s="527">
        <f t="shared" si="32"/>
        <v>568266362.73040342</v>
      </c>
      <c r="G156" s="1480"/>
      <c r="H156" s="1480">
        <f t="shared" si="35"/>
        <v>0.63970182542260201</v>
      </c>
      <c r="I156" s="1480">
        <f t="shared" si="35"/>
        <v>1.4730391280708076E-3</v>
      </c>
      <c r="J156" s="1480">
        <f t="shared" si="35"/>
        <v>8.019470177265316E-3</v>
      </c>
      <c r="K156" s="1480">
        <f t="shared" si="35"/>
        <v>0.1456585798007064</v>
      </c>
      <c r="M156" s="1480">
        <f t="shared" si="36"/>
        <v>3.0000000000000002E-2</v>
      </c>
      <c r="N156" s="1480">
        <f t="shared" si="36"/>
        <v>16.3670588515416</v>
      </c>
      <c r="O156" s="1480">
        <f t="shared" si="36"/>
        <v>231.32279186982507</v>
      </c>
      <c r="P156" s="1480">
        <f t="shared" si="36"/>
        <v>9.8774832128415309</v>
      </c>
    </row>
    <row r="158" spans="1:16">
      <c r="A158" s="1467"/>
      <c r="B158" s="1467"/>
      <c r="C158" s="1467"/>
      <c r="D158" s="1467"/>
      <c r="E158" s="1467"/>
      <c r="F158" s="1467"/>
      <c r="G158" s="1485" t="s">
        <v>23</v>
      </c>
      <c r="H158" s="1485" t="s">
        <v>37</v>
      </c>
      <c r="I158" s="1485" t="s">
        <v>21</v>
      </c>
      <c r="J158" s="1485" t="s">
        <v>1386</v>
      </c>
      <c r="K158" s="1485" t="s">
        <v>189</v>
      </c>
      <c r="L158" s="1485" t="s">
        <v>20</v>
      </c>
      <c r="M158" s="1485" t="s">
        <v>22</v>
      </c>
      <c r="N158" s="1485" t="s">
        <v>286</v>
      </c>
      <c r="O158" s="1243" t="s">
        <v>1388</v>
      </c>
      <c r="P158" s="1243" t="s">
        <v>1388</v>
      </c>
    </row>
    <row r="159" spans="1:16">
      <c r="A159" s="1467"/>
      <c r="B159" s="1467"/>
      <c r="C159" s="1467"/>
      <c r="D159" s="1467"/>
      <c r="E159" s="1467"/>
      <c r="F159" s="1467"/>
      <c r="G159" s="1485" t="s">
        <v>173</v>
      </c>
      <c r="H159" s="1485" t="s">
        <v>173</v>
      </c>
      <c r="I159" s="1485" t="s">
        <v>173</v>
      </c>
      <c r="J159" s="1485" t="s">
        <v>173</v>
      </c>
      <c r="K159" s="1485" t="s">
        <v>173</v>
      </c>
      <c r="L159" s="1485" t="s">
        <v>1387</v>
      </c>
      <c r="M159" s="1485" t="s">
        <v>173</v>
      </c>
      <c r="N159" s="1485" t="s">
        <v>173</v>
      </c>
      <c r="O159" s="1243" t="s">
        <v>173</v>
      </c>
      <c r="P159" s="1243" t="s">
        <v>152</v>
      </c>
    </row>
    <row r="160" spans="1:16">
      <c r="A160" s="1467"/>
      <c r="B160" s="1467"/>
      <c r="C160" s="1467"/>
      <c r="D160" s="1467"/>
      <c r="E160" s="1467"/>
      <c r="F160" s="1467"/>
      <c r="G160" s="1467"/>
      <c r="H160" s="1467"/>
      <c r="I160" s="1467"/>
      <c r="J160" s="1467"/>
      <c r="K160" s="1467"/>
      <c r="L160" s="1467"/>
      <c r="M160" s="1467"/>
      <c r="N160" s="1467"/>
    </row>
    <row r="161" spans="1:14">
      <c r="A161" s="1467" t="s">
        <v>1407</v>
      </c>
      <c r="B161" s="1467" t="s">
        <v>1380</v>
      </c>
      <c r="C161" s="1483">
        <v>3</v>
      </c>
      <c r="D161" s="1484" t="s">
        <v>29</v>
      </c>
      <c r="E161" s="1483">
        <v>2010</v>
      </c>
      <c r="F161" s="1467"/>
      <c r="G161" s="1491">
        <f>+G16/P16*(100-'Input B%'!$B$5)</f>
        <v>4.6838407494145199E-3</v>
      </c>
      <c r="H161" s="1493">
        <f t="shared" ref="H161:K176" si="37">+H139/$P139*1000</f>
        <v>695.87623111415655</v>
      </c>
      <c r="I161" s="1493">
        <f t="shared" si="37"/>
        <v>6.5476450985625227</v>
      </c>
      <c r="J161" s="1493">
        <f t="shared" si="37"/>
        <v>31.162392524145798</v>
      </c>
      <c r="K161" s="1493">
        <f t="shared" si="37"/>
        <v>158.83130010084398</v>
      </c>
      <c r="L161" s="1493">
        <f>(100-'Input B%'!$B$5)*74/100</f>
        <v>74</v>
      </c>
      <c r="M161" s="1493">
        <f t="shared" ref="M161:N176" si="38">+M139/$P139*1000</f>
        <v>2.6995854560112593</v>
      </c>
      <c r="N161" s="1493">
        <f t="shared" si="38"/>
        <v>13751.868096836139</v>
      </c>
    </row>
    <row r="162" spans="1:14">
      <c r="A162" s="1467" t="s">
        <v>1407</v>
      </c>
      <c r="B162" s="1467" t="s">
        <v>1380</v>
      </c>
      <c r="C162" s="1483">
        <v>3</v>
      </c>
      <c r="D162" s="1484" t="s">
        <v>29</v>
      </c>
      <c r="E162" s="1483">
        <v>2020</v>
      </c>
      <c r="F162" s="1467"/>
      <c r="G162" s="1491">
        <f>+G17/P17*(100-'Input B%'!$B$5)</f>
        <v>4.6838407494145182E-3</v>
      </c>
      <c r="H162" s="1493">
        <f t="shared" si="37"/>
        <v>71.555550084971301</v>
      </c>
      <c r="I162" s="1493">
        <f t="shared" si="37"/>
        <v>0.34534177713904401</v>
      </c>
      <c r="J162" s="1493">
        <f t="shared" si="37"/>
        <v>1.4625961474331011</v>
      </c>
      <c r="K162" s="1493">
        <f t="shared" si="37"/>
        <v>15.983469147421502</v>
      </c>
      <c r="L162" s="1493">
        <f>(100-'Input B%'!$B$5)*74/100</f>
        <v>74</v>
      </c>
      <c r="M162" s="1493">
        <f t="shared" si="38"/>
        <v>2.7667303227022133</v>
      </c>
      <c r="N162" s="1493">
        <f t="shared" si="38"/>
        <v>1650.2797515857508</v>
      </c>
    </row>
    <row r="163" spans="1:14">
      <c r="A163" s="1467" t="s">
        <v>1407</v>
      </c>
      <c r="B163" s="1467" t="s">
        <v>1380</v>
      </c>
      <c r="C163" s="1483">
        <v>3</v>
      </c>
      <c r="D163" s="1484" t="s">
        <v>29</v>
      </c>
      <c r="E163" s="1483">
        <v>2030</v>
      </c>
      <c r="F163" s="1467"/>
      <c r="G163" s="1491">
        <f>+G18/P18*(100-'Input B%'!$B$5)</f>
        <v>4.6838407494145199E-3</v>
      </c>
      <c r="H163" s="1493">
        <f t="shared" si="37"/>
        <v>51.469763027700843</v>
      </c>
      <c r="I163" s="1493">
        <f t="shared" si="37"/>
        <v>0.1385008019582569</v>
      </c>
      <c r="J163" s="1493">
        <f t="shared" si="37"/>
        <v>0.47717434823074673</v>
      </c>
      <c r="K163" s="1493">
        <f t="shared" si="37"/>
        <v>11.375322532029049</v>
      </c>
      <c r="L163" s="1493">
        <f>(100-'Input B%'!$B$5)*74/100</f>
        <v>74</v>
      </c>
      <c r="M163" s="1493">
        <f t="shared" si="38"/>
        <v>2.8018157343183638</v>
      </c>
      <c r="N163" s="1493">
        <f t="shared" si="38"/>
        <v>1265.4643837400536</v>
      </c>
    </row>
    <row r="164" spans="1:14">
      <c r="A164" s="1467" t="s">
        <v>1407</v>
      </c>
      <c r="B164" s="1467" t="s">
        <v>1381</v>
      </c>
      <c r="C164" s="1483">
        <v>4</v>
      </c>
      <c r="D164" s="1484" t="s">
        <v>29</v>
      </c>
      <c r="E164" s="1483">
        <v>2010</v>
      </c>
      <c r="F164" s="1467"/>
      <c r="G164" s="1491">
        <f>+G19/P19*(100-'Input B%'!$B$5)</f>
        <v>4.6838407494145199E-3</v>
      </c>
      <c r="H164" s="1493">
        <f t="shared" si="37"/>
        <v>759.92104313779635</v>
      </c>
      <c r="I164" s="1493">
        <f t="shared" si="37"/>
        <v>7.6393120708123874</v>
      </c>
      <c r="J164" s="1493">
        <f t="shared" si="37"/>
        <v>43.283712622575777</v>
      </c>
      <c r="K164" s="1493">
        <f t="shared" si="37"/>
        <v>171.69650673193715</v>
      </c>
      <c r="L164" s="1493">
        <f>(100-'Input B%'!$B$5)*74/100</f>
        <v>74</v>
      </c>
      <c r="M164" s="1493">
        <f t="shared" si="38"/>
        <v>2.9005029896963199</v>
      </c>
      <c r="N164" s="1493">
        <f t="shared" si="38"/>
        <v>16205.946153418414</v>
      </c>
    </row>
    <row r="165" spans="1:14">
      <c r="A165" s="1467" t="s">
        <v>1407</v>
      </c>
      <c r="B165" s="1467" t="s">
        <v>1381</v>
      </c>
      <c r="C165" s="1483">
        <v>4</v>
      </c>
      <c r="D165" s="1484" t="s">
        <v>29</v>
      </c>
      <c r="E165" s="1483">
        <v>2020</v>
      </c>
      <c r="F165" s="1467"/>
      <c r="G165" s="1491">
        <f>+G20/P20*(100-'Input B%'!$B$5)</f>
        <v>4.6838407494145199E-3</v>
      </c>
      <c r="H165" s="1493">
        <f t="shared" si="37"/>
        <v>144.38978325168904</v>
      </c>
      <c r="I165" s="1493">
        <f t="shared" si="37"/>
        <v>1.0546851614924608</v>
      </c>
      <c r="J165" s="1493">
        <f t="shared" si="37"/>
        <v>6.0080823371568384</v>
      </c>
      <c r="K165" s="1493">
        <f t="shared" si="37"/>
        <v>35.578418336803672</v>
      </c>
      <c r="L165" s="1493">
        <f>(100-'Input B%'!$B$5)*74/100</f>
        <v>74</v>
      </c>
      <c r="M165" s="1493">
        <f t="shared" si="38"/>
        <v>3.0125972604602964</v>
      </c>
      <c r="N165" s="1493">
        <f t="shared" si="38"/>
        <v>3213.6176637812532</v>
      </c>
    </row>
    <row r="166" spans="1:14">
      <c r="A166" s="1467" t="s">
        <v>1407</v>
      </c>
      <c r="B166" s="1467" t="s">
        <v>1381</v>
      </c>
      <c r="C166" s="1483">
        <v>4</v>
      </c>
      <c r="D166" s="1484" t="s">
        <v>29</v>
      </c>
      <c r="E166" s="1483">
        <v>2030</v>
      </c>
      <c r="F166" s="1467"/>
      <c r="G166" s="1491">
        <f>+G21/P21*(100-'Input B%'!$B$5)</f>
        <v>4.6838407494145199E-3</v>
      </c>
      <c r="H166" s="1493">
        <f t="shared" si="37"/>
        <v>53.740950232083804</v>
      </c>
      <c r="I166" s="1493">
        <f t="shared" si="37"/>
        <v>0.13880201801792783</v>
      </c>
      <c r="J166" s="1493">
        <f t="shared" si="37"/>
        <v>0.75167419736948549</v>
      </c>
      <c r="K166" s="1493">
        <f t="shared" si="37"/>
        <v>14.794885320615064</v>
      </c>
      <c r="L166" s="1493">
        <f>(100-'Input B%'!$B$5)*74/100</f>
        <v>74</v>
      </c>
      <c r="M166" s="1493">
        <f t="shared" si="38"/>
        <v>3.03828530620881</v>
      </c>
      <c r="N166" s="1493">
        <f t="shared" si="38"/>
        <v>1583.0171643773992</v>
      </c>
    </row>
    <row r="167" spans="1:14">
      <c r="A167" s="1467" t="s">
        <v>1407</v>
      </c>
      <c r="B167" s="1467" t="s">
        <v>1382</v>
      </c>
      <c r="C167" s="1483">
        <v>3</v>
      </c>
      <c r="D167" s="1484" t="s">
        <v>29</v>
      </c>
      <c r="E167" s="1483">
        <v>2010</v>
      </c>
      <c r="F167" s="1467"/>
      <c r="G167" s="1491">
        <f>+G22/P22*(100-'Input B%'!$B$5)</f>
        <v>4.683840749414519E-3</v>
      </c>
      <c r="H167" s="1493">
        <f t="shared" si="37"/>
        <v>348.00359470673095</v>
      </c>
      <c r="I167" s="1493">
        <f t="shared" si="37"/>
        <v>0.44820427123372869</v>
      </c>
      <c r="J167" s="1493">
        <f t="shared" si="37"/>
        <v>1.5236800700343158</v>
      </c>
      <c r="K167" s="1493">
        <f t="shared" si="37"/>
        <v>11.218054405872984</v>
      </c>
      <c r="L167" s="1493">
        <f>(100-'Input B%'!$B$5)*74/100</f>
        <v>74</v>
      </c>
      <c r="M167" s="1493">
        <f t="shared" si="38"/>
        <v>2.7411993406870403</v>
      </c>
      <c r="N167" s="1493">
        <f t="shared" si="38"/>
        <v>2500.0385934637993</v>
      </c>
    </row>
    <row r="168" spans="1:14">
      <c r="A168" s="1467" t="s">
        <v>1407</v>
      </c>
      <c r="B168" s="1467" t="s">
        <v>1382</v>
      </c>
      <c r="C168" s="1483">
        <v>3</v>
      </c>
      <c r="D168" s="1484" t="s">
        <v>29</v>
      </c>
      <c r="E168" s="1483">
        <v>2020</v>
      </c>
      <c r="F168" s="1467"/>
      <c r="G168" s="1491">
        <f>+G23/P23*(100-'Input B%'!$B$5)</f>
        <v>4.6838407494145199E-3</v>
      </c>
      <c r="H168" s="1493">
        <f t="shared" si="37"/>
        <v>272.16247601429961</v>
      </c>
      <c r="I168" s="1493">
        <f t="shared" si="37"/>
        <v>0.46245351829797898</v>
      </c>
      <c r="J168" s="1493">
        <f t="shared" si="37"/>
        <v>1.5511804605195074</v>
      </c>
      <c r="K168" s="1493">
        <f t="shared" si="37"/>
        <v>11.2795461482962</v>
      </c>
      <c r="L168" s="1493">
        <f>(100-'Input B%'!$B$5)*74/100</f>
        <v>74</v>
      </c>
      <c r="M168" s="1493">
        <f t="shared" si="38"/>
        <v>2.9080656102601448</v>
      </c>
      <c r="N168" s="1493">
        <f t="shared" si="38"/>
        <v>2524.8113085344235</v>
      </c>
    </row>
    <row r="169" spans="1:14">
      <c r="A169" s="1467" t="s">
        <v>1407</v>
      </c>
      <c r="B169" s="1467" t="s">
        <v>1382</v>
      </c>
      <c r="C169" s="1483">
        <v>3</v>
      </c>
      <c r="D169" s="1484" t="s">
        <v>29</v>
      </c>
      <c r="E169" s="1483">
        <v>2030</v>
      </c>
      <c r="F169" s="1467"/>
      <c r="G169" s="1491">
        <f>+G24/P24*(100-'Input B%'!$B$5)</f>
        <v>4.683840749414519E-3</v>
      </c>
      <c r="H169" s="1493">
        <f t="shared" si="37"/>
        <v>268.98515224069808</v>
      </c>
      <c r="I169" s="1493">
        <f t="shared" si="37"/>
        <v>0.47825064488128877</v>
      </c>
      <c r="J169" s="1493">
        <f t="shared" si="37"/>
        <v>1.5756537808227939</v>
      </c>
      <c r="K169" s="1493">
        <f t="shared" si="37"/>
        <v>11.359144443562979</v>
      </c>
      <c r="L169" s="1493">
        <f>(100-'Input B%'!$B$5)*74/100</f>
        <v>74</v>
      </c>
      <c r="M169" s="1493">
        <f t="shared" si="38"/>
        <v>3.1026746081466716</v>
      </c>
      <c r="N169" s="1493">
        <f t="shared" si="38"/>
        <v>2550.1004702084288</v>
      </c>
    </row>
    <row r="170" spans="1:14">
      <c r="A170" s="1467" t="s">
        <v>1407</v>
      </c>
      <c r="B170" s="1467" t="s">
        <v>1383</v>
      </c>
      <c r="C170" s="1483">
        <v>4</v>
      </c>
      <c r="D170" s="1484" t="s">
        <v>29</v>
      </c>
      <c r="E170" s="1483">
        <v>2010</v>
      </c>
      <c r="F170" s="1467"/>
      <c r="G170" s="1491">
        <f>+G25/P25*(100-'Input B%'!$B$5)</f>
        <v>4.683840749414519E-3</v>
      </c>
      <c r="H170" s="1493">
        <f t="shared" si="37"/>
        <v>393.97849028486195</v>
      </c>
      <c r="I170" s="1493">
        <f t="shared" si="37"/>
        <v>0.36807139513213893</v>
      </c>
      <c r="J170" s="1493">
        <f t="shared" si="37"/>
        <v>1.8539978838189881</v>
      </c>
      <c r="K170" s="1493">
        <f t="shared" si="37"/>
        <v>14.173843479544882</v>
      </c>
      <c r="L170" s="1493">
        <f>(100-'Input B%'!$B$5)*74/100</f>
        <v>74</v>
      </c>
      <c r="M170" s="1493">
        <f t="shared" si="38"/>
        <v>3.0362702613576533</v>
      </c>
      <c r="N170" s="1493">
        <f t="shared" si="38"/>
        <v>3021.20604869316</v>
      </c>
    </row>
    <row r="171" spans="1:14">
      <c r="A171" s="1467" t="s">
        <v>1407</v>
      </c>
      <c r="B171" s="1467" t="s">
        <v>1383</v>
      </c>
      <c r="C171" s="1483">
        <v>4</v>
      </c>
      <c r="D171" s="1484" t="s">
        <v>29</v>
      </c>
      <c r="E171" s="1483">
        <v>2020</v>
      </c>
      <c r="F171" s="1467"/>
      <c r="G171" s="1491">
        <f>+G26/P26*(100-'Input B%'!$B$5)</f>
        <v>4.683840749414519E-3</v>
      </c>
      <c r="H171" s="1493">
        <f t="shared" si="37"/>
        <v>290.94633926068946</v>
      </c>
      <c r="I171" s="1493">
        <f t="shared" si="37"/>
        <v>0.36182542728914396</v>
      </c>
      <c r="J171" s="1493">
        <f t="shared" si="37"/>
        <v>1.8824039437949218</v>
      </c>
      <c r="K171" s="1493">
        <f t="shared" si="37"/>
        <v>14.040600697358762</v>
      </c>
      <c r="L171" s="1493">
        <f>(100-'Input B%'!$B$5)*74/100</f>
        <v>74</v>
      </c>
      <c r="M171" s="1493">
        <f t="shared" si="38"/>
        <v>3.031922985932773</v>
      </c>
      <c r="N171" s="1493">
        <f t="shared" si="38"/>
        <v>3029.5997492521087</v>
      </c>
    </row>
    <row r="172" spans="1:14">
      <c r="A172" s="1467" t="s">
        <v>1407</v>
      </c>
      <c r="B172" s="1467" t="s">
        <v>1383</v>
      </c>
      <c r="C172" s="1483">
        <v>4</v>
      </c>
      <c r="D172" s="1484" t="s">
        <v>29</v>
      </c>
      <c r="E172" s="1483">
        <v>2030</v>
      </c>
      <c r="F172" s="1467"/>
      <c r="G172" s="1491">
        <f>+G27/P27*(100-'Input B%'!$B$5)</f>
        <v>4.6838407494145199E-3</v>
      </c>
      <c r="H172" s="1493">
        <f t="shared" si="37"/>
        <v>273.75682707082973</v>
      </c>
      <c r="I172" s="1493">
        <f t="shared" si="37"/>
        <v>0.34497155035598775</v>
      </c>
      <c r="J172" s="1493">
        <f t="shared" si="37"/>
        <v>1.9536788022714826</v>
      </c>
      <c r="K172" s="1493">
        <f t="shared" si="37"/>
        <v>13.829654611022628</v>
      </c>
      <c r="L172" s="1493">
        <f>(100-'Input B%'!$B$5)*74/100</f>
        <v>74</v>
      </c>
      <c r="M172" s="1493">
        <f t="shared" si="38"/>
        <v>3.0168405279173984</v>
      </c>
      <c r="N172" s="1493">
        <f t="shared" si="38"/>
        <v>3059.8736052469612</v>
      </c>
    </row>
    <row r="173" spans="1:14">
      <c r="A173" s="1467" t="s">
        <v>1407</v>
      </c>
      <c r="B173" s="1467" t="s">
        <v>1384</v>
      </c>
      <c r="C173" s="1487"/>
      <c r="D173" s="1488" t="s">
        <v>29</v>
      </c>
      <c r="E173" s="1487">
        <v>2010</v>
      </c>
      <c r="F173" s="1467"/>
      <c r="G173" s="1491">
        <f>+G28/P28*(100-'Input B%'!$B$5)</f>
        <v>4.6838407494145182E-3</v>
      </c>
      <c r="H173" s="1493">
        <f t="shared" si="37"/>
        <v>387.30918743912332</v>
      </c>
      <c r="I173" s="1493">
        <f t="shared" si="37"/>
        <v>2.1331907873283895</v>
      </c>
      <c r="J173" s="1493">
        <f t="shared" si="37"/>
        <v>19.647176318337063</v>
      </c>
      <c r="K173" s="1493">
        <f t="shared" si="37"/>
        <v>92.0448661028678</v>
      </c>
      <c r="L173" s="1493">
        <f>(100-'Input B%'!$B$5)*74/100</f>
        <v>74</v>
      </c>
      <c r="M173" s="1493">
        <f t="shared" si="38"/>
        <v>2.5587909786770489</v>
      </c>
      <c r="N173" s="1493">
        <f t="shared" si="38"/>
        <v>11704.405469800811</v>
      </c>
    </row>
    <row r="174" spans="1:14">
      <c r="A174" s="1467" t="s">
        <v>1407</v>
      </c>
      <c r="B174" s="1467" t="s">
        <v>1384</v>
      </c>
      <c r="C174" s="1487"/>
      <c r="D174" s="1488" t="s">
        <v>29</v>
      </c>
      <c r="E174" s="1487">
        <v>2020</v>
      </c>
      <c r="F174" s="1467"/>
      <c r="G174" s="1491">
        <f>+G29/P29*(100-'Input B%'!$B$5)</f>
        <v>4.6838407494145199E-3</v>
      </c>
      <c r="H174" s="1493">
        <f t="shared" si="37"/>
        <v>103.25850755375309</v>
      </c>
      <c r="I174" s="1493">
        <f t="shared" si="37"/>
        <v>0.25839602604806766</v>
      </c>
      <c r="J174" s="1493">
        <f t="shared" si="37"/>
        <v>6.0990524582101733</v>
      </c>
      <c r="K174" s="1493">
        <f t="shared" si="37"/>
        <v>44.884049085505019</v>
      </c>
      <c r="L174" s="1493">
        <f>(100-'Input B%'!$B$5)*74/100</f>
        <v>74</v>
      </c>
      <c r="M174" s="1493">
        <f t="shared" si="38"/>
        <v>2.6754616527176496</v>
      </c>
      <c r="N174" s="1493">
        <f t="shared" si="38"/>
        <v>2807.7436699918385</v>
      </c>
    </row>
    <row r="175" spans="1:14">
      <c r="A175" s="1467" t="s">
        <v>1407</v>
      </c>
      <c r="B175" s="1467" t="s">
        <v>1384</v>
      </c>
      <c r="C175" s="1487"/>
      <c r="D175" s="1488" t="s">
        <v>29</v>
      </c>
      <c r="E175" s="1487">
        <v>2030</v>
      </c>
      <c r="F175" s="1467"/>
      <c r="G175" s="1491">
        <f>+G30/P30*(100-'Input B%'!$B$5)</f>
        <v>4.6838407494145182E-3</v>
      </c>
      <c r="H175" s="1493">
        <f t="shared" si="37"/>
        <v>48.181294261150249</v>
      </c>
      <c r="I175" s="1493">
        <f t="shared" si="37"/>
        <v>9.4741057831621317E-2</v>
      </c>
      <c r="J175" s="1493">
        <f t="shared" si="37"/>
        <v>4.6334818879474637</v>
      </c>
      <c r="K175" s="1493">
        <f t="shared" si="37"/>
        <v>40.815160612139607</v>
      </c>
      <c r="L175" s="1493">
        <f>(100-'Input B%'!$B$5)*74/100</f>
        <v>74</v>
      </c>
      <c r="M175" s="1493">
        <f t="shared" si="38"/>
        <v>2.6807810662702702</v>
      </c>
      <c r="N175" s="1493">
        <f t="shared" si="38"/>
        <v>1385.9548975628859</v>
      </c>
    </row>
    <row r="176" spans="1:14">
      <c r="A176" s="1467" t="s">
        <v>1407</v>
      </c>
      <c r="B176" s="1467" t="s">
        <v>1385</v>
      </c>
      <c r="C176" s="1487"/>
      <c r="D176" s="1488" t="s">
        <v>29</v>
      </c>
      <c r="E176" s="1487">
        <v>2010</v>
      </c>
      <c r="F176" s="1467"/>
      <c r="G176" s="1491">
        <f>+G31/P31*(100-'Input B%'!$B$5)</f>
        <v>4.683840749414519E-3</v>
      </c>
      <c r="H176" s="1493">
        <f t="shared" si="37"/>
        <v>624.19839096221801</v>
      </c>
      <c r="I176" s="1493">
        <f t="shared" si="37"/>
        <v>4.942517009903268</v>
      </c>
      <c r="J176" s="1493">
        <f t="shared" si="37"/>
        <v>27.918047385274221</v>
      </c>
      <c r="K176" s="1493">
        <f t="shared" si="37"/>
        <v>113.27369291130127</v>
      </c>
      <c r="L176" s="1493">
        <f>(100-'Input B%'!$B$5)*74/100</f>
        <v>74</v>
      </c>
      <c r="M176" s="1493">
        <f t="shared" si="38"/>
        <v>2.9508570522257025</v>
      </c>
      <c r="N176" s="1493">
        <f t="shared" si="38"/>
        <v>11315.922073660244</v>
      </c>
    </row>
    <row r="177" spans="1:14">
      <c r="A177" s="1467" t="s">
        <v>1407</v>
      </c>
      <c r="B177" s="1467" t="s">
        <v>1385</v>
      </c>
      <c r="C177" s="1487"/>
      <c r="D177" s="1488" t="s">
        <v>29</v>
      </c>
      <c r="E177" s="1487">
        <v>2020</v>
      </c>
      <c r="F177" s="1467"/>
      <c r="G177" s="1491">
        <f>+G32/P32*(100-'Input B%'!$B$5)</f>
        <v>4.683840749414519E-3</v>
      </c>
      <c r="H177" s="1493">
        <f t="shared" ref="H177:K178" si="39">+H155/$P155*1000</f>
        <v>202.1777614060851</v>
      </c>
      <c r="I177" s="1493">
        <f t="shared" si="39"/>
        <v>0.78148712604092463</v>
      </c>
      <c r="J177" s="1493">
        <f t="shared" si="39"/>
        <v>4.3813068495217395</v>
      </c>
      <c r="K177" s="1493">
        <f t="shared" si="39"/>
        <v>27.085949837713304</v>
      </c>
      <c r="L177" s="1493">
        <f>(100-'Input B%'!$B$5)*74/100</f>
        <v>74</v>
      </c>
      <c r="M177" s="1493">
        <f t="shared" ref="M177:N178" si="40">+M155/$P155*1000</f>
        <v>3.0202174900278682</v>
      </c>
      <c r="N177" s="1493">
        <f t="shared" si="40"/>
        <v>3141.058485847414</v>
      </c>
    </row>
    <row r="178" spans="1:14">
      <c r="A178" s="1467" t="s">
        <v>1407</v>
      </c>
      <c r="B178" s="1467" t="s">
        <v>1385</v>
      </c>
      <c r="C178" s="1487"/>
      <c r="D178" s="1488" t="s">
        <v>29</v>
      </c>
      <c r="E178" s="1487">
        <v>2030</v>
      </c>
      <c r="F178" s="1467"/>
      <c r="G178" s="1491">
        <f>+G33/P33*(100-'Input B%'!$B$5)</f>
        <v>4.683840749414519E-3</v>
      </c>
      <c r="H178" s="1493">
        <f t="shared" si="39"/>
        <v>64.76364592459521</v>
      </c>
      <c r="I178" s="1493">
        <f t="shared" si="39"/>
        <v>0.14913101812774907</v>
      </c>
      <c r="J178" s="1493">
        <f t="shared" si="39"/>
        <v>0.81189408318501144</v>
      </c>
      <c r="K178" s="1493">
        <f t="shared" si="39"/>
        <v>14.74652769962073</v>
      </c>
      <c r="L178" s="1493">
        <f>(100-'Input B%'!$B$5)*74/100</f>
        <v>74</v>
      </c>
      <c r="M178" s="1493">
        <f t="shared" si="40"/>
        <v>3.0372109325377101</v>
      </c>
      <c r="N178" s="1493">
        <f t="shared" si="40"/>
        <v>1657.0070025796747</v>
      </c>
    </row>
  </sheetData>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6FE7C-D7D6-4C26-8279-CE1A48D6940B}">
  <sheetPr>
    <tabColor rgb="FF7030A0"/>
  </sheetPr>
  <dimension ref="A3:M51"/>
  <sheetViews>
    <sheetView zoomScale="75" workbookViewId="0">
      <selection activeCell="G5" sqref="G5"/>
    </sheetView>
  </sheetViews>
  <sheetFormatPr defaultRowHeight="13.5" customHeight="1"/>
  <cols>
    <col min="1" max="1" width="9.109375" style="549"/>
    <col min="2" max="2" width="16.33203125" style="549" bestFit="1" customWidth="1"/>
    <col min="3" max="3" width="8.88671875" style="549" bestFit="1" customWidth="1"/>
    <col min="4" max="4" width="5.88671875" style="549" bestFit="1" customWidth="1"/>
    <col min="5" max="5" width="11.5546875" style="549" bestFit="1" customWidth="1"/>
    <col min="6" max="6" width="11.88671875" style="549" bestFit="1" customWidth="1"/>
    <col min="7" max="7" width="12.88671875" style="549" bestFit="1" customWidth="1"/>
    <col min="8" max="8" width="13.88671875" style="549" bestFit="1" customWidth="1"/>
    <col min="9" max="9" width="11.88671875" style="549" bestFit="1" customWidth="1"/>
    <col min="10" max="10" width="12.88671875" style="549" bestFit="1" customWidth="1"/>
    <col min="11" max="12" width="11.6640625" style="549" bestFit="1" customWidth="1"/>
    <col min="13" max="13" width="12.5546875" style="549" bestFit="1" customWidth="1"/>
    <col min="14" max="257" width="9.109375" style="549"/>
    <col min="258" max="258" width="16.33203125" style="549" bestFit="1" customWidth="1"/>
    <col min="259" max="259" width="8.88671875" style="549" bestFit="1" customWidth="1"/>
    <col min="260" max="260" width="5" style="549" bestFit="1" customWidth="1"/>
    <col min="261" max="261" width="11.5546875" style="549" bestFit="1" customWidth="1"/>
    <col min="262" max="262" width="11.88671875" style="549" bestFit="1" customWidth="1"/>
    <col min="263" max="263" width="12.88671875" style="549" bestFit="1" customWidth="1"/>
    <col min="264" max="264" width="13.88671875" style="549" bestFit="1" customWidth="1"/>
    <col min="265" max="265" width="11.88671875" style="549" bestFit="1" customWidth="1"/>
    <col min="266" max="266" width="12.88671875" style="549" bestFit="1" customWidth="1"/>
    <col min="267" max="268" width="11.6640625" style="549" bestFit="1" customWidth="1"/>
    <col min="269" max="269" width="12.5546875" style="549" bestFit="1" customWidth="1"/>
    <col min="270" max="513" width="9.109375" style="549"/>
    <col min="514" max="514" width="16.33203125" style="549" bestFit="1" customWidth="1"/>
    <col min="515" max="515" width="8.88671875" style="549" bestFit="1" customWidth="1"/>
    <col min="516" max="516" width="5" style="549" bestFit="1" customWidth="1"/>
    <col min="517" max="517" width="11.5546875" style="549" bestFit="1" customWidth="1"/>
    <col min="518" max="518" width="11.88671875" style="549" bestFit="1" customWidth="1"/>
    <col min="519" max="519" width="12.88671875" style="549" bestFit="1" customWidth="1"/>
    <col min="520" max="520" width="13.88671875" style="549" bestFit="1" customWidth="1"/>
    <col min="521" max="521" width="11.88671875" style="549" bestFit="1" customWidth="1"/>
    <col min="522" max="522" width="12.88671875" style="549" bestFit="1" customWidth="1"/>
    <col min="523" max="524" width="11.6640625" style="549" bestFit="1" customWidth="1"/>
    <col min="525" max="525" width="12.5546875" style="549" bestFit="1" customWidth="1"/>
    <col min="526" max="769" width="9.109375" style="549"/>
    <col min="770" max="770" width="16.33203125" style="549" bestFit="1" customWidth="1"/>
    <col min="771" max="771" width="8.88671875" style="549" bestFit="1" customWidth="1"/>
    <col min="772" max="772" width="5" style="549" bestFit="1" customWidth="1"/>
    <col min="773" max="773" width="11.5546875" style="549" bestFit="1" customWidth="1"/>
    <col min="774" max="774" width="11.88671875" style="549" bestFit="1" customWidth="1"/>
    <col min="775" max="775" width="12.88671875" style="549" bestFit="1" customWidth="1"/>
    <col min="776" max="776" width="13.88671875" style="549" bestFit="1" customWidth="1"/>
    <col min="777" max="777" width="11.88671875" style="549" bestFit="1" customWidth="1"/>
    <col min="778" max="778" width="12.88671875" style="549" bestFit="1" customWidth="1"/>
    <col min="779" max="780" width="11.6640625" style="549" bestFit="1" customWidth="1"/>
    <col min="781" max="781" width="12.5546875" style="549" bestFit="1" customWidth="1"/>
    <col min="782" max="1025" width="9.109375" style="549"/>
    <col min="1026" max="1026" width="16.33203125" style="549" bestFit="1" customWidth="1"/>
    <col min="1027" max="1027" width="8.88671875" style="549" bestFit="1" customWidth="1"/>
    <col min="1028" max="1028" width="5" style="549" bestFit="1" customWidth="1"/>
    <col min="1029" max="1029" width="11.5546875" style="549" bestFit="1" customWidth="1"/>
    <col min="1030" max="1030" width="11.88671875" style="549" bestFit="1" customWidth="1"/>
    <col min="1031" max="1031" width="12.88671875" style="549" bestFit="1" customWidth="1"/>
    <col min="1032" max="1032" width="13.88671875" style="549" bestFit="1" customWidth="1"/>
    <col min="1033" max="1033" width="11.88671875" style="549" bestFit="1" customWidth="1"/>
    <col min="1034" max="1034" width="12.88671875" style="549" bestFit="1" customWidth="1"/>
    <col min="1035" max="1036" width="11.6640625" style="549" bestFit="1" customWidth="1"/>
    <col min="1037" max="1037" width="12.5546875" style="549" bestFit="1" customWidth="1"/>
    <col min="1038" max="1281" width="9.109375" style="549"/>
    <col min="1282" max="1282" width="16.33203125" style="549" bestFit="1" customWidth="1"/>
    <col min="1283" max="1283" width="8.88671875" style="549" bestFit="1" customWidth="1"/>
    <col min="1284" max="1284" width="5" style="549" bestFit="1" customWidth="1"/>
    <col min="1285" max="1285" width="11.5546875" style="549" bestFit="1" customWidth="1"/>
    <col min="1286" max="1286" width="11.88671875" style="549" bestFit="1" customWidth="1"/>
    <col min="1287" max="1287" width="12.88671875" style="549" bestFit="1" customWidth="1"/>
    <col min="1288" max="1288" width="13.88671875" style="549" bestFit="1" customWidth="1"/>
    <col min="1289" max="1289" width="11.88671875" style="549" bestFit="1" customWidth="1"/>
    <col min="1290" max="1290" width="12.88671875" style="549" bestFit="1" customWidth="1"/>
    <col min="1291" max="1292" width="11.6640625" style="549" bestFit="1" customWidth="1"/>
    <col min="1293" max="1293" width="12.5546875" style="549" bestFit="1" customWidth="1"/>
    <col min="1294" max="1537" width="9.109375" style="549"/>
    <col min="1538" max="1538" width="16.33203125" style="549" bestFit="1" customWidth="1"/>
    <col min="1539" max="1539" width="8.88671875" style="549" bestFit="1" customWidth="1"/>
    <col min="1540" max="1540" width="5" style="549" bestFit="1" customWidth="1"/>
    <col min="1541" max="1541" width="11.5546875" style="549" bestFit="1" customWidth="1"/>
    <col min="1542" max="1542" width="11.88671875" style="549" bestFit="1" customWidth="1"/>
    <col min="1543" max="1543" width="12.88671875" style="549" bestFit="1" customWidth="1"/>
    <col min="1544" max="1544" width="13.88671875" style="549" bestFit="1" customWidth="1"/>
    <col min="1545" max="1545" width="11.88671875" style="549" bestFit="1" customWidth="1"/>
    <col min="1546" max="1546" width="12.88671875" style="549" bestFit="1" customWidth="1"/>
    <col min="1547" max="1548" width="11.6640625" style="549" bestFit="1" customWidth="1"/>
    <col min="1549" max="1549" width="12.5546875" style="549" bestFit="1" customWidth="1"/>
    <col min="1550" max="1793" width="9.109375" style="549"/>
    <col min="1794" max="1794" width="16.33203125" style="549" bestFit="1" customWidth="1"/>
    <col min="1795" max="1795" width="8.88671875" style="549" bestFit="1" customWidth="1"/>
    <col min="1796" max="1796" width="5" style="549" bestFit="1" customWidth="1"/>
    <col min="1797" max="1797" width="11.5546875" style="549" bestFit="1" customWidth="1"/>
    <col min="1798" max="1798" width="11.88671875" style="549" bestFit="1" customWidth="1"/>
    <col min="1799" max="1799" width="12.88671875" style="549" bestFit="1" customWidth="1"/>
    <col min="1800" max="1800" width="13.88671875" style="549" bestFit="1" customWidth="1"/>
    <col min="1801" max="1801" width="11.88671875" style="549" bestFit="1" customWidth="1"/>
    <col min="1802" max="1802" width="12.88671875" style="549" bestFit="1" customWidth="1"/>
    <col min="1803" max="1804" width="11.6640625" style="549" bestFit="1" customWidth="1"/>
    <col min="1805" max="1805" width="12.5546875" style="549" bestFit="1" customWidth="1"/>
    <col min="1806" max="2049" width="9.109375" style="549"/>
    <col min="2050" max="2050" width="16.33203125" style="549" bestFit="1" customWidth="1"/>
    <col min="2051" max="2051" width="8.88671875" style="549" bestFit="1" customWidth="1"/>
    <col min="2052" max="2052" width="5" style="549" bestFit="1" customWidth="1"/>
    <col min="2053" max="2053" width="11.5546875" style="549" bestFit="1" customWidth="1"/>
    <col min="2054" max="2054" width="11.88671875" style="549" bestFit="1" customWidth="1"/>
    <col min="2055" max="2055" width="12.88671875" style="549" bestFit="1" customWidth="1"/>
    <col min="2056" max="2056" width="13.88671875" style="549" bestFit="1" customWidth="1"/>
    <col min="2057" max="2057" width="11.88671875" style="549" bestFit="1" customWidth="1"/>
    <col min="2058" max="2058" width="12.88671875" style="549" bestFit="1" customWidth="1"/>
    <col min="2059" max="2060" width="11.6640625" style="549" bestFit="1" customWidth="1"/>
    <col min="2061" max="2061" width="12.5546875" style="549" bestFit="1" customWidth="1"/>
    <col min="2062" max="2305" width="9.109375" style="549"/>
    <col min="2306" max="2306" width="16.33203125" style="549" bestFit="1" customWidth="1"/>
    <col min="2307" max="2307" width="8.88671875" style="549" bestFit="1" customWidth="1"/>
    <col min="2308" max="2308" width="5" style="549" bestFit="1" customWidth="1"/>
    <col min="2309" max="2309" width="11.5546875" style="549" bestFit="1" customWidth="1"/>
    <col min="2310" max="2310" width="11.88671875" style="549" bestFit="1" customWidth="1"/>
    <col min="2311" max="2311" width="12.88671875" style="549" bestFit="1" customWidth="1"/>
    <col min="2312" max="2312" width="13.88671875" style="549" bestFit="1" customWidth="1"/>
    <col min="2313" max="2313" width="11.88671875" style="549" bestFit="1" customWidth="1"/>
    <col min="2314" max="2314" width="12.88671875" style="549" bestFit="1" customWidth="1"/>
    <col min="2315" max="2316" width="11.6640625" style="549" bestFit="1" customWidth="1"/>
    <col min="2317" max="2317" width="12.5546875" style="549" bestFit="1" customWidth="1"/>
    <col min="2318" max="2561" width="9.109375" style="549"/>
    <col min="2562" max="2562" width="16.33203125" style="549" bestFit="1" customWidth="1"/>
    <col min="2563" max="2563" width="8.88671875" style="549" bestFit="1" customWidth="1"/>
    <col min="2564" max="2564" width="5" style="549" bestFit="1" customWidth="1"/>
    <col min="2565" max="2565" width="11.5546875" style="549" bestFit="1" customWidth="1"/>
    <col min="2566" max="2566" width="11.88671875" style="549" bestFit="1" customWidth="1"/>
    <col min="2567" max="2567" width="12.88671875" style="549" bestFit="1" customWidth="1"/>
    <col min="2568" max="2568" width="13.88671875" style="549" bestFit="1" customWidth="1"/>
    <col min="2569" max="2569" width="11.88671875" style="549" bestFit="1" customWidth="1"/>
    <col min="2570" max="2570" width="12.88671875" style="549" bestFit="1" customWidth="1"/>
    <col min="2571" max="2572" width="11.6640625" style="549" bestFit="1" customWidth="1"/>
    <col min="2573" max="2573" width="12.5546875" style="549" bestFit="1" customWidth="1"/>
    <col min="2574" max="2817" width="9.109375" style="549"/>
    <col min="2818" max="2818" width="16.33203125" style="549" bestFit="1" customWidth="1"/>
    <col min="2819" max="2819" width="8.88671875" style="549" bestFit="1" customWidth="1"/>
    <col min="2820" max="2820" width="5" style="549" bestFit="1" customWidth="1"/>
    <col min="2821" max="2821" width="11.5546875" style="549" bestFit="1" customWidth="1"/>
    <col min="2822" max="2822" width="11.88671875" style="549" bestFit="1" customWidth="1"/>
    <col min="2823" max="2823" width="12.88671875" style="549" bestFit="1" customWidth="1"/>
    <col min="2824" max="2824" width="13.88671875" style="549" bestFit="1" customWidth="1"/>
    <col min="2825" max="2825" width="11.88671875" style="549" bestFit="1" customWidth="1"/>
    <col min="2826" max="2826" width="12.88671875" style="549" bestFit="1" customWidth="1"/>
    <col min="2827" max="2828" width="11.6640625" style="549" bestFit="1" customWidth="1"/>
    <col min="2829" max="2829" width="12.5546875" style="549" bestFit="1" customWidth="1"/>
    <col min="2830" max="3073" width="9.109375" style="549"/>
    <col min="3074" max="3074" width="16.33203125" style="549" bestFit="1" customWidth="1"/>
    <col min="3075" max="3075" width="8.88671875" style="549" bestFit="1" customWidth="1"/>
    <col min="3076" max="3076" width="5" style="549" bestFit="1" customWidth="1"/>
    <col min="3077" max="3077" width="11.5546875" style="549" bestFit="1" customWidth="1"/>
    <col min="3078" max="3078" width="11.88671875" style="549" bestFit="1" customWidth="1"/>
    <col min="3079" max="3079" width="12.88671875" style="549" bestFit="1" customWidth="1"/>
    <col min="3080" max="3080" width="13.88671875" style="549" bestFit="1" customWidth="1"/>
    <col min="3081" max="3081" width="11.88671875" style="549" bestFit="1" customWidth="1"/>
    <col min="3082" max="3082" width="12.88671875" style="549" bestFit="1" customWidth="1"/>
    <col min="3083" max="3084" width="11.6640625" style="549" bestFit="1" customWidth="1"/>
    <col min="3085" max="3085" width="12.5546875" style="549" bestFit="1" customWidth="1"/>
    <col min="3086" max="3329" width="9.109375" style="549"/>
    <col min="3330" max="3330" width="16.33203125" style="549" bestFit="1" customWidth="1"/>
    <col min="3331" max="3331" width="8.88671875" style="549" bestFit="1" customWidth="1"/>
    <col min="3332" max="3332" width="5" style="549" bestFit="1" customWidth="1"/>
    <col min="3333" max="3333" width="11.5546875" style="549" bestFit="1" customWidth="1"/>
    <col min="3334" max="3334" width="11.88671875" style="549" bestFit="1" customWidth="1"/>
    <col min="3335" max="3335" width="12.88671875" style="549" bestFit="1" customWidth="1"/>
    <col min="3336" max="3336" width="13.88671875" style="549" bestFit="1" customWidth="1"/>
    <col min="3337" max="3337" width="11.88671875" style="549" bestFit="1" customWidth="1"/>
    <col min="3338" max="3338" width="12.88671875" style="549" bestFit="1" customWidth="1"/>
    <col min="3339" max="3340" width="11.6640625" style="549" bestFit="1" customWidth="1"/>
    <col min="3341" max="3341" width="12.5546875" style="549" bestFit="1" customWidth="1"/>
    <col min="3342" max="3585" width="9.109375" style="549"/>
    <col min="3586" max="3586" width="16.33203125" style="549" bestFit="1" customWidth="1"/>
    <col min="3587" max="3587" width="8.88671875" style="549" bestFit="1" customWidth="1"/>
    <col min="3588" max="3588" width="5" style="549" bestFit="1" customWidth="1"/>
    <col min="3589" max="3589" width="11.5546875" style="549" bestFit="1" customWidth="1"/>
    <col min="3590" max="3590" width="11.88671875" style="549" bestFit="1" customWidth="1"/>
    <col min="3591" max="3591" width="12.88671875" style="549" bestFit="1" customWidth="1"/>
    <col min="3592" max="3592" width="13.88671875" style="549" bestFit="1" customWidth="1"/>
    <col min="3593" max="3593" width="11.88671875" style="549" bestFit="1" customWidth="1"/>
    <col min="3594" max="3594" width="12.88671875" style="549" bestFit="1" customWidth="1"/>
    <col min="3595" max="3596" width="11.6640625" style="549" bestFit="1" customWidth="1"/>
    <col min="3597" max="3597" width="12.5546875" style="549" bestFit="1" customWidth="1"/>
    <col min="3598" max="3841" width="9.109375" style="549"/>
    <col min="3842" max="3842" width="16.33203125" style="549" bestFit="1" customWidth="1"/>
    <col min="3843" max="3843" width="8.88671875" style="549" bestFit="1" customWidth="1"/>
    <col min="3844" max="3844" width="5" style="549" bestFit="1" customWidth="1"/>
    <col min="3845" max="3845" width="11.5546875" style="549" bestFit="1" customWidth="1"/>
    <col min="3846" max="3846" width="11.88671875" style="549" bestFit="1" customWidth="1"/>
    <col min="3847" max="3847" width="12.88671875" style="549" bestFit="1" customWidth="1"/>
    <col min="3848" max="3848" width="13.88671875" style="549" bestFit="1" customWidth="1"/>
    <col min="3849" max="3849" width="11.88671875" style="549" bestFit="1" customWidth="1"/>
    <col min="3850" max="3850" width="12.88671875" style="549" bestFit="1" customWidth="1"/>
    <col min="3851" max="3852" width="11.6640625" style="549" bestFit="1" customWidth="1"/>
    <col min="3853" max="3853" width="12.5546875" style="549" bestFit="1" customWidth="1"/>
    <col min="3854" max="4097" width="9.109375" style="549"/>
    <col min="4098" max="4098" width="16.33203125" style="549" bestFit="1" customWidth="1"/>
    <col min="4099" max="4099" width="8.88671875" style="549" bestFit="1" customWidth="1"/>
    <col min="4100" max="4100" width="5" style="549" bestFit="1" customWidth="1"/>
    <col min="4101" max="4101" width="11.5546875" style="549" bestFit="1" customWidth="1"/>
    <col min="4102" max="4102" width="11.88671875" style="549" bestFit="1" customWidth="1"/>
    <col min="4103" max="4103" width="12.88671875" style="549" bestFit="1" customWidth="1"/>
    <col min="4104" max="4104" width="13.88671875" style="549" bestFit="1" customWidth="1"/>
    <col min="4105" max="4105" width="11.88671875" style="549" bestFit="1" customWidth="1"/>
    <col min="4106" max="4106" width="12.88671875" style="549" bestFit="1" customWidth="1"/>
    <col min="4107" max="4108" width="11.6640625" style="549" bestFit="1" customWidth="1"/>
    <col min="4109" max="4109" width="12.5546875" style="549" bestFit="1" customWidth="1"/>
    <col min="4110" max="4353" width="9.109375" style="549"/>
    <col min="4354" max="4354" width="16.33203125" style="549" bestFit="1" customWidth="1"/>
    <col min="4355" max="4355" width="8.88671875" style="549" bestFit="1" customWidth="1"/>
    <col min="4356" max="4356" width="5" style="549" bestFit="1" customWidth="1"/>
    <col min="4357" max="4357" width="11.5546875" style="549" bestFit="1" customWidth="1"/>
    <col min="4358" max="4358" width="11.88671875" style="549" bestFit="1" customWidth="1"/>
    <col min="4359" max="4359" width="12.88671875" style="549" bestFit="1" customWidth="1"/>
    <col min="4360" max="4360" width="13.88671875" style="549" bestFit="1" customWidth="1"/>
    <col min="4361" max="4361" width="11.88671875" style="549" bestFit="1" customWidth="1"/>
    <col min="4362" max="4362" width="12.88671875" style="549" bestFit="1" customWidth="1"/>
    <col min="4363" max="4364" width="11.6640625" style="549" bestFit="1" customWidth="1"/>
    <col min="4365" max="4365" width="12.5546875" style="549" bestFit="1" customWidth="1"/>
    <col min="4366" max="4609" width="9.109375" style="549"/>
    <col min="4610" max="4610" width="16.33203125" style="549" bestFit="1" customWidth="1"/>
    <col min="4611" max="4611" width="8.88671875" style="549" bestFit="1" customWidth="1"/>
    <col min="4612" max="4612" width="5" style="549" bestFit="1" customWidth="1"/>
    <col min="4613" max="4613" width="11.5546875" style="549" bestFit="1" customWidth="1"/>
    <col min="4614" max="4614" width="11.88671875" style="549" bestFit="1" customWidth="1"/>
    <col min="4615" max="4615" width="12.88671875" style="549" bestFit="1" customWidth="1"/>
    <col min="4616" max="4616" width="13.88671875" style="549" bestFit="1" customWidth="1"/>
    <col min="4617" max="4617" width="11.88671875" style="549" bestFit="1" customWidth="1"/>
    <col min="4618" max="4618" width="12.88671875" style="549" bestFit="1" customWidth="1"/>
    <col min="4619" max="4620" width="11.6640625" style="549" bestFit="1" customWidth="1"/>
    <col min="4621" max="4621" width="12.5546875" style="549" bestFit="1" customWidth="1"/>
    <col min="4622" max="4865" width="9.109375" style="549"/>
    <col min="4866" max="4866" width="16.33203125" style="549" bestFit="1" customWidth="1"/>
    <col min="4867" max="4867" width="8.88671875" style="549" bestFit="1" customWidth="1"/>
    <col min="4868" max="4868" width="5" style="549" bestFit="1" customWidth="1"/>
    <col min="4869" max="4869" width="11.5546875" style="549" bestFit="1" customWidth="1"/>
    <col min="4870" max="4870" width="11.88671875" style="549" bestFit="1" customWidth="1"/>
    <col min="4871" max="4871" width="12.88671875" style="549" bestFit="1" customWidth="1"/>
    <col min="4872" max="4872" width="13.88671875" style="549" bestFit="1" customWidth="1"/>
    <col min="4873" max="4873" width="11.88671875" style="549" bestFit="1" customWidth="1"/>
    <col min="4874" max="4874" width="12.88671875" style="549" bestFit="1" customWidth="1"/>
    <col min="4875" max="4876" width="11.6640625" style="549" bestFit="1" customWidth="1"/>
    <col min="4877" max="4877" width="12.5546875" style="549" bestFit="1" customWidth="1"/>
    <col min="4878" max="5121" width="9.109375" style="549"/>
    <col min="5122" max="5122" width="16.33203125" style="549" bestFit="1" customWidth="1"/>
    <col min="5123" max="5123" width="8.88671875" style="549" bestFit="1" customWidth="1"/>
    <col min="5124" max="5124" width="5" style="549" bestFit="1" customWidth="1"/>
    <col min="5125" max="5125" width="11.5546875" style="549" bestFit="1" customWidth="1"/>
    <col min="5126" max="5126" width="11.88671875" style="549" bestFit="1" customWidth="1"/>
    <col min="5127" max="5127" width="12.88671875" style="549" bestFit="1" customWidth="1"/>
    <col min="5128" max="5128" width="13.88671875" style="549" bestFit="1" customWidth="1"/>
    <col min="5129" max="5129" width="11.88671875" style="549" bestFit="1" customWidth="1"/>
    <col min="5130" max="5130" width="12.88671875" style="549" bestFit="1" customWidth="1"/>
    <col min="5131" max="5132" width="11.6640625" style="549" bestFit="1" customWidth="1"/>
    <col min="5133" max="5133" width="12.5546875" style="549" bestFit="1" customWidth="1"/>
    <col min="5134" max="5377" width="9.109375" style="549"/>
    <col min="5378" max="5378" width="16.33203125" style="549" bestFit="1" customWidth="1"/>
    <col min="5379" max="5379" width="8.88671875" style="549" bestFit="1" customWidth="1"/>
    <col min="5380" max="5380" width="5" style="549" bestFit="1" customWidth="1"/>
    <col min="5381" max="5381" width="11.5546875" style="549" bestFit="1" customWidth="1"/>
    <col min="5382" max="5382" width="11.88671875" style="549" bestFit="1" customWidth="1"/>
    <col min="5383" max="5383" width="12.88671875" style="549" bestFit="1" customWidth="1"/>
    <col min="5384" max="5384" width="13.88671875" style="549" bestFit="1" customWidth="1"/>
    <col min="5385" max="5385" width="11.88671875" style="549" bestFit="1" customWidth="1"/>
    <col min="5386" max="5386" width="12.88671875" style="549" bestFit="1" customWidth="1"/>
    <col min="5387" max="5388" width="11.6640625" style="549" bestFit="1" customWidth="1"/>
    <col min="5389" max="5389" width="12.5546875" style="549" bestFit="1" customWidth="1"/>
    <col min="5390" max="5633" width="9.109375" style="549"/>
    <col min="5634" max="5634" width="16.33203125" style="549" bestFit="1" customWidth="1"/>
    <col min="5635" max="5635" width="8.88671875" style="549" bestFit="1" customWidth="1"/>
    <col min="5636" max="5636" width="5" style="549" bestFit="1" customWidth="1"/>
    <col min="5637" max="5637" width="11.5546875" style="549" bestFit="1" customWidth="1"/>
    <col min="5638" max="5638" width="11.88671875" style="549" bestFit="1" customWidth="1"/>
    <col min="5639" max="5639" width="12.88671875" style="549" bestFit="1" customWidth="1"/>
    <col min="5640" max="5640" width="13.88671875" style="549" bestFit="1" customWidth="1"/>
    <col min="5641" max="5641" width="11.88671875" style="549" bestFit="1" customWidth="1"/>
    <col min="5642" max="5642" width="12.88671875" style="549" bestFit="1" customWidth="1"/>
    <col min="5643" max="5644" width="11.6640625" style="549" bestFit="1" customWidth="1"/>
    <col min="5645" max="5645" width="12.5546875" style="549" bestFit="1" customWidth="1"/>
    <col min="5646" max="5889" width="9.109375" style="549"/>
    <col min="5890" max="5890" width="16.33203125" style="549" bestFit="1" customWidth="1"/>
    <col min="5891" max="5891" width="8.88671875" style="549" bestFit="1" customWidth="1"/>
    <col min="5892" max="5892" width="5" style="549" bestFit="1" customWidth="1"/>
    <col min="5893" max="5893" width="11.5546875" style="549" bestFit="1" customWidth="1"/>
    <col min="5894" max="5894" width="11.88671875" style="549" bestFit="1" customWidth="1"/>
    <col min="5895" max="5895" width="12.88671875" style="549" bestFit="1" customWidth="1"/>
    <col min="5896" max="5896" width="13.88671875" style="549" bestFit="1" customWidth="1"/>
    <col min="5897" max="5897" width="11.88671875" style="549" bestFit="1" customWidth="1"/>
    <col min="5898" max="5898" width="12.88671875" style="549" bestFit="1" customWidth="1"/>
    <col min="5899" max="5900" width="11.6640625" style="549" bestFit="1" customWidth="1"/>
    <col min="5901" max="5901" width="12.5546875" style="549" bestFit="1" customWidth="1"/>
    <col min="5902" max="6145" width="9.109375" style="549"/>
    <col min="6146" max="6146" width="16.33203125" style="549" bestFit="1" customWidth="1"/>
    <col min="6147" max="6147" width="8.88671875" style="549" bestFit="1" customWidth="1"/>
    <col min="6148" max="6148" width="5" style="549" bestFit="1" customWidth="1"/>
    <col min="6149" max="6149" width="11.5546875" style="549" bestFit="1" customWidth="1"/>
    <col min="6150" max="6150" width="11.88671875" style="549" bestFit="1" customWidth="1"/>
    <col min="6151" max="6151" width="12.88671875" style="549" bestFit="1" customWidth="1"/>
    <col min="6152" max="6152" width="13.88671875" style="549" bestFit="1" customWidth="1"/>
    <col min="6153" max="6153" width="11.88671875" style="549" bestFit="1" customWidth="1"/>
    <col min="6154" max="6154" width="12.88671875" style="549" bestFit="1" customWidth="1"/>
    <col min="6155" max="6156" width="11.6640625" style="549" bestFit="1" customWidth="1"/>
    <col min="6157" max="6157" width="12.5546875" style="549" bestFit="1" customWidth="1"/>
    <col min="6158" max="6401" width="9.109375" style="549"/>
    <col min="6402" max="6402" width="16.33203125" style="549" bestFit="1" customWidth="1"/>
    <col min="6403" max="6403" width="8.88671875" style="549" bestFit="1" customWidth="1"/>
    <col min="6404" max="6404" width="5" style="549" bestFit="1" customWidth="1"/>
    <col min="6405" max="6405" width="11.5546875" style="549" bestFit="1" customWidth="1"/>
    <col min="6406" max="6406" width="11.88671875" style="549" bestFit="1" customWidth="1"/>
    <col min="6407" max="6407" width="12.88671875" style="549" bestFit="1" customWidth="1"/>
    <col min="6408" max="6408" width="13.88671875" style="549" bestFit="1" customWidth="1"/>
    <col min="6409" max="6409" width="11.88671875" style="549" bestFit="1" customWidth="1"/>
    <col min="6410" max="6410" width="12.88671875" style="549" bestFit="1" customWidth="1"/>
    <col min="6411" max="6412" width="11.6640625" style="549" bestFit="1" customWidth="1"/>
    <col min="6413" max="6413" width="12.5546875" style="549" bestFit="1" customWidth="1"/>
    <col min="6414" max="6657" width="9.109375" style="549"/>
    <col min="6658" max="6658" width="16.33203125" style="549" bestFit="1" customWidth="1"/>
    <col min="6659" max="6659" width="8.88671875" style="549" bestFit="1" customWidth="1"/>
    <col min="6660" max="6660" width="5" style="549" bestFit="1" customWidth="1"/>
    <col min="6661" max="6661" width="11.5546875" style="549" bestFit="1" customWidth="1"/>
    <col min="6662" max="6662" width="11.88671875" style="549" bestFit="1" customWidth="1"/>
    <col min="6663" max="6663" width="12.88671875" style="549" bestFit="1" customWidth="1"/>
    <col min="6664" max="6664" width="13.88671875" style="549" bestFit="1" customWidth="1"/>
    <col min="6665" max="6665" width="11.88671875" style="549" bestFit="1" customWidth="1"/>
    <col min="6666" max="6666" width="12.88671875" style="549" bestFit="1" customWidth="1"/>
    <col min="6667" max="6668" width="11.6640625" style="549" bestFit="1" customWidth="1"/>
    <col min="6669" max="6669" width="12.5546875" style="549" bestFit="1" customWidth="1"/>
    <col min="6670" max="6913" width="9.109375" style="549"/>
    <col min="6914" max="6914" width="16.33203125" style="549" bestFit="1" customWidth="1"/>
    <col min="6915" max="6915" width="8.88671875" style="549" bestFit="1" customWidth="1"/>
    <col min="6916" max="6916" width="5" style="549" bestFit="1" customWidth="1"/>
    <col min="6917" max="6917" width="11.5546875" style="549" bestFit="1" customWidth="1"/>
    <col min="6918" max="6918" width="11.88671875" style="549" bestFit="1" customWidth="1"/>
    <col min="6919" max="6919" width="12.88671875" style="549" bestFit="1" customWidth="1"/>
    <col min="6920" max="6920" width="13.88671875" style="549" bestFit="1" customWidth="1"/>
    <col min="6921" max="6921" width="11.88671875" style="549" bestFit="1" customWidth="1"/>
    <col min="6922" max="6922" width="12.88671875" style="549" bestFit="1" customWidth="1"/>
    <col min="6923" max="6924" width="11.6640625" style="549" bestFit="1" customWidth="1"/>
    <col min="6925" max="6925" width="12.5546875" style="549" bestFit="1" customWidth="1"/>
    <col min="6926" max="7169" width="9.109375" style="549"/>
    <col min="7170" max="7170" width="16.33203125" style="549" bestFit="1" customWidth="1"/>
    <col min="7171" max="7171" width="8.88671875" style="549" bestFit="1" customWidth="1"/>
    <col min="7172" max="7172" width="5" style="549" bestFit="1" customWidth="1"/>
    <col min="7173" max="7173" width="11.5546875" style="549" bestFit="1" customWidth="1"/>
    <col min="7174" max="7174" width="11.88671875" style="549" bestFit="1" customWidth="1"/>
    <col min="7175" max="7175" width="12.88671875" style="549" bestFit="1" customWidth="1"/>
    <col min="7176" max="7176" width="13.88671875" style="549" bestFit="1" customWidth="1"/>
    <col min="7177" max="7177" width="11.88671875" style="549" bestFit="1" customWidth="1"/>
    <col min="7178" max="7178" width="12.88671875" style="549" bestFit="1" customWidth="1"/>
    <col min="7179" max="7180" width="11.6640625" style="549" bestFit="1" customWidth="1"/>
    <col min="7181" max="7181" width="12.5546875" style="549" bestFit="1" customWidth="1"/>
    <col min="7182" max="7425" width="9.109375" style="549"/>
    <col min="7426" max="7426" width="16.33203125" style="549" bestFit="1" customWidth="1"/>
    <col min="7427" max="7427" width="8.88671875" style="549" bestFit="1" customWidth="1"/>
    <col min="7428" max="7428" width="5" style="549" bestFit="1" customWidth="1"/>
    <col min="7429" max="7429" width="11.5546875" style="549" bestFit="1" customWidth="1"/>
    <col min="7430" max="7430" width="11.88671875" style="549" bestFit="1" customWidth="1"/>
    <col min="7431" max="7431" width="12.88671875" style="549" bestFit="1" customWidth="1"/>
    <col min="7432" max="7432" width="13.88671875" style="549" bestFit="1" customWidth="1"/>
    <col min="7433" max="7433" width="11.88671875" style="549" bestFit="1" customWidth="1"/>
    <col min="7434" max="7434" width="12.88671875" style="549" bestFit="1" customWidth="1"/>
    <col min="7435" max="7436" width="11.6640625" style="549" bestFit="1" customWidth="1"/>
    <col min="7437" max="7437" width="12.5546875" style="549" bestFit="1" customWidth="1"/>
    <col min="7438" max="7681" width="9.109375" style="549"/>
    <col min="7682" max="7682" width="16.33203125" style="549" bestFit="1" customWidth="1"/>
    <col min="7683" max="7683" width="8.88671875" style="549" bestFit="1" customWidth="1"/>
    <col min="7684" max="7684" width="5" style="549" bestFit="1" customWidth="1"/>
    <col min="7685" max="7685" width="11.5546875" style="549" bestFit="1" customWidth="1"/>
    <col min="7686" max="7686" width="11.88671875" style="549" bestFit="1" customWidth="1"/>
    <col min="7687" max="7687" width="12.88671875" style="549" bestFit="1" customWidth="1"/>
    <col min="7688" max="7688" width="13.88671875" style="549" bestFit="1" customWidth="1"/>
    <col min="7689" max="7689" width="11.88671875" style="549" bestFit="1" customWidth="1"/>
    <col min="7690" max="7690" width="12.88671875" style="549" bestFit="1" customWidth="1"/>
    <col min="7691" max="7692" width="11.6640625" style="549" bestFit="1" customWidth="1"/>
    <col min="7693" max="7693" width="12.5546875" style="549" bestFit="1" customWidth="1"/>
    <col min="7694" max="7937" width="9.109375" style="549"/>
    <col min="7938" max="7938" width="16.33203125" style="549" bestFit="1" customWidth="1"/>
    <col min="7939" max="7939" width="8.88671875" style="549" bestFit="1" customWidth="1"/>
    <col min="7940" max="7940" width="5" style="549" bestFit="1" customWidth="1"/>
    <col min="7941" max="7941" width="11.5546875" style="549" bestFit="1" customWidth="1"/>
    <col min="7942" max="7942" width="11.88671875" style="549" bestFit="1" customWidth="1"/>
    <col min="7943" max="7943" width="12.88671875" style="549" bestFit="1" customWidth="1"/>
    <col min="7944" max="7944" width="13.88671875" style="549" bestFit="1" customWidth="1"/>
    <col min="7945" max="7945" width="11.88671875" style="549" bestFit="1" customWidth="1"/>
    <col min="7946" max="7946" width="12.88671875" style="549" bestFit="1" customWidth="1"/>
    <col min="7947" max="7948" width="11.6640625" style="549" bestFit="1" customWidth="1"/>
    <col min="7949" max="7949" width="12.5546875" style="549" bestFit="1" customWidth="1"/>
    <col min="7950" max="8193" width="9.109375" style="549"/>
    <col min="8194" max="8194" width="16.33203125" style="549" bestFit="1" customWidth="1"/>
    <col min="8195" max="8195" width="8.88671875" style="549" bestFit="1" customWidth="1"/>
    <col min="8196" max="8196" width="5" style="549" bestFit="1" customWidth="1"/>
    <col min="8197" max="8197" width="11.5546875" style="549" bestFit="1" customWidth="1"/>
    <col min="8198" max="8198" width="11.88671875" style="549" bestFit="1" customWidth="1"/>
    <col min="8199" max="8199" width="12.88671875" style="549" bestFit="1" customWidth="1"/>
    <col min="8200" max="8200" width="13.88671875" style="549" bestFit="1" customWidth="1"/>
    <col min="8201" max="8201" width="11.88671875" style="549" bestFit="1" customWidth="1"/>
    <col min="8202" max="8202" width="12.88671875" style="549" bestFit="1" customWidth="1"/>
    <col min="8203" max="8204" width="11.6640625" style="549" bestFit="1" customWidth="1"/>
    <col min="8205" max="8205" width="12.5546875" style="549" bestFit="1" customWidth="1"/>
    <col min="8206" max="8449" width="9.109375" style="549"/>
    <col min="8450" max="8450" width="16.33203125" style="549" bestFit="1" customWidth="1"/>
    <col min="8451" max="8451" width="8.88671875" style="549" bestFit="1" customWidth="1"/>
    <col min="8452" max="8452" width="5" style="549" bestFit="1" customWidth="1"/>
    <col min="8453" max="8453" width="11.5546875" style="549" bestFit="1" customWidth="1"/>
    <col min="8454" max="8454" width="11.88671875" style="549" bestFit="1" customWidth="1"/>
    <col min="8455" max="8455" width="12.88671875" style="549" bestFit="1" customWidth="1"/>
    <col min="8456" max="8456" width="13.88671875" style="549" bestFit="1" customWidth="1"/>
    <col min="8457" max="8457" width="11.88671875" style="549" bestFit="1" customWidth="1"/>
    <col min="8458" max="8458" width="12.88671875" style="549" bestFit="1" customWidth="1"/>
    <col min="8459" max="8460" width="11.6640625" style="549" bestFit="1" customWidth="1"/>
    <col min="8461" max="8461" width="12.5546875" style="549" bestFit="1" customWidth="1"/>
    <col min="8462" max="8705" width="9.109375" style="549"/>
    <col min="8706" max="8706" width="16.33203125" style="549" bestFit="1" customWidth="1"/>
    <col min="8707" max="8707" width="8.88671875" style="549" bestFit="1" customWidth="1"/>
    <col min="8708" max="8708" width="5" style="549" bestFit="1" customWidth="1"/>
    <col min="8709" max="8709" width="11.5546875" style="549" bestFit="1" customWidth="1"/>
    <col min="8710" max="8710" width="11.88671875" style="549" bestFit="1" customWidth="1"/>
    <col min="8711" max="8711" width="12.88671875" style="549" bestFit="1" customWidth="1"/>
    <col min="8712" max="8712" width="13.88671875" style="549" bestFit="1" customWidth="1"/>
    <col min="8713" max="8713" width="11.88671875" style="549" bestFit="1" customWidth="1"/>
    <col min="8714" max="8714" width="12.88671875" style="549" bestFit="1" customWidth="1"/>
    <col min="8715" max="8716" width="11.6640625" style="549" bestFit="1" customWidth="1"/>
    <col min="8717" max="8717" width="12.5546875" style="549" bestFit="1" customWidth="1"/>
    <col min="8718" max="8961" width="9.109375" style="549"/>
    <col min="8962" max="8962" width="16.33203125" style="549" bestFit="1" customWidth="1"/>
    <col min="8963" max="8963" width="8.88671875" style="549" bestFit="1" customWidth="1"/>
    <col min="8964" max="8964" width="5" style="549" bestFit="1" customWidth="1"/>
    <col min="8965" max="8965" width="11.5546875" style="549" bestFit="1" customWidth="1"/>
    <col min="8966" max="8966" width="11.88671875" style="549" bestFit="1" customWidth="1"/>
    <col min="8967" max="8967" width="12.88671875" style="549" bestFit="1" customWidth="1"/>
    <col min="8968" max="8968" width="13.88671875" style="549" bestFit="1" customWidth="1"/>
    <col min="8969" max="8969" width="11.88671875" style="549" bestFit="1" customWidth="1"/>
    <col min="8970" max="8970" width="12.88671875" style="549" bestFit="1" customWidth="1"/>
    <col min="8971" max="8972" width="11.6640625" style="549" bestFit="1" customWidth="1"/>
    <col min="8973" max="8973" width="12.5546875" style="549" bestFit="1" customWidth="1"/>
    <col min="8974" max="9217" width="9.109375" style="549"/>
    <col min="9218" max="9218" width="16.33203125" style="549" bestFit="1" customWidth="1"/>
    <col min="9219" max="9219" width="8.88671875" style="549" bestFit="1" customWidth="1"/>
    <col min="9220" max="9220" width="5" style="549" bestFit="1" customWidth="1"/>
    <col min="9221" max="9221" width="11.5546875" style="549" bestFit="1" customWidth="1"/>
    <col min="9222" max="9222" width="11.88671875" style="549" bestFit="1" customWidth="1"/>
    <col min="9223" max="9223" width="12.88671875" style="549" bestFit="1" customWidth="1"/>
    <col min="9224" max="9224" width="13.88671875" style="549" bestFit="1" customWidth="1"/>
    <col min="9225" max="9225" width="11.88671875" style="549" bestFit="1" customWidth="1"/>
    <col min="9226" max="9226" width="12.88671875" style="549" bestFit="1" customWidth="1"/>
    <col min="9227" max="9228" width="11.6640625" style="549" bestFit="1" customWidth="1"/>
    <col min="9229" max="9229" width="12.5546875" style="549" bestFit="1" customWidth="1"/>
    <col min="9230" max="9473" width="9.109375" style="549"/>
    <col min="9474" max="9474" width="16.33203125" style="549" bestFit="1" customWidth="1"/>
    <col min="9475" max="9475" width="8.88671875" style="549" bestFit="1" customWidth="1"/>
    <col min="9476" max="9476" width="5" style="549" bestFit="1" customWidth="1"/>
    <col min="9477" max="9477" width="11.5546875" style="549" bestFit="1" customWidth="1"/>
    <col min="9478" max="9478" width="11.88671875" style="549" bestFit="1" customWidth="1"/>
    <col min="9479" max="9479" width="12.88671875" style="549" bestFit="1" customWidth="1"/>
    <col min="9480" max="9480" width="13.88671875" style="549" bestFit="1" customWidth="1"/>
    <col min="9481" max="9481" width="11.88671875" style="549" bestFit="1" customWidth="1"/>
    <col min="9482" max="9482" width="12.88671875" style="549" bestFit="1" customWidth="1"/>
    <col min="9483" max="9484" width="11.6640625" style="549" bestFit="1" customWidth="1"/>
    <col min="9485" max="9485" width="12.5546875" style="549" bestFit="1" customWidth="1"/>
    <col min="9486" max="9729" width="9.109375" style="549"/>
    <col min="9730" max="9730" width="16.33203125" style="549" bestFit="1" customWidth="1"/>
    <col min="9731" max="9731" width="8.88671875" style="549" bestFit="1" customWidth="1"/>
    <col min="9732" max="9732" width="5" style="549" bestFit="1" customWidth="1"/>
    <col min="9733" max="9733" width="11.5546875" style="549" bestFit="1" customWidth="1"/>
    <col min="9734" max="9734" width="11.88671875" style="549" bestFit="1" customWidth="1"/>
    <col min="9735" max="9735" width="12.88671875" style="549" bestFit="1" customWidth="1"/>
    <col min="9736" max="9736" width="13.88671875" style="549" bestFit="1" customWidth="1"/>
    <col min="9737" max="9737" width="11.88671875" style="549" bestFit="1" customWidth="1"/>
    <col min="9738" max="9738" width="12.88671875" style="549" bestFit="1" customWidth="1"/>
    <col min="9739" max="9740" width="11.6640625" style="549" bestFit="1" customWidth="1"/>
    <col min="9741" max="9741" width="12.5546875" style="549" bestFit="1" customWidth="1"/>
    <col min="9742" max="9985" width="9.109375" style="549"/>
    <col min="9986" max="9986" width="16.33203125" style="549" bestFit="1" customWidth="1"/>
    <col min="9987" max="9987" width="8.88671875" style="549" bestFit="1" customWidth="1"/>
    <col min="9988" max="9988" width="5" style="549" bestFit="1" customWidth="1"/>
    <col min="9989" max="9989" width="11.5546875" style="549" bestFit="1" customWidth="1"/>
    <col min="9990" max="9990" width="11.88671875" style="549" bestFit="1" customWidth="1"/>
    <col min="9991" max="9991" width="12.88671875" style="549" bestFit="1" customWidth="1"/>
    <col min="9992" max="9992" width="13.88671875" style="549" bestFit="1" customWidth="1"/>
    <col min="9993" max="9993" width="11.88671875" style="549" bestFit="1" customWidth="1"/>
    <col min="9994" max="9994" width="12.88671875" style="549" bestFit="1" customWidth="1"/>
    <col min="9995" max="9996" width="11.6640625" style="549" bestFit="1" customWidth="1"/>
    <col min="9997" max="9997" width="12.5546875" style="549" bestFit="1" customWidth="1"/>
    <col min="9998" max="10241" width="9.109375" style="549"/>
    <col min="10242" max="10242" width="16.33203125" style="549" bestFit="1" customWidth="1"/>
    <col min="10243" max="10243" width="8.88671875" style="549" bestFit="1" customWidth="1"/>
    <col min="10244" max="10244" width="5" style="549" bestFit="1" customWidth="1"/>
    <col min="10245" max="10245" width="11.5546875" style="549" bestFit="1" customWidth="1"/>
    <col min="10246" max="10246" width="11.88671875" style="549" bestFit="1" customWidth="1"/>
    <col min="10247" max="10247" width="12.88671875" style="549" bestFit="1" customWidth="1"/>
    <col min="10248" max="10248" width="13.88671875" style="549" bestFit="1" customWidth="1"/>
    <col min="10249" max="10249" width="11.88671875" style="549" bestFit="1" customWidth="1"/>
    <col min="10250" max="10250" width="12.88671875" style="549" bestFit="1" customWidth="1"/>
    <col min="10251" max="10252" width="11.6640625" style="549" bestFit="1" customWidth="1"/>
    <col min="10253" max="10253" width="12.5546875" style="549" bestFit="1" customWidth="1"/>
    <col min="10254" max="10497" width="9.109375" style="549"/>
    <col min="10498" max="10498" width="16.33203125" style="549" bestFit="1" customWidth="1"/>
    <col min="10499" max="10499" width="8.88671875" style="549" bestFit="1" customWidth="1"/>
    <col min="10500" max="10500" width="5" style="549" bestFit="1" customWidth="1"/>
    <col min="10501" max="10501" width="11.5546875" style="549" bestFit="1" customWidth="1"/>
    <col min="10502" max="10502" width="11.88671875" style="549" bestFit="1" customWidth="1"/>
    <col min="10503" max="10503" width="12.88671875" style="549" bestFit="1" customWidth="1"/>
    <col min="10504" max="10504" width="13.88671875" style="549" bestFit="1" customWidth="1"/>
    <col min="10505" max="10505" width="11.88671875" style="549" bestFit="1" customWidth="1"/>
    <col min="10506" max="10506" width="12.88671875" style="549" bestFit="1" customWidth="1"/>
    <col min="10507" max="10508" width="11.6640625" style="549" bestFit="1" customWidth="1"/>
    <col min="10509" max="10509" width="12.5546875" style="549" bestFit="1" customWidth="1"/>
    <col min="10510" max="10753" width="9.109375" style="549"/>
    <col min="10754" max="10754" width="16.33203125" style="549" bestFit="1" customWidth="1"/>
    <col min="10755" max="10755" width="8.88671875" style="549" bestFit="1" customWidth="1"/>
    <col min="10756" max="10756" width="5" style="549" bestFit="1" customWidth="1"/>
    <col min="10757" max="10757" width="11.5546875" style="549" bestFit="1" customWidth="1"/>
    <col min="10758" max="10758" width="11.88671875" style="549" bestFit="1" customWidth="1"/>
    <col min="10759" max="10759" width="12.88671875" style="549" bestFit="1" customWidth="1"/>
    <col min="10760" max="10760" width="13.88671875" style="549" bestFit="1" customWidth="1"/>
    <col min="10761" max="10761" width="11.88671875" style="549" bestFit="1" customWidth="1"/>
    <col min="10762" max="10762" width="12.88671875" style="549" bestFit="1" customWidth="1"/>
    <col min="10763" max="10764" width="11.6640625" style="549" bestFit="1" customWidth="1"/>
    <col min="10765" max="10765" width="12.5546875" style="549" bestFit="1" customWidth="1"/>
    <col min="10766" max="11009" width="9.109375" style="549"/>
    <col min="11010" max="11010" width="16.33203125" style="549" bestFit="1" customWidth="1"/>
    <col min="11011" max="11011" width="8.88671875" style="549" bestFit="1" customWidth="1"/>
    <col min="11012" max="11012" width="5" style="549" bestFit="1" customWidth="1"/>
    <col min="11013" max="11013" width="11.5546875" style="549" bestFit="1" customWidth="1"/>
    <col min="11014" max="11014" width="11.88671875" style="549" bestFit="1" customWidth="1"/>
    <col min="11015" max="11015" width="12.88671875" style="549" bestFit="1" customWidth="1"/>
    <col min="11016" max="11016" width="13.88671875" style="549" bestFit="1" customWidth="1"/>
    <col min="11017" max="11017" width="11.88671875" style="549" bestFit="1" customWidth="1"/>
    <col min="11018" max="11018" width="12.88671875" style="549" bestFit="1" customWidth="1"/>
    <col min="11019" max="11020" width="11.6640625" style="549" bestFit="1" customWidth="1"/>
    <col min="11021" max="11021" width="12.5546875" style="549" bestFit="1" customWidth="1"/>
    <col min="11022" max="11265" width="9.109375" style="549"/>
    <col min="11266" max="11266" width="16.33203125" style="549" bestFit="1" customWidth="1"/>
    <col min="11267" max="11267" width="8.88671875" style="549" bestFit="1" customWidth="1"/>
    <col min="11268" max="11268" width="5" style="549" bestFit="1" customWidth="1"/>
    <col min="11269" max="11269" width="11.5546875" style="549" bestFit="1" customWidth="1"/>
    <col min="11270" max="11270" width="11.88671875" style="549" bestFit="1" customWidth="1"/>
    <col min="11271" max="11271" width="12.88671875" style="549" bestFit="1" customWidth="1"/>
    <col min="11272" max="11272" width="13.88671875" style="549" bestFit="1" customWidth="1"/>
    <col min="11273" max="11273" width="11.88671875" style="549" bestFit="1" customWidth="1"/>
    <col min="11274" max="11274" width="12.88671875" style="549" bestFit="1" customWidth="1"/>
    <col min="11275" max="11276" width="11.6640625" style="549" bestFit="1" customWidth="1"/>
    <col min="11277" max="11277" width="12.5546875" style="549" bestFit="1" customWidth="1"/>
    <col min="11278" max="11521" width="9.109375" style="549"/>
    <col min="11522" max="11522" width="16.33203125" style="549" bestFit="1" customWidth="1"/>
    <col min="11523" max="11523" width="8.88671875" style="549" bestFit="1" customWidth="1"/>
    <col min="11524" max="11524" width="5" style="549" bestFit="1" customWidth="1"/>
    <col min="11525" max="11525" width="11.5546875" style="549" bestFit="1" customWidth="1"/>
    <col min="11526" max="11526" width="11.88671875" style="549" bestFit="1" customWidth="1"/>
    <col min="11527" max="11527" width="12.88671875" style="549" bestFit="1" customWidth="1"/>
    <col min="11528" max="11528" width="13.88671875" style="549" bestFit="1" customWidth="1"/>
    <col min="11529" max="11529" width="11.88671875" style="549" bestFit="1" customWidth="1"/>
    <col min="11530" max="11530" width="12.88671875" style="549" bestFit="1" customWidth="1"/>
    <col min="11531" max="11532" width="11.6640625" style="549" bestFit="1" customWidth="1"/>
    <col min="11533" max="11533" width="12.5546875" style="549" bestFit="1" customWidth="1"/>
    <col min="11534" max="11777" width="9.109375" style="549"/>
    <col min="11778" max="11778" width="16.33203125" style="549" bestFit="1" customWidth="1"/>
    <col min="11779" max="11779" width="8.88671875" style="549" bestFit="1" customWidth="1"/>
    <col min="11780" max="11780" width="5" style="549" bestFit="1" customWidth="1"/>
    <col min="11781" max="11781" width="11.5546875" style="549" bestFit="1" customWidth="1"/>
    <col min="11782" max="11782" width="11.88671875" style="549" bestFit="1" customWidth="1"/>
    <col min="11783" max="11783" width="12.88671875" style="549" bestFit="1" customWidth="1"/>
    <col min="11784" max="11784" width="13.88671875" style="549" bestFit="1" customWidth="1"/>
    <col min="11785" max="11785" width="11.88671875" style="549" bestFit="1" customWidth="1"/>
    <col min="11786" max="11786" width="12.88671875" style="549" bestFit="1" customWidth="1"/>
    <col min="11787" max="11788" width="11.6640625" style="549" bestFit="1" customWidth="1"/>
    <col min="11789" max="11789" width="12.5546875" style="549" bestFit="1" customWidth="1"/>
    <col min="11790" max="12033" width="9.109375" style="549"/>
    <col min="12034" max="12034" width="16.33203125" style="549" bestFit="1" customWidth="1"/>
    <col min="12035" max="12035" width="8.88671875" style="549" bestFit="1" customWidth="1"/>
    <col min="12036" max="12036" width="5" style="549" bestFit="1" customWidth="1"/>
    <col min="12037" max="12037" width="11.5546875" style="549" bestFit="1" customWidth="1"/>
    <col min="12038" max="12038" width="11.88671875" style="549" bestFit="1" customWidth="1"/>
    <col min="12039" max="12039" width="12.88671875" style="549" bestFit="1" customWidth="1"/>
    <col min="12040" max="12040" width="13.88671875" style="549" bestFit="1" customWidth="1"/>
    <col min="12041" max="12041" width="11.88671875" style="549" bestFit="1" customWidth="1"/>
    <col min="12042" max="12042" width="12.88671875" style="549" bestFit="1" customWidth="1"/>
    <col min="12043" max="12044" width="11.6640625" style="549" bestFit="1" customWidth="1"/>
    <col min="12045" max="12045" width="12.5546875" style="549" bestFit="1" customWidth="1"/>
    <col min="12046" max="12289" width="9.109375" style="549"/>
    <col min="12290" max="12290" width="16.33203125" style="549" bestFit="1" customWidth="1"/>
    <col min="12291" max="12291" width="8.88671875" style="549" bestFit="1" customWidth="1"/>
    <col min="12292" max="12292" width="5" style="549" bestFit="1" customWidth="1"/>
    <col min="12293" max="12293" width="11.5546875" style="549" bestFit="1" customWidth="1"/>
    <col min="12294" max="12294" width="11.88671875" style="549" bestFit="1" customWidth="1"/>
    <col min="12295" max="12295" width="12.88671875" style="549" bestFit="1" customWidth="1"/>
    <col min="12296" max="12296" width="13.88671875" style="549" bestFit="1" customWidth="1"/>
    <col min="12297" max="12297" width="11.88671875" style="549" bestFit="1" customWidth="1"/>
    <col min="12298" max="12298" width="12.88671875" style="549" bestFit="1" customWidth="1"/>
    <col min="12299" max="12300" width="11.6640625" style="549" bestFit="1" customWidth="1"/>
    <col min="12301" max="12301" width="12.5546875" style="549" bestFit="1" customWidth="1"/>
    <col min="12302" max="12545" width="9.109375" style="549"/>
    <col min="12546" max="12546" width="16.33203125" style="549" bestFit="1" customWidth="1"/>
    <col min="12547" max="12547" width="8.88671875" style="549" bestFit="1" customWidth="1"/>
    <col min="12548" max="12548" width="5" style="549" bestFit="1" customWidth="1"/>
    <col min="12549" max="12549" width="11.5546875" style="549" bestFit="1" customWidth="1"/>
    <col min="12550" max="12550" width="11.88671875" style="549" bestFit="1" customWidth="1"/>
    <col min="12551" max="12551" width="12.88671875" style="549" bestFit="1" customWidth="1"/>
    <col min="12552" max="12552" width="13.88671875" style="549" bestFit="1" customWidth="1"/>
    <col min="12553" max="12553" width="11.88671875" style="549" bestFit="1" customWidth="1"/>
    <col min="12554" max="12554" width="12.88671875" style="549" bestFit="1" customWidth="1"/>
    <col min="12555" max="12556" width="11.6640625" style="549" bestFit="1" customWidth="1"/>
    <col min="12557" max="12557" width="12.5546875" style="549" bestFit="1" customWidth="1"/>
    <col min="12558" max="12801" width="9.109375" style="549"/>
    <col min="12802" max="12802" width="16.33203125" style="549" bestFit="1" customWidth="1"/>
    <col min="12803" max="12803" width="8.88671875" style="549" bestFit="1" customWidth="1"/>
    <col min="12804" max="12804" width="5" style="549" bestFit="1" customWidth="1"/>
    <col min="12805" max="12805" width="11.5546875" style="549" bestFit="1" customWidth="1"/>
    <col min="12806" max="12806" width="11.88671875" style="549" bestFit="1" customWidth="1"/>
    <col min="12807" max="12807" width="12.88671875" style="549" bestFit="1" customWidth="1"/>
    <col min="12808" max="12808" width="13.88671875" style="549" bestFit="1" customWidth="1"/>
    <col min="12809" max="12809" width="11.88671875" style="549" bestFit="1" customWidth="1"/>
    <col min="12810" max="12810" width="12.88671875" style="549" bestFit="1" customWidth="1"/>
    <col min="12811" max="12812" width="11.6640625" style="549" bestFit="1" customWidth="1"/>
    <col min="12813" max="12813" width="12.5546875" style="549" bestFit="1" customWidth="1"/>
    <col min="12814" max="13057" width="9.109375" style="549"/>
    <col min="13058" max="13058" width="16.33203125" style="549" bestFit="1" customWidth="1"/>
    <col min="13059" max="13059" width="8.88671875" style="549" bestFit="1" customWidth="1"/>
    <col min="13060" max="13060" width="5" style="549" bestFit="1" customWidth="1"/>
    <col min="13061" max="13061" width="11.5546875" style="549" bestFit="1" customWidth="1"/>
    <col min="13062" max="13062" width="11.88671875" style="549" bestFit="1" customWidth="1"/>
    <col min="13063" max="13063" width="12.88671875" style="549" bestFit="1" customWidth="1"/>
    <col min="13064" max="13064" width="13.88671875" style="549" bestFit="1" customWidth="1"/>
    <col min="13065" max="13065" width="11.88671875" style="549" bestFit="1" customWidth="1"/>
    <col min="13066" max="13066" width="12.88671875" style="549" bestFit="1" customWidth="1"/>
    <col min="13067" max="13068" width="11.6640625" style="549" bestFit="1" customWidth="1"/>
    <col min="13069" max="13069" width="12.5546875" style="549" bestFit="1" customWidth="1"/>
    <col min="13070" max="13313" width="9.109375" style="549"/>
    <col min="13314" max="13314" width="16.33203125" style="549" bestFit="1" customWidth="1"/>
    <col min="13315" max="13315" width="8.88671875" style="549" bestFit="1" customWidth="1"/>
    <col min="13316" max="13316" width="5" style="549" bestFit="1" customWidth="1"/>
    <col min="13317" max="13317" width="11.5546875" style="549" bestFit="1" customWidth="1"/>
    <col min="13318" max="13318" width="11.88671875" style="549" bestFit="1" customWidth="1"/>
    <col min="13319" max="13319" width="12.88671875" style="549" bestFit="1" customWidth="1"/>
    <col min="13320" max="13320" width="13.88671875" style="549" bestFit="1" customWidth="1"/>
    <col min="13321" max="13321" width="11.88671875" style="549" bestFit="1" customWidth="1"/>
    <col min="13322" max="13322" width="12.88671875" style="549" bestFit="1" customWidth="1"/>
    <col min="13323" max="13324" width="11.6640625" style="549" bestFit="1" customWidth="1"/>
    <col min="13325" max="13325" width="12.5546875" style="549" bestFit="1" customWidth="1"/>
    <col min="13326" max="13569" width="9.109375" style="549"/>
    <col min="13570" max="13570" width="16.33203125" style="549" bestFit="1" customWidth="1"/>
    <col min="13571" max="13571" width="8.88671875" style="549" bestFit="1" customWidth="1"/>
    <col min="13572" max="13572" width="5" style="549" bestFit="1" customWidth="1"/>
    <col min="13573" max="13573" width="11.5546875" style="549" bestFit="1" customWidth="1"/>
    <col min="13574" max="13574" width="11.88671875" style="549" bestFit="1" customWidth="1"/>
    <col min="13575" max="13575" width="12.88671875" style="549" bestFit="1" customWidth="1"/>
    <col min="13576" max="13576" width="13.88671875" style="549" bestFit="1" customWidth="1"/>
    <col min="13577" max="13577" width="11.88671875" style="549" bestFit="1" customWidth="1"/>
    <col min="13578" max="13578" width="12.88671875" style="549" bestFit="1" customWidth="1"/>
    <col min="13579" max="13580" width="11.6640625" style="549" bestFit="1" customWidth="1"/>
    <col min="13581" max="13581" width="12.5546875" style="549" bestFit="1" customWidth="1"/>
    <col min="13582" max="13825" width="9.109375" style="549"/>
    <col min="13826" max="13826" width="16.33203125" style="549" bestFit="1" customWidth="1"/>
    <col min="13827" max="13827" width="8.88671875" style="549" bestFit="1" customWidth="1"/>
    <col min="13828" max="13828" width="5" style="549" bestFit="1" customWidth="1"/>
    <col min="13829" max="13829" width="11.5546875" style="549" bestFit="1" customWidth="1"/>
    <col min="13830" max="13830" width="11.88671875" style="549" bestFit="1" customWidth="1"/>
    <col min="13831" max="13831" width="12.88671875" style="549" bestFit="1" customWidth="1"/>
    <col min="13832" max="13832" width="13.88671875" style="549" bestFit="1" customWidth="1"/>
    <col min="13833" max="13833" width="11.88671875" style="549" bestFit="1" customWidth="1"/>
    <col min="13834" max="13834" width="12.88671875" style="549" bestFit="1" customWidth="1"/>
    <col min="13835" max="13836" width="11.6640625" style="549" bestFit="1" customWidth="1"/>
    <col min="13837" max="13837" width="12.5546875" style="549" bestFit="1" customWidth="1"/>
    <col min="13838" max="14081" width="9.109375" style="549"/>
    <col min="14082" max="14082" width="16.33203125" style="549" bestFit="1" customWidth="1"/>
    <col min="14083" max="14083" width="8.88671875" style="549" bestFit="1" customWidth="1"/>
    <col min="14084" max="14084" width="5" style="549" bestFit="1" customWidth="1"/>
    <col min="14085" max="14085" width="11.5546875" style="549" bestFit="1" customWidth="1"/>
    <col min="14086" max="14086" width="11.88671875" style="549" bestFit="1" customWidth="1"/>
    <col min="14087" max="14087" width="12.88671875" style="549" bestFit="1" customWidth="1"/>
    <col min="14088" max="14088" width="13.88671875" style="549" bestFit="1" customWidth="1"/>
    <col min="14089" max="14089" width="11.88671875" style="549" bestFit="1" customWidth="1"/>
    <col min="14090" max="14090" width="12.88671875" style="549" bestFit="1" customWidth="1"/>
    <col min="14091" max="14092" width="11.6640625" style="549" bestFit="1" customWidth="1"/>
    <col min="14093" max="14093" width="12.5546875" style="549" bestFit="1" customWidth="1"/>
    <col min="14094" max="14337" width="9.109375" style="549"/>
    <col min="14338" max="14338" width="16.33203125" style="549" bestFit="1" customWidth="1"/>
    <col min="14339" max="14339" width="8.88671875" style="549" bestFit="1" customWidth="1"/>
    <col min="14340" max="14340" width="5" style="549" bestFit="1" customWidth="1"/>
    <col min="14341" max="14341" width="11.5546875" style="549" bestFit="1" customWidth="1"/>
    <col min="14342" max="14342" width="11.88671875" style="549" bestFit="1" customWidth="1"/>
    <col min="14343" max="14343" width="12.88671875" style="549" bestFit="1" customWidth="1"/>
    <col min="14344" max="14344" width="13.88671875" style="549" bestFit="1" customWidth="1"/>
    <col min="14345" max="14345" width="11.88671875" style="549" bestFit="1" customWidth="1"/>
    <col min="14346" max="14346" width="12.88671875" style="549" bestFit="1" customWidth="1"/>
    <col min="14347" max="14348" width="11.6640625" style="549" bestFit="1" customWidth="1"/>
    <col min="14349" max="14349" width="12.5546875" style="549" bestFit="1" customWidth="1"/>
    <col min="14350" max="14593" width="9.109375" style="549"/>
    <col min="14594" max="14594" width="16.33203125" style="549" bestFit="1" customWidth="1"/>
    <col min="14595" max="14595" width="8.88671875" style="549" bestFit="1" customWidth="1"/>
    <col min="14596" max="14596" width="5" style="549" bestFit="1" customWidth="1"/>
    <col min="14597" max="14597" width="11.5546875" style="549" bestFit="1" customWidth="1"/>
    <col min="14598" max="14598" width="11.88671875" style="549" bestFit="1" customWidth="1"/>
    <col min="14599" max="14599" width="12.88671875" style="549" bestFit="1" customWidth="1"/>
    <col min="14600" max="14600" width="13.88671875" style="549" bestFit="1" customWidth="1"/>
    <col min="14601" max="14601" width="11.88671875" style="549" bestFit="1" customWidth="1"/>
    <col min="14602" max="14602" width="12.88671875" style="549" bestFit="1" customWidth="1"/>
    <col min="14603" max="14604" width="11.6640625" style="549" bestFit="1" customWidth="1"/>
    <col min="14605" max="14605" width="12.5546875" style="549" bestFit="1" customWidth="1"/>
    <col min="14606" max="14849" width="9.109375" style="549"/>
    <col min="14850" max="14850" width="16.33203125" style="549" bestFit="1" customWidth="1"/>
    <col min="14851" max="14851" width="8.88671875" style="549" bestFit="1" customWidth="1"/>
    <col min="14852" max="14852" width="5" style="549" bestFit="1" customWidth="1"/>
    <col min="14853" max="14853" width="11.5546875" style="549" bestFit="1" customWidth="1"/>
    <col min="14854" max="14854" width="11.88671875" style="549" bestFit="1" customWidth="1"/>
    <col min="14855" max="14855" width="12.88671875" style="549" bestFit="1" customWidth="1"/>
    <col min="14856" max="14856" width="13.88671875" style="549" bestFit="1" customWidth="1"/>
    <col min="14857" max="14857" width="11.88671875" style="549" bestFit="1" customWidth="1"/>
    <col min="14858" max="14858" width="12.88671875" style="549" bestFit="1" customWidth="1"/>
    <col min="14859" max="14860" width="11.6640625" style="549" bestFit="1" customWidth="1"/>
    <col min="14861" max="14861" width="12.5546875" style="549" bestFit="1" customWidth="1"/>
    <col min="14862" max="15105" width="9.109375" style="549"/>
    <col min="15106" max="15106" width="16.33203125" style="549" bestFit="1" customWidth="1"/>
    <col min="15107" max="15107" width="8.88671875" style="549" bestFit="1" customWidth="1"/>
    <col min="15108" max="15108" width="5" style="549" bestFit="1" customWidth="1"/>
    <col min="15109" max="15109" width="11.5546875" style="549" bestFit="1" customWidth="1"/>
    <col min="15110" max="15110" width="11.88671875" style="549" bestFit="1" customWidth="1"/>
    <col min="15111" max="15111" width="12.88671875" style="549" bestFit="1" customWidth="1"/>
    <col min="15112" max="15112" width="13.88671875" style="549" bestFit="1" customWidth="1"/>
    <col min="15113" max="15113" width="11.88671875" style="549" bestFit="1" customWidth="1"/>
    <col min="15114" max="15114" width="12.88671875" style="549" bestFit="1" customWidth="1"/>
    <col min="15115" max="15116" width="11.6640625" style="549" bestFit="1" customWidth="1"/>
    <col min="15117" max="15117" width="12.5546875" style="549" bestFit="1" customWidth="1"/>
    <col min="15118" max="15361" width="9.109375" style="549"/>
    <col min="15362" max="15362" width="16.33203125" style="549" bestFit="1" customWidth="1"/>
    <col min="15363" max="15363" width="8.88671875" style="549" bestFit="1" customWidth="1"/>
    <col min="15364" max="15364" width="5" style="549" bestFit="1" customWidth="1"/>
    <col min="15365" max="15365" width="11.5546875" style="549" bestFit="1" customWidth="1"/>
    <col min="15366" max="15366" width="11.88671875" style="549" bestFit="1" customWidth="1"/>
    <col min="15367" max="15367" width="12.88671875" style="549" bestFit="1" customWidth="1"/>
    <col min="15368" max="15368" width="13.88671875" style="549" bestFit="1" customWidth="1"/>
    <col min="15369" max="15369" width="11.88671875" style="549" bestFit="1" customWidth="1"/>
    <col min="15370" max="15370" width="12.88671875" style="549" bestFit="1" customWidth="1"/>
    <col min="15371" max="15372" width="11.6640625" style="549" bestFit="1" customWidth="1"/>
    <col min="15373" max="15373" width="12.5546875" style="549" bestFit="1" customWidth="1"/>
    <col min="15374" max="15617" width="9.109375" style="549"/>
    <col min="15618" max="15618" width="16.33203125" style="549" bestFit="1" customWidth="1"/>
    <col min="15619" max="15619" width="8.88671875" style="549" bestFit="1" customWidth="1"/>
    <col min="15620" max="15620" width="5" style="549" bestFit="1" customWidth="1"/>
    <col min="15621" max="15621" width="11.5546875" style="549" bestFit="1" customWidth="1"/>
    <col min="15622" max="15622" width="11.88671875" style="549" bestFit="1" customWidth="1"/>
    <col min="15623" max="15623" width="12.88671875" style="549" bestFit="1" customWidth="1"/>
    <col min="15624" max="15624" width="13.88671875" style="549" bestFit="1" customWidth="1"/>
    <col min="15625" max="15625" width="11.88671875" style="549" bestFit="1" customWidth="1"/>
    <col min="15626" max="15626" width="12.88671875" style="549" bestFit="1" customWidth="1"/>
    <col min="15627" max="15628" width="11.6640625" style="549" bestFit="1" customWidth="1"/>
    <col min="15629" max="15629" width="12.5546875" style="549" bestFit="1" customWidth="1"/>
    <col min="15630" max="15873" width="9.109375" style="549"/>
    <col min="15874" max="15874" width="16.33203125" style="549" bestFit="1" customWidth="1"/>
    <col min="15875" max="15875" width="8.88671875" style="549" bestFit="1" customWidth="1"/>
    <col min="15876" max="15876" width="5" style="549" bestFit="1" customWidth="1"/>
    <col min="15877" max="15877" width="11.5546875" style="549" bestFit="1" customWidth="1"/>
    <col min="15878" max="15878" width="11.88671875" style="549" bestFit="1" customWidth="1"/>
    <col min="15879" max="15879" width="12.88671875" style="549" bestFit="1" customWidth="1"/>
    <col min="15880" max="15880" width="13.88671875" style="549" bestFit="1" customWidth="1"/>
    <col min="15881" max="15881" width="11.88671875" style="549" bestFit="1" customWidth="1"/>
    <col min="15882" max="15882" width="12.88671875" style="549" bestFit="1" customWidth="1"/>
    <col min="15883" max="15884" width="11.6640625" style="549" bestFit="1" customWidth="1"/>
    <col min="15885" max="15885" width="12.5546875" style="549" bestFit="1" customWidth="1"/>
    <col min="15886" max="16129" width="9.109375" style="549"/>
    <col min="16130" max="16130" width="16.33203125" style="549" bestFit="1" customWidth="1"/>
    <col min="16131" max="16131" width="8.88671875" style="549" bestFit="1" customWidth="1"/>
    <col min="16132" max="16132" width="5" style="549" bestFit="1" customWidth="1"/>
    <col min="16133" max="16133" width="11.5546875" style="549" bestFit="1" customWidth="1"/>
    <col min="16134" max="16134" width="11.88671875" style="549" bestFit="1" customWidth="1"/>
    <col min="16135" max="16135" width="12.88671875" style="549" bestFit="1" customWidth="1"/>
    <col min="16136" max="16136" width="13.88671875" style="549" bestFit="1" customWidth="1"/>
    <col min="16137" max="16137" width="11.88671875" style="549" bestFit="1" customWidth="1"/>
    <col min="16138" max="16138" width="12.88671875" style="549" bestFit="1" customWidth="1"/>
    <col min="16139" max="16140" width="11.6640625" style="549" bestFit="1" customWidth="1"/>
    <col min="16141" max="16141" width="12.5546875" style="549" bestFit="1" customWidth="1"/>
    <col min="16142" max="16384" width="9.109375" style="549"/>
  </cols>
  <sheetData>
    <row r="3" spans="1:13" ht="13.5" customHeight="1">
      <c r="A3" s="852" t="s">
        <v>1360</v>
      </c>
      <c r="B3" s="1500" t="s">
        <v>1408</v>
      </c>
      <c r="C3" s="1500" t="s">
        <v>1409</v>
      </c>
      <c r="D3" s="1500" t="s">
        <v>28</v>
      </c>
      <c r="E3" s="1500" t="s">
        <v>1410</v>
      </c>
      <c r="F3" s="1500" t="s">
        <v>1411</v>
      </c>
      <c r="G3" s="1500" t="s">
        <v>1412</v>
      </c>
      <c r="H3" s="1500" t="s">
        <v>1413</v>
      </c>
      <c r="I3" s="1500" t="s">
        <v>1414</v>
      </c>
      <c r="J3" s="1500" t="s">
        <v>1415</v>
      </c>
      <c r="K3" s="1500" t="s">
        <v>1416</v>
      </c>
      <c r="L3" s="1500" t="s">
        <v>1417</v>
      </c>
      <c r="M3" s="1500" t="s">
        <v>1418</v>
      </c>
    </row>
    <row r="4" spans="1:13" ht="13.5" customHeight="1">
      <c r="A4" s="549" t="s">
        <v>1376</v>
      </c>
      <c r="B4" s="1501" t="s">
        <v>1419</v>
      </c>
      <c r="C4" s="1501" t="s">
        <v>1420</v>
      </c>
      <c r="D4" s="1502">
        <v>2010</v>
      </c>
      <c r="E4" s="1503">
        <v>881303.08623213659</v>
      </c>
      <c r="F4" s="1504">
        <v>488.99755501222495</v>
      </c>
      <c r="G4" s="1504">
        <v>1544.9939841353532</v>
      </c>
      <c r="H4" s="1504">
        <v>62.443506858803858</v>
      </c>
      <c r="I4" s="1504">
        <v>1.9312424801691914</v>
      </c>
      <c r="J4" s="1504">
        <v>205.99919788471371</v>
      </c>
      <c r="K4" s="1502">
        <v>78</v>
      </c>
      <c r="L4" s="1504">
        <v>4.8899755501222497</v>
      </c>
      <c r="M4" s="1504">
        <v>43.323165542578003</v>
      </c>
    </row>
    <row r="5" spans="1:13" ht="13.5" customHeight="1">
      <c r="A5" s="549" t="s">
        <v>1376</v>
      </c>
      <c r="B5" s="1501" t="s">
        <v>1419</v>
      </c>
      <c r="C5" s="1501" t="s">
        <v>1420</v>
      </c>
      <c r="D5" s="1502">
        <v>2020</v>
      </c>
      <c r="E5" s="1503">
        <v>881303.08623213659</v>
      </c>
      <c r="F5" s="1504">
        <v>48.899755501222501</v>
      </c>
      <c r="G5" s="1504">
        <v>1544.9939841353532</v>
      </c>
      <c r="H5" s="1504">
        <v>62.443506858803858</v>
      </c>
      <c r="I5" s="1504">
        <v>1.9312424801691914</v>
      </c>
      <c r="J5" s="1504">
        <v>205.99919788471371</v>
      </c>
      <c r="K5" s="1502">
        <v>78</v>
      </c>
      <c r="L5" s="1504">
        <v>4.8899755501222497</v>
      </c>
      <c r="M5" s="1504">
        <v>22.157753777933532</v>
      </c>
    </row>
    <row r="6" spans="1:13" ht="13.5" customHeight="1">
      <c r="A6" s="549" t="s">
        <v>1376</v>
      </c>
      <c r="B6" s="1501" t="s">
        <v>1419</v>
      </c>
      <c r="C6" s="1501" t="s">
        <v>1420</v>
      </c>
      <c r="D6" s="1502">
        <v>2030</v>
      </c>
      <c r="E6" s="1503">
        <v>881303.08623213659</v>
      </c>
      <c r="F6" s="1504">
        <v>48.899755501222501</v>
      </c>
      <c r="G6" s="1504">
        <v>1544.9939841353532</v>
      </c>
      <c r="H6" s="1504">
        <v>62.443506858803858</v>
      </c>
      <c r="I6" s="1504">
        <v>1.9312424801691914</v>
      </c>
      <c r="J6" s="1504">
        <v>205.99919788471371</v>
      </c>
      <c r="K6" s="1502">
        <v>78</v>
      </c>
      <c r="L6" s="1504">
        <v>4.8899755501222497</v>
      </c>
      <c r="M6" s="1504">
        <v>22.157753777933532</v>
      </c>
    </row>
    <row r="7" spans="1:13" ht="13.5" customHeight="1">
      <c r="A7" s="549" t="s">
        <v>1376</v>
      </c>
      <c r="B7" s="1501" t="s">
        <v>1419</v>
      </c>
      <c r="C7" s="1501" t="s">
        <v>1421</v>
      </c>
      <c r="D7" s="1502">
        <v>2010</v>
      </c>
      <c r="E7" s="1503">
        <v>3033936.1110526831</v>
      </c>
      <c r="F7" s="1504">
        <v>46.838407494145187</v>
      </c>
      <c r="G7" s="1504">
        <v>763.50782733290771</v>
      </c>
      <c r="H7" s="1504">
        <v>50.672299199824437</v>
      </c>
      <c r="I7" s="1504">
        <v>1.4159961116087596</v>
      </c>
      <c r="J7" s="1504">
        <v>44.837585347921809</v>
      </c>
      <c r="K7" s="1502">
        <v>74</v>
      </c>
      <c r="L7" s="1504">
        <v>4.6838407494145198</v>
      </c>
      <c r="M7" s="1504">
        <v>21.223703267388323</v>
      </c>
    </row>
    <row r="8" spans="1:13" ht="13.5" customHeight="1">
      <c r="A8" s="549" t="s">
        <v>1376</v>
      </c>
      <c r="B8" s="1501" t="s">
        <v>1419</v>
      </c>
      <c r="C8" s="1501" t="s">
        <v>1421</v>
      </c>
      <c r="D8" s="1502">
        <v>2020</v>
      </c>
      <c r="E8" s="1503">
        <v>3018413.883503099</v>
      </c>
      <c r="F8" s="1504">
        <v>46.83840749414518</v>
      </c>
      <c r="G8" s="1504">
        <v>763.09852811817711</v>
      </c>
      <c r="H8" s="1504">
        <v>50.932882071821915</v>
      </c>
      <c r="I8" s="1504">
        <v>1.4232778876348522</v>
      </c>
      <c r="J8" s="1504">
        <v>45.068163137915477</v>
      </c>
      <c r="K8" s="1502">
        <v>74</v>
      </c>
      <c r="L8" s="1504">
        <v>4.6838407494145189</v>
      </c>
      <c r="M8" s="1504">
        <v>21.223703267388316</v>
      </c>
    </row>
    <row r="9" spans="1:13" ht="13.5" customHeight="1">
      <c r="A9" s="549" t="s">
        <v>1376</v>
      </c>
      <c r="B9" s="1501" t="s">
        <v>1419</v>
      </c>
      <c r="C9" s="1501" t="s">
        <v>1421</v>
      </c>
      <c r="D9" s="1502">
        <v>2030</v>
      </c>
      <c r="E9" s="1503">
        <v>2839593.1704970482</v>
      </c>
      <c r="F9" s="1504">
        <v>46.838407494145187</v>
      </c>
      <c r="G9" s="1504">
        <v>399.39384904263659</v>
      </c>
      <c r="H9" s="1504">
        <v>48.917341720316138</v>
      </c>
      <c r="I9" s="1504">
        <v>1.5129074758860661</v>
      </c>
      <c r="J9" s="1504">
        <v>117.20094144251848</v>
      </c>
      <c r="K9" s="1502">
        <v>74</v>
      </c>
      <c r="L9" s="1504">
        <v>4.683840749414518</v>
      </c>
      <c r="M9" s="1504">
        <v>21.223703267388313</v>
      </c>
    </row>
    <row r="10" spans="1:13" ht="13.5" customHeight="1">
      <c r="A10" s="549" t="s">
        <v>1376</v>
      </c>
      <c r="B10" s="1501" t="s">
        <v>1422</v>
      </c>
      <c r="C10" s="1501" t="s">
        <v>1421</v>
      </c>
      <c r="D10" s="1502">
        <v>2010</v>
      </c>
      <c r="E10" s="1503">
        <v>6258451.0957039818</v>
      </c>
      <c r="F10" s="1504">
        <v>46.838407494145201</v>
      </c>
      <c r="G10" s="1504">
        <v>1373.1395378483612</v>
      </c>
      <c r="H10" s="1504">
        <v>57.399269293634831</v>
      </c>
      <c r="I10" s="1504">
        <v>1.7752351327928297</v>
      </c>
      <c r="J10" s="1504">
        <v>189.35841416456853</v>
      </c>
      <c r="K10" s="1502">
        <v>74</v>
      </c>
      <c r="L10" s="1504">
        <v>4.6838407494145207</v>
      </c>
      <c r="M10" s="1504">
        <v>21.223703267388323</v>
      </c>
    </row>
    <row r="11" spans="1:13" ht="13.5" customHeight="1">
      <c r="A11" s="549" t="s">
        <v>1376</v>
      </c>
      <c r="B11" s="1501" t="s">
        <v>1422</v>
      </c>
      <c r="C11" s="1501" t="s">
        <v>1421</v>
      </c>
      <c r="D11" s="1502">
        <v>2020</v>
      </c>
      <c r="E11" s="1503">
        <v>6772386.3231162373</v>
      </c>
      <c r="F11" s="1504">
        <v>46.838407494145208</v>
      </c>
      <c r="G11" s="1504">
        <v>872.6604405488913</v>
      </c>
      <c r="H11" s="1504">
        <v>58.31489060164791</v>
      </c>
      <c r="I11" s="1504">
        <v>1.8035533175767393</v>
      </c>
      <c r="J11" s="1504">
        <v>192.37902054151888</v>
      </c>
      <c r="K11" s="1502">
        <v>74</v>
      </c>
      <c r="L11" s="1504">
        <v>4.6838407494145198</v>
      </c>
      <c r="M11" s="1504">
        <v>21.223703267388323</v>
      </c>
    </row>
    <row r="12" spans="1:13" ht="13.5" customHeight="1">
      <c r="A12" s="549" t="s">
        <v>1376</v>
      </c>
      <c r="B12" s="1501" t="s">
        <v>1422</v>
      </c>
      <c r="C12" s="1501" t="s">
        <v>1421</v>
      </c>
      <c r="D12" s="1502">
        <v>2030</v>
      </c>
      <c r="E12" s="1503">
        <v>8102131.7414020989</v>
      </c>
      <c r="F12" s="1504">
        <v>46.838407494145187</v>
      </c>
      <c r="G12" s="1504">
        <v>380.44327550338522</v>
      </c>
      <c r="H12" s="1504">
        <v>58.314890601647903</v>
      </c>
      <c r="I12" s="1504">
        <v>1.8035533175767393</v>
      </c>
      <c r="J12" s="1504">
        <v>192.37902054151888</v>
      </c>
      <c r="K12" s="1502">
        <v>74</v>
      </c>
      <c r="L12" s="1504">
        <v>4.6838407494145198</v>
      </c>
      <c r="M12" s="1504">
        <v>21.223703267388323</v>
      </c>
    </row>
    <row r="13" spans="1:13" ht="13.5" customHeight="1">
      <c r="A13" s="549" t="s">
        <v>1376</v>
      </c>
      <c r="B13" s="1501" t="s">
        <v>1423</v>
      </c>
      <c r="C13" s="1501" t="s">
        <v>1420</v>
      </c>
      <c r="D13" s="1502">
        <v>2010</v>
      </c>
      <c r="E13" s="1502">
        <v>360000</v>
      </c>
      <c r="F13" s="1504">
        <v>488.99755501222495</v>
      </c>
      <c r="G13" s="1504">
        <v>2114.3909535161811</v>
      </c>
      <c r="H13" s="1504">
        <v>62.583106940182532</v>
      </c>
      <c r="I13" s="1504">
        <v>1.9355600084592535</v>
      </c>
      <c r="J13" s="1504">
        <v>206.4597342356538</v>
      </c>
      <c r="K13" s="1502">
        <v>78</v>
      </c>
      <c r="L13" s="1504">
        <v>4.8899755501222506</v>
      </c>
      <c r="M13" s="1504">
        <v>43.323165542577996</v>
      </c>
    </row>
    <row r="14" spans="1:13" ht="13.5" customHeight="1">
      <c r="A14" s="549" t="s">
        <v>1376</v>
      </c>
      <c r="B14" s="1501" t="s">
        <v>1423</v>
      </c>
      <c r="C14" s="1501" t="s">
        <v>1420</v>
      </c>
      <c r="D14" s="1502">
        <v>2020</v>
      </c>
      <c r="E14" s="1502">
        <v>360000</v>
      </c>
      <c r="F14" s="1504">
        <v>48.899755501222501</v>
      </c>
      <c r="G14" s="1504">
        <v>1841.6905186345921</v>
      </c>
      <c r="H14" s="1504">
        <v>66.430426091551169</v>
      </c>
      <c r="I14" s="1504">
        <v>2.0545492605634381</v>
      </c>
      <c r="J14" s="1504">
        <v>219.15192112676684</v>
      </c>
      <c r="K14" s="1502">
        <v>78</v>
      </c>
      <c r="L14" s="1504">
        <v>4.8899755501222506</v>
      </c>
      <c r="M14" s="1504">
        <v>22.157753777933529</v>
      </c>
    </row>
    <row r="15" spans="1:13" ht="13.5" customHeight="1">
      <c r="A15" s="549" t="s">
        <v>1376</v>
      </c>
      <c r="B15" s="1501" t="s">
        <v>1423</v>
      </c>
      <c r="C15" s="1501" t="s">
        <v>1420</v>
      </c>
      <c r="D15" s="1502">
        <v>2030</v>
      </c>
      <c r="E15" s="1502">
        <v>360000</v>
      </c>
      <c r="F15" s="1504">
        <v>48.899755501222501</v>
      </c>
      <c r="G15" s="1504">
        <v>1209.2371855827112</v>
      </c>
      <c r="H15" s="1504">
        <v>67.955954948307749</v>
      </c>
      <c r="I15" s="1504">
        <v>2.1017305654115797</v>
      </c>
      <c r="J15" s="1504">
        <v>224.18459364390191</v>
      </c>
      <c r="K15" s="1502">
        <v>78</v>
      </c>
      <c r="L15" s="1504">
        <v>4.8899755501222506</v>
      </c>
      <c r="M15" s="1504">
        <v>22.157753777933529</v>
      </c>
    </row>
    <row r="16" spans="1:13" ht="13.5" customHeight="1">
      <c r="A16" s="549" t="s">
        <v>1376</v>
      </c>
      <c r="B16" s="1501" t="s">
        <v>1423</v>
      </c>
      <c r="C16" s="1501" t="s">
        <v>1421</v>
      </c>
      <c r="D16" s="1502">
        <v>2010</v>
      </c>
      <c r="E16" s="1502">
        <v>390000</v>
      </c>
      <c r="F16" s="1504">
        <v>46.838407494145208</v>
      </c>
      <c r="G16" s="1504">
        <v>1576.9540522622719</v>
      </c>
      <c r="H16" s="1504">
        <v>56.945512018879747</v>
      </c>
      <c r="I16" s="1504">
        <v>1.7612014026457654</v>
      </c>
      <c r="J16" s="1504">
        <v>187.86148294888176</v>
      </c>
      <c r="K16" s="1502">
        <v>74</v>
      </c>
      <c r="L16" s="1504">
        <v>4.6838407494145198</v>
      </c>
      <c r="M16" s="1504">
        <v>21.22370326738832</v>
      </c>
    </row>
    <row r="17" spans="1:13" ht="13.5" customHeight="1">
      <c r="A17" s="549" t="s">
        <v>1376</v>
      </c>
      <c r="B17" s="1501" t="s">
        <v>1423</v>
      </c>
      <c r="C17" s="1501" t="s">
        <v>1421</v>
      </c>
      <c r="D17" s="1502">
        <v>2020</v>
      </c>
      <c r="E17" s="1502">
        <v>390000</v>
      </c>
      <c r="F17" s="1504">
        <v>46.838407494145208</v>
      </c>
      <c r="G17" s="1504">
        <v>1402.4856581824845</v>
      </c>
      <c r="H17" s="1504">
        <v>60.26167068325622</v>
      </c>
      <c r="I17" s="1504">
        <v>1.8637630108223573</v>
      </c>
      <c r="J17" s="1504">
        <v>198.80138782105155</v>
      </c>
      <c r="K17" s="1502">
        <v>74</v>
      </c>
      <c r="L17" s="1504">
        <v>4.6838407494145198</v>
      </c>
      <c r="M17" s="1504">
        <v>21.22370326738832</v>
      </c>
    </row>
    <row r="18" spans="1:13" ht="13.5" customHeight="1">
      <c r="A18" s="549" t="s">
        <v>1376</v>
      </c>
      <c r="B18" s="1501" t="s">
        <v>1423</v>
      </c>
      <c r="C18" s="1501" t="s">
        <v>1421</v>
      </c>
      <c r="D18" s="1502">
        <v>2030</v>
      </c>
      <c r="E18" s="1502">
        <v>390000</v>
      </c>
      <c r="F18" s="1504">
        <v>46.838407494145208</v>
      </c>
      <c r="G18" s="1504">
        <v>938.56734047344298</v>
      </c>
      <c r="H18" s="1504">
        <v>61.571021856094291</v>
      </c>
      <c r="I18" s="1504">
        <v>1.9042584079204421</v>
      </c>
      <c r="J18" s="1504">
        <v>203.12089684484721</v>
      </c>
      <c r="K18" s="1502">
        <v>74</v>
      </c>
      <c r="L18" s="1504">
        <v>4.6838407494145198</v>
      </c>
      <c r="M18" s="1504">
        <v>21.22370326738832</v>
      </c>
    </row>
    <row r="19" spans="1:13" ht="13.5" customHeight="1">
      <c r="A19" s="549" t="s">
        <v>1376</v>
      </c>
      <c r="B19" s="1505" t="s">
        <v>1424</v>
      </c>
      <c r="D19" s="1502">
        <v>2010</v>
      </c>
      <c r="F19" s="1386">
        <v>0.46838407494145234</v>
      </c>
      <c r="G19" s="1386">
        <v>798.14040184111514</v>
      </c>
      <c r="H19" s="1386">
        <v>51.08659221062176</v>
      </c>
      <c r="I19" s="1386">
        <v>1.9628285688400839</v>
      </c>
      <c r="J19" s="1386">
        <v>131.94460754755792</v>
      </c>
      <c r="K19" s="549">
        <v>74</v>
      </c>
      <c r="L19" s="1386">
        <v>2.04</v>
      </c>
      <c r="M19" s="1386">
        <v>24.692830572834254</v>
      </c>
    </row>
    <row r="20" spans="1:13" ht="13.5" customHeight="1">
      <c r="A20" s="549" t="s">
        <v>1376</v>
      </c>
      <c r="B20" s="1505" t="s">
        <v>1424</v>
      </c>
      <c r="D20" s="1502">
        <v>2020</v>
      </c>
      <c r="F20" s="1386">
        <v>0.46838407494145196</v>
      </c>
      <c r="G20" s="1386">
        <v>411.41501253398201</v>
      </c>
      <c r="H20" s="1386">
        <v>3.0416415935453878</v>
      </c>
      <c r="I20" s="1386">
        <v>0.11686473412375831</v>
      </c>
      <c r="J20" s="1386">
        <v>4.8050919203388185</v>
      </c>
      <c r="K20" s="549">
        <v>74</v>
      </c>
      <c r="L20" s="1386">
        <v>2.04</v>
      </c>
      <c r="M20" s="1386">
        <v>0.32565030960718155</v>
      </c>
    </row>
    <row r="21" spans="1:13" ht="13.5" customHeight="1">
      <c r="A21" s="549" t="s">
        <v>1376</v>
      </c>
      <c r="B21" s="1505" t="s">
        <v>1424</v>
      </c>
      <c r="D21" s="1502">
        <v>2030</v>
      </c>
      <c r="F21" s="1386">
        <v>0.46838407494145196</v>
      </c>
      <c r="G21" s="1386">
        <v>411.41501253398201</v>
      </c>
      <c r="H21" s="1386">
        <v>3.0416415935453878</v>
      </c>
      <c r="I21" s="1386">
        <v>0.11686473412375831</v>
      </c>
      <c r="J21" s="1386">
        <v>4.8050919203388185</v>
      </c>
      <c r="K21" s="549">
        <v>74</v>
      </c>
      <c r="L21" s="1386">
        <v>2.04</v>
      </c>
      <c r="M21" s="1386">
        <v>0.32565030960718155</v>
      </c>
    </row>
    <row r="22" spans="1:13" ht="13.5" customHeight="1">
      <c r="A22" s="549" t="s">
        <v>1376</v>
      </c>
      <c r="B22" s="1505" t="s">
        <v>1425</v>
      </c>
      <c r="D22" s="1502">
        <v>2010</v>
      </c>
      <c r="F22" s="1506">
        <v>2.3419203747072559</v>
      </c>
      <c r="G22" s="1506">
        <v>583.97559708196741</v>
      </c>
      <c r="H22" s="1506">
        <v>55.838279568244282</v>
      </c>
      <c r="I22" s="1506">
        <v>0.9079395051747049</v>
      </c>
      <c r="J22" s="1506">
        <v>333.80710250993172</v>
      </c>
      <c r="K22" s="1507">
        <v>73.999999999999886</v>
      </c>
      <c r="L22" s="1506">
        <v>3.1752858846977228</v>
      </c>
      <c r="M22" s="1506">
        <v>44.335282460518499</v>
      </c>
    </row>
    <row r="23" spans="1:13" ht="13.5" customHeight="1">
      <c r="A23" s="549" t="s">
        <v>1376</v>
      </c>
      <c r="B23" s="1505" t="s">
        <v>1425</v>
      </c>
      <c r="D23" s="1502">
        <v>2020</v>
      </c>
      <c r="F23" s="1506">
        <v>0.46838407494145157</v>
      </c>
      <c r="G23" s="1506">
        <v>235.19088464460677</v>
      </c>
      <c r="H23" s="1506">
        <v>25.051124657790385</v>
      </c>
      <c r="I23" s="1506">
        <v>0.40733536028927481</v>
      </c>
      <c r="J23" s="1506">
        <v>198.58547727848659</v>
      </c>
      <c r="K23" s="1507">
        <v>74.000000000000156</v>
      </c>
      <c r="L23" s="1506">
        <v>3.2341722353675051</v>
      </c>
      <c r="M23" s="1506">
        <v>12.075374984000691</v>
      </c>
    </row>
    <row r="24" spans="1:13" ht="13.5" customHeight="1">
      <c r="A24" s="549" t="s">
        <v>1376</v>
      </c>
      <c r="B24" s="1505" t="s">
        <v>1425</v>
      </c>
      <c r="D24" s="1502">
        <v>2030</v>
      </c>
      <c r="F24" s="1506">
        <v>0.46838407494145012</v>
      </c>
      <c r="G24" s="1506">
        <v>85.348747728184122</v>
      </c>
      <c r="H24" s="1506">
        <v>17.208026532618092</v>
      </c>
      <c r="I24" s="1506">
        <v>0.27980530947346505</v>
      </c>
      <c r="J24" s="1506">
        <v>157.78019327331143</v>
      </c>
      <c r="K24" s="1507">
        <v>74.000000000000071</v>
      </c>
      <c r="L24" s="1506">
        <v>3.2444891545946848</v>
      </c>
      <c r="M24" s="1506">
        <v>4.7823532692045587</v>
      </c>
    </row>
    <row r="25" spans="1:13" ht="13.5" customHeight="1">
      <c r="A25" s="549" t="s">
        <v>1376</v>
      </c>
      <c r="B25" s="1508" t="s">
        <v>1426</v>
      </c>
      <c r="D25" s="1502">
        <v>2010</v>
      </c>
      <c r="F25" s="1386">
        <v>22.988505747126435</v>
      </c>
      <c r="G25" s="1386">
        <v>311.9413625110904</v>
      </c>
      <c r="H25" s="1386">
        <v>17.181847820889455</v>
      </c>
      <c r="I25" s="1386">
        <v>1.8246210075280838</v>
      </c>
      <c r="J25" s="1386">
        <v>56.06146600965802</v>
      </c>
      <c r="K25" s="1386">
        <v>72</v>
      </c>
      <c r="L25" s="1386">
        <v>2.4683712065756485</v>
      </c>
      <c r="M25" s="1386">
        <v>1.1599999999999999</v>
      </c>
    </row>
    <row r="26" spans="1:13" ht="13.5" customHeight="1">
      <c r="A26" s="549" t="s">
        <v>1376</v>
      </c>
      <c r="B26" s="1508" t="s">
        <v>1426</v>
      </c>
      <c r="D26" s="1502">
        <v>2020</v>
      </c>
      <c r="F26" s="1386">
        <v>22.988505747126435</v>
      </c>
      <c r="G26" s="1386">
        <v>311.9413625110904</v>
      </c>
      <c r="H26" s="1386">
        <v>17.181847820889455</v>
      </c>
      <c r="I26" s="1386">
        <v>1.8246210075280838</v>
      </c>
      <c r="J26" s="1386">
        <v>56.06146600965802</v>
      </c>
      <c r="K26" s="1386">
        <v>72</v>
      </c>
      <c r="L26" s="1386">
        <v>2.4683712065756485</v>
      </c>
      <c r="M26" s="1386">
        <v>1.1599999999999999</v>
      </c>
    </row>
    <row r="27" spans="1:13" ht="13.5" customHeight="1">
      <c r="A27" s="549" t="s">
        <v>1376</v>
      </c>
      <c r="B27" s="1508" t="s">
        <v>1426</v>
      </c>
      <c r="D27" s="1502">
        <v>2030</v>
      </c>
      <c r="F27" s="1386">
        <v>22.988505747126435</v>
      </c>
      <c r="G27" s="1386">
        <v>311.9413625110904</v>
      </c>
      <c r="H27" s="1386">
        <v>17.181847820889455</v>
      </c>
      <c r="I27" s="1386">
        <v>1.8246210075280838</v>
      </c>
      <c r="J27" s="1386">
        <v>56.06146600965802</v>
      </c>
      <c r="K27" s="1386">
        <v>72</v>
      </c>
      <c r="L27" s="1386">
        <v>2.4683712065756485</v>
      </c>
      <c r="M27" s="1386">
        <v>1.1599999999999999</v>
      </c>
    </row>
    <row r="28" spans="1:13" ht="13.5" customHeight="1">
      <c r="B28" s="1508"/>
      <c r="D28" s="1509"/>
      <c r="F28" s="1386"/>
      <c r="G28" s="1386"/>
      <c r="H28" s="1386"/>
      <c r="I28" s="1386"/>
      <c r="J28" s="1386"/>
      <c r="K28" s="1386"/>
      <c r="L28" s="1386"/>
      <c r="M28" s="1386"/>
    </row>
    <row r="29" spans="1:13" ht="13.5" customHeight="1">
      <c r="A29" s="1467"/>
      <c r="B29" s="1467"/>
      <c r="C29" s="1467"/>
      <c r="D29" s="1467"/>
      <c r="E29" s="1467"/>
      <c r="F29" s="1485" t="s">
        <v>23</v>
      </c>
      <c r="G29" s="1485" t="s">
        <v>37</v>
      </c>
      <c r="H29" s="1485" t="s">
        <v>1427</v>
      </c>
      <c r="I29" s="1485" t="s">
        <v>21</v>
      </c>
      <c r="J29" s="1485" t="s">
        <v>189</v>
      </c>
      <c r="K29" s="1485" t="s">
        <v>20</v>
      </c>
      <c r="L29" s="1485" t="s">
        <v>22</v>
      </c>
      <c r="M29" s="1485" t="s">
        <v>286</v>
      </c>
    </row>
    <row r="30" spans="1:13" ht="13.5" customHeight="1">
      <c r="A30" s="1467" t="s">
        <v>1407</v>
      </c>
      <c r="B30" s="1467"/>
      <c r="C30" s="1467"/>
      <c r="D30" s="1467"/>
      <c r="E30" s="1467"/>
      <c r="F30" s="1485" t="s">
        <v>173</v>
      </c>
      <c r="G30" s="1485" t="s">
        <v>173</v>
      </c>
      <c r="H30" s="1485" t="s">
        <v>173</v>
      </c>
      <c r="I30" s="1485" t="s">
        <v>173</v>
      </c>
      <c r="J30" s="1485" t="s">
        <v>173</v>
      </c>
      <c r="K30" s="1485" t="s">
        <v>1387</v>
      </c>
      <c r="L30" s="1485" t="s">
        <v>173</v>
      </c>
      <c r="M30" s="1485" t="s">
        <v>173</v>
      </c>
    </row>
    <row r="31" spans="1:13" ht="13.5" customHeight="1">
      <c r="A31" s="1510">
        <f>+'Input B%'!$B$5</f>
        <v>0</v>
      </c>
      <c r="B31" s="1511" t="s">
        <v>1419</v>
      </c>
      <c r="C31" s="1511" t="s">
        <v>1420</v>
      </c>
      <c r="D31" s="1512">
        <v>2010</v>
      </c>
      <c r="E31" s="1467"/>
      <c r="F31" s="1491">
        <f>+F4*(100-'Input B%'!$B$5)/100</f>
        <v>488.99755501222501</v>
      </c>
      <c r="G31" s="1493">
        <f>+Road!H$161/Road!H$37*Other!G4</f>
        <v>1544.9939841353528</v>
      </c>
      <c r="H31" s="1493">
        <f>+Road!I$161/Road!I$37*Other!H4</f>
        <v>62.443506858803829</v>
      </c>
      <c r="I31" s="1493">
        <f>+Road!I$161/Road!I$37*Other!I4</f>
        <v>1.9312424801691905</v>
      </c>
      <c r="J31" s="1493">
        <f>+Road!K$161/Road!K$37*Other!J4</f>
        <v>205.99919788471365</v>
      </c>
      <c r="K31" s="1493">
        <f>(100-'Input B%'!$B$5)*78/100</f>
        <v>78</v>
      </c>
      <c r="L31" s="1493">
        <f>+Road!M$161/Road!M$37*Other!L4</f>
        <v>4.8899755501222479</v>
      </c>
      <c r="M31" s="1493">
        <f>+Road!N$161/Road!N$37*Other!M4</f>
        <v>43.323165542577982</v>
      </c>
    </row>
    <row r="32" spans="1:13" ht="13.5" customHeight="1">
      <c r="A32" s="1510">
        <f>+'Input B%'!$B$5</f>
        <v>0</v>
      </c>
      <c r="B32" s="1511" t="s">
        <v>1419</v>
      </c>
      <c r="C32" s="1511" t="s">
        <v>1420</v>
      </c>
      <c r="D32" s="1512">
        <v>2020</v>
      </c>
      <c r="E32" s="1467"/>
      <c r="F32" s="1491">
        <f>+F5*(100-'Input B%'!$B$5)/100</f>
        <v>48.899755501222501</v>
      </c>
      <c r="G32" s="1493">
        <f>+Road!H$161/Road!H$37*Other!G5</f>
        <v>1544.9939841353528</v>
      </c>
      <c r="H32" s="1493">
        <f>+Road!I$161/Road!I$37*Other!H5</f>
        <v>62.443506858803829</v>
      </c>
      <c r="I32" s="1493">
        <f>+Road!I$161/Road!I$37*Other!I5</f>
        <v>1.9312424801691905</v>
      </c>
      <c r="J32" s="1493">
        <f>+Road!K$161/Road!K$37*Other!J5</f>
        <v>205.99919788471365</v>
      </c>
      <c r="K32" s="1493">
        <f>(100-'Input B%'!$B$5)*78/100</f>
        <v>78</v>
      </c>
      <c r="L32" s="1493">
        <f>+Road!M$161/Road!M$37*Other!L5</f>
        <v>4.8899755501222479</v>
      </c>
      <c r="M32" s="1493">
        <f>+Road!N$161/Road!N$37*Other!M5</f>
        <v>22.157753777933522</v>
      </c>
    </row>
    <row r="33" spans="1:13" ht="13.5" customHeight="1">
      <c r="A33" s="1510">
        <f>+'Input B%'!$B$5</f>
        <v>0</v>
      </c>
      <c r="B33" s="1511" t="s">
        <v>1419</v>
      </c>
      <c r="C33" s="1511" t="s">
        <v>1420</v>
      </c>
      <c r="D33" s="1512">
        <v>2030</v>
      </c>
      <c r="E33" s="1467"/>
      <c r="F33" s="1491">
        <f>+F6*(100-'Input B%'!$B$5)/100</f>
        <v>48.899755501222501</v>
      </c>
      <c r="G33" s="1493">
        <f>+Road!H$161/Road!H$37*Other!G6</f>
        <v>1544.9939841353528</v>
      </c>
      <c r="H33" s="1493">
        <f>+Road!I$161/Road!I$37*Other!H6</f>
        <v>62.443506858803829</v>
      </c>
      <c r="I33" s="1493">
        <f>+Road!I$161/Road!I$37*Other!I6</f>
        <v>1.9312424801691905</v>
      </c>
      <c r="J33" s="1493">
        <f>+Road!K$161/Road!K$37*Other!J6</f>
        <v>205.99919788471365</v>
      </c>
      <c r="K33" s="1493">
        <f>(100-'Input B%'!$B$5)*78/100</f>
        <v>78</v>
      </c>
      <c r="L33" s="1493">
        <f>+Road!M$161/Road!M$37*Other!L6</f>
        <v>4.8899755501222479</v>
      </c>
      <c r="M33" s="1493">
        <f>+Road!N$161/Road!N$37*Other!M6</f>
        <v>22.157753777933522</v>
      </c>
    </row>
    <row r="34" spans="1:13" ht="13.5" customHeight="1">
      <c r="A34" s="1510">
        <f>+'Input B%'!$B$5</f>
        <v>0</v>
      </c>
      <c r="B34" s="1511" t="s">
        <v>1419</v>
      </c>
      <c r="C34" s="1511" t="s">
        <v>1421</v>
      </c>
      <c r="D34" s="1512">
        <v>2010</v>
      </c>
      <c r="E34" s="1467"/>
      <c r="F34" s="1491">
        <f>+F7*(100-'Input B%'!$B$5)/100</f>
        <v>46.838407494145187</v>
      </c>
      <c r="G34" s="1493">
        <f>+Road!H$161/Road!H$37*Other!G7</f>
        <v>763.50782733290748</v>
      </c>
      <c r="H34" s="1493">
        <f>+Road!I$161/Road!I$37*Other!H7</f>
        <v>50.672299199824415</v>
      </c>
      <c r="I34" s="1493">
        <f>+Road!I$161/Road!I$37*Other!I7</f>
        <v>1.4159961116087589</v>
      </c>
      <c r="J34" s="1493">
        <f>+Road!K$161/Road!K$37*Other!J7</f>
        <v>44.837585347921795</v>
      </c>
      <c r="K34" s="1493">
        <f>(100-'Input B%'!$B$5)*74/100</f>
        <v>74</v>
      </c>
      <c r="L34" s="1493">
        <f>+Road!M$161/Road!M$37*Other!L7</f>
        <v>4.683840749414518</v>
      </c>
      <c r="M34" s="1493">
        <f>+Road!N$161/Road!N$37*Other!M7</f>
        <v>21.223703267388313</v>
      </c>
    </row>
    <row r="35" spans="1:13" ht="13.5" customHeight="1">
      <c r="A35" s="1510">
        <f>+'Input B%'!$B$5</f>
        <v>0</v>
      </c>
      <c r="B35" s="1511" t="s">
        <v>1419</v>
      </c>
      <c r="C35" s="1511" t="s">
        <v>1421</v>
      </c>
      <c r="D35" s="1512">
        <v>2020</v>
      </c>
      <c r="E35" s="1467"/>
      <c r="F35" s="1491">
        <f>+F8*(100-'Input B%'!$B$5)/100</f>
        <v>46.838407494145173</v>
      </c>
      <c r="G35" s="1493">
        <f>+Road!H$161/Road!H$37*Other!G8</f>
        <v>763.09852811817689</v>
      </c>
      <c r="H35" s="1493">
        <f>+Road!I$161/Road!I$37*Other!H8</f>
        <v>50.932882071821894</v>
      </c>
      <c r="I35" s="1493">
        <f>+Road!I$161/Road!I$37*Other!I8</f>
        <v>1.4232778876348515</v>
      </c>
      <c r="J35" s="1493">
        <f>+Road!K$161/Road!K$37*Other!J8</f>
        <v>45.068163137915462</v>
      </c>
      <c r="K35" s="1493">
        <f>(100-'Input B%'!$B$5)*74/100</f>
        <v>74</v>
      </c>
      <c r="L35" s="1493">
        <f>+Road!M$161/Road!M$37*Other!L8</f>
        <v>4.6838407494145171</v>
      </c>
      <c r="M35" s="1493">
        <f>+Road!N$161/Road!N$37*Other!M8</f>
        <v>21.223703267388306</v>
      </c>
    </row>
    <row r="36" spans="1:13" ht="13.5" customHeight="1">
      <c r="A36" s="1510">
        <f>+'Input B%'!$B$5</f>
        <v>0</v>
      </c>
      <c r="B36" s="1511" t="s">
        <v>1419</v>
      </c>
      <c r="C36" s="1511" t="s">
        <v>1421</v>
      </c>
      <c r="D36" s="1512">
        <v>2030</v>
      </c>
      <c r="E36" s="1467"/>
      <c r="F36" s="1491">
        <f>+F9*(100-'Input B%'!$B$5)/100</f>
        <v>46.838407494145187</v>
      </c>
      <c r="G36" s="1493">
        <f>+Road!H$161/Road!H$37*Other!G9</f>
        <v>399.39384904263648</v>
      </c>
      <c r="H36" s="1493">
        <f>+Road!I$161/Road!I$37*Other!H9</f>
        <v>48.917341720316116</v>
      </c>
      <c r="I36" s="1493">
        <f>+Road!I$161/Road!I$37*Other!I9</f>
        <v>1.5129074758860654</v>
      </c>
      <c r="J36" s="1493">
        <f>+Road!K$161/Road!K$37*Other!J9</f>
        <v>117.20094144251844</v>
      </c>
      <c r="K36" s="1493">
        <f>(100-'Input B%'!$B$5)*74/100</f>
        <v>74</v>
      </c>
      <c r="L36" s="1493">
        <f>+Road!M$161/Road!M$37*Other!L9</f>
        <v>4.6838407494145162</v>
      </c>
      <c r="M36" s="1493">
        <f>+Road!N$161/Road!N$37*Other!M9</f>
        <v>21.223703267388302</v>
      </c>
    </row>
    <row r="37" spans="1:13" ht="13.5" customHeight="1">
      <c r="A37" s="1510">
        <f>+'Input B%'!$B$5</f>
        <v>0</v>
      </c>
      <c r="B37" s="1511" t="s">
        <v>1422</v>
      </c>
      <c r="C37" s="1511" t="s">
        <v>1421</v>
      </c>
      <c r="D37" s="1512">
        <v>2010</v>
      </c>
      <c r="E37" s="1467"/>
      <c r="F37" s="1491">
        <f>+F10*(100-'Input B%'!$B$5)/100</f>
        <v>46.838407494145201</v>
      </c>
      <c r="G37" s="1493">
        <f>+Road!H$161/Road!H$37*Other!G10</f>
        <v>1373.1395378483608</v>
      </c>
      <c r="H37" s="1493">
        <f>+Road!I$161/Road!I$37*Other!H10</f>
        <v>57.399269293634802</v>
      </c>
      <c r="I37" s="1493">
        <f>+Road!I$161/Road!I$37*Other!I10</f>
        <v>1.7752351327928289</v>
      </c>
      <c r="J37" s="1493">
        <f>+Road!K$161/Road!K$37*Other!J10</f>
        <v>189.35841416456847</v>
      </c>
      <c r="K37" s="1493">
        <f>(100-'Input B%'!$B$5)*74/100</f>
        <v>74</v>
      </c>
      <c r="L37" s="1493">
        <f>+Road!M$161/Road!M$37*Other!L10</f>
        <v>4.6838407494145189</v>
      </c>
      <c r="M37" s="1493">
        <f>+Road!N$161/Road!N$37*Other!M10</f>
        <v>21.223703267388313</v>
      </c>
    </row>
    <row r="38" spans="1:13" ht="13.5" customHeight="1">
      <c r="A38" s="1510">
        <f>+'Input B%'!$B$5</f>
        <v>0</v>
      </c>
      <c r="B38" s="1511" t="s">
        <v>1422</v>
      </c>
      <c r="C38" s="1511" t="s">
        <v>1421</v>
      </c>
      <c r="D38" s="1512">
        <v>2020</v>
      </c>
      <c r="E38" s="1467"/>
      <c r="F38" s="1491">
        <f>+F11*(100-'Input B%'!$B$5)/100</f>
        <v>46.838407494145216</v>
      </c>
      <c r="G38" s="1493">
        <f>+Road!H$161/Road!H$37*Other!G11</f>
        <v>872.66044054889096</v>
      </c>
      <c r="H38" s="1493">
        <f>+Road!I$161/Road!I$37*Other!H11</f>
        <v>58.314890601647882</v>
      </c>
      <c r="I38" s="1493">
        <f>+Road!I$161/Road!I$37*Other!I11</f>
        <v>1.8035533175767384</v>
      </c>
      <c r="J38" s="1493">
        <f>+Road!K$161/Road!K$37*Other!J11</f>
        <v>192.37902054151883</v>
      </c>
      <c r="K38" s="1493">
        <f>(100-'Input B%'!$B$5)*74/100</f>
        <v>74</v>
      </c>
      <c r="L38" s="1493">
        <f>+Road!M$161/Road!M$37*Other!L11</f>
        <v>4.683840749414518</v>
      </c>
      <c r="M38" s="1493">
        <f>+Road!N$161/Road!N$37*Other!M11</f>
        <v>21.223703267388313</v>
      </c>
    </row>
    <row r="39" spans="1:13" ht="13.5" customHeight="1">
      <c r="A39" s="1510">
        <f>+'Input B%'!$B$5</f>
        <v>0</v>
      </c>
      <c r="B39" s="1511" t="s">
        <v>1422</v>
      </c>
      <c r="C39" s="1511" t="s">
        <v>1421</v>
      </c>
      <c r="D39" s="1512">
        <v>2030</v>
      </c>
      <c r="E39" s="1467"/>
      <c r="F39" s="1491">
        <f>+F12*(100-'Input B%'!$B$5)/100</f>
        <v>46.838407494145187</v>
      </c>
      <c r="G39" s="1493">
        <f>+Road!H$161/Road!H$37*Other!G12</f>
        <v>380.44327550338511</v>
      </c>
      <c r="H39" s="1493">
        <f>+Road!I$161/Road!I$37*Other!H12</f>
        <v>58.314890601647875</v>
      </c>
      <c r="I39" s="1493">
        <f>+Road!I$161/Road!I$37*Other!I12</f>
        <v>1.8035533175767384</v>
      </c>
      <c r="J39" s="1493">
        <f>+Road!K$161/Road!K$37*Other!J12</f>
        <v>192.37902054151883</v>
      </c>
      <c r="K39" s="1493">
        <f>(100-'Input B%'!$B$5)*74/100</f>
        <v>74</v>
      </c>
      <c r="L39" s="1493">
        <f>+Road!M$161/Road!M$37*Other!L12</f>
        <v>4.683840749414518</v>
      </c>
      <c r="M39" s="1493">
        <f>+Road!N$161/Road!N$37*Other!M12</f>
        <v>21.223703267388313</v>
      </c>
    </row>
    <row r="40" spans="1:13" ht="13.5" customHeight="1">
      <c r="A40" s="1510">
        <f>+'Input B%'!$B$5</f>
        <v>0</v>
      </c>
      <c r="B40" s="1511" t="s">
        <v>1423</v>
      </c>
      <c r="C40" s="1511" t="s">
        <v>1420</v>
      </c>
      <c r="D40" s="1512">
        <v>2010</v>
      </c>
      <c r="E40" s="1467"/>
      <c r="F40" s="1491">
        <f>+F13*(100-'Input B%'!$B$5)/100</f>
        <v>488.99755501222501</v>
      </c>
      <c r="G40" s="1493">
        <f>+Road!H$161/Road!H$37*Other!G13</f>
        <v>2114.3909535161802</v>
      </c>
      <c r="H40" s="1493">
        <f>+Road!I$161/Road!I$37*Other!H13</f>
        <v>62.583106940182503</v>
      </c>
      <c r="I40" s="1493">
        <f>+Road!I$161/Road!I$37*Other!I13</f>
        <v>1.9355600084592526</v>
      </c>
      <c r="J40" s="1493">
        <f>+Road!K$161/Road!K$37*Other!J13</f>
        <v>206.45973423565374</v>
      </c>
      <c r="K40" s="1493">
        <f>(100-'Input B%'!$B$5)*78/100</f>
        <v>78</v>
      </c>
      <c r="L40" s="1493">
        <f>+Road!M$161/Road!M$37*Other!L13</f>
        <v>4.8899755501222488</v>
      </c>
      <c r="M40" s="1493">
        <f>+Road!N$161/Road!N$37*Other!M13</f>
        <v>43.323165542577975</v>
      </c>
    </row>
    <row r="41" spans="1:13" ht="13.5" customHeight="1">
      <c r="A41" s="1510">
        <f>+'Input B%'!$B$5</f>
        <v>0</v>
      </c>
      <c r="B41" s="1511" t="s">
        <v>1423</v>
      </c>
      <c r="C41" s="1511" t="s">
        <v>1420</v>
      </c>
      <c r="D41" s="1512">
        <v>2020</v>
      </c>
      <c r="E41" s="1467"/>
      <c r="F41" s="1491">
        <f>+F14*(100-'Input B%'!$B$5)/100</f>
        <v>48.899755501222501</v>
      </c>
      <c r="G41" s="1493">
        <f>+Road!H$161/Road!H$37*Other!G14</f>
        <v>1841.6905186345914</v>
      </c>
      <c r="H41" s="1493">
        <f>+Road!I$161/Road!I$37*Other!H14</f>
        <v>66.430426091551141</v>
      </c>
      <c r="I41" s="1493">
        <f>+Road!I$161/Road!I$37*Other!I14</f>
        <v>2.0545492605634372</v>
      </c>
      <c r="J41" s="1493">
        <f>+Road!K$161/Road!K$37*Other!J14</f>
        <v>219.15192112676675</v>
      </c>
      <c r="K41" s="1493">
        <f>(100-'Input B%'!$B$5)*78/100</f>
        <v>78</v>
      </c>
      <c r="L41" s="1493">
        <f>+Road!M$161/Road!M$37*Other!L14</f>
        <v>4.8899755501222488</v>
      </c>
      <c r="M41" s="1493">
        <f>+Road!N$161/Road!N$37*Other!M14</f>
        <v>22.157753777933518</v>
      </c>
    </row>
    <row r="42" spans="1:13" ht="13.5" customHeight="1">
      <c r="A42" s="1510">
        <f>+'Input B%'!$B$5</f>
        <v>0</v>
      </c>
      <c r="B42" s="1511" t="s">
        <v>1423</v>
      </c>
      <c r="C42" s="1511" t="s">
        <v>1420</v>
      </c>
      <c r="D42" s="1512">
        <v>2030</v>
      </c>
      <c r="E42" s="1467"/>
      <c r="F42" s="1491">
        <f>+F15*(100-'Input B%'!$B$5)/100</f>
        <v>48.899755501222501</v>
      </c>
      <c r="G42" s="1493">
        <f>+Road!H$161/Road!H$37*Other!G15</f>
        <v>1209.2371855827107</v>
      </c>
      <c r="H42" s="1493">
        <f>+Road!I$161/Road!I$37*Other!H15</f>
        <v>67.955954948307721</v>
      </c>
      <c r="I42" s="1493">
        <f>+Road!I$161/Road!I$37*Other!I15</f>
        <v>2.1017305654115788</v>
      </c>
      <c r="J42" s="1493">
        <f>+Road!K$161/Road!K$37*Other!J15</f>
        <v>224.18459364390182</v>
      </c>
      <c r="K42" s="1493">
        <f>(100-'Input B%'!$B$5)*78/100</f>
        <v>78</v>
      </c>
      <c r="L42" s="1493">
        <f>+Road!M$161/Road!M$37*Other!L15</f>
        <v>4.8899755501222488</v>
      </c>
      <c r="M42" s="1493">
        <f>+Road!N$161/Road!N$37*Other!M15</f>
        <v>22.157753777933518</v>
      </c>
    </row>
    <row r="43" spans="1:13" ht="13.5" customHeight="1">
      <c r="A43" s="1510">
        <f>+'Input B%'!$B$5</f>
        <v>0</v>
      </c>
      <c r="B43" s="1511" t="s">
        <v>1423</v>
      </c>
      <c r="C43" s="1511" t="s">
        <v>1421</v>
      </c>
      <c r="D43" s="1512">
        <v>2010</v>
      </c>
      <c r="E43" s="1467"/>
      <c r="F43" s="1491">
        <f>+F16*(100-'Input B%'!$B$5)/100</f>
        <v>46.838407494145216</v>
      </c>
      <c r="G43" s="1493">
        <f>+Road!H$161/Road!H$37*Other!G16</f>
        <v>1576.9540522622715</v>
      </c>
      <c r="H43" s="1493">
        <f>+Road!I$161/Road!I$37*Other!H16</f>
        <v>56.945512018879718</v>
      </c>
      <c r="I43" s="1493">
        <f>+Road!I$161/Road!I$37*Other!I16</f>
        <v>1.7612014026457645</v>
      </c>
      <c r="J43" s="1493">
        <f>+Road!K$161/Road!K$37*Other!J16</f>
        <v>187.8614829488817</v>
      </c>
      <c r="K43" s="1493">
        <f>(100-'Input B%'!$B$5)*74/100</f>
        <v>74</v>
      </c>
      <c r="L43" s="1493">
        <f>+Road!M$161/Road!M$37*Other!L16</f>
        <v>4.683840749414518</v>
      </c>
      <c r="M43" s="1493">
        <f>+Road!N$161/Road!N$37*Other!M16</f>
        <v>21.223703267388309</v>
      </c>
    </row>
    <row r="44" spans="1:13" ht="13.5" customHeight="1">
      <c r="A44" s="1510">
        <f>+'Input B%'!$B$5</f>
        <v>0</v>
      </c>
      <c r="B44" s="1511" t="s">
        <v>1423</v>
      </c>
      <c r="C44" s="1511" t="s">
        <v>1421</v>
      </c>
      <c r="D44" s="1512">
        <v>2020</v>
      </c>
      <c r="E44" s="1467"/>
      <c r="F44" s="1491">
        <f>+F17*(100-'Input B%'!$B$5)/100</f>
        <v>46.838407494145216</v>
      </c>
      <c r="G44" s="1493">
        <f>+Road!H$161/Road!H$37*Other!G17</f>
        <v>1402.485658182484</v>
      </c>
      <c r="H44" s="1493">
        <f>+Road!I$161/Road!I$37*Other!H17</f>
        <v>60.261670683256192</v>
      </c>
      <c r="I44" s="1493">
        <f>+Road!I$161/Road!I$37*Other!I17</f>
        <v>1.8637630108223564</v>
      </c>
      <c r="J44" s="1493">
        <f>+Road!K$161/Road!K$37*Other!J17</f>
        <v>198.80138782105149</v>
      </c>
      <c r="K44" s="1493">
        <f>(100-'Input B%'!$B$5)*74/100</f>
        <v>74</v>
      </c>
      <c r="L44" s="1493">
        <f>+Road!M$161/Road!M$37*Other!L17</f>
        <v>4.683840749414518</v>
      </c>
      <c r="M44" s="1493">
        <f>+Road!N$161/Road!N$37*Other!M17</f>
        <v>21.223703267388309</v>
      </c>
    </row>
    <row r="45" spans="1:13" ht="13.5" customHeight="1">
      <c r="A45" s="1510">
        <f>+'Input B%'!$B$5</f>
        <v>0</v>
      </c>
      <c r="B45" s="1511" t="s">
        <v>1423</v>
      </c>
      <c r="C45" s="1511" t="s">
        <v>1421</v>
      </c>
      <c r="D45" s="1512">
        <v>2030</v>
      </c>
      <c r="E45" s="1467"/>
      <c r="F45" s="1491">
        <f>+F18*(100-'Input B%'!$B$5)/100</f>
        <v>46.838407494145216</v>
      </c>
      <c r="G45" s="1493">
        <f>+Road!H$161/Road!H$37*Other!G18</f>
        <v>938.56734047344264</v>
      </c>
      <c r="H45" s="1493">
        <f>+Road!I$161/Road!I$37*Other!H18</f>
        <v>61.571021856094262</v>
      </c>
      <c r="I45" s="1493">
        <f>+Road!I$161/Road!I$37*Other!I18</f>
        <v>1.9042584079204412</v>
      </c>
      <c r="J45" s="1493">
        <f>+Road!K$161/Road!K$37*Other!J18</f>
        <v>203.12089684484715</v>
      </c>
      <c r="K45" s="1493">
        <f>(100-'Input B%'!$B$5)*74/100</f>
        <v>74</v>
      </c>
      <c r="L45" s="1493">
        <f>+Road!M$161/Road!M$37*Other!L18</f>
        <v>4.683840749414518</v>
      </c>
      <c r="M45" s="1493">
        <f>+Road!N$161/Road!N$37*Other!M18</f>
        <v>21.223703267388309</v>
      </c>
    </row>
    <row r="46" spans="1:13" ht="13.5" customHeight="1">
      <c r="A46" s="1510">
        <f>+'Input B%'!$B$5</f>
        <v>0</v>
      </c>
      <c r="B46" s="1511" t="s">
        <v>1424</v>
      </c>
      <c r="C46" s="1467"/>
      <c r="D46" s="1512">
        <v>2010</v>
      </c>
      <c r="E46" s="1467"/>
      <c r="F46" s="1491">
        <f>+F19*(100-'Input B%'!$B$5)/100</f>
        <v>0.46838407494145234</v>
      </c>
      <c r="G46" s="1493">
        <f>+Road!H$161/Road!H$37*Other!G19</f>
        <v>798.14040184111491</v>
      </c>
      <c r="H46" s="1493">
        <f>+Road!I$161/Road!I$37*Other!H19</f>
        <v>51.086592210621738</v>
      </c>
      <c r="I46" s="1493">
        <f>+Road!I$161/Road!I$37*Other!I19</f>
        <v>1.9628285688400831</v>
      </c>
      <c r="J46" s="1493">
        <f>+Road!K$161/Road!K$37*Other!J19</f>
        <v>131.94460754755787</v>
      </c>
      <c r="K46" s="1493">
        <f>(100-'Input B%'!$B$5)*74/100</f>
        <v>74</v>
      </c>
      <c r="L46" s="1493">
        <f>+Road!M$161/Road!M$37*Other!L19</f>
        <v>2.0399999999999991</v>
      </c>
      <c r="M46" s="1493">
        <f>+Road!N$161/Road!N$37*Other!M19</f>
        <v>24.692830572834243</v>
      </c>
    </row>
    <row r="47" spans="1:13" ht="13.5" customHeight="1">
      <c r="A47" s="1510">
        <f>+'Input B%'!$B$5</f>
        <v>0</v>
      </c>
      <c r="B47" s="1511" t="s">
        <v>1424</v>
      </c>
      <c r="C47" s="1467"/>
      <c r="D47" s="1512">
        <v>2020</v>
      </c>
      <c r="E47" s="1467"/>
      <c r="F47" s="1491">
        <f>+F20*(100-'Input B%'!$B$5)/100</f>
        <v>0.46838407494145196</v>
      </c>
      <c r="G47" s="1493">
        <f>+Road!H$161/Road!H$37*Other!G20</f>
        <v>411.41501253398189</v>
      </c>
      <c r="H47" s="1493">
        <f>+Road!I$161/Road!I$37*Other!H20</f>
        <v>3.0416415935453864</v>
      </c>
      <c r="I47" s="1493">
        <f>+Road!I$161/Road!I$37*Other!I20</f>
        <v>0.11686473412375825</v>
      </c>
      <c r="J47" s="1493">
        <f>+Road!K$161/Road!K$37*Other!J20</f>
        <v>4.8050919203388167</v>
      </c>
      <c r="K47" s="1493">
        <f>(100-'Input B%'!$B$5)*74/100</f>
        <v>74</v>
      </c>
      <c r="L47" s="1493">
        <f>+Road!M$161/Road!M$37*Other!L20</f>
        <v>2.0399999999999991</v>
      </c>
      <c r="M47" s="1493">
        <f>+Road!N$161/Road!N$37*Other!M20</f>
        <v>0.32565030960718139</v>
      </c>
    </row>
    <row r="48" spans="1:13" ht="13.5" customHeight="1">
      <c r="A48" s="1510">
        <f>+'Input B%'!$B$5</f>
        <v>0</v>
      </c>
      <c r="B48" s="1511" t="s">
        <v>1424</v>
      </c>
      <c r="C48" s="1467"/>
      <c r="D48" s="1512">
        <v>2030</v>
      </c>
      <c r="E48" s="1467"/>
      <c r="F48" s="1491">
        <f>+F21*(100-'Input B%'!$B$5)/100</f>
        <v>0.46838407494145196</v>
      </c>
      <c r="G48" s="1493">
        <f>+Road!H$161/Road!H$37*Other!G21</f>
        <v>411.41501253398189</v>
      </c>
      <c r="H48" s="1493">
        <f>+Road!I$161/Road!I$37*Other!H21</f>
        <v>3.0416415935453864</v>
      </c>
      <c r="I48" s="1493">
        <f>+Road!I$161/Road!I$37*Other!I21</f>
        <v>0.11686473412375825</v>
      </c>
      <c r="J48" s="1493">
        <f>+Road!K$161/Road!K$37*Other!J21</f>
        <v>4.8050919203388167</v>
      </c>
      <c r="K48" s="1493">
        <f>(100-'Input B%'!$B$5)*74/100</f>
        <v>74</v>
      </c>
      <c r="L48" s="1493">
        <f>+Road!M$161/Road!M$37*Other!L21</f>
        <v>2.0399999999999991</v>
      </c>
      <c r="M48" s="1493">
        <f>+Road!N$161/Road!N$37*Other!M21</f>
        <v>0.32565030960718139</v>
      </c>
    </row>
    <row r="49" spans="1:13" ht="13.5" customHeight="1">
      <c r="A49" s="1510">
        <f>+'Input B%'!$B$5</f>
        <v>0</v>
      </c>
      <c r="B49" s="1511" t="s">
        <v>1425</v>
      </c>
      <c r="C49" s="1467"/>
      <c r="D49" s="1512">
        <v>2010</v>
      </c>
      <c r="E49" s="1467"/>
      <c r="F49" s="1491">
        <f>+F22*(100-'Input B%'!$B$5)/100</f>
        <v>2.3419203747072559</v>
      </c>
      <c r="G49" s="1493">
        <f>+Road!H$161/Road!H$37*Other!G22</f>
        <v>583.97559708196718</v>
      </c>
      <c r="H49" s="1493">
        <f>+Road!I$161/Road!I$37*Other!H22</f>
        <v>55.838279568244261</v>
      </c>
      <c r="I49" s="1493">
        <f>+Road!I$161/Road!I$37*Other!I22</f>
        <v>0.90793950517470445</v>
      </c>
      <c r="J49" s="1493">
        <f>+Road!K$161/Road!K$37*Other!J22</f>
        <v>333.80710250993161</v>
      </c>
      <c r="K49" s="1493">
        <f>(100-'Input B%'!$B$5)*74/100</f>
        <v>74</v>
      </c>
      <c r="L49" s="1493">
        <f>+Road!M$161/Road!M$37*Other!L22</f>
        <v>3.1752858846977219</v>
      </c>
      <c r="M49" s="1493">
        <f>+Road!N$161/Road!N$37*Other!M22</f>
        <v>44.335282460518478</v>
      </c>
    </row>
    <row r="50" spans="1:13" ht="13.5" customHeight="1">
      <c r="A50" s="1510">
        <f>+'Input B%'!$B$5</f>
        <v>0</v>
      </c>
      <c r="B50" s="1511" t="s">
        <v>1425</v>
      </c>
      <c r="C50" s="1467"/>
      <c r="D50" s="1512">
        <v>2020</v>
      </c>
      <c r="E50" s="1467"/>
      <c r="F50" s="1491">
        <f>+F23*(100-'Input B%'!$B$5)/100</f>
        <v>0.46838407494145157</v>
      </c>
      <c r="G50" s="1493">
        <f>+Road!H$161/Road!H$37*Other!G23</f>
        <v>235.19088464460668</v>
      </c>
      <c r="H50" s="1493">
        <f>+Road!I$161/Road!I$37*Other!H23</f>
        <v>25.051124657790375</v>
      </c>
      <c r="I50" s="1493">
        <f>+Road!I$161/Road!I$37*Other!I23</f>
        <v>0.40733536028927464</v>
      </c>
      <c r="J50" s="1493">
        <f>+Road!K$161/Road!K$37*Other!J23</f>
        <v>198.58547727848654</v>
      </c>
      <c r="K50" s="1493">
        <f>(100-'Input B%'!$B$5)*74/100</f>
        <v>74</v>
      </c>
      <c r="L50" s="1493">
        <f>+Road!M$161/Road!M$37*Other!L23</f>
        <v>3.2341722353675042</v>
      </c>
      <c r="M50" s="1493">
        <f>+Road!N$161/Road!N$37*Other!M23</f>
        <v>12.075374984000685</v>
      </c>
    </row>
    <row r="51" spans="1:13" ht="13.5" customHeight="1">
      <c r="A51" s="1510">
        <f>+'Input B%'!$B$5</f>
        <v>0</v>
      </c>
      <c r="B51" s="1511" t="s">
        <v>1425</v>
      </c>
      <c r="C51" s="1467"/>
      <c r="D51" s="1512">
        <v>2030</v>
      </c>
      <c r="E51" s="1467"/>
      <c r="F51" s="1491">
        <f>+F24*(100-'Input B%'!$B$5)/100</f>
        <v>0.46838407494145007</v>
      </c>
      <c r="G51" s="1493">
        <f>+Road!H$161/Road!H$37*Other!G24</f>
        <v>85.348747728184094</v>
      </c>
      <c r="H51" s="1493">
        <f>+Road!I$161/Road!I$37*Other!H24</f>
        <v>17.208026532618085</v>
      </c>
      <c r="I51" s="1493">
        <f>+Road!I$161/Road!I$37*Other!I24</f>
        <v>0.27980530947346494</v>
      </c>
      <c r="J51" s="1493">
        <f>+Road!K$161/Road!K$37*Other!J24</f>
        <v>157.78019327331137</v>
      </c>
      <c r="K51" s="1493">
        <f>(100-'Input B%'!$B$5)*74/100</f>
        <v>74</v>
      </c>
      <c r="L51" s="1493">
        <f>+Road!M$161/Road!M$37*Other!L24</f>
        <v>3.2444891545946839</v>
      </c>
      <c r="M51" s="1493">
        <f>+Road!N$161/Road!N$37*Other!M24</f>
        <v>4.7823532692045569</v>
      </c>
    </row>
  </sheetData>
  <pageMargins left="0.75" right="0.75" top="1" bottom="1" header="0.5" footer="0.5"/>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E0F9F-FD5A-4077-B3CB-3B4A238617F8}">
  <sheetPr>
    <tabColor rgb="FF7030A0"/>
  </sheetPr>
  <dimension ref="A3:K39"/>
  <sheetViews>
    <sheetView topLeftCell="A9" workbookViewId="0">
      <selection activeCell="F9" sqref="F9"/>
    </sheetView>
  </sheetViews>
  <sheetFormatPr defaultRowHeight="12.75" customHeight="1"/>
  <cols>
    <col min="1" max="1" width="9.109375" style="549"/>
    <col min="2" max="2" width="12.109375" style="549" bestFit="1" customWidth="1"/>
    <col min="3" max="3" width="12.88671875" style="549" bestFit="1" customWidth="1"/>
    <col min="4" max="4" width="8.109375" style="549" bestFit="1" customWidth="1"/>
    <col min="5" max="5" width="9.109375" style="549" bestFit="1" customWidth="1"/>
    <col min="6" max="6" width="10.44140625" style="549" bestFit="1" customWidth="1"/>
    <col min="7" max="7" width="11.44140625" style="549" bestFit="1" customWidth="1"/>
    <col min="8" max="8" width="12.33203125" style="549" bestFit="1" customWidth="1"/>
    <col min="9" max="9" width="10.109375" style="549" bestFit="1" customWidth="1"/>
    <col min="10" max="10" width="11.44140625" style="549" bestFit="1" customWidth="1"/>
    <col min="11" max="11" width="12" style="549" bestFit="1" customWidth="1"/>
    <col min="12" max="257" width="9.109375" style="549"/>
    <col min="258" max="258" width="12.109375" style="549" bestFit="1" customWidth="1"/>
    <col min="259" max="259" width="12.88671875" style="549" bestFit="1" customWidth="1"/>
    <col min="260" max="260" width="8.109375" style="549" bestFit="1" customWidth="1"/>
    <col min="261" max="261" width="9.109375" style="549" bestFit="1"/>
    <col min="262" max="262" width="10.44140625" style="549" bestFit="1" customWidth="1"/>
    <col min="263" max="263" width="11.44140625" style="549" bestFit="1" customWidth="1"/>
    <col min="264" max="264" width="12.33203125" style="549" bestFit="1" customWidth="1"/>
    <col min="265" max="265" width="10.109375" style="549" bestFit="1" customWidth="1"/>
    <col min="266" max="266" width="11.44140625" style="549" bestFit="1" customWidth="1"/>
    <col min="267" max="267" width="12" style="549" bestFit="1" customWidth="1"/>
    <col min="268" max="513" width="9.109375" style="549"/>
    <col min="514" max="514" width="12.109375" style="549" bestFit="1" customWidth="1"/>
    <col min="515" max="515" width="12.88671875" style="549" bestFit="1" customWidth="1"/>
    <col min="516" max="516" width="8.109375" style="549" bestFit="1" customWidth="1"/>
    <col min="517" max="517" width="9.109375" style="549" bestFit="1"/>
    <col min="518" max="518" width="10.44140625" style="549" bestFit="1" customWidth="1"/>
    <col min="519" max="519" width="11.44140625" style="549" bestFit="1" customWidth="1"/>
    <col min="520" max="520" width="12.33203125" style="549" bestFit="1" customWidth="1"/>
    <col min="521" max="521" width="10.109375" style="549" bestFit="1" customWidth="1"/>
    <col min="522" max="522" width="11.44140625" style="549" bestFit="1" customWidth="1"/>
    <col min="523" max="523" width="12" style="549" bestFit="1" customWidth="1"/>
    <col min="524" max="769" width="9.109375" style="549"/>
    <col min="770" max="770" width="12.109375" style="549" bestFit="1" customWidth="1"/>
    <col min="771" max="771" width="12.88671875" style="549" bestFit="1" customWidth="1"/>
    <col min="772" max="772" width="8.109375" style="549" bestFit="1" customWidth="1"/>
    <col min="773" max="773" width="9.109375" style="549" bestFit="1"/>
    <col min="774" max="774" width="10.44140625" style="549" bestFit="1" customWidth="1"/>
    <col min="775" max="775" width="11.44140625" style="549" bestFit="1" customWidth="1"/>
    <col min="776" max="776" width="12.33203125" style="549" bestFit="1" customWidth="1"/>
    <col min="777" max="777" width="10.109375" style="549" bestFit="1" customWidth="1"/>
    <col min="778" max="778" width="11.44140625" style="549" bestFit="1" customWidth="1"/>
    <col min="779" max="779" width="12" style="549" bestFit="1" customWidth="1"/>
    <col min="780" max="1025" width="9.109375" style="549"/>
    <col min="1026" max="1026" width="12.109375" style="549" bestFit="1" customWidth="1"/>
    <col min="1027" max="1027" width="12.88671875" style="549" bestFit="1" customWidth="1"/>
    <col min="1028" max="1028" width="8.109375" style="549" bestFit="1" customWidth="1"/>
    <col min="1029" max="1029" width="9.109375" style="549" bestFit="1"/>
    <col min="1030" max="1030" width="10.44140625" style="549" bestFit="1" customWidth="1"/>
    <col min="1031" max="1031" width="11.44140625" style="549" bestFit="1" customWidth="1"/>
    <col min="1032" max="1032" width="12.33203125" style="549" bestFit="1" customWidth="1"/>
    <col min="1033" max="1033" width="10.109375" style="549" bestFit="1" customWidth="1"/>
    <col min="1034" max="1034" width="11.44140625" style="549" bestFit="1" customWidth="1"/>
    <col min="1035" max="1035" width="12" style="549" bestFit="1" customWidth="1"/>
    <col min="1036" max="1281" width="9.109375" style="549"/>
    <col min="1282" max="1282" width="12.109375" style="549" bestFit="1" customWidth="1"/>
    <col min="1283" max="1283" width="12.88671875" style="549" bestFit="1" customWidth="1"/>
    <col min="1284" max="1284" width="8.109375" style="549" bestFit="1" customWidth="1"/>
    <col min="1285" max="1285" width="9.109375" style="549" bestFit="1"/>
    <col min="1286" max="1286" width="10.44140625" style="549" bestFit="1" customWidth="1"/>
    <col min="1287" max="1287" width="11.44140625" style="549" bestFit="1" customWidth="1"/>
    <col min="1288" max="1288" width="12.33203125" style="549" bestFit="1" customWidth="1"/>
    <col min="1289" max="1289" width="10.109375" style="549" bestFit="1" customWidth="1"/>
    <col min="1290" max="1290" width="11.44140625" style="549" bestFit="1" customWidth="1"/>
    <col min="1291" max="1291" width="12" style="549" bestFit="1" customWidth="1"/>
    <col min="1292" max="1537" width="9.109375" style="549"/>
    <col min="1538" max="1538" width="12.109375" style="549" bestFit="1" customWidth="1"/>
    <col min="1539" max="1539" width="12.88671875" style="549" bestFit="1" customWidth="1"/>
    <col min="1540" max="1540" width="8.109375" style="549" bestFit="1" customWidth="1"/>
    <col min="1541" max="1541" width="9.109375" style="549" bestFit="1"/>
    <col min="1542" max="1542" width="10.44140625" style="549" bestFit="1" customWidth="1"/>
    <col min="1543" max="1543" width="11.44140625" style="549" bestFit="1" customWidth="1"/>
    <col min="1544" max="1544" width="12.33203125" style="549" bestFit="1" customWidth="1"/>
    <col min="1545" max="1545" width="10.109375" style="549" bestFit="1" customWidth="1"/>
    <col min="1546" max="1546" width="11.44140625" style="549" bestFit="1" customWidth="1"/>
    <col min="1547" max="1547" width="12" style="549" bestFit="1" customWidth="1"/>
    <col min="1548" max="1793" width="9.109375" style="549"/>
    <col min="1794" max="1794" width="12.109375" style="549" bestFit="1" customWidth="1"/>
    <col min="1795" max="1795" width="12.88671875" style="549" bestFit="1" customWidth="1"/>
    <col min="1796" max="1796" width="8.109375" style="549" bestFit="1" customWidth="1"/>
    <col min="1797" max="1797" width="9.109375" style="549" bestFit="1"/>
    <col min="1798" max="1798" width="10.44140625" style="549" bestFit="1" customWidth="1"/>
    <col min="1799" max="1799" width="11.44140625" style="549" bestFit="1" customWidth="1"/>
    <col min="1800" max="1800" width="12.33203125" style="549" bestFit="1" customWidth="1"/>
    <col min="1801" max="1801" width="10.109375" style="549" bestFit="1" customWidth="1"/>
    <col min="1802" max="1802" width="11.44140625" style="549" bestFit="1" customWidth="1"/>
    <col min="1803" max="1803" width="12" style="549" bestFit="1" customWidth="1"/>
    <col min="1804" max="2049" width="9.109375" style="549"/>
    <col min="2050" max="2050" width="12.109375" style="549" bestFit="1" customWidth="1"/>
    <col min="2051" max="2051" width="12.88671875" style="549" bestFit="1" customWidth="1"/>
    <col min="2052" max="2052" width="8.109375" style="549" bestFit="1" customWidth="1"/>
    <col min="2053" max="2053" width="9.109375" style="549" bestFit="1"/>
    <col min="2054" max="2054" width="10.44140625" style="549" bestFit="1" customWidth="1"/>
    <col min="2055" max="2055" width="11.44140625" style="549" bestFit="1" customWidth="1"/>
    <col min="2056" max="2056" width="12.33203125" style="549" bestFit="1" customWidth="1"/>
    <col min="2057" max="2057" width="10.109375" style="549" bestFit="1" customWidth="1"/>
    <col min="2058" max="2058" width="11.44140625" style="549" bestFit="1" customWidth="1"/>
    <col min="2059" max="2059" width="12" style="549" bestFit="1" customWidth="1"/>
    <col min="2060" max="2305" width="9.109375" style="549"/>
    <col min="2306" max="2306" width="12.109375" style="549" bestFit="1" customWidth="1"/>
    <col min="2307" max="2307" width="12.88671875" style="549" bestFit="1" customWidth="1"/>
    <col min="2308" max="2308" width="8.109375" style="549" bestFit="1" customWidth="1"/>
    <col min="2309" max="2309" width="9.109375" style="549" bestFit="1"/>
    <col min="2310" max="2310" width="10.44140625" style="549" bestFit="1" customWidth="1"/>
    <col min="2311" max="2311" width="11.44140625" style="549" bestFit="1" customWidth="1"/>
    <col min="2312" max="2312" width="12.33203125" style="549" bestFit="1" customWidth="1"/>
    <col min="2313" max="2313" width="10.109375" style="549" bestFit="1" customWidth="1"/>
    <col min="2314" max="2314" width="11.44140625" style="549" bestFit="1" customWidth="1"/>
    <col min="2315" max="2315" width="12" style="549" bestFit="1" customWidth="1"/>
    <col min="2316" max="2561" width="9.109375" style="549"/>
    <col min="2562" max="2562" width="12.109375" style="549" bestFit="1" customWidth="1"/>
    <col min="2563" max="2563" width="12.88671875" style="549" bestFit="1" customWidth="1"/>
    <col min="2564" max="2564" width="8.109375" style="549" bestFit="1" customWidth="1"/>
    <col min="2565" max="2565" width="9.109375" style="549" bestFit="1"/>
    <col min="2566" max="2566" width="10.44140625" style="549" bestFit="1" customWidth="1"/>
    <col min="2567" max="2567" width="11.44140625" style="549" bestFit="1" customWidth="1"/>
    <col min="2568" max="2568" width="12.33203125" style="549" bestFit="1" customWidth="1"/>
    <col min="2569" max="2569" width="10.109375" style="549" bestFit="1" customWidth="1"/>
    <col min="2570" max="2570" width="11.44140625" style="549" bestFit="1" customWidth="1"/>
    <col min="2571" max="2571" width="12" style="549" bestFit="1" customWidth="1"/>
    <col min="2572" max="2817" width="9.109375" style="549"/>
    <col min="2818" max="2818" width="12.109375" style="549" bestFit="1" customWidth="1"/>
    <col min="2819" max="2819" width="12.88671875" style="549" bestFit="1" customWidth="1"/>
    <col min="2820" max="2820" width="8.109375" style="549" bestFit="1" customWidth="1"/>
    <col min="2821" max="2821" width="9.109375" style="549" bestFit="1"/>
    <col min="2822" max="2822" width="10.44140625" style="549" bestFit="1" customWidth="1"/>
    <col min="2823" max="2823" width="11.44140625" style="549" bestFit="1" customWidth="1"/>
    <col min="2824" max="2824" width="12.33203125" style="549" bestFit="1" customWidth="1"/>
    <col min="2825" max="2825" width="10.109375" style="549" bestFit="1" customWidth="1"/>
    <col min="2826" max="2826" width="11.44140625" style="549" bestFit="1" customWidth="1"/>
    <col min="2827" max="2827" width="12" style="549" bestFit="1" customWidth="1"/>
    <col min="2828" max="3073" width="9.109375" style="549"/>
    <col min="3074" max="3074" width="12.109375" style="549" bestFit="1" customWidth="1"/>
    <col min="3075" max="3075" width="12.88671875" style="549" bestFit="1" customWidth="1"/>
    <col min="3076" max="3076" width="8.109375" style="549" bestFit="1" customWidth="1"/>
    <col min="3077" max="3077" width="9.109375" style="549" bestFit="1"/>
    <col min="3078" max="3078" width="10.44140625" style="549" bestFit="1" customWidth="1"/>
    <col min="3079" max="3079" width="11.44140625" style="549" bestFit="1" customWidth="1"/>
    <col min="3080" max="3080" width="12.33203125" style="549" bestFit="1" customWidth="1"/>
    <col min="3081" max="3081" width="10.109375" style="549" bestFit="1" customWidth="1"/>
    <col min="3082" max="3082" width="11.44140625" style="549" bestFit="1" customWidth="1"/>
    <col min="3083" max="3083" width="12" style="549" bestFit="1" customWidth="1"/>
    <col min="3084" max="3329" width="9.109375" style="549"/>
    <col min="3330" max="3330" width="12.109375" style="549" bestFit="1" customWidth="1"/>
    <col min="3331" max="3331" width="12.88671875" style="549" bestFit="1" customWidth="1"/>
    <col min="3332" max="3332" width="8.109375" style="549" bestFit="1" customWidth="1"/>
    <col min="3333" max="3333" width="9.109375" style="549" bestFit="1"/>
    <col min="3334" max="3334" width="10.44140625" style="549" bestFit="1" customWidth="1"/>
    <col min="3335" max="3335" width="11.44140625" style="549" bestFit="1" customWidth="1"/>
    <col min="3336" max="3336" width="12.33203125" style="549" bestFit="1" customWidth="1"/>
    <col min="3337" max="3337" width="10.109375" style="549" bestFit="1" customWidth="1"/>
    <col min="3338" max="3338" width="11.44140625" style="549" bestFit="1" customWidth="1"/>
    <col min="3339" max="3339" width="12" style="549" bestFit="1" customWidth="1"/>
    <col min="3340" max="3585" width="9.109375" style="549"/>
    <col min="3586" max="3586" width="12.109375" style="549" bestFit="1" customWidth="1"/>
    <col min="3587" max="3587" width="12.88671875" style="549" bestFit="1" customWidth="1"/>
    <col min="3588" max="3588" width="8.109375" style="549" bestFit="1" customWidth="1"/>
    <col min="3589" max="3589" width="9.109375" style="549" bestFit="1"/>
    <col min="3590" max="3590" width="10.44140625" style="549" bestFit="1" customWidth="1"/>
    <col min="3591" max="3591" width="11.44140625" style="549" bestFit="1" customWidth="1"/>
    <col min="3592" max="3592" width="12.33203125" style="549" bestFit="1" customWidth="1"/>
    <col min="3593" max="3593" width="10.109375" style="549" bestFit="1" customWidth="1"/>
    <col min="3594" max="3594" width="11.44140625" style="549" bestFit="1" customWidth="1"/>
    <col min="3595" max="3595" width="12" style="549" bestFit="1" customWidth="1"/>
    <col min="3596" max="3841" width="9.109375" style="549"/>
    <col min="3842" max="3842" width="12.109375" style="549" bestFit="1" customWidth="1"/>
    <col min="3843" max="3843" width="12.88671875" style="549" bestFit="1" customWidth="1"/>
    <col min="3844" max="3844" width="8.109375" style="549" bestFit="1" customWidth="1"/>
    <col min="3845" max="3845" width="9.109375" style="549" bestFit="1"/>
    <col min="3846" max="3846" width="10.44140625" style="549" bestFit="1" customWidth="1"/>
    <col min="3847" max="3847" width="11.44140625" style="549" bestFit="1" customWidth="1"/>
    <col min="3848" max="3848" width="12.33203125" style="549" bestFit="1" customWidth="1"/>
    <col min="3849" max="3849" width="10.109375" style="549" bestFit="1" customWidth="1"/>
    <col min="3850" max="3850" width="11.44140625" style="549" bestFit="1" customWidth="1"/>
    <col min="3851" max="3851" width="12" style="549" bestFit="1" customWidth="1"/>
    <col min="3852" max="4097" width="9.109375" style="549"/>
    <col min="4098" max="4098" width="12.109375" style="549" bestFit="1" customWidth="1"/>
    <col min="4099" max="4099" width="12.88671875" style="549" bestFit="1" customWidth="1"/>
    <col min="4100" max="4100" width="8.109375" style="549" bestFit="1" customWidth="1"/>
    <col min="4101" max="4101" width="9.109375" style="549" bestFit="1"/>
    <col min="4102" max="4102" width="10.44140625" style="549" bestFit="1" customWidth="1"/>
    <col min="4103" max="4103" width="11.44140625" style="549" bestFit="1" customWidth="1"/>
    <col min="4104" max="4104" width="12.33203125" style="549" bestFit="1" customWidth="1"/>
    <col min="4105" max="4105" width="10.109375" style="549" bestFit="1" customWidth="1"/>
    <col min="4106" max="4106" width="11.44140625" style="549" bestFit="1" customWidth="1"/>
    <col min="4107" max="4107" width="12" style="549" bestFit="1" customWidth="1"/>
    <col min="4108" max="4353" width="9.109375" style="549"/>
    <col min="4354" max="4354" width="12.109375" style="549" bestFit="1" customWidth="1"/>
    <col min="4355" max="4355" width="12.88671875" style="549" bestFit="1" customWidth="1"/>
    <col min="4356" max="4356" width="8.109375" style="549" bestFit="1" customWidth="1"/>
    <col min="4357" max="4357" width="9.109375" style="549" bestFit="1"/>
    <col min="4358" max="4358" width="10.44140625" style="549" bestFit="1" customWidth="1"/>
    <col min="4359" max="4359" width="11.44140625" style="549" bestFit="1" customWidth="1"/>
    <col min="4360" max="4360" width="12.33203125" style="549" bestFit="1" customWidth="1"/>
    <col min="4361" max="4361" width="10.109375" style="549" bestFit="1" customWidth="1"/>
    <col min="4362" max="4362" width="11.44140625" style="549" bestFit="1" customWidth="1"/>
    <col min="4363" max="4363" width="12" style="549" bestFit="1" customWidth="1"/>
    <col min="4364" max="4609" width="9.109375" style="549"/>
    <col min="4610" max="4610" width="12.109375" style="549" bestFit="1" customWidth="1"/>
    <col min="4611" max="4611" width="12.88671875" style="549" bestFit="1" customWidth="1"/>
    <col min="4612" max="4612" width="8.109375" style="549" bestFit="1" customWidth="1"/>
    <col min="4613" max="4613" width="9.109375" style="549" bestFit="1"/>
    <col min="4614" max="4614" width="10.44140625" style="549" bestFit="1" customWidth="1"/>
    <col min="4615" max="4615" width="11.44140625" style="549" bestFit="1" customWidth="1"/>
    <col min="4616" max="4616" width="12.33203125" style="549" bestFit="1" customWidth="1"/>
    <col min="4617" max="4617" width="10.109375" style="549" bestFit="1" customWidth="1"/>
    <col min="4618" max="4618" width="11.44140625" style="549" bestFit="1" customWidth="1"/>
    <col min="4619" max="4619" width="12" style="549" bestFit="1" customWidth="1"/>
    <col min="4620" max="4865" width="9.109375" style="549"/>
    <col min="4866" max="4866" width="12.109375" style="549" bestFit="1" customWidth="1"/>
    <col min="4867" max="4867" width="12.88671875" style="549" bestFit="1" customWidth="1"/>
    <col min="4868" max="4868" width="8.109375" style="549" bestFit="1" customWidth="1"/>
    <col min="4869" max="4869" width="9.109375" style="549" bestFit="1"/>
    <col min="4870" max="4870" width="10.44140625" style="549" bestFit="1" customWidth="1"/>
    <col min="4871" max="4871" width="11.44140625" style="549" bestFit="1" customWidth="1"/>
    <col min="4872" max="4872" width="12.33203125" style="549" bestFit="1" customWidth="1"/>
    <col min="4873" max="4873" width="10.109375" style="549" bestFit="1" customWidth="1"/>
    <col min="4874" max="4874" width="11.44140625" style="549" bestFit="1" customWidth="1"/>
    <col min="4875" max="4875" width="12" style="549" bestFit="1" customWidth="1"/>
    <col min="4876" max="5121" width="9.109375" style="549"/>
    <col min="5122" max="5122" width="12.109375" style="549" bestFit="1" customWidth="1"/>
    <col min="5123" max="5123" width="12.88671875" style="549" bestFit="1" customWidth="1"/>
    <col min="5124" max="5124" width="8.109375" style="549" bestFit="1" customWidth="1"/>
    <col min="5125" max="5125" width="9.109375" style="549" bestFit="1"/>
    <col min="5126" max="5126" width="10.44140625" style="549" bestFit="1" customWidth="1"/>
    <col min="5127" max="5127" width="11.44140625" style="549" bestFit="1" customWidth="1"/>
    <col min="5128" max="5128" width="12.33203125" style="549" bestFit="1" customWidth="1"/>
    <col min="5129" max="5129" width="10.109375" style="549" bestFit="1" customWidth="1"/>
    <col min="5130" max="5130" width="11.44140625" style="549" bestFit="1" customWidth="1"/>
    <col min="5131" max="5131" width="12" style="549" bestFit="1" customWidth="1"/>
    <col min="5132" max="5377" width="9.109375" style="549"/>
    <col min="5378" max="5378" width="12.109375" style="549" bestFit="1" customWidth="1"/>
    <col min="5379" max="5379" width="12.88671875" style="549" bestFit="1" customWidth="1"/>
    <col min="5380" max="5380" width="8.109375" style="549" bestFit="1" customWidth="1"/>
    <col min="5381" max="5381" width="9.109375" style="549" bestFit="1"/>
    <col min="5382" max="5382" width="10.44140625" style="549" bestFit="1" customWidth="1"/>
    <col min="5383" max="5383" width="11.44140625" style="549" bestFit="1" customWidth="1"/>
    <col min="5384" max="5384" width="12.33203125" style="549" bestFit="1" customWidth="1"/>
    <col min="5385" max="5385" width="10.109375" style="549" bestFit="1" customWidth="1"/>
    <col min="5386" max="5386" width="11.44140625" style="549" bestFit="1" customWidth="1"/>
    <col min="5387" max="5387" width="12" style="549" bestFit="1" customWidth="1"/>
    <col min="5388" max="5633" width="9.109375" style="549"/>
    <col min="5634" max="5634" width="12.109375" style="549" bestFit="1" customWidth="1"/>
    <col min="5635" max="5635" width="12.88671875" style="549" bestFit="1" customWidth="1"/>
    <col min="5636" max="5636" width="8.109375" style="549" bestFit="1" customWidth="1"/>
    <col min="5637" max="5637" width="9.109375" style="549" bestFit="1"/>
    <col min="5638" max="5638" width="10.44140625" style="549" bestFit="1" customWidth="1"/>
    <col min="5639" max="5639" width="11.44140625" style="549" bestFit="1" customWidth="1"/>
    <col min="5640" max="5640" width="12.33203125" style="549" bestFit="1" customWidth="1"/>
    <col min="5641" max="5641" width="10.109375" style="549" bestFit="1" customWidth="1"/>
    <col min="5642" max="5642" width="11.44140625" style="549" bestFit="1" customWidth="1"/>
    <col min="5643" max="5643" width="12" style="549" bestFit="1" customWidth="1"/>
    <col min="5644" max="5889" width="9.109375" style="549"/>
    <col min="5890" max="5890" width="12.109375" style="549" bestFit="1" customWidth="1"/>
    <col min="5891" max="5891" width="12.88671875" style="549" bestFit="1" customWidth="1"/>
    <col min="5892" max="5892" width="8.109375" style="549" bestFit="1" customWidth="1"/>
    <col min="5893" max="5893" width="9.109375" style="549" bestFit="1"/>
    <col min="5894" max="5894" width="10.44140625" style="549" bestFit="1" customWidth="1"/>
    <col min="5895" max="5895" width="11.44140625" style="549" bestFit="1" customWidth="1"/>
    <col min="5896" max="5896" width="12.33203125" style="549" bestFit="1" customWidth="1"/>
    <col min="5897" max="5897" width="10.109375" style="549" bestFit="1" customWidth="1"/>
    <col min="5898" max="5898" width="11.44140625" style="549" bestFit="1" customWidth="1"/>
    <col min="5899" max="5899" width="12" style="549" bestFit="1" customWidth="1"/>
    <col min="5900" max="6145" width="9.109375" style="549"/>
    <col min="6146" max="6146" width="12.109375" style="549" bestFit="1" customWidth="1"/>
    <col min="6147" max="6147" width="12.88671875" style="549" bestFit="1" customWidth="1"/>
    <col min="6148" max="6148" width="8.109375" style="549" bestFit="1" customWidth="1"/>
    <col min="6149" max="6149" width="9.109375" style="549" bestFit="1"/>
    <col min="6150" max="6150" width="10.44140625" style="549" bestFit="1" customWidth="1"/>
    <col min="6151" max="6151" width="11.44140625" style="549" bestFit="1" customWidth="1"/>
    <col min="6152" max="6152" width="12.33203125" style="549" bestFit="1" customWidth="1"/>
    <col min="6153" max="6153" width="10.109375" style="549" bestFit="1" customWidth="1"/>
    <col min="6154" max="6154" width="11.44140625" style="549" bestFit="1" customWidth="1"/>
    <col min="6155" max="6155" width="12" style="549" bestFit="1" customWidth="1"/>
    <col min="6156" max="6401" width="9.109375" style="549"/>
    <col min="6402" max="6402" width="12.109375" style="549" bestFit="1" customWidth="1"/>
    <col min="6403" max="6403" width="12.88671875" style="549" bestFit="1" customWidth="1"/>
    <col min="6404" max="6404" width="8.109375" style="549" bestFit="1" customWidth="1"/>
    <col min="6405" max="6405" width="9.109375" style="549" bestFit="1"/>
    <col min="6406" max="6406" width="10.44140625" style="549" bestFit="1" customWidth="1"/>
    <col min="6407" max="6407" width="11.44140625" style="549" bestFit="1" customWidth="1"/>
    <col min="6408" max="6408" width="12.33203125" style="549" bestFit="1" customWidth="1"/>
    <col min="6409" max="6409" width="10.109375" style="549" bestFit="1" customWidth="1"/>
    <col min="6410" max="6410" width="11.44140625" style="549" bestFit="1" customWidth="1"/>
    <col min="6411" max="6411" width="12" style="549" bestFit="1" customWidth="1"/>
    <col min="6412" max="6657" width="9.109375" style="549"/>
    <col min="6658" max="6658" width="12.109375" style="549" bestFit="1" customWidth="1"/>
    <col min="6659" max="6659" width="12.88671875" style="549" bestFit="1" customWidth="1"/>
    <col min="6660" max="6660" width="8.109375" style="549" bestFit="1" customWidth="1"/>
    <col min="6661" max="6661" width="9.109375" style="549" bestFit="1"/>
    <col min="6662" max="6662" width="10.44140625" style="549" bestFit="1" customWidth="1"/>
    <col min="6663" max="6663" width="11.44140625" style="549" bestFit="1" customWidth="1"/>
    <col min="6664" max="6664" width="12.33203125" style="549" bestFit="1" customWidth="1"/>
    <col min="6665" max="6665" width="10.109375" style="549" bestFit="1" customWidth="1"/>
    <col min="6666" max="6666" width="11.44140625" style="549" bestFit="1" customWidth="1"/>
    <col min="6667" max="6667" width="12" style="549" bestFit="1" customWidth="1"/>
    <col min="6668" max="6913" width="9.109375" style="549"/>
    <col min="6914" max="6914" width="12.109375" style="549" bestFit="1" customWidth="1"/>
    <col min="6915" max="6915" width="12.88671875" style="549" bestFit="1" customWidth="1"/>
    <col min="6916" max="6916" width="8.109375" style="549" bestFit="1" customWidth="1"/>
    <col min="6917" max="6917" width="9.109375" style="549" bestFit="1"/>
    <col min="6918" max="6918" width="10.44140625" style="549" bestFit="1" customWidth="1"/>
    <col min="6919" max="6919" width="11.44140625" style="549" bestFit="1" customWidth="1"/>
    <col min="6920" max="6920" width="12.33203125" style="549" bestFit="1" customWidth="1"/>
    <col min="6921" max="6921" width="10.109375" style="549" bestFit="1" customWidth="1"/>
    <col min="6922" max="6922" width="11.44140625" style="549" bestFit="1" customWidth="1"/>
    <col min="6923" max="6923" width="12" style="549" bestFit="1" customWidth="1"/>
    <col min="6924" max="7169" width="9.109375" style="549"/>
    <col min="7170" max="7170" width="12.109375" style="549" bestFit="1" customWidth="1"/>
    <col min="7171" max="7171" width="12.88671875" style="549" bestFit="1" customWidth="1"/>
    <col min="7172" max="7172" width="8.109375" style="549" bestFit="1" customWidth="1"/>
    <col min="7173" max="7173" width="9.109375" style="549" bestFit="1"/>
    <col min="7174" max="7174" width="10.44140625" style="549" bestFit="1" customWidth="1"/>
    <col min="7175" max="7175" width="11.44140625" style="549" bestFit="1" customWidth="1"/>
    <col min="7176" max="7176" width="12.33203125" style="549" bestFit="1" customWidth="1"/>
    <col min="7177" max="7177" width="10.109375" style="549" bestFit="1" customWidth="1"/>
    <col min="7178" max="7178" width="11.44140625" style="549" bestFit="1" customWidth="1"/>
    <col min="7179" max="7179" width="12" style="549" bestFit="1" customWidth="1"/>
    <col min="7180" max="7425" width="9.109375" style="549"/>
    <col min="7426" max="7426" width="12.109375" style="549" bestFit="1" customWidth="1"/>
    <col min="7427" max="7427" width="12.88671875" style="549" bestFit="1" customWidth="1"/>
    <col min="7428" max="7428" width="8.109375" style="549" bestFit="1" customWidth="1"/>
    <col min="7429" max="7429" width="9.109375" style="549" bestFit="1"/>
    <col min="7430" max="7430" width="10.44140625" style="549" bestFit="1" customWidth="1"/>
    <col min="7431" max="7431" width="11.44140625" style="549" bestFit="1" customWidth="1"/>
    <col min="7432" max="7432" width="12.33203125" style="549" bestFit="1" customWidth="1"/>
    <col min="7433" max="7433" width="10.109375" style="549" bestFit="1" customWidth="1"/>
    <col min="7434" max="7434" width="11.44140625" style="549" bestFit="1" customWidth="1"/>
    <col min="7435" max="7435" width="12" style="549" bestFit="1" customWidth="1"/>
    <col min="7436" max="7681" width="9.109375" style="549"/>
    <col min="7682" max="7682" width="12.109375" style="549" bestFit="1" customWidth="1"/>
    <col min="7683" max="7683" width="12.88671875" style="549" bestFit="1" customWidth="1"/>
    <col min="7684" max="7684" width="8.109375" style="549" bestFit="1" customWidth="1"/>
    <col min="7685" max="7685" width="9.109375" style="549" bestFit="1"/>
    <col min="7686" max="7686" width="10.44140625" style="549" bestFit="1" customWidth="1"/>
    <col min="7687" max="7687" width="11.44140625" style="549" bestFit="1" customWidth="1"/>
    <col min="7688" max="7688" width="12.33203125" style="549" bestFit="1" customWidth="1"/>
    <col min="7689" max="7689" width="10.109375" style="549" bestFit="1" customWidth="1"/>
    <col min="7690" max="7690" width="11.44140625" style="549" bestFit="1" customWidth="1"/>
    <col min="7691" max="7691" width="12" style="549" bestFit="1" customWidth="1"/>
    <col min="7692" max="7937" width="9.109375" style="549"/>
    <col min="7938" max="7938" width="12.109375" style="549" bestFit="1" customWidth="1"/>
    <col min="7939" max="7939" width="12.88671875" style="549" bestFit="1" customWidth="1"/>
    <col min="7940" max="7940" width="8.109375" style="549" bestFit="1" customWidth="1"/>
    <col min="7941" max="7941" width="9.109375" style="549" bestFit="1"/>
    <col min="7942" max="7942" width="10.44140625" style="549" bestFit="1" customWidth="1"/>
    <col min="7943" max="7943" width="11.44140625" style="549" bestFit="1" customWidth="1"/>
    <col min="7944" max="7944" width="12.33203125" style="549" bestFit="1" customWidth="1"/>
    <col min="7945" max="7945" width="10.109375" style="549" bestFit="1" customWidth="1"/>
    <col min="7946" max="7946" width="11.44140625" style="549" bestFit="1" customWidth="1"/>
    <col min="7947" max="7947" width="12" style="549" bestFit="1" customWidth="1"/>
    <col min="7948" max="8193" width="9.109375" style="549"/>
    <col min="8194" max="8194" width="12.109375" style="549" bestFit="1" customWidth="1"/>
    <col min="8195" max="8195" width="12.88671875" style="549" bestFit="1" customWidth="1"/>
    <col min="8196" max="8196" width="8.109375" style="549" bestFit="1" customWidth="1"/>
    <col min="8197" max="8197" width="9.109375" style="549" bestFit="1"/>
    <col min="8198" max="8198" width="10.44140625" style="549" bestFit="1" customWidth="1"/>
    <col min="8199" max="8199" width="11.44140625" style="549" bestFit="1" customWidth="1"/>
    <col min="8200" max="8200" width="12.33203125" style="549" bestFit="1" customWidth="1"/>
    <col min="8201" max="8201" width="10.109375" style="549" bestFit="1" customWidth="1"/>
    <col min="8202" max="8202" width="11.44140625" style="549" bestFit="1" customWidth="1"/>
    <col min="8203" max="8203" width="12" style="549" bestFit="1" customWidth="1"/>
    <col min="8204" max="8449" width="9.109375" style="549"/>
    <col min="8450" max="8450" width="12.109375" style="549" bestFit="1" customWidth="1"/>
    <col min="8451" max="8451" width="12.88671875" style="549" bestFit="1" customWidth="1"/>
    <col min="8452" max="8452" width="8.109375" style="549" bestFit="1" customWidth="1"/>
    <col min="8453" max="8453" width="9.109375" style="549" bestFit="1"/>
    <col min="8454" max="8454" width="10.44140625" style="549" bestFit="1" customWidth="1"/>
    <col min="8455" max="8455" width="11.44140625" style="549" bestFit="1" customWidth="1"/>
    <col min="8456" max="8456" width="12.33203125" style="549" bestFit="1" customWidth="1"/>
    <col min="8457" max="8457" width="10.109375" style="549" bestFit="1" customWidth="1"/>
    <col min="8458" max="8458" width="11.44140625" style="549" bestFit="1" customWidth="1"/>
    <col min="8459" max="8459" width="12" style="549" bestFit="1" customWidth="1"/>
    <col min="8460" max="8705" width="9.109375" style="549"/>
    <col min="8706" max="8706" width="12.109375" style="549" bestFit="1" customWidth="1"/>
    <col min="8707" max="8707" width="12.88671875" style="549" bestFit="1" customWidth="1"/>
    <col min="8708" max="8708" width="8.109375" style="549" bestFit="1" customWidth="1"/>
    <col min="8709" max="8709" width="9.109375" style="549" bestFit="1"/>
    <col min="8710" max="8710" width="10.44140625" style="549" bestFit="1" customWidth="1"/>
    <col min="8711" max="8711" width="11.44140625" style="549" bestFit="1" customWidth="1"/>
    <col min="8712" max="8712" width="12.33203125" style="549" bestFit="1" customWidth="1"/>
    <col min="8713" max="8713" width="10.109375" style="549" bestFit="1" customWidth="1"/>
    <col min="8714" max="8714" width="11.44140625" style="549" bestFit="1" customWidth="1"/>
    <col min="8715" max="8715" width="12" style="549" bestFit="1" customWidth="1"/>
    <col min="8716" max="8961" width="9.109375" style="549"/>
    <col min="8962" max="8962" width="12.109375" style="549" bestFit="1" customWidth="1"/>
    <col min="8963" max="8963" width="12.88671875" style="549" bestFit="1" customWidth="1"/>
    <col min="8964" max="8964" width="8.109375" style="549" bestFit="1" customWidth="1"/>
    <col min="8965" max="8965" width="9.109375" style="549" bestFit="1"/>
    <col min="8966" max="8966" width="10.44140625" style="549" bestFit="1" customWidth="1"/>
    <col min="8967" max="8967" width="11.44140625" style="549" bestFit="1" customWidth="1"/>
    <col min="8968" max="8968" width="12.33203125" style="549" bestFit="1" customWidth="1"/>
    <col min="8969" max="8969" width="10.109375" style="549" bestFit="1" customWidth="1"/>
    <col min="8970" max="8970" width="11.44140625" style="549" bestFit="1" customWidth="1"/>
    <col min="8971" max="8971" width="12" style="549" bestFit="1" customWidth="1"/>
    <col min="8972" max="9217" width="9.109375" style="549"/>
    <col min="9218" max="9218" width="12.109375" style="549" bestFit="1" customWidth="1"/>
    <col min="9219" max="9219" width="12.88671875" style="549" bestFit="1" customWidth="1"/>
    <col min="9220" max="9220" width="8.109375" style="549" bestFit="1" customWidth="1"/>
    <col min="9221" max="9221" width="9.109375" style="549" bestFit="1"/>
    <col min="9222" max="9222" width="10.44140625" style="549" bestFit="1" customWidth="1"/>
    <col min="9223" max="9223" width="11.44140625" style="549" bestFit="1" customWidth="1"/>
    <col min="9224" max="9224" width="12.33203125" style="549" bestFit="1" customWidth="1"/>
    <col min="9225" max="9225" width="10.109375" style="549" bestFit="1" customWidth="1"/>
    <col min="9226" max="9226" width="11.44140625" style="549" bestFit="1" customWidth="1"/>
    <col min="9227" max="9227" width="12" style="549" bestFit="1" customWidth="1"/>
    <col min="9228" max="9473" width="9.109375" style="549"/>
    <col min="9474" max="9474" width="12.109375" style="549" bestFit="1" customWidth="1"/>
    <col min="9475" max="9475" width="12.88671875" style="549" bestFit="1" customWidth="1"/>
    <col min="9476" max="9476" width="8.109375" style="549" bestFit="1" customWidth="1"/>
    <col min="9477" max="9477" width="9.109375" style="549" bestFit="1"/>
    <col min="9478" max="9478" width="10.44140625" style="549" bestFit="1" customWidth="1"/>
    <col min="9479" max="9479" width="11.44140625" style="549" bestFit="1" customWidth="1"/>
    <col min="9480" max="9480" width="12.33203125" style="549" bestFit="1" customWidth="1"/>
    <col min="9481" max="9481" width="10.109375" style="549" bestFit="1" customWidth="1"/>
    <col min="9482" max="9482" width="11.44140625" style="549" bestFit="1" customWidth="1"/>
    <col min="9483" max="9483" width="12" style="549" bestFit="1" customWidth="1"/>
    <col min="9484" max="9729" width="9.109375" style="549"/>
    <col min="9730" max="9730" width="12.109375" style="549" bestFit="1" customWidth="1"/>
    <col min="9731" max="9731" width="12.88671875" style="549" bestFit="1" customWidth="1"/>
    <col min="9732" max="9732" width="8.109375" style="549" bestFit="1" customWidth="1"/>
    <col min="9733" max="9733" width="9.109375" style="549" bestFit="1"/>
    <col min="9734" max="9734" width="10.44140625" style="549" bestFit="1" customWidth="1"/>
    <col min="9735" max="9735" width="11.44140625" style="549" bestFit="1" customWidth="1"/>
    <col min="9736" max="9736" width="12.33203125" style="549" bestFit="1" customWidth="1"/>
    <col min="9737" max="9737" width="10.109375" style="549" bestFit="1" customWidth="1"/>
    <col min="9738" max="9738" width="11.44140625" style="549" bestFit="1" customWidth="1"/>
    <col min="9739" max="9739" width="12" style="549" bestFit="1" customWidth="1"/>
    <col min="9740" max="9985" width="9.109375" style="549"/>
    <col min="9986" max="9986" width="12.109375" style="549" bestFit="1" customWidth="1"/>
    <col min="9987" max="9987" width="12.88671875" style="549" bestFit="1" customWidth="1"/>
    <col min="9988" max="9988" width="8.109375" style="549" bestFit="1" customWidth="1"/>
    <col min="9989" max="9989" width="9.109375" style="549" bestFit="1"/>
    <col min="9990" max="9990" width="10.44140625" style="549" bestFit="1" customWidth="1"/>
    <col min="9991" max="9991" width="11.44140625" style="549" bestFit="1" customWidth="1"/>
    <col min="9992" max="9992" width="12.33203125" style="549" bestFit="1" customWidth="1"/>
    <col min="9993" max="9993" width="10.109375" style="549" bestFit="1" customWidth="1"/>
    <col min="9994" max="9994" width="11.44140625" style="549" bestFit="1" customWidth="1"/>
    <col min="9995" max="9995" width="12" style="549" bestFit="1" customWidth="1"/>
    <col min="9996" max="10241" width="9.109375" style="549"/>
    <col min="10242" max="10242" width="12.109375" style="549" bestFit="1" customWidth="1"/>
    <col min="10243" max="10243" width="12.88671875" style="549" bestFit="1" customWidth="1"/>
    <col min="10244" max="10244" width="8.109375" style="549" bestFit="1" customWidth="1"/>
    <col min="10245" max="10245" width="9.109375" style="549" bestFit="1"/>
    <col min="10246" max="10246" width="10.44140625" style="549" bestFit="1" customWidth="1"/>
    <col min="10247" max="10247" width="11.44140625" style="549" bestFit="1" customWidth="1"/>
    <col min="10248" max="10248" width="12.33203125" style="549" bestFit="1" customWidth="1"/>
    <col min="10249" max="10249" width="10.109375" style="549" bestFit="1" customWidth="1"/>
    <col min="10250" max="10250" width="11.44140625" style="549" bestFit="1" customWidth="1"/>
    <col min="10251" max="10251" width="12" style="549" bestFit="1" customWidth="1"/>
    <col min="10252" max="10497" width="9.109375" style="549"/>
    <col min="10498" max="10498" width="12.109375" style="549" bestFit="1" customWidth="1"/>
    <col min="10499" max="10499" width="12.88671875" style="549" bestFit="1" customWidth="1"/>
    <col min="10500" max="10500" width="8.109375" style="549" bestFit="1" customWidth="1"/>
    <col min="10501" max="10501" width="9.109375" style="549" bestFit="1"/>
    <col min="10502" max="10502" width="10.44140625" style="549" bestFit="1" customWidth="1"/>
    <col min="10503" max="10503" width="11.44140625" style="549" bestFit="1" customWidth="1"/>
    <col min="10504" max="10504" width="12.33203125" style="549" bestFit="1" customWidth="1"/>
    <col min="10505" max="10505" width="10.109375" style="549" bestFit="1" customWidth="1"/>
    <col min="10506" max="10506" width="11.44140625" style="549" bestFit="1" customWidth="1"/>
    <col min="10507" max="10507" width="12" style="549" bestFit="1" customWidth="1"/>
    <col min="10508" max="10753" width="9.109375" style="549"/>
    <col min="10754" max="10754" width="12.109375" style="549" bestFit="1" customWidth="1"/>
    <col min="10755" max="10755" width="12.88671875" style="549" bestFit="1" customWidth="1"/>
    <col min="10756" max="10756" width="8.109375" style="549" bestFit="1" customWidth="1"/>
    <col min="10757" max="10757" width="9.109375" style="549" bestFit="1"/>
    <col min="10758" max="10758" width="10.44140625" style="549" bestFit="1" customWidth="1"/>
    <col min="10759" max="10759" width="11.44140625" style="549" bestFit="1" customWidth="1"/>
    <col min="10760" max="10760" width="12.33203125" style="549" bestFit="1" customWidth="1"/>
    <col min="10761" max="10761" width="10.109375" style="549" bestFit="1" customWidth="1"/>
    <col min="10762" max="10762" width="11.44140625" style="549" bestFit="1" customWidth="1"/>
    <col min="10763" max="10763" width="12" style="549" bestFit="1" customWidth="1"/>
    <col min="10764" max="11009" width="9.109375" style="549"/>
    <col min="11010" max="11010" width="12.109375" style="549" bestFit="1" customWidth="1"/>
    <col min="11011" max="11011" width="12.88671875" style="549" bestFit="1" customWidth="1"/>
    <col min="11012" max="11012" width="8.109375" style="549" bestFit="1" customWidth="1"/>
    <col min="11013" max="11013" width="9.109375" style="549" bestFit="1"/>
    <col min="11014" max="11014" width="10.44140625" style="549" bestFit="1" customWidth="1"/>
    <col min="11015" max="11015" width="11.44140625" style="549" bestFit="1" customWidth="1"/>
    <col min="11016" max="11016" width="12.33203125" style="549" bestFit="1" customWidth="1"/>
    <col min="11017" max="11017" width="10.109375" style="549" bestFit="1" customWidth="1"/>
    <col min="11018" max="11018" width="11.44140625" style="549" bestFit="1" customWidth="1"/>
    <col min="11019" max="11019" width="12" style="549" bestFit="1" customWidth="1"/>
    <col min="11020" max="11265" width="9.109375" style="549"/>
    <col min="11266" max="11266" width="12.109375" style="549" bestFit="1" customWidth="1"/>
    <col min="11267" max="11267" width="12.88671875" style="549" bestFit="1" customWidth="1"/>
    <col min="11268" max="11268" width="8.109375" style="549" bestFit="1" customWidth="1"/>
    <col min="11269" max="11269" width="9.109375" style="549" bestFit="1"/>
    <col min="11270" max="11270" width="10.44140625" style="549" bestFit="1" customWidth="1"/>
    <col min="11271" max="11271" width="11.44140625" style="549" bestFit="1" customWidth="1"/>
    <col min="11272" max="11272" width="12.33203125" style="549" bestFit="1" customWidth="1"/>
    <col min="11273" max="11273" width="10.109375" style="549" bestFit="1" customWidth="1"/>
    <col min="11274" max="11274" width="11.44140625" style="549" bestFit="1" customWidth="1"/>
    <col min="11275" max="11275" width="12" style="549" bestFit="1" customWidth="1"/>
    <col min="11276" max="11521" width="9.109375" style="549"/>
    <col min="11522" max="11522" width="12.109375" style="549" bestFit="1" customWidth="1"/>
    <col min="11523" max="11523" width="12.88671875" style="549" bestFit="1" customWidth="1"/>
    <col min="11524" max="11524" width="8.109375" style="549" bestFit="1" customWidth="1"/>
    <col min="11525" max="11525" width="9.109375" style="549" bestFit="1"/>
    <col min="11526" max="11526" width="10.44140625" style="549" bestFit="1" customWidth="1"/>
    <col min="11527" max="11527" width="11.44140625" style="549" bestFit="1" customWidth="1"/>
    <col min="11528" max="11528" width="12.33203125" style="549" bestFit="1" customWidth="1"/>
    <col min="11529" max="11529" width="10.109375" style="549" bestFit="1" customWidth="1"/>
    <col min="11530" max="11530" width="11.44140625" style="549" bestFit="1" customWidth="1"/>
    <col min="11531" max="11531" width="12" style="549" bestFit="1" customWidth="1"/>
    <col min="11532" max="11777" width="9.109375" style="549"/>
    <col min="11778" max="11778" width="12.109375" style="549" bestFit="1" customWidth="1"/>
    <col min="11779" max="11779" width="12.88671875" style="549" bestFit="1" customWidth="1"/>
    <col min="11780" max="11780" width="8.109375" style="549" bestFit="1" customWidth="1"/>
    <col min="11781" max="11781" width="9.109375" style="549" bestFit="1"/>
    <col min="11782" max="11782" width="10.44140625" style="549" bestFit="1" customWidth="1"/>
    <col min="11783" max="11783" width="11.44140625" style="549" bestFit="1" customWidth="1"/>
    <col min="11784" max="11784" width="12.33203125" style="549" bestFit="1" customWidth="1"/>
    <col min="11785" max="11785" width="10.109375" style="549" bestFit="1" customWidth="1"/>
    <col min="11786" max="11786" width="11.44140625" style="549" bestFit="1" customWidth="1"/>
    <col min="11787" max="11787" width="12" style="549" bestFit="1" customWidth="1"/>
    <col min="11788" max="12033" width="9.109375" style="549"/>
    <col min="12034" max="12034" width="12.109375" style="549" bestFit="1" customWidth="1"/>
    <col min="12035" max="12035" width="12.88671875" style="549" bestFit="1" customWidth="1"/>
    <col min="12036" max="12036" width="8.109375" style="549" bestFit="1" customWidth="1"/>
    <col min="12037" max="12037" width="9.109375" style="549" bestFit="1"/>
    <col min="12038" max="12038" width="10.44140625" style="549" bestFit="1" customWidth="1"/>
    <col min="12039" max="12039" width="11.44140625" style="549" bestFit="1" customWidth="1"/>
    <col min="12040" max="12040" width="12.33203125" style="549" bestFit="1" customWidth="1"/>
    <col min="12041" max="12041" width="10.109375" style="549" bestFit="1" customWidth="1"/>
    <col min="12042" max="12042" width="11.44140625" style="549" bestFit="1" customWidth="1"/>
    <col min="12043" max="12043" width="12" style="549" bestFit="1" customWidth="1"/>
    <col min="12044" max="12289" width="9.109375" style="549"/>
    <col min="12290" max="12290" width="12.109375" style="549" bestFit="1" customWidth="1"/>
    <col min="12291" max="12291" width="12.88671875" style="549" bestFit="1" customWidth="1"/>
    <col min="12292" max="12292" width="8.109375" style="549" bestFit="1" customWidth="1"/>
    <col min="12293" max="12293" width="9.109375" style="549" bestFit="1"/>
    <col min="12294" max="12294" width="10.44140625" style="549" bestFit="1" customWidth="1"/>
    <col min="12295" max="12295" width="11.44140625" style="549" bestFit="1" customWidth="1"/>
    <col min="12296" max="12296" width="12.33203125" style="549" bestFit="1" customWidth="1"/>
    <col min="12297" max="12297" width="10.109375" style="549" bestFit="1" customWidth="1"/>
    <col min="12298" max="12298" width="11.44140625" style="549" bestFit="1" customWidth="1"/>
    <col min="12299" max="12299" width="12" style="549" bestFit="1" customWidth="1"/>
    <col min="12300" max="12545" width="9.109375" style="549"/>
    <col min="12546" max="12546" width="12.109375" style="549" bestFit="1" customWidth="1"/>
    <col min="12547" max="12547" width="12.88671875" style="549" bestFit="1" customWidth="1"/>
    <col min="12548" max="12548" width="8.109375" style="549" bestFit="1" customWidth="1"/>
    <col min="12549" max="12549" width="9.109375" style="549" bestFit="1"/>
    <col min="12550" max="12550" width="10.44140625" style="549" bestFit="1" customWidth="1"/>
    <col min="12551" max="12551" width="11.44140625" style="549" bestFit="1" customWidth="1"/>
    <col min="12552" max="12552" width="12.33203125" style="549" bestFit="1" customWidth="1"/>
    <col min="12553" max="12553" width="10.109375" style="549" bestFit="1" customWidth="1"/>
    <col min="12554" max="12554" width="11.44140625" style="549" bestFit="1" customWidth="1"/>
    <col min="12555" max="12555" width="12" style="549" bestFit="1" customWidth="1"/>
    <col min="12556" max="12801" width="9.109375" style="549"/>
    <col min="12802" max="12802" width="12.109375" style="549" bestFit="1" customWidth="1"/>
    <col min="12803" max="12803" width="12.88671875" style="549" bestFit="1" customWidth="1"/>
    <col min="12804" max="12804" width="8.109375" style="549" bestFit="1" customWidth="1"/>
    <col min="12805" max="12805" width="9.109375" style="549" bestFit="1"/>
    <col min="12806" max="12806" width="10.44140625" style="549" bestFit="1" customWidth="1"/>
    <col min="12807" max="12807" width="11.44140625" style="549" bestFit="1" customWidth="1"/>
    <col min="12808" max="12808" width="12.33203125" style="549" bestFit="1" customWidth="1"/>
    <col min="12809" max="12809" width="10.109375" style="549" bestFit="1" customWidth="1"/>
    <col min="12810" max="12810" width="11.44140625" style="549" bestFit="1" customWidth="1"/>
    <col min="12811" max="12811" width="12" style="549" bestFit="1" customWidth="1"/>
    <col min="12812" max="13057" width="9.109375" style="549"/>
    <col min="13058" max="13058" width="12.109375" style="549" bestFit="1" customWidth="1"/>
    <col min="13059" max="13059" width="12.88671875" style="549" bestFit="1" customWidth="1"/>
    <col min="13060" max="13060" width="8.109375" style="549" bestFit="1" customWidth="1"/>
    <col min="13061" max="13061" width="9.109375" style="549" bestFit="1"/>
    <col min="13062" max="13062" width="10.44140625" style="549" bestFit="1" customWidth="1"/>
    <col min="13063" max="13063" width="11.44140625" style="549" bestFit="1" customWidth="1"/>
    <col min="13064" max="13064" width="12.33203125" style="549" bestFit="1" customWidth="1"/>
    <col min="13065" max="13065" width="10.109375" style="549" bestFit="1" customWidth="1"/>
    <col min="13066" max="13066" width="11.44140625" style="549" bestFit="1" customWidth="1"/>
    <col min="13067" max="13067" width="12" style="549" bestFit="1" customWidth="1"/>
    <col min="13068" max="13313" width="9.109375" style="549"/>
    <col min="13314" max="13314" width="12.109375" style="549" bestFit="1" customWidth="1"/>
    <col min="13315" max="13315" width="12.88671875" style="549" bestFit="1" customWidth="1"/>
    <col min="13316" max="13316" width="8.109375" style="549" bestFit="1" customWidth="1"/>
    <col min="13317" max="13317" width="9.109375" style="549" bestFit="1"/>
    <col min="13318" max="13318" width="10.44140625" style="549" bestFit="1" customWidth="1"/>
    <col min="13319" max="13319" width="11.44140625" style="549" bestFit="1" customWidth="1"/>
    <col min="13320" max="13320" width="12.33203125" style="549" bestFit="1" customWidth="1"/>
    <col min="13321" max="13321" width="10.109375" style="549" bestFit="1" customWidth="1"/>
    <col min="13322" max="13322" width="11.44140625" style="549" bestFit="1" customWidth="1"/>
    <col min="13323" max="13323" width="12" style="549" bestFit="1" customWidth="1"/>
    <col min="13324" max="13569" width="9.109375" style="549"/>
    <col min="13570" max="13570" width="12.109375" style="549" bestFit="1" customWidth="1"/>
    <col min="13571" max="13571" width="12.88671875" style="549" bestFit="1" customWidth="1"/>
    <col min="13572" max="13572" width="8.109375" style="549" bestFit="1" customWidth="1"/>
    <col min="13573" max="13573" width="9.109375" style="549" bestFit="1"/>
    <col min="13574" max="13574" width="10.44140625" style="549" bestFit="1" customWidth="1"/>
    <col min="13575" max="13575" width="11.44140625" style="549" bestFit="1" customWidth="1"/>
    <col min="13576" max="13576" width="12.33203125" style="549" bestFit="1" customWidth="1"/>
    <col min="13577" max="13577" width="10.109375" style="549" bestFit="1" customWidth="1"/>
    <col min="13578" max="13578" width="11.44140625" style="549" bestFit="1" customWidth="1"/>
    <col min="13579" max="13579" width="12" style="549" bestFit="1" customWidth="1"/>
    <col min="13580" max="13825" width="9.109375" style="549"/>
    <col min="13826" max="13826" width="12.109375" style="549" bestFit="1" customWidth="1"/>
    <col min="13827" max="13827" width="12.88671875" style="549" bestFit="1" customWidth="1"/>
    <col min="13828" max="13828" width="8.109375" style="549" bestFit="1" customWidth="1"/>
    <col min="13829" max="13829" width="9.109375" style="549" bestFit="1"/>
    <col min="13830" max="13830" width="10.44140625" style="549" bestFit="1" customWidth="1"/>
    <col min="13831" max="13831" width="11.44140625" style="549" bestFit="1" customWidth="1"/>
    <col min="13832" max="13832" width="12.33203125" style="549" bestFit="1" customWidth="1"/>
    <col min="13833" max="13833" width="10.109375" style="549" bestFit="1" customWidth="1"/>
    <col min="13834" max="13834" width="11.44140625" style="549" bestFit="1" customWidth="1"/>
    <col min="13835" max="13835" width="12" style="549" bestFit="1" customWidth="1"/>
    <col min="13836" max="14081" width="9.109375" style="549"/>
    <col min="14082" max="14082" width="12.109375" style="549" bestFit="1" customWidth="1"/>
    <col min="14083" max="14083" width="12.88671875" style="549" bestFit="1" customWidth="1"/>
    <col min="14084" max="14084" width="8.109375" style="549" bestFit="1" customWidth="1"/>
    <col min="14085" max="14085" width="9.109375" style="549" bestFit="1"/>
    <col min="14086" max="14086" width="10.44140625" style="549" bestFit="1" customWidth="1"/>
    <col min="14087" max="14087" width="11.44140625" style="549" bestFit="1" customWidth="1"/>
    <col min="14088" max="14088" width="12.33203125" style="549" bestFit="1" customWidth="1"/>
    <col min="14089" max="14089" width="10.109375" style="549" bestFit="1" customWidth="1"/>
    <col min="14090" max="14090" width="11.44140625" style="549" bestFit="1" customWidth="1"/>
    <col min="14091" max="14091" width="12" style="549" bestFit="1" customWidth="1"/>
    <col min="14092" max="14337" width="9.109375" style="549"/>
    <col min="14338" max="14338" width="12.109375" style="549" bestFit="1" customWidth="1"/>
    <col min="14339" max="14339" width="12.88671875" style="549" bestFit="1" customWidth="1"/>
    <col min="14340" max="14340" width="8.109375" style="549" bestFit="1" customWidth="1"/>
    <col min="14341" max="14341" width="9.109375" style="549" bestFit="1"/>
    <col min="14342" max="14342" width="10.44140625" style="549" bestFit="1" customWidth="1"/>
    <col min="14343" max="14343" width="11.44140625" style="549" bestFit="1" customWidth="1"/>
    <col min="14344" max="14344" width="12.33203125" style="549" bestFit="1" customWidth="1"/>
    <col min="14345" max="14345" width="10.109375" style="549" bestFit="1" customWidth="1"/>
    <col min="14346" max="14346" width="11.44140625" style="549" bestFit="1" customWidth="1"/>
    <col min="14347" max="14347" width="12" style="549" bestFit="1" customWidth="1"/>
    <col min="14348" max="14593" width="9.109375" style="549"/>
    <col min="14594" max="14594" width="12.109375" style="549" bestFit="1" customWidth="1"/>
    <col min="14595" max="14595" width="12.88671875" style="549" bestFit="1" customWidth="1"/>
    <col min="14596" max="14596" width="8.109375" style="549" bestFit="1" customWidth="1"/>
    <col min="14597" max="14597" width="9.109375" style="549" bestFit="1"/>
    <col min="14598" max="14598" width="10.44140625" style="549" bestFit="1" customWidth="1"/>
    <col min="14599" max="14599" width="11.44140625" style="549" bestFit="1" customWidth="1"/>
    <col min="14600" max="14600" width="12.33203125" style="549" bestFit="1" customWidth="1"/>
    <col min="14601" max="14601" width="10.109375" style="549" bestFit="1" customWidth="1"/>
    <col min="14602" max="14602" width="11.44140625" style="549" bestFit="1" customWidth="1"/>
    <col min="14603" max="14603" width="12" style="549" bestFit="1" customWidth="1"/>
    <col min="14604" max="14849" width="9.109375" style="549"/>
    <col min="14850" max="14850" width="12.109375" style="549" bestFit="1" customWidth="1"/>
    <col min="14851" max="14851" width="12.88671875" style="549" bestFit="1" customWidth="1"/>
    <col min="14852" max="14852" width="8.109375" style="549" bestFit="1" customWidth="1"/>
    <col min="14853" max="14853" width="9.109375" style="549" bestFit="1"/>
    <col min="14854" max="14854" width="10.44140625" style="549" bestFit="1" customWidth="1"/>
    <col min="14855" max="14855" width="11.44140625" style="549" bestFit="1" customWidth="1"/>
    <col min="14856" max="14856" width="12.33203125" style="549" bestFit="1" customWidth="1"/>
    <col min="14857" max="14857" width="10.109375" style="549" bestFit="1" customWidth="1"/>
    <col min="14858" max="14858" width="11.44140625" style="549" bestFit="1" customWidth="1"/>
    <col min="14859" max="14859" width="12" style="549" bestFit="1" customWidth="1"/>
    <col min="14860" max="15105" width="9.109375" style="549"/>
    <col min="15106" max="15106" width="12.109375" style="549" bestFit="1" customWidth="1"/>
    <col min="15107" max="15107" width="12.88671875" style="549" bestFit="1" customWidth="1"/>
    <col min="15108" max="15108" width="8.109375" style="549" bestFit="1" customWidth="1"/>
    <col min="15109" max="15109" width="9.109375" style="549" bestFit="1"/>
    <col min="15110" max="15110" width="10.44140625" style="549" bestFit="1" customWidth="1"/>
    <col min="15111" max="15111" width="11.44140625" style="549" bestFit="1" customWidth="1"/>
    <col min="15112" max="15112" width="12.33203125" style="549" bestFit="1" customWidth="1"/>
    <col min="15113" max="15113" width="10.109375" style="549" bestFit="1" customWidth="1"/>
    <col min="15114" max="15114" width="11.44140625" style="549" bestFit="1" customWidth="1"/>
    <col min="15115" max="15115" width="12" style="549" bestFit="1" customWidth="1"/>
    <col min="15116" max="15361" width="9.109375" style="549"/>
    <col min="15362" max="15362" width="12.109375" style="549" bestFit="1" customWidth="1"/>
    <col min="15363" max="15363" width="12.88671875" style="549" bestFit="1" customWidth="1"/>
    <col min="15364" max="15364" width="8.109375" style="549" bestFit="1" customWidth="1"/>
    <col min="15365" max="15365" width="9.109375" style="549" bestFit="1"/>
    <col min="15366" max="15366" width="10.44140625" style="549" bestFit="1" customWidth="1"/>
    <col min="15367" max="15367" width="11.44140625" style="549" bestFit="1" customWidth="1"/>
    <col min="15368" max="15368" width="12.33203125" style="549" bestFit="1" customWidth="1"/>
    <col min="15369" max="15369" width="10.109375" style="549" bestFit="1" customWidth="1"/>
    <col min="15370" max="15370" width="11.44140625" style="549" bestFit="1" customWidth="1"/>
    <col min="15371" max="15371" width="12" style="549" bestFit="1" customWidth="1"/>
    <col min="15372" max="15617" width="9.109375" style="549"/>
    <col min="15618" max="15618" width="12.109375" style="549" bestFit="1" customWidth="1"/>
    <col min="15619" max="15619" width="12.88671875" style="549" bestFit="1" customWidth="1"/>
    <col min="15620" max="15620" width="8.109375" style="549" bestFit="1" customWidth="1"/>
    <col min="15621" max="15621" width="9.109375" style="549" bestFit="1"/>
    <col min="15622" max="15622" width="10.44140625" style="549" bestFit="1" customWidth="1"/>
    <col min="15623" max="15623" width="11.44140625" style="549" bestFit="1" customWidth="1"/>
    <col min="15624" max="15624" width="12.33203125" style="549" bestFit="1" customWidth="1"/>
    <col min="15625" max="15625" width="10.109375" style="549" bestFit="1" customWidth="1"/>
    <col min="15626" max="15626" width="11.44140625" style="549" bestFit="1" customWidth="1"/>
    <col min="15627" max="15627" width="12" style="549" bestFit="1" customWidth="1"/>
    <col min="15628" max="15873" width="9.109375" style="549"/>
    <col min="15874" max="15874" width="12.109375" style="549" bestFit="1" customWidth="1"/>
    <col min="15875" max="15875" width="12.88671875" style="549" bestFit="1" customWidth="1"/>
    <col min="15876" max="15876" width="8.109375" style="549" bestFit="1" customWidth="1"/>
    <col min="15877" max="15877" width="9.109375" style="549" bestFit="1"/>
    <col min="15878" max="15878" width="10.44140625" style="549" bestFit="1" customWidth="1"/>
    <col min="15879" max="15879" width="11.44140625" style="549" bestFit="1" customWidth="1"/>
    <col min="15880" max="15880" width="12.33203125" style="549" bestFit="1" customWidth="1"/>
    <col min="15881" max="15881" width="10.109375" style="549" bestFit="1" customWidth="1"/>
    <col min="15882" max="15882" width="11.44140625" style="549" bestFit="1" customWidth="1"/>
    <col min="15883" max="15883" width="12" style="549" bestFit="1" customWidth="1"/>
    <col min="15884" max="16129" width="9.109375" style="549"/>
    <col min="16130" max="16130" width="12.109375" style="549" bestFit="1" customWidth="1"/>
    <col min="16131" max="16131" width="12.88671875" style="549" bestFit="1" customWidth="1"/>
    <col min="16132" max="16132" width="8.109375" style="549" bestFit="1" customWidth="1"/>
    <col min="16133" max="16133" width="9.109375" style="549" bestFit="1"/>
    <col min="16134" max="16134" width="10.44140625" style="549" bestFit="1" customWidth="1"/>
    <col min="16135" max="16135" width="11.44140625" style="549" bestFit="1" customWidth="1"/>
    <col min="16136" max="16136" width="12.33203125" style="549" bestFit="1" customWidth="1"/>
    <col min="16137" max="16137" width="10.109375" style="549" bestFit="1" customWidth="1"/>
    <col min="16138" max="16138" width="11.44140625" style="549" bestFit="1" customWidth="1"/>
    <col min="16139" max="16139" width="12" style="549" bestFit="1" customWidth="1"/>
    <col min="16140" max="16384" width="9.109375" style="549"/>
  </cols>
  <sheetData>
    <row r="3" spans="1:11" ht="12.75" customHeight="1">
      <c r="A3" s="852" t="s">
        <v>1408</v>
      </c>
      <c r="B3" s="1513" t="s">
        <v>1364</v>
      </c>
      <c r="C3" s="1513" t="s">
        <v>1428</v>
      </c>
      <c r="D3" s="1513" t="s">
        <v>1362</v>
      </c>
      <c r="E3" s="1513" t="s">
        <v>1429</v>
      </c>
      <c r="F3" s="1513" t="s">
        <v>1430</v>
      </c>
      <c r="G3" s="1513" t="s">
        <v>1431</v>
      </c>
      <c r="H3" s="1513" t="s">
        <v>1432</v>
      </c>
      <c r="I3" s="1513" t="s">
        <v>1433</v>
      </c>
      <c r="J3" s="1513" t="s">
        <v>1434</v>
      </c>
      <c r="K3" s="1514" t="s">
        <v>1435</v>
      </c>
    </row>
    <row r="4" spans="1:11" ht="12.75" customHeight="1">
      <c r="A4" s="549" t="s">
        <v>1377</v>
      </c>
      <c r="B4" s="1515">
        <v>2010</v>
      </c>
      <c r="C4" s="1516" t="s">
        <v>1436</v>
      </c>
      <c r="D4" s="1515">
        <v>1</v>
      </c>
      <c r="E4" s="1517">
        <v>315.10589716609195</v>
      </c>
      <c r="F4" s="1517">
        <v>308.80377922277012</v>
      </c>
      <c r="G4" s="1517">
        <v>122.89129989477587</v>
      </c>
      <c r="H4" s="1518">
        <v>100.09906731200189</v>
      </c>
      <c r="I4" s="1386">
        <f>+E4/$H4</f>
        <v>3.1479403917314093</v>
      </c>
      <c r="J4" s="1386">
        <f>+F4/$H4</f>
        <v>3.0849815838967811</v>
      </c>
      <c r="K4" s="1386">
        <f>+G4/$H4</f>
        <v>1.2276967527752498</v>
      </c>
    </row>
    <row r="5" spans="1:11" ht="12.75" customHeight="1">
      <c r="A5" s="549" t="s">
        <v>1377</v>
      </c>
      <c r="B5" s="1515">
        <v>2020</v>
      </c>
      <c r="C5" s="1516" t="s">
        <v>1436</v>
      </c>
      <c r="D5" s="1515">
        <v>1</v>
      </c>
      <c r="E5" s="1517">
        <v>340.02034028303854</v>
      </c>
      <c r="F5" s="1517">
        <v>333.21993347737788</v>
      </c>
      <c r="G5" s="1517">
        <v>132.60793271038509</v>
      </c>
      <c r="H5" s="1518">
        <v>106.74319072675813</v>
      </c>
      <c r="I5" s="1386">
        <f t="shared" ref="I5:K39" si="0">+E5/$H5</f>
        <v>3.1854054386796875</v>
      </c>
      <c r="J5" s="1386">
        <f t="shared" si="0"/>
        <v>3.1216973299060951</v>
      </c>
      <c r="K5" s="1386">
        <f t="shared" si="0"/>
        <v>1.2423081210850786</v>
      </c>
    </row>
    <row r="6" spans="1:11" ht="12.75" customHeight="1">
      <c r="A6" s="549" t="s">
        <v>1377</v>
      </c>
      <c r="B6" s="1515">
        <v>2030</v>
      </c>
      <c r="C6" s="1516" t="s">
        <v>1436</v>
      </c>
      <c r="D6" s="1515">
        <v>1</v>
      </c>
      <c r="E6" s="1517">
        <v>361.03633338343059</v>
      </c>
      <c r="F6" s="1517">
        <v>353.8156067157621</v>
      </c>
      <c r="G6" s="1517">
        <v>140.80417001953799</v>
      </c>
      <c r="H6" s="1518">
        <v>113.83501816594149</v>
      </c>
      <c r="I6" s="1386">
        <f t="shared" si="0"/>
        <v>3.1715753131179252</v>
      </c>
      <c r="J6" s="1386">
        <f t="shared" si="0"/>
        <v>3.1081438068555678</v>
      </c>
      <c r="K6" s="1386">
        <f t="shared" si="0"/>
        <v>1.2369143721159914</v>
      </c>
    </row>
    <row r="7" spans="1:11" ht="12.75" customHeight="1">
      <c r="A7" s="549" t="s">
        <v>1379</v>
      </c>
      <c r="B7" s="1515">
        <v>2010</v>
      </c>
      <c r="C7" s="1516" t="s">
        <v>1436</v>
      </c>
      <c r="D7" s="1515">
        <v>2</v>
      </c>
      <c r="E7" s="1517">
        <v>111.71065841958445</v>
      </c>
      <c r="F7" s="1517">
        <v>109.47644525119274</v>
      </c>
      <c r="G7" s="1517">
        <v>43.567156783637934</v>
      </c>
      <c r="H7" s="1518">
        <v>24.202847814588509</v>
      </c>
      <c r="I7" s="1386">
        <f t="shared" si="0"/>
        <v>4.6155997540194313</v>
      </c>
      <c r="J7" s="1386">
        <f t="shared" si="0"/>
        <v>4.5232877589390421</v>
      </c>
      <c r="K7" s="1386">
        <f t="shared" si="0"/>
        <v>1.800083904067578</v>
      </c>
    </row>
    <row r="8" spans="1:11" ht="12.75" customHeight="1">
      <c r="A8" s="549" t="s">
        <v>1379</v>
      </c>
      <c r="B8" s="1515">
        <v>2020</v>
      </c>
      <c r="C8" s="1516" t="s">
        <v>1436</v>
      </c>
      <c r="D8" s="1515">
        <v>2</v>
      </c>
      <c r="E8" s="1517">
        <v>103.58687197097969</v>
      </c>
      <c r="F8" s="1517">
        <v>101.51513453156008</v>
      </c>
      <c r="G8" s="1517">
        <v>40.398880068682075</v>
      </c>
      <c r="H8" s="1518">
        <v>22.31108449401896</v>
      </c>
      <c r="I8" s="1386">
        <f t="shared" si="0"/>
        <v>4.6428434260445171</v>
      </c>
      <c r="J8" s="1386">
        <f t="shared" si="0"/>
        <v>4.549986557523626</v>
      </c>
      <c r="K8" s="1386">
        <f t="shared" si="0"/>
        <v>1.8107089361573614</v>
      </c>
    </row>
    <row r="9" spans="1:11" ht="12.75" customHeight="1">
      <c r="A9" s="549" t="s">
        <v>1379</v>
      </c>
      <c r="B9" s="1515">
        <v>2030</v>
      </c>
      <c r="C9" s="1516" t="s">
        <v>1436</v>
      </c>
      <c r="D9" s="1515">
        <v>2</v>
      </c>
      <c r="E9" s="1517">
        <v>113.59358643517618</v>
      </c>
      <c r="F9" s="1517">
        <v>111.32171470647263</v>
      </c>
      <c r="G9" s="1517">
        <v>44.301498709718707</v>
      </c>
      <c r="H9" s="1518">
        <v>24.563947990370806</v>
      </c>
      <c r="I9" s="1386">
        <f t="shared" si="0"/>
        <v>4.6244026603421178</v>
      </c>
      <c r="J9" s="1386">
        <f t="shared" si="0"/>
        <v>4.5319146071352749</v>
      </c>
      <c r="K9" s="1386">
        <f t="shared" si="0"/>
        <v>1.803517037533426</v>
      </c>
    </row>
    <row r="10" spans="1:11" ht="12.75" customHeight="1">
      <c r="A10" s="549" t="s">
        <v>1437</v>
      </c>
      <c r="B10" s="1515">
        <v>2010</v>
      </c>
      <c r="C10" s="1516" t="s">
        <v>1436</v>
      </c>
      <c r="D10" s="1515">
        <v>3</v>
      </c>
      <c r="E10" s="1517">
        <v>111.5663547567387</v>
      </c>
      <c r="F10" s="1517">
        <v>109.33502766160396</v>
      </c>
      <c r="G10" s="1517">
        <v>43.510878355128099</v>
      </c>
      <c r="H10" s="1518">
        <v>35.407816759561662</v>
      </c>
      <c r="I10" s="1386">
        <f t="shared" si="0"/>
        <v>3.1508961852783792</v>
      </c>
      <c r="J10" s="1386">
        <f t="shared" si="0"/>
        <v>3.0878782615728126</v>
      </c>
      <c r="K10" s="1386">
        <f t="shared" si="0"/>
        <v>1.2288495122585681</v>
      </c>
    </row>
    <row r="11" spans="1:11" ht="12.75" customHeight="1">
      <c r="A11" s="549" t="s">
        <v>1437</v>
      </c>
      <c r="B11" s="1515">
        <v>2020</v>
      </c>
      <c r="C11" s="1516" t="s">
        <v>1436</v>
      </c>
      <c r="D11" s="1515">
        <v>3</v>
      </c>
      <c r="E11" s="1517">
        <v>123.47413490477267</v>
      </c>
      <c r="F11" s="1517">
        <v>121.00465220667722</v>
      </c>
      <c r="G11" s="1517">
        <v>48.154912612861352</v>
      </c>
      <c r="H11" s="1518">
        <v>38.509934287176478</v>
      </c>
      <c r="I11" s="1386">
        <f t="shared" si="0"/>
        <v>3.2062930563319254</v>
      </c>
      <c r="J11" s="1386">
        <f t="shared" si="0"/>
        <v>3.1421671952052868</v>
      </c>
      <c r="K11" s="1386">
        <f t="shared" si="0"/>
        <v>1.2504542919694512</v>
      </c>
    </row>
    <row r="12" spans="1:11" ht="12.75" customHeight="1">
      <c r="A12" s="549" t="s">
        <v>1437</v>
      </c>
      <c r="B12" s="1515">
        <v>2030</v>
      </c>
      <c r="C12" s="1516" t="s">
        <v>1436</v>
      </c>
      <c r="D12" s="1515">
        <v>3</v>
      </c>
      <c r="E12" s="1517">
        <v>143.8039097635434</v>
      </c>
      <c r="F12" s="1517">
        <v>140.92783156827255</v>
      </c>
      <c r="G12" s="1517">
        <v>56.083524807781934</v>
      </c>
      <c r="H12" s="1518">
        <v>45.288477430009436</v>
      </c>
      <c r="I12" s="1386">
        <f t="shared" si="0"/>
        <v>3.1752869145531228</v>
      </c>
      <c r="J12" s="1386">
        <f t="shared" si="0"/>
        <v>3.1117811762620606</v>
      </c>
      <c r="K12" s="1386">
        <f t="shared" si="0"/>
        <v>1.2383618966757179</v>
      </c>
    </row>
    <row r="13" spans="1:11" ht="12.75" customHeight="1">
      <c r="A13" s="549" t="s">
        <v>1385</v>
      </c>
      <c r="B13" s="1515">
        <v>2010</v>
      </c>
      <c r="C13" s="1516" t="s">
        <v>1436</v>
      </c>
      <c r="D13" s="1515">
        <v>4</v>
      </c>
      <c r="E13" s="1517">
        <v>31.188980066929187</v>
      </c>
      <c r="F13" s="1517">
        <v>30.565200465590596</v>
      </c>
      <c r="G13" s="1517">
        <v>12.163702226102384</v>
      </c>
      <c r="H13" s="1518">
        <v>6.7028187586699497</v>
      </c>
      <c r="I13" s="1386">
        <f t="shared" si="0"/>
        <v>4.6531140390133512</v>
      </c>
      <c r="J13" s="1386">
        <f t="shared" si="0"/>
        <v>4.5600517582330831</v>
      </c>
      <c r="K13" s="1386">
        <f t="shared" si="0"/>
        <v>1.8147144752152071</v>
      </c>
    </row>
    <row r="14" spans="1:11" ht="12.75" customHeight="1">
      <c r="A14" s="549" t="s">
        <v>1385</v>
      </c>
      <c r="B14" s="1515">
        <v>2020</v>
      </c>
      <c r="C14" s="1516" t="s">
        <v>1436</v>
      </c>
      <c r="D14" s="1515">
        <v>4</v>
      </c>
      <c r="E14" s="1517">
        <v>28.217901751849006</v>
      </c>
      <c r="F14" s="1517">
        <v>27.653543716812024</v>
      </c>
      <c r="G14" s="1517">
        <v>11.004981683221112</v>
      </c>
      <c r="H14" s="1518">
        <v>5.9250514841550102</v>
      </c>
      <c r="I14" s="1386">
        <f t="shared" si="0"/>
        <v>4.7624736809984443</v>
      </c>
      <c r="J14" s="1386">
        <f t="shared" si="0"/>
        <v>4.6672242073784753</v>
      </c>
      <c r="K14" s="1386">
        <f t="shared" si="0"/>
        <v>1.8573647355893932</v>
      </c>
    </row>
    <row r="15" spans="1:11" ht="12.75" customHeight="1">
      <c r="A15" s="549" t="s">
        <v>1385</v>
      </c>
      <c r="B15" s="1515">
        <v>2030</v>
      </c>
      <c r="C15" s="1516" t="s">
        <v>1436</v>
      </c>
      <c r="D15" s="1515">
        <v>4</v>
      </c>
      <c r="E15" s="1517">
        <v>26.841958660152617</v>
      </c>
      <c r="F15" s="1517">
        <v>26.305119486949565</v>
      </c>
      <c r="G15" s="1517">
        <v>10.468363877459526</v>
      </c>
      <c r="H15" s="1518">
        <v>5.6276668933228784</v>
      </c>
      <c r="I15" s="1386">
        <f t="shared" si="0"/>
        <v>4.7696424058076534</v>
      </c>
      <c r="J15" s="1386">
        <f t="shared" si="0"/>
        <v>4.6742495576915006</v>
      </c>
      <c r="K15" s="1386">
        <f t="shared" si="0"/>
        <v>1.8601605382649857</v>
      </c>
    </row>
    <row r="16" spans="1:11" ht="12.75" customHeight="1">
      <c r="A16" s="549" t="s">
        <v>1377</v>
      </c>
      <c r="B16" s="1515">
        <v>2010</v>
      </c>
      <c r="C16" s="1516" t="s">
        <v>1438</v>
      </c>
      <c r="D16" s="1515">
        <v>1</v>
      </c>
      <c r="E16" s="1517">
        <v>630.27317590637904</v>
      </c>
      <c r="F16" s="1517">
        <v>315.13658795318952</v>
      </c>
      <c r="G16" s="1517">
        <v>170.17375749472234</v>
      </c>
      <c r="H16" s="1518">
        <v>100.09906731200189</v>
      </c>
      <c r="I16" s="1386">
        <f t="shared" si="0"/>
        <v>6.2964939917158365</v>
      </c>
      <c r="J16" s="1386">
        <f t="shared" si="0"/>
        <v>3.1482469958579182</v>
      </c>
      <c r="K16" s="1386">
        <f t="shared" si="0"/>
        <v>1.700053377763276</v>
      </c>
    </row>
    <row r="17" spans="1:11" ht="12.75" customHeight="1">
      <c r="A17" s="549" t="s">
        <v>1377</v>
      </c>
      <c r="B17" s="1515">
        <v>2020</v>
      </c>
      <c r="C17" s="1516" t="s">
        <v>1438</v>
      </c>
      <c r="D17" s="1515">
        <v>1</v>
      </c>
      <c r="E17" s="1517">
        <v>690.83672644984028</v>
      </c>
      <c r="F17" s="1517">
        <v>345.41836322492014</v>
      </c>
      <c r="G17" s="1517">
        <v>186.52591614145695</v>
      </c>
      <c r="H17" s="1518">
        <v>106.74319072675813</v>
      </c>
      <c r="I17" s="1386">
        <f t="shared" si="0"/>
        <v>6.4719512480964561</v>
      </c>
      <c r="J17" s="1386">
        <f t="shared" si="0"/>
        <v>3.235975624048228</v>
      </c>
      <c r="K17" s="1386">
        <f t="shared" si="0"/>
        <v>1.7474268369860437</v>
      </c>
    </row>
    <row r="18" spans="1:11" ht="12.75" customHeight="1">
      <c r="A18" s="549" t="s">
        <v>1377</v>
      </c>
      <c r="B18" s="1515">
        <v>2030</v>
      </c>
      <c r="C18" s="1516" t="s">
        <v>1438</v>
      </c>
      <c r="D18" s="1515">
        <v>1</v>
      </c>
      <c r="E18" s="1517">
        <v>745.42270211893276</v>
      </c>
      <c r="F18" s="1517">
        <v>372.71135105946638</v>
      </c>
      <c r="G18" s="1517">
        <v>201.26412957211184</v>
      </c>
      <c r="H18" s="1518">
        <v>113.83501816594149</v>
      </c>
      <c r="I18" s="1386">
        <f t="shared" si="0"/>
        <v>6.548272351767034</v>
      </c>
      <c r="J18" s="1386">
        <f t="shared" si="0"/>
        <v>3.274136175883517</v>
      </c>
      <c r="K18" s="1386">
        <f t="shared" si="0"/>
        <v>1.7680335349770993</v>
      </c>
    </row>
    <row r="19" spans="1:11" ht="12.75" customHeight="1">
      <c r="A19" s="549" t="s">
        <v>1379</v>
      </c>
      <c r="B19" s="1515">
        <v>2010</v>
      </c>
      <c r="C19" s="1516" t="s">
        <v>1438</v>
      </c>
      <c r="D19" s="1515">
        <v>2</v>
      </c>
      <c r="E19" s="1517">
        <v>123.41330454801501</v>
      </c>
      <c r="F19" s="1517">
        <v>61.706652274007503</v>
      </c>
      <c r="G19" s="1517">
        <v>33.321592227964047</v>
      </c>
      <c r="H19" s="1518">
        <v>24.202847814588509</v>
      </c>
      <c r="I19" s="1386">
        <f t="shared" si="0"/>
        <v>5.0991232723293995</v>
      </c>
      <c r="J19" s="1386">
        <f t="shared" si="0"/>
        <v>2.5495616361646998</v>
      </c>
      <c r="K19" s="1386">
        <f t="shared" si="0"/>
        <v>1.3767632835289376</v>
      </c>
    </row>
    <row r="20" spans="1:11" ht="12.75" customHeight="1">
      <c r="A20" s="549" t="s">
        <v>1379</v>
      </c>
      <c r="B20" s="1515">
        <v>2020</v>
      </c>
      <c r="C20" s="1516" t="s">
        <v>1438</v>
      </c>
      <c r="D20" s="1515">
        <v>2</v>
      </c>
      <c r="E20" s="1517">
        <v>115.45051627230131</v>
      </c>
      <c r="F20" s="1517">
        <v>57.725258136150657</v>
      </c>
      <c r="G20" s="1517">
        <v>31.17163939352135</v>
      </c>
      <c r="H20" s="1518">
        <v>22.31108449401896</v>
      </c>
      <c r="I20" s="1386">
        <f t="shared" si="0"/>
        <v>5.1745811057840188</v>
      </c>
      <c r="J20" s="1386">
        <f t="shared" si="0"/>
        <v>2.5872905528920094</v>
      </c>
      <c r="K20" s="1386">
        <f t="shared" si="0"/>
        <v>1.397136898561685</v>
      </c>
    </row>
    <row r="21" spans="1:11" ht="12.75" customHeight="1">
      <c r="A21" s="549" t="s">
        <v>1379</v>
      </c>
      <c r="B21" s="1515">
        <v>2030</v>
      </c>
      <c r="C21" s="1516" t="s">
        <v>1438</v>
      </c>
      <c r="D21" s="1515">
        <v>2</v>
      </c>
      <c r="E21" s="1517">
        <v>127.74272197783783</v>
      </c>
      <c r="F21" s="1517">
        <v>63.871360988918916</v>
      </c>
      <c r="G21" s="1517">
        <v>34.490534934016218</v>
      </c>
      <c r="H21" s="1518">
        <v>24.563947990370806</v>
      </c>
      <c r="I21" s="1386">
        <f t="shared" si="0"/>
        <v>5.2004149344361759</v>
      </c>
      <c r="J21" s="1386">
        <f t="shared" si="0"/>
        <v>2.6002074672180879</v>
      </c>
      <c r="K21" s="1386">
        <f t="shared" si="0"/>
        <v>1.4041120322977676</v>
      </c>
    </row>
    <row r="22" spans="1:11" ht="12.75" customHeight="1">
      <c r="A22" s="549" t="s">
        <v>1437</v>
      </c>
      <c r="B22" s="1515">
        <v>2010</v>
      </c>
      <c r="C22" s="1516" t="s">
        <v>1438</v>
      </c>
      <c r="D22" s="1515">
        <v>3</v>
      </c>
      <c r="E22" s="1517">
        <v>244.40925139877234</v>
      </c>
      <c r="F22" s="1517">
        <v>122.20462569938617</v>
      </c>
      <c r="G22" s="1517">
        <v>65.990497877668531</v>
      </c>
      <c r="H22" s="1518">
        <v>35.407816759561662</v>
      </c>
      <c r="I22" s="1386">
        <f t="shared" si="0"/>
        <v>6.9026919411169603</v>
      </c>
      <c r="J22" s="1386">
        <f t="shared" si="0"/>
        <v>3.4513459705584801</v>
      </c>
      <c r="K22" s="1386">
        <f t="shared" si="0"/>
        <v>1.8637268241015794</v>
      </c>
    </row>
    <row r="23" spans="1:11" ht="12.75" customHeight="1">
      <c r="A23" s="549" t="s">
        <v>1437</v>
      </c>
      <c r="B23" s="1515">
        <v>2020</v>
      </c>
      <c r="C23" s="1516" t="s">
        <v>1438</v>
      </c>
      <c r="D23" s="1515">
        <v>3</v>
      </c>
      <c r="E23" s="1517">
        <v>273.58922364571117</v>
      </c>
      <c r="F23" s="1517">
        <v>136.79461182285559</v>
      </c>
      <c r="G23" s="1517">
        <v>73.869090384342059</v>
      </c>
      <c r="H23" s="1518">
        <v>38.509934287176478</v>
      </c>
      <c r="I23" s="1386">
        <f t="shared" si="0"/>
        <v>7.1043804335136027</v>
      </c>
      <c r="J23" s="1386">
        <f t="shared" si="0"/>
        <v>3.5521902167568014</v>
      </c>
      <c r="K23" s="1386">
        <f t="shared" si="0"/>
        <v>1.9181827170486738</v>
      </c>
    </row>
    <row r="24" spans="1:11" ht="12.75" customHeight="1">
      <c r="A24" s="549" t="s">
        <v>1437</v>
      </c>
      <c r="B24" s="1515">
        <v>2030</v>
      </c>
      <c r="C24" s="1516" t="s">
        <v>1438</v>
      </c>
      <c r="D24" s="1515">
        <v>3</v>
      </c>
      <c r="E24" s="1517">
        <v>322.31824281830524</v>
      </c>
      <c r="F24" s="1517">
        <v>161.15912140915262</v>
      </c>
      <c r="G24" s="1517">
        <v>87.02592556094244</v>
      </c>
      <c r="H24" s="1518">
        <v>45.288477430009436</v>
      </c>
      <c r="I24" s="1386">
        <f t="shared" si="0"/>
        <v>7.1170032888923744</v>
      </c>
      <c r="J24" s="1386">
        <f t="shared" si="0"/>
        <v>3.5585016444461872</v>
      </c>
      <c r="K24" s="1386">
        <f t="shared" si="0"/>
        <v>1.9215908880009418</v>
      </c>
    </row>
    <row r="25" spans="1:11" ht="12.75" customHeight="1">
      <c r="A25" s="549" t="s">
        <v>1385</v>
      </c>
      <c r="B25" s="1515">
        <v>2010</v>
      </c>
      <c r="C25" s="1516" t="s">
        <v>1438</v>
      </c>
      <c r="D25" s="1515">
        <v>4</v>
      </c>
      <c r="E25" s="1517">
        <v>50.306055182672075</v>
      </c>
      <c r="F25" s="1517">
        <v>25.153027591336038</v>
      </c>
      <c r="G25" s="1517">
        <v>13.582634899321459</v>
      </c>
      <c r="H25" s="1518">
        <v>6.7028187586699497</v>
      </c>
      <c r="I25" s="1386">
        <f t="shared" si="0"/>
        <v>7.5052089268566737</v>
      </c>
      <c r="J25" s="1386">
        <f t="shared" si="0"/>
        <v>3.7526044634283369</v>
      </c>
      <c r="K25" s="1386">
        <f t="shared" si="0"/>
        <v>2.0264064102513015</v>
      </c>
    </row>
    <row r="26" spans="1:11" ht="12.75" customHeight="1">
      <c r="A26" s="549" t="s">
        <v>1385</v>
      </c>
      <c r="B26" s="1515">
        <v>2020</v>
      </c>
      <c r="C26" s="1516" t="s">
        <v>1438</v>
      </c>
      <c r="D26" s="1515">
        <v>4</v>
      </c>
      <c r="E26" s="1517">
        <v>45.382523218934821</v>
      </c>
      <c r="F26" s="1517">
        <v>22.691261609467411</v>
      </c>
      <c r="G26" s="1517">
        <v>12.253281269112405</v>
      </c>
      <c r="H26" s="1518">
        <v>5.9250514841550102</v>
      </c>
      <c r="I26" s="1386">
        <f t="shared" si="0"/>
        <v>7.6594310345316705</v>
      </c>
      <c r="J26" s="1386">
        <f t="shared" si="0"/>
        <v>3.8297155172658353</v>
      </c>
      <c r="K26" s="1386">
        <f t="shared" si="0"/>
        <v>2.0680463793235515</v>
      </c>
    </row>
    <row r="27" spans="1:11" ht="12.75" customHeight="1">
      <c r="A27" s="549" t="s">
        <v>1385</v>
      </c>
      <c r="B27" s="1515">
        <v>2030</v>
      </c>
      <c r="C27" s="1516" t="s">
        <v>1438</v>
      </c>
      <c r="D27" s="1515">
        <v>4</v>
      </c>
      <c r="E27" s="1517">
        <v>43.330743218224249</v>
      </c>
      <c r="F27" s="1517">
        <v>21.665371609112125</v>
      </c>
      <c r="G27" s="1517">
        <v>11.699300668920545</v>
      </c>
      <c r="H27" s="1518">
        <v>5.6276668933228784</v>
      </c>
      <c r="I27" s="1386">
        <f t="shared" si="0"/>
        <v>7.6995927512403703</v>
      </c>
      <c r="J27" s="1386">
        <f t="shared" si="0"/>
        <v>3.8497963756201852</v>
      </c>
      <c r="K27" s="1386">
        <f t="shared" si="0"/>
        <v>2.0788900428348995</v>
      </c>
    </row>
    <row r="28" spans="1:11" ht="12.75" customHeight="1">
      <c r="A28" s="549" t="s">
        <v>1377</v>
      </c>
      <c r="B28" s="1515">
        <v>2010</v>
      </c>
      <c r="C28" s="1516" t="s">
        <v>1439</v>
      </c>
      <c r="D28" s="1515">
        <v>1</v>
      </c>
      <c r="E28" s="1517">
        <v>455.19729371016274</v>
      </c>
      <c r="F28" s="1517">
        <v>273.11837622609761</v>
      </c>
      <c r="G28" s="1517">
        <v>191.18286335826838</v>
      </c>
      <c r="H28" s="1518">
        <v>100.09906731200189</v>
      </c>
      <c r="I28" s="1386">
        <f t="shared" si="0"/>
        <v>4.5474678829058828</v>
      </c>
      <c r="J28" s="1386">
        <f t="shared" si="0"/>
        <v>2.7284807297435294</v>
      </c>
      <c r="K28" s="1386">
        <f t="shared" si="0"/>
        <v>1.9099365108204711</v>
      </c>
    </row>
    <row r="29" spans="1:11" ht="12.75" customHeight="1">
      <c r="A29" s="549" t="s">
        <v>1377</v>
      </c>
      <c r="B29" s="1515">
        <v>2020</v>
      </c>
      <c r="C29" s="1516" t="s">
        <v>1439</v>
      </c>
      <c r="D29" s="1515">
        <v>1</v>
      </c>
      <c r="E29" s="1517">
        <v>498.93763576932918</v>
      </c>
      <c r="F29" s="1517">
        <v>299.36258146159753</v>
      </c>
      <c r="G29" s="1517">
        <v>209.55380702311831</v>
      </c>
      <c r="H29" s="1518">
        <v>106.74319072675813</v>
      </c>
      <c r="I29" s="1386">
        <f t="shared" si="0"/>
        <v>4.6741870125141078</v>
      </c>
      <c r="J29" s="1386">
        <f t="shared" si="0"/>
        <v>2.804512207508465</v>
      </c>
      <c r="K29" s="1386">
        <f t="shared" si="0"/>
        <v>1.9631585452559257</v>
      </c>
    </row>
    <row r="30" spans="1:11" ht="12.75" customHeight="1">
      <c r="A30" s="549" t="s">
        <v>1377</v>
      </c>
      <c r="B30" s="1515">
        <v>2030</v>
      </c>
      <c r="C30" s="1516" t="s">
        <v>1439</v>
      </c>
      <c r="D30" s="1515">
        <v>1</v>
      </c>
      <c r="E30" s="1517">
        <v>538.36084041922936</v>
      </c>
      <c r="F30" s="1517">
        <v>323.0165042515377</v>
      </c>
      <c r="G30" s="1517">
        <v>226.11155297607633</v>
      </c>
      <c r="H30" s="1518">
        <v>113.83501816594149</v>
      </c>
      <c r="I30" s="1386">
        <f t="shared" si="0"/>
        <v>4.7293078096095265</v>
      </c>
      <c r="J30" s="1386">
        <f t="shared" si="0"/>
        <v>2.8375846857657163</v>
      </c>
      <c r="K30" s="1386">
        <f t="shared" si="0"/>
        <v>1.9863092800360009</v>
      </c>
    </row>
    <row r="31" spans="1:11" ht="12.75" customHeight="1">
      <c r="A31" s="549" t="s">
        <v>1379</v>
      </c>
      <c r="B31" s="1515">
        <v>2010</v>
      </c>
      <c r="C31" s="1516" t="s">
        <v>1439</v>
      </c>
      <c r="D31" s="1515">
        <v>2</v>
      </c>
      <c r="E31" s="1517">
        <v>141.2396707605061</v>
      </c>
      <c r="F31" s="1517">
        <v>84.743802456303655</v>
      </c>
      <c r="G31" s="1517">
        <v>59.320661719412556</v>
      </c>
      <c r="H31" s="1518">
        <v>24.202847814588509</v>
      </c>
      <c r="I31" s="1386">
        <f t="shared" si="0"/>
        <v>5.8356633005547582</v>
      </c>
      <c r="J31" s="1386">
        <f t="shared" si="0"/>
        <v>3.5013979803328548</v>
      </c>
      <c r="K31" s="1386">
        <f t="shared" si="0"/>
        <v>2.4509785862329982</v>
      </c>
    </row>
    <row r="32" spans="1:11" ht="12.75" customHeight="1">
      <c r="A32" s="549" t="s">
        <v>1379</v>
      </c>
      <c r="B32" s="1515">
        <v>2020</v>
      </c>
      <c r="C32" s="1516" t="s">
        <v>1439</v>
      </c>
      <c r="D32" s="1515">
        <v>2</v>
      </c>
      <c r="E32" s="1517">
        <v>132.12670195607819</v>
      </c>
      <c r="F32" s="1517">
        <v>79.276021173646896</v>
      </c>
      <c r="G32" s="1517">
        <v>55.493214821552826</v>
      </c>
      <c r="H32" s="1518">
        <v>22.31108449401896</v>
      </c>
      <c r="I32" s="1386">
        <f t="shared" si="0"/>
        <v>5.9220205988417121</v>
      </c>
      <c r="J32" s="1386">
        <f t="shared" si="0"/>
        <v>3.553212359305026</v>
      </c>
      <c r="K32" s="1386">
        <f t="shared" si="0"/>
        <v>2.4872486515135184</v>
      </c>
    </row>
    <row r="33" spans="1:11" ht="12.75" customHeight="1">
      <c r="A33" s="549" t="s">
        <v>1379</v>
      </c>
      <c r="B33" s="1515">
        <v>2030</v>
      </c>
      <c r="C33" s="1516" t="s">
        <v>1439</v>
      </c>
      <c r="D33" s="1515">
        <v>2</v>
      </c>
      <c r="E33" s="1517">
        <v>146.19444848574781</v>
      </c>
      <c r="F33" s="1517">
        <v>87.716669091448665</v>
      </c>
      <c r="G33" s="1517">
        <v>61.401668364014078</v>
      </c>
      <c r="H33" s="1518">
        <v>24.563947990370806</v>
      </c>
      <c r="I33" s="1386">
        <f t="shared" si="0"/>
        <v>5.9515859805214042</v>
      </c>
      <c r="J33" s="1386">
        <f t="shared" si="0"/>
        <v>3.5709515883128415</v>
      </c>
      <c r="K33" s="1386">
        <f t="shared" si="0"/>
        <v>2.4996661118189896</v>
      </c>
    </row>
    <row r="34" spans="1:11" ht="12.75" customHeight="1">
      <c r="A34" s="549" t="s">
        <v>1437</v>
      </c>
      <c r="B34" s="1515">
        <v>2010</v>
      </c>
      <c r="C34" s="1516" t="s">
        <v>1439</v>
      </c>
      <c r="D34" s="1515">
        <v>3</v>
      </c>
      <c r="E34" s="1517">
        <v>212.67582079900308</v>
      </c>
      <c r="F34" s="1517">
        <v>127.60549247940186</v>
      </c>
      <c r="G34" s="1517">
        <v>89.323844735581304</v>
      </c>
      <c r="H34" s="1518">
        <v>35.407816759561662</v>
      </c>
      <c r="I34" s="1386">
        <f t="shared" si="0"/>
        <v>6.0064652458858898</v>
      </c>
      <c r="J34" s="1386">
        <f t="shared" si="0"/>
        <v>3.6038791475315346</v>
      </c>
      <c r="K34" s="1386">
        <f t="shared" si="0"/>
        <v>2.5227154032720742</v>
      </c>
    </row>
    <row r="35" spans="1:11" ht="12.75" customHeight="1">
      <c r="A35" s="549" t="s">
        <v>1437</v>
      </c>
      <c r="B35" s="1515">
        <v>2020</v>
      </c>
      <c r="C35" s="1516" t="s">
        <v>1439</v>
      </c>
      <c r="D35" s="1515">
        <v>3</v>
      </c>
      <c r="E35" s="1517">
        <v>236.43773397146117</v>
      </c>
      <c r="F35" s="1517">
        <v>141.86264038287669</v>
      </c>
      <c r="G35" s="1517">
        <v>99.303848268013695</v>
      </c>
      <c r="H35" s="1518">
        <v>38.509934287176478</v>
      </c>
      <c r="I35" s="1386">
        <f t="shared" si="0"/>
        <v>6.1396556069999111</v>
      </c>
      <c r="J35" s="1386">
        <f t="shared" si="0"/>
        <v>3.6837933641999463</v>
      </c>
      <c r="K35" s="1386">
        <f t="shared" si="0"/>
        <v>2.5786553549399627</v>
      </c>
    </row>
    <row r="36" spans="1:11" ht="12.75" customHeight="1">
      <c r="A36" s="549" t="s">
        <v>1437</v>
      </c>
      <c r="B36" s="1515">
        <v>2030</v>
      </c>
      <c r="C36" s="1516" t="s">
        <v>1439</v>
      </c>
      <c r="D36" s="1515">
        <v>3</v>
      </c>
      <c r="E36" s="1517">
        <v>279.16683804988753</v>
      </c>
      <c r="F36" s="1517">
        <v>167.50010282993253</v>
      </c>
      <c r="G36" s="1517">
        <v>117.25007198095278</v>
      </c>
      <c r="H36" s="1518">
        <v>45.288477430009436</v>
      </c>
      <c r="I36" s="1386">
        <f t="shared" si="0"/>
        <v>6.1641912886411951</v>
      </c>
      <c r="J36" s="1386">
        <f t="shared" si="0"/>
        <v>3.698514773184717</v>
      </c>
      <c r="K36" s="1386">
        <f t="shared" si="0"/>
        <v>2.5889603412293023</v>
      </c>
    </row>
    <row r="37" spans="1:11" ht="12.75" customHeight="1">
      <c r="A37" s="549" t="s">
        <v>1385</v>
      </c>
      <c r="B37" s="1515">
        <v>2010</v>
      </c>
      <c r="C37" s="1516" t="s">
        <v>1439</v>
      </c>
      <c r="D37" s="1515">
        <v>4</v>
      </c>
      <c r="E37" s="1517">
        <v>40.327596563687152</v>
      </c>
      <c r="F37" s="1517">
        <v>24.196557938212287</v>
      </c>
      <c r="G37" s="1517">
        <v>16.937590556748599</v>
      </c>
      <c r="H37" s="1518">
        <v>6.7028187586699497</v>
      </c>
      <c r="I37" s="1386">
        <f t="shared" si="0"/>
        <v>6.0165130545301242</v>
      </c>
      <c r="J37" s="1386">
        <f t="shared" si="0"/>
        <v>3.6099078327180738</v>
      </c>
      <c r="K37" s="1386">
        <f t="shared" si="0"/>
        <v>2.5269354829026511</v>
      </c>
    </row>
    <row r="38" spans="1:11" ht="12.75" customHeight="1">
      <c r="A38" s="549" t="s">
        <v>1385</v>
      </c>
      <c r="B38" s="1515">
        <v>2020</v>
      </c>
      <c r="C38" s="1516" t="s">
        <v>1439</v>
      </c>
      <c r="D38" s="1515">
        <v>4</v>
      </c>
      <c r="E38" s="1517">
        <v>36.748566244440454</v>
      </c>
      <c r="F38" s="1517">
        <v>22.04913974666427</v>
      </c>
      <c r="G38" s="1517">
        <v>15.434397822664991</v>
      </c>
      <c r="H38" s="1518">
        <v>5.9250514841550102</v>
      </c>
      <c r="I38" s="1386">
        <f t="shared" si="0"/>
        <v>6.202235768366708</v>
      </c>
      <c r="J38" s="1386">
        <f t="shared" si="0"/>
        <v>3.7213414610200246</v>
      </c>
      <c r="K38" s="1386">
        <f t="shared" si="0"/>
        <v>2.6049390227140177</v>
      </c>
    </row>
    <row r="39" spans="1:11" ht="12.75" customHeight="1">
      <c r="A39" s="549" t="s">
        <v>1385</v>
      </c>
      <c r="B39" s="1515">
        <v>2030</v>
      </c>
      <c r="C39" s="1516" t="s">
        <v>1439</v>
      </c>
      <c r="D39" s="1515">
        <v>4</v>
      </c>
      <c r="E39" s="1517">
        <v>35.131003126009361</v>
      </c>
      <c r="F39" s="1517">
        <v>21.078601875605607</v>
      </c>
      <c r="G39" s="1517">
        <v>14.75502131292394</v>
      </c>
      <c r="H39" s="1518">
        <v>5.6276668933228784</v>
      </c>
      <c r="I39" s="1386">
        <f t="shared" si="0"/>
        <v>6.2425519832546659</v>
      </c>
      <c r="J39" s="1386">
        <f t="shared" si="0"/>
        <v>3.7455311899527981</v>
      </c>
      <c r="K39" s="1386">
        <f t="shared" si="0"/>
        <v>2.6218718329669612</v>
      </c>
    </row>
  </sheetData>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14</vt:i4>
      </vt:variant>
    </vt:vector>
  </HeadingPairs>
  <TitlesOfParts>
    <vt:vector size="64" baseType="lpstr">
      <vt:lpstr>LOG</vt:lpstr>
      <vt:lpstr>Description</vt:lpstr>
      <vt:lpstr>TRA_Cars</vt:lpstr>
      <vt:lpstr>Cars INVCOST</vt:lpstr>
      <vt:lpstr>Eff SF</vt:lpstr>
      <vt:lpstr>Eff PHEV</vt:lpstr>
      <vt:lpstr>Eff BEV</vt:lpstr>
      <vt:lpstr>O&amp;M</vt:lpstr>
      <vt:lpstr>TRA_Moto</vt:lpstr>
      <vt:lpstr>TRA_Bikes</vt:lpstr>
      <vt:lpstr>TRA_Walk</vt:lpstr>
      <vt:lpstr>TRA_Buses</vt:lpstr>
      <vt:lpstr>EU Bus</vt:lpstr>
      <vt:lpstr>EU Bus Gas</vt:lpstr>
      <vt:lpstr>EU Bus El</vt:lpstr>
      <vt:lpstr>EU Bus Hybrid</vt:lpstr>
      <vt:lpstr>TRA_Train</vt:lpstr>
      <vt:lpstr>EU Diesel IC-reg.tog</vt:lpstr>
      <vt:lpstr>EU El IC-reg.tog</vt:lpstr>
      <vt:lpstr>EU Diesel Lokaltog</vt:lpstr>
      <vt:lpstr>EU Gas Lokaltog</vt:lpstr>
      <vt:lpstr>TRA_Vans</vt:lpstr>
      <vt:lpstr>Tra_Trucks</vt:lpstr>
      <vt:lpstr>Old TRA_Trucks</vt:lpstr>
      <vt:lpstr>EU Varebil benzin</vt:lpstr>
      <vt:lpstr>EU varebil diesel</vt:lpstr>
      <vt:lpstr>EU Varebil CNG</vt:lpstr>
      <vt:lpstr>EU varebil el</vt:lpstr>
      <vt:lpstr>EU Lastbil</vt:lpstr>
      <vt:lpstr>EU Lastbil El</vt:lpstr>
      <vt:lpstr>EU Lastbil DME</vt:lpstr>
      <vt:lpstr>EU Lastbil RME</vt:lpstr>
      <vt:lpstr>EU Lastbil Gas</vt:lpstr>
      <vt:lpstr>TRA_Ship_Passenger</vt:lpstr>
      <vt:lpstr>TRA_Ship_Freight</vt:lpstr>
      <vt:lpstr>TRA_Ship_Freight_INT</vt:lpstr>
      <vt:lpstr>ShipData</vt:lpstr>
      <vt:lpstr>EU 9000 TEU Diesel</vt:lpstr>
      <vt:lpstr>EU 9000 TEU HFO</vt:lpstr>
      <vt:lpstr>EU 9000 TEU Dual fuel</vt:lpstr>
      <vt:lpstr>EU Katamaran ferry</vt:lpstr>
      <vt:lpstr>TRA_Airplane</vt:lpstr>
      <vt:lpstr>EU SAS avg. airplane adjusted</vt:lpstr>
      <vt:lpstr>EU SAS avg. airplane</vt:lpstr>
      <vt:lpstr>Reference</vt:lpstr>
      <vt:lpstr>EMIS_factors</vt:lpstr>
      <vt:lpstr>Input B%</vt:lpstr>
      <vt:lpstr>Road</vt:lpstr>
      <vt:lpstr>Other</vt:lpstr>
      <vt:lpstr>Non exhaust</vt:lpstr>
      <vt:lpstr>'EU 9000 TEU Diesel'!Print_Area</vt:lpstr>
      <vt:lpstr>'EU 9000 TEU Dual fuel'!Print_Area</vt:lpstr>
      <vt:lpstr>'EU 9000 TEU HFO'!Print_Area</vt:lpstr>
      <vt:lpstr>'EU Diesel IC-reg.tog'!Print_Area</vt:lpstr>
      <vt:lpstr>'EU Diesel Lokaltog'!Print_Area</vt:lpstr>
      <vt:lpstr>'EU El IC-reg.tog'!Print_Area</vt:lpstr>
      <vt:lpstr>'EU Gas Lokaltog'!Print_Area</vt:lpstr>
      <vt:lpstr>'EU Katamaran ferry'!Print_Area</vt:lpstr>
      <vt:lpstr>'EU Lastbil'!Print_Area</vt:lpstr>
      <vt:lpstr>'EU Lastbil DME'!Print_Area</vt:lpstr>
      <vt:lpstr>'EU Lastbil El'!Print_Area</vt:lpstr>
      <vt:lpstr>'EU Lastbil Gas'!Print_Area</vt:lpstr>
      <vt:lpstr>'EU SAS avg. airplane'!Print_Area</vt:lpstr>
      <vt:lpstr>'EU SAS avg. airplane adjusted'!Print_Area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2016-10-14T09:33:14Z</dcterms:created>
  <dcterms:modified xsi:type="dcterms:W3CDTF">2021-09-15T07:44:36Z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294774353504180</vt:r8>
  </property>
</Properties>
</file>